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<sst xmlns="http://schemas.openxmlformats.org/spreadsheetml/2006/main" count="2965" uniqueCount="475">
  <si>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</si>
  <si>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</si>
  <si>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</si>
  <si>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</si>
  <si>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</si>
  <si>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</si>
  <si>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</si>
  <si>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</si>
  <si>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</si>
  <si>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</si>
  <si>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</si>
  <si>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</si>
  <si>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</si>
  <si>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</si>
  <si>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</si>
  <si>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</si>
  <si>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</si>
  <si>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</si>
  <si>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</si>
  <si>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</si>
  <si>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</si>
  <si>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</si>
  <si>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</si>
  <si>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</si>
  <si>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</si>
  <si>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</si>
  <si>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</si>
  <si>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</si>
  <si>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</si>
  <si>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</si>
  <si>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</si>
  <si>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</si>
  <si>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</si>
  <si>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</si>
  <si>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</si>
  <si>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</si>
  <si>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N=305,202</t>
  </si>
  <si>
    <t>N=23,059</t>
  </si>
  <si>
    <t>N=2,698</t>
  </si>
  <si>
    <t>N=1,094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</si>
  <si>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</si>
  <si>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</si>
  <si>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</si>
  <si>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</si>
  <si>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</si>
  <si>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</si>
  <si>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</si>
  <si>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</si>
  <si>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</si>
  <si>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</si>
  <si>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</si>
  <si>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</si>
  <si>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</si>
  <si>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</si>
  <si>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</si>
  <si>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</si>
  <si>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</si>
  <si>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</si>
  <si>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</si>
  <si>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</si>
  <si>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</si>
  <si>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</si>
  <si>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</si>
  <si>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</si>
  <si>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</si>
  <si>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</si>
  <si>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</si>
  <si>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</si>
  <si>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</si>
  <si>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</si>
  <si>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</si>
  <si>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</si>
  <si>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</si>
  <si>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</si>
  <si>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</si>
  <si>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</si>
  <si>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</si>
  <si>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</si>
  <si>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</si>
  <si>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</si>
  <si>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</si>
  <si>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</si>
  <si>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</si>
  <si>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</si>
  <si>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</si>
  <si>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</si>
  <si>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</si>
  <si>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</si>
  <si>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</si>
  <si>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</si>
  <si>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</si>
  <si>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</si>
  <si>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</si>
  <si>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</si>
  <si>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</si>
  <si>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</si>
  <si>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</si>
  <si>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</si>
  <si>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</si>
  <si>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</si>
  <si>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</si>
  <si>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</si>
  <si>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</si>
  <si>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</si>
  <si>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</si>
  <si>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</si>
  <si>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</si>
  <si>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</si>
  <si>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</si>
  <si>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</si>
  <si>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</si>
  <si>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</si>
  <si>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</si>
  <si>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</si>
  <si>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</si>
  <si>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</si>
  <si>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</si>
  <si>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</si>
  <si>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</si>
  <si>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</si>
  <si>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</si>
  <si>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</si>
  <si>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</si>
  <si>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</si>
  <si>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</si>
  <si>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</si>
  <si>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</si>
  <si>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</si>
  <si>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</si>
  <si>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</si>
  <si>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</si>
  <si>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</si>
  <si>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</si>
  <si>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</si>
  <si>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</si>
  <si>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</si>
  <si>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</si>
  <si>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</si>
  <si>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</si>
  <si>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</si>
  <si>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</si>
  <si>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</si>
  <si>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</si>
  <si>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</si>
  <si>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</si>
  <si>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</si>
  <si>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</si>
  <si>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</si>
  <si>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</si>
  <si>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</si>
  <si>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</si>
  <si>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</si>
  <si>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</si>
  <si>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</si>
  <si>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</si>
  <si>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</si>
  <si>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</si>
  <si>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</si>
  <si>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</si>
  <si>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</si>
  <si>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</si>
  <si>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</si>
  <si>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</si>
  <si>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</si>
  <si>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</si>
  <si>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</si>
  <si>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</si>
  <si>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</si>
  <si>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</si>
  <si>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</si>
  <si>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</si>
  <si>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</si>
  <si>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</si>
  <si>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</si>
  <si>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</si>
  <si>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</si>
  <si>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</si>
  <si>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</si>
  <si>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</si>
  <si>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</si>
  <si>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</si>
  <si>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</si>
  <si>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</si>
  <si>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</si>
  <si>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</si>
  <si>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</si>
  <si>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</si>
  <si>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</si>
  <si>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</si>
  <si>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</si>
  <si>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</si>
  <si>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</si>
  <si>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</si>
  <si>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</si>
  <si>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</si>
  <si>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</si>
  <si>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</si>
  <si>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</si>
  <si>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</si>
  <si>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</si>
  <si>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</si>
  <si>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</si>
  <si>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</si>
  <si>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</si>
  <si>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</si>
  <si>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</si>
  <si>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</si>
  <si>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</si>
  <si>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</si>
  <si>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</si>
  <si>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</si>
  <si>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</si>
  <si>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</si>
  <si>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</si>
  <si>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</si>
  <si>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</si>
  <si>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</si>
  <si>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</si>
  <si>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</si>
  <si>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</si>
  <si>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</si>
  <si>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</si>
  <si>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</si>
  <si>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</si>
  <si>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</si>
  <si>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</si>
  <si>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</si>
  <si>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</si>
  <si>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</si>
  <si>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</si>
  <si>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</si>
  <si>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</si>
  <si>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</si>
  <si>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</si>
  <si>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</si>
  <si>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</si>
  <si>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</si>
  <si>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</si>
  <si>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</si>
  <si>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</si>
  <si>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</si>
  <si>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</si>
  <si>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</si>
  <si>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</si>
  <si>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</si>
  <si>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</si>
  <si>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</si>
  <si>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</si>
  <si>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</si>
  <si>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</si>
  <si>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</si>
  <si>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</si>
  <si>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</si>
  <si>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</si>
  <si>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</si>
  <si>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</si>
  <si>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</si>
  <si>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</si>
  <si>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</si>
  <si>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</si>
  <si>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</si>
  <si>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</si>
  <si>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</si>
  <si>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</si>
  <si>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</si>
  <si>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</si>
  <si>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</si>
  <si>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</si>
  <si>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</si>
  <si>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</si>
  <si>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</si>
  <si>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</si>
  <si>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</si>
  <si>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</si>
  <si>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</si>
  <si>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</si>
  <si>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</si>
  <si>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</si>
  <si>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</si>
  <si>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</si>
  <si>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</si>
  <si>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</si>
  <si>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</si>
  <si>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</si>
  <si>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</si>
  <si>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</si>
  <si>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</si>
  <si>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</si>
  <si>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</si>
  <si>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</si>
  <si>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</si>
  <si>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</si>
  <si>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9/23/2020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</si>
  <si>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</si>
  <si>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</si>
  <si>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</si>
  <si>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</si>
  <si>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</si>
  <si>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</si>
  <si>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</si>
  <si>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</si>
  <si>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90 to 94</t>
  </si>
  <si>
    <t>Fewer than five</t>
  </si>
  <si>
    <t>15 to 19</t>
  </si>
  <si>
    <t>Berkshire Place (Providence)</t>
  </si>
  <si>
    <t>165 to 169</t>
  </si>
  <si>
    <t>35 to 39</t>
  </si>
  <si>
    <t>Bethany Home (Providence)</t>
  </si>
  <si>
    <t>Brentwood Nursing Home (Warwick)</t>
  </si>
  <si>
    <t>10 to 14</t>
  </si>
  <si>
    <t>Briarcliffe Manor (Johnston)</t>
  </si>
  <si>
    <t>70 to 74</t>
  </si>
  <si>
    <t>20 to 24</t>
  </si>
  <si>
    <t>Brookdale Sakonnet Bay (Tiverton)</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</si>
  <si>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</si>
  <si>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</si>
  <si>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</si>
  <si>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</si>
  <si>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</si>
  <si>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</si>
  <si>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</si>
  <si>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</si>
  <si>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</si>
  <si>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</si>
  <si>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</si>
  <si>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</si>
  <si>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</si>
  <si>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</si>
  <si>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</si>
  <si>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</si>
  <si>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</si>
  <si>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</si>
  <si>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</si>
  <si>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</si>
  <si>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</si>
  <si>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</si>
  <si>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</si>
  <si>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</si>
  <si>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30 to 34</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</si>
  <si>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</si>
  <si>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</si>
  <si>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</si>
  <si>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</si>
  <si>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</si>
  <si>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</si>
  <si>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</si>
  <si>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</si>
  <si>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</si>
  <si>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</si>
  <si>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</si>
  <si>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</si>
  <si>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</si>
  <si>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</si>
  <si>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</si>
  <si>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</si>
  <si>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</si>
  <si>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</si>
  <si>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</si>
  <si>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</si>
  <si>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</si>
  <si>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</si>
  <si>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</si>
  <si>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</si>
  <si>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</si>
  <si>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</si>
  <si>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</si>
  <si>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</si>
  <si>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</si>
  <si>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</si>
  <si>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</si>
  <si>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</si>
  <si>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</si>
  <si>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</si>
  <si>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</si>
  <si>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</si>
  <si>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</si>
  <si>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</si>
  <si>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</si>
  <si>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</si>
  <si>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</si>
  <si>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</si>
  <si>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2970 to 2974</t>
  </si>
  <si>
    <t>795 to 799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</si>
  <si>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</si>
  <si>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</si>
  <si>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</si>
  <si>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</si>
  <si>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</si>
  <si>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</si>
  <si>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</si>
  <si>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</si>
  <si>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</si>
  <si>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</si>
  <si>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</si>
  <si>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</si>
  <si>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</si>
  <si>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</si>
  <si>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</si>
  <si>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</si>
  <si>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255 to 259</t>
  </si>
  <si>
    <t>Note: These data are updated weekly and represent cumulative number of cases and deaths, and number of new resident cases in the past 14 days at each facility. Because these data will change throughout the week, number ranges are being presented. Data last updated 9/23/2020.</t>
  </si>
  <si>
    <t>Number of COVID-19 Cases by School and Learning Style</t>
  </si>
  <si>
    <t>Data last updated 9/23/2020 and include cases notified to RIDOH as of 9/19/2020</t>
  </si>
  <si>
    <t>School</t>
  </si>
  <si>
    <t>LEA</t>
  </si>
  <si>
    <r>
      <t>New Cases in Past 7 Days</t>
    </r>
    <r>
      <rPr>
        <sz val="8.0"/>
      </rPr>
      <t>†</t>
    </r>
  </si>
  <si>
    <t>Cumulative Cases since 9/14/2020</t>
  </si>
  <si>
    <t>In-Person and Hybrid Learning</t>
  </si>
  <si>
    <t>Steere Farm Elementary School</t>
  </si>
  <si>
    <t>Mount St. Charles Academy</t>
  </si>
  <si>
    <t>Catholic Schools</t>
  </si>
  <si>
    <t>Blackrock School</t>
  </si>
  <si>
    <t>Agnes B. Hennessey School</t>
  </si>
  <si>
    <t>Emma G. Whiteknact School</t>
  </si>
  <si>
    <t>Ponaganset High School</t>
  </si>
  <si>
    <t>Foster-Glocester</t>
  </si>
  <si>
    <t>Highlander Elementary Charter School</t>
  </si>
  <si>
    <t>Highlander</t>
  </si>
  <si>
    <t>Nicholas A. Ferri Middle School</t>
  </si>
  <si>
    <t>Sarah Dyer Barnes School</t>
  </si>
  <si>
    <t>Winsor Hill School</t>
  </si>
  <si>
    <t>Islamic School of RI</t>
  </si>
  <si>
    <t>Private Schools</t>
  </si>
  <si>
    <t>Lifespan School Solutions</t>
  </si>
  <si>
    <t>Lincoln School</t>
  </si>
  <si>
    <t>Portsmouth Abbey School</t>
  </si>
  <si>
    <t>Anthony Carnevale Elementary School</t>
  </si>
  <si>
    <t>Juanita Sanchez High School</t>
  </si>
  <si>
    <t>Providence Career and Technical Academy</t>
  </si>
  <si>
    <t>Webster Avenue School</t>
  </si>
  <si>
    <t>Other*</t>
  </si>
  <si>
    <t>N/A</t>
  </si>
  <si>
    <t>Total:</t>
  </si>
  <si>
    <t>Virtual Learning‡</t>
  </si>
  <si>
    <t>Barrington High School</t>
  </si>
  <si>
    <t>Blackstone Valley Prep Middle School</t>
  </si>
  <si>
    <t>Blackstone Valley Prep, A RI Mayoral Academy</t>
  </si>
  <si>
    <t>St. Teresa School</t>
  </si>
  <si>
    <t>Central Falls Senior High School</t>
  </si>
  <si>
    <t>Alan Shawn Feinstein Middle School Of Coventry</t>
  </si>
  <si>
    <t>Washington Oak School</t>
  </si>
  <si>
    <t>Cranston High School West</t>
  </si>
  <si>
    <t>Hope Highlands Middle School</t>
  </si>
  <si>
    <t>Orchard Farms Elementary School</t>
  </si>
  <si>
    <t>Park View Middle School</t>
  </si>
  <si>
    <t>Community School</t>
  </si>
  <si>
    <t>Cumberland High School</t>
  </si>
  <si>
    <t>Johnston Senior High School</t>
  </si>
  <si>
    <t>The Learning Community Charter School</t>
  </si>
  <si>
    <t>Learning Community</t>
  </si>
  <si>
    <t>Charles E. Shea High School</t>
  </si>
  <si>
    <t>Curvin-McCabe School</t>
  </si>
  <si>
    <t>Lyman B. Goff Middle School</t>
  </si>
  <si>
    <t>Nathanael Greene School</t>
  </si>
  <si>
    <t>San Miguel School</t>
  </si>
  <si>
    <t>St. Mary's Home for Children/George N. Hunt Campus School</t>
  </si>
  <si>
    <t>360 High School</t>
  </si>
  <si>
    <t>E-Cubed Academy</t>
  </si>
  <si>
    <t>Governor Christopher DelSesto Middle School</t>
  </si>
  <si>
    <t>Harry Kizirian Elementary School</t>
  </si>
  <si>
    <t>Hope High School</t>
  </si>
  <si>
    <t>Lillian Feinstein Elementary Sackett Street</t>
  </si>
  <si>
    <t>Mount Pleasant High School</t>
  </si>
  <si>
    <t>Providence Virtual Learning Academy</t>
  </si>
  <si>
    <t>Vartan Gregorian Elementary School</t>
  </si>
  <si>
    <t>RI Nurses Institute Middle College Charter High School</t>
  </si>
  <si>
    <t>Rhode Island Nurses Institute Middle College</t>
  </si>
  <si>
    <t>Smithfield Senior High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</si>
  <si>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</si>
  <si>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9/23/2020.
 †New cases in past 7 days include cases notified to RIDOH between 9/14/2020 and 9/19/2020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</si>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</sst>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3">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name val="Calibri"/>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7" numFmtId="164" xfId="0" applyAlignment="1" applyBorder="1" applyFont="1" applyNumberFormat="1">
      <alignment horizontal="center" readingOrder="0"/>
    </xf>
    <xf borderId="5" fillId="0" fontId="7"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7"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8" numFmtId="1" xfId="0" applyAlignment="1" applyBorder="1" applyFont="1" applyNumberFormat="1">
      <alignment horizontal="center"/>
    </xf>
    <xf borderId="5" fillId="2" fontId="8" numFmtId="9" xfId="0" applyAlignment="1" applyBorder="1" applyFont="1" applyNumberFormat="1">
      <alignment horizontal="center"/>
    </xf>
    <xf borderId="5" fillId="2" fontId="8" numFmtId="1" xfId="0" applyAlignment="1" applyBorder="1" applyFont="1" applyNumberFormat="1">
      <alignment horizontal="center"/>
    </xf>
    <xf borderId="5" fillId="2" fontId="8"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7" numFmtId="1" xfId="0" applyAlignment="1" applyBorder="1" applyFont="1" applyNumberFormat="1">
      <alignment horizontal="center" readingOrder="0"/>
    </xf>
    <xf borderId="5" fillId="0" fontId="7" numFmtId="1" xfId="0" applyAlignment="1" applyBorder="1" applyFont="1" applyNumberFormat="1">
      <alignment horizontal="center" readingOrder="0" shrinkToFit="0" wrapText="0"/>
    </xf>
    <xf borderId="5" fillId="0" fontId="7"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7" numFmtId="0" xfId="0" applyAlignment="1" applyBorder="1" applyFont="1">
      <alignment horizontal="center" readingOrder="0" shrinkToFit="0" wrapText="0"/>
    </xf>
    <xf borderId="1" fillId="0" fontId="4" numFmtId="0" xfId="0" applyAlignment="1" applyBorder="1" applyFont="1">
      <alignment readingOrder="0"/>
    </xf>
    <xf borderId="0" fillId="10" fontId="9" numFmtId="0" xfId="0" applyAlignment="1" applyFill="1" applyFont="1">
      <alignment readingOrder="0" shrinkToFit="0" wrapText="0"/>
    </xf>
    <xf borderId="0" fillId="0" fontId="9" numFmtId="3" xfId="0" applyAlignment="1" applyFont="1" applyNumberFormat="1">
      <alignment horizontal="center" shrinkToFit="0" wrapText="0"/>
    </xf>
    <xf borderId="0" fillId="0" fontId="9"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9" numFmtId="0" xfId="0" applyAlignment="1" applyFont="1">
      <alignment readingOrder="0" shrinkToFit="0" wrapText="0"/>
    </xf>
    <xf borderId="0" fillId="0" fontId="9" numFmtId="0" xfId="0" applyAlignment="1" applyFont="1">
      <alignment horizontal="left" readingOrder="0" shrinkToFit="0" vertical="center" wrapText="1"/>
    </xf>
    <xf borderId="0" fillId="0" fontId="9" numFmtId="0" xfId="0" applyAlignment="1" applyFont="1">
      <alignment readingOrder="0"/>
    </xf>
    <xf borderId="0" fillId="0" fontId="10"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9" numFmtId="0" xfId="0" applyAlignment="1" applyFont="1">
      <alignment readingOrder="0" shrinkToFit="0" wrapText="0"/>
    </xf>
    <xf borderId="0" fillId="0" fontId="4" numFmtId="0" xfId="0" applyAlignment="1" applyFont="1">
      <alignment shrinkToFit="0" vertical="bottom" wrapText="0"/>
    </xf>
    <xf borderId="0" fillId="0" fontId="9" numFmtId="0" xfId="0" applyAlignment="1" applyFont="1">
      <alignment horizontal="left" readingOrder="0" shrinkToFit="0" vertical="center" wrapText="1"/>
    </xf>
    <xf borderId="0" fillId="0" fontId="9" numFmtId="166" xfId="0" applyAlignment="1" applyFont="1" applyNumberFormat="1">
      <alignment horizontal="center" readingOrder="0"/>
    </xf>
    <xf borderId="0" fillId="0" fontId="11" numFmtId="0" xfId="0" applyAlignment="1" applyFont="1">
      <alignment readingOrder="0" shrinkToFit="0" vertical="top" wrapText="0"/>
    </xf>
    <xf borderId="0" fillId="0" fontId="11" numFmtId="0" xfId="0" applyAlignment="1" applyFont="1">
      <alignment shrinkToFit="0" vertical="top" wrapText="0"/>
    </xf>
    <xf borderId="0" fillId="0" fontId="4" numFmtId="0" xfId="0" applyAlignment="1" applyFont="1">
      <alignment shrinkToFit="0" vertical="bottom" wrapText="0"/>
    </xf>
    <xf borderId="0" fillId="0" fontId="11" numFmtId="0" xfId="0" applyAlignment="1" applyFont="1">
      <alignment vertical="bottom"/>
    </xf>
    <xf borderId="0" fillId="0" fontId="12"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7"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1" numFmtId="0" xfId="0" applyAlignment="1" applyFont="1">
      <alignment horizontal="left" readingOrder="0" shrinkToFit="0" vertical="top" wrapText="0"/>
    </xf>
    <xf borderId="0" fillId="0" fontId="11" numFmtId="0" xfId="0" applyAlignment="1" applyFont="1">
      <alignment vertical="center"/>
    </xf>
    <xf borderId="0" fillId="0" fontId="4" numFmtId="0" xfId="0" applyAlignment="1" applyFont="1">
      <alignment shrinkToFit="0" vertical="center" wrapText="0"/>
    </xf>
    <xf borderId="0" fillId="0" fontId="9" numFmtId="0" xfId="0" applyAlignment="1" applyFont="1">
      <alignment shrinkToFit="0" vertical="center" wrapText="0"/>
    </xf>
    <xf borderId="0" fillId="0" fontId="1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1" numFmtId="0" xfId="0" applyAlignment="1" applyFont="1">
      <alignment horizontal="center" vertical="bottom"/>
    </xf>
    <xf borderId="0" fillId="0" fontId="12"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4" numFmtId="0" xfId="0" applyAlignment="1" applyBorder="1" applyFon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9" numFmtId="0" xfId="0" applyAlignment="1" applyFont="1">
      <alignment horizontal="left" readingOrder="0" vertical="bottom"/>
    </xf>
    <xf borderId="0" fillId="0" fontId="3" numFmtId="0" xfId="0" applyAlignment="1" applyFont="1">
      <alignment horizontal="center"/>
    </xf>
    <xf borderId="0" fillId="12" fontId="15" numFmtId="0" xfId="0" applyAlignment="1" applyFill="1" applyFont="1">
      <alignment shrinkToFit="0" vertical="bottom" wrapText="1"/>
    </xf>
    <xf borderId="1" fillId="12" fontId="15" numFmtId="0" xfId="0" applyAlignment="1" applyBorder="1" applyFont="1">
      <alignment readingOrder="0" shrinkToFit="0" vertical="bottom" wrapText="1"/>
    </xf>
    <xf borderId="1" fillId="12" fontId="15" numFmtId="0" xfId="0" applyAlignment="1" applyBorder="1" applyFont="1">
      <alignment shrinkToFit="0" vertical="bottom" wrapText="1"/>
    </xf>
    <xf borderId="1" fillId="9" fontId="15" numFmtId="0" xfId="0" applyAlignment="1" applyBorder="1" applyFont="1">
      <alignment shrinkToFit="0" vertical="bottom" wrapText="1"/>
    </xf>
    <xf borderId="1" fillId="13" fontId="15" numFmtId="0" xfId="0" applyAlignment="1" applyBorder="1" applyFill="1" applyFont="1">
      <alignment horizontal="center" shrinkToFit="0" vertical="bottom" wrapText="1"/>
    </xf>
    <xf borderId="1" fillId="14" fontId="15" numFmtId="0" xfId="0" applyAlignment="1" applyBorder="1" applyFill="1" applyFont="1">
      <alignment horizontal="center" shrinkToFit="0" vertical="bottom" wrapText="1"/>
    </xf>
    <xf borderId="6" fillId="15" fontId="16" numFmtId="0" xfId="0" applyAlignment="1" applyBorder="1" applyFill="1" applyFont="1">
      <alignment horizontal="left" readingOrder="0" shrinkToFit="0" wrapText="0"/>
    </xf>
    <xf borderId="2" fillId="0" fontId="17" numFmtId="0" xfId="0" applyAlignment="1" applyBorder="1" applyFont="1">
      <alignment horizontal="left" readingOrder="0" vertical="bottom"/>
    </xf>
    <xf borderId="5" fillId="0" fontId="17" numFmtId="0" xfId="0" applyAlignment="1" applyBorder="1" applyFont="1">
      <alignment horizontal="center" readingOrder="0" vertical="bottom"/>
    </xf>
    <xf borderId="8" fillId="0" fontId="17" numFmtId="0" xfId="0" applyAlignment="1" applyBorder="1" applyFont="1">
      <alignment horizontal="center" readingOrder="0" vertical="bottom"/>
    </xf>
    <xf borderId="2" fillId="0" fontId="17" numFmtId="0" xfId="0" applyAlignment="1" applyBorder="1" applyFont="1">
      <alignment horizontal="center" readingOrder="0" shrinkToFit="0" vertical="bottom" wrapText="0"/>
    </xf>
    <xf borderId="2" fillId="0" fontId="17" numFmtId="0" xfId="0" applyAlignment="1" applyBorder="1" applyFont="1">
      <alignment readingOrder="0" vertical="bottom"/>
    </xf>
    <xf borderId="5" fillId="0" fontId="17" numFmtId="0" xfId="0" applyAlignment="1" applyBorder="1" applyFont="1">
      <alignment horizontal="center" readingOrder="0" shrinkToFit="0" vertical="bottom" wrapText="0"/>
    </xf>
    <xf borderId="2" fillId="0" fontId="18" numFmtId="0" xfId="0" applyAlignment="1" applyBorder="1" applyFont="1">
      <alignment horizontal="left" readingOrder="0" vertical="bottom"/>
    </xf>
    <xf borderId="5"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2" fillId="0" fontId="18" numFmtId="0" xfId="0" applyAlignment="1" applyBorder="1" applyFont="1">
      <alignment horizontal="center" readingOrder="0" shrinkToFit="0" vertical="bottom" wrapText="0"/>
    </xf>
    <xf borderId="2" fillId="0" fontId="17" numFmtId="0" xfId="0" applyAlignment="1" applyBorder="1" applyFont="1">
      <alignment horizontal="left" readingOrder="0"/>
    </xf>
    <xf borderId="5" fillId="0" fontId="17" numFmtId="0" xfId="0" applyAlignment="1" applyBorder="1" applyFont="1">
      <alignment horizontal="center" readingOrder="0"/>
    </xf>
    <xf borderId="8" fillId="0" fontId="17" numFmtId="0" xfId="0" applyAlignment="1" applyBorder="1" applyFont="1">
      <alignment horizontal="center" readingOrder="0"/>
    </xf>
    <xf borderId="2" fillId="0" fontId="17" numFmtId="0" xfId="0" applyAlignment="1" applyBorder="1" applyFont="1">
      <alignment horizontal="center" readingOrder="0"/>
    </xf>
    <xf borderId="2" fillId="0" fontId="17" numFmtId="0" xfId="0" applyAlignment="1" applyBorder="1" applyFont="1">
      <alignment horizontal="center" readingOrder="0" vertical="bottom"/>
    </xf>
    <xf borderId="2" fillId="0" fontId="17" numFmtId="0" xfId="0" applyAlignment="1" applyBorder="1" applyFont="1">
      <alignment horizontal="left" readingOrder="0" shrinkToFit="0" vertical="bottom" wrapText="1"/>
    </xf>
    <xf borderId="9" fillId="0" fontId="19" numFmtId="0" xfId="0" applyAlignment="1" applyBorder="1" applyFont="1">
      <alignment horizontal="left" readingOrder="0" shrinkToFit="0" vertical="bottom" wrapText="1"/>
    </xf>
    <xf borderId="9" fillId="0" fontId="6" numFmtId="0" xfId="0" applyBorder="1" applyFont="1"/>
    <xf borderId="6" fillId="0" fontId="20" numFmtId="0" xfId="0" applyAlignment="1" applyBorder="1" applyFont="1">
      <alignment horizontal="left" readingOrder="0" shrinkToFit="0" vertical="bottom" wrapText="0"/>
    </xf>
    <xf borderId="6" fillId="0" fontId="16" numFmtId="0" xfId="0" applyAlignment="1" applyBorder="1" applyFont="1">
      <alignment horizontal="left" readingOrder="0" shrinkToFit="0" vertical="bottom" wrapText="0"/>
    </xf>
    <xf borderId="2" fillId="16" fontId="16" numFmtId="0" xfId="0" applyAlignment="1" applyBorder="1" applyFill="1" applyFont="1">
      <alignment readingOrder="0" vertical="center"/>
    </xf>
    <xf borderId="5" fillId="16" fontId="16" numFmtId="0" xfId="0" applyAlignment="1" applyBorder="1" applyFont="1">
      <alignment readingOrder="0" vertical="center"/>
    </xf>
    <xf borderId="5" fillId="11" fontId="16" numFmtId="0" xfId="0" applyAlignment="1" applyBorder="1" applyFont="1">
      <alignment horizontal="center" readingOrder="0" shrinkToFit="0" vertical="top" wrapText="1"/>
    </xf>
    <xf borderId="5" fillId="4" fontId="16" numFmtId="0" xfId="0" applyAlignment="1" applyBorder="1" applyFont="1">
      <alignment horizontal="center" readingOrder="0" shrinkToFit="0" vertical="top" wrapText="1"/>
    </xf>
    <xf borderId="0" fillId="0" fontId="4" numFmtId="0" xfId="0" applyAlignment="1" applyFont="1">
      <alignment vertical="bottom"/>
    </xf>
    <xf borderId="10" fillId="15" fontId="16" numFmtId="0" xfId="0" applyAlignment="1" applyBorder="1" applyFont="1">
      <alignment horizontal="left" readingOrder="0"/>
    </xf>
    <xf borderId="8" fillId="0" fontId="6" numFmtId="0" xfId="0" applyBorder="1" applyFont="1"/>
    <xf borderId="5" fillId="0" fontId="6" numFmtId="0" xfId="0" applyBorder="1" applyFont="1"/>
    <xf borderId="2" fillId="0" fontId="21" numFmtId="0" xfId="0" applyAlignment="1" applyBorder="1" applyFont="1">
      <alignment readingOrder="0" shrinkToFit="0" vertical="bottom" wrapText="0"/>
    </xf>
    <xf borderId="5" fillId="0" fontId="21" numFmtId="0" xfId="0" applyAlignment="1" applyBorder="1" applyFont="1">
      <alignment readingOrder="0" shrinkToFit="0" vertical="bottom" wrapText="0"/>
    </xf>
    <xf borderId="5" fillId="0" fontId="21" numFmtId="0" xfId="0" applyAlignment="1" applyBorder="1" applyFont="1">
      <alignment horizontal="center" readingOrder="0" shrinkToFit="0" vertical="bottom" wrapText="0"/>
    </xf>
    <xf borderId="2" fillId="0" fontId="21" numFmtId="0" xfId="0" applyAlignment="1" applyBorder="1" applyFont="1">
      <alignment shrinkToFit="0" vertical="bottom" wrapText="0"/>
    </xf>
    <xf borderId="5" fillId="0" fontId="22" numFmtId="0" xfId="0" applyAlignment="1" applyBorder="1" applyFont="1">
      <alignment horizontal="right" readingOrder="0" shrinkToFit="0" vertical="bottom" wrapText="0"/>
    </xf>
    <xf borderId="5" fillId="0" fontId="22" numFmtId="0" xfId="0" applyAlignment="1" applyBorder="1" applyFont="1">
      <alignment horizontal="center" readingOrder="0" shrinkToFit="0" vertical="bottom" wrapText="0"/>
    </xf>
    <xf borderId="6" fillId="15" fontId="22" numFmtId="0" xfId="0" applyAlignment="1" applyBorder="1" applyFont="1">
      <alignment horizontal="left" readingOrder="0" shrinkToFit="0" vertical="bottom" wrapText="0"/>
    </xf>
    <xf borderId="2" fillId="0" fontId="22" numFmtId="0" xfId="0" applyAlignment="1" applyBorder="1" applyFont="1">
      <alignment shrinkToFit="0" vertical="bottom" wrapText="0"/>
    </xf>
    <xf borderId="6" fillId="17" fontId="19"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44097.0</v>
      </c>
    </row>
    <row r="2" ht="14.25" customHeight="1">
      <c r="A2" s="3" t="s">
        <v>1</v>
      </c>
      <c r="B2" s="4">
        <v>138.0</v>
      </c>
    </row>
    <row r="3" ht="14.25" customHeight="1">
      <c r="A3" s="3" t="s">
        <v>2</v>
      </c>
      <c r="B3" s="4">
        <v>114.0</v>
      </c>
    </row>
    <row r="4" ht="14.25" customHeight="1">
      <c r="A4" s="3" t="s">
        <v>3</v>
      </c>
      <c r="B4" s="4">
        <v>33952.0</v>
      </c>
    </row>
    <row r="5" ht="14.25" customHeight="1">
      <c r="A5" s="3" t="s">
        <v>4</v>
      </c>
      <c r="B5" s="4">
        <v>8096.0</v>
      </c>
    </row>
    <row r="6" ht="14.25" customHeight="1">
      <c r="A6" s="5" t="s">
        <v>5</v>
      </c>
      <c r="B6" s="4">
        <v>672626.0</v>
      </c>
    </row>
    <row r="7" ht="14.25" customHeight="1">
      <c r="A7" s="6" t="s">
        <v>6</v>
      </c>
      <c r="B7" s="4">
        <v>8234.0</v>
      </c>
    </row>
    <row r="8" ht="14.25" customHeight="1">
      <c r="A8" s="6" t="s">
        <v>7</v>
      </c>
      <c r="B8" s="7">
        <v>706578.0</v>
      </c>
    </row>
    <row r="9" ht="14.25" customHeight="1">
      <c r="A9" s="8" t="s">
        <v>8</v>
      </c>
      <c r="B9" s="7">
        <v>121.0</v>
      </c>
    </row>
    <row r="10" ht="14.25" customHeight="1">
      <c r="A10" s="9" t="s">
        <v>9</v>
      </c>
      <c r="B10" s="7">
        <v>91.0</v>
      </c>
    </row>
    <row r="11" ht="14.25" customHeight="1">
      <c r="A11" s="8" t="s">
        <v>10</v>
      </c>
      <c r="B11" s="7">
        <v>24177.0</v>
      </c>
    </row>
    <row r="12" ht="14.25" customHeight="1">
      <c r="A12" s="8" t="s">
        <v>11</v>
      </c>
      <c r="B12" s="7">
        <v>1734.0</v>
      </c>
    </row>
    <row r="13" ht="14.25" customHeight="1">
      <c r="A13" s="8" t="s">
        <v>12</v>
      </c>
      <c r="B13" s="7">
        <v>300943.0</v>
      </c>
    </row>
    <row r="14" ht="15.0" customHeight="1">
      <c r="A14" s="8" t="s">
        <v>13</v>
      </c>
      <c r="B14" s="7">
        <v>325120.0</v>
      </c>
    </row>
    <row r="15" ht="14.25" customHeight="1">
      <c r="A15" s="10" t="s">
        <v>14</v>
      </c>
      <c r="B15" s="4">
        <v>10.0</v>
      </c>
    </row>
    <row r="16" ht="14.25" customHeight="1">
      <c r="A16" s="10" t="s">
        <v>15</v>
      </c>
      <c r="B16" s="4">
        <v>2713.0</v>
      </c>
    </row>
    <row r="17" ht="14.25" customHeight="1">
      <c r="A17" s="10" t="s">
        <v>16</v>
      </c>
      <c r="B17" s="4">
        <v>3.0</v>
      </c>
    </row>
    <row r="18" ht="14.25" customHeight="1">
      <c r="A18" s="10" t="s">
        <v>17</v>
      </c>
      <c r="B18" s="4">
        <v>2275.0</v>
      </c>
    </row>
    <row r="19" ht="14.25" customHeight="1">
      <c r="A19" s="10" t="s">
        <v>18</v>
      </c>
      <c r="B19" s="4">
        <v>2.0</v>
      </c>
    </row>
    <row r="20" ht="14.25" customHeight="1">
      <c r="A20" s="10" t="s">
        <v>19</v>
      </c>
      <c r="B20" s="4">
        <v>352.0</v>
      </c>
    </row>
    <row r="21" ht="14.25" customHeight="1">
      <c r="A21" s="10" t="s">
        <v>20</v>
      </c>
      <c r="B21" s="7">
        <v>86.0</v>
      </c>
    </row>
    <row r="22" ht="14.25" customHeight="1">
      <c r="A22" s="10" t="s">
        <v>21</v>
      </c>
      <c r="B22" s="7">
        <v>83.0</v>
      </c>
    </row>
    <row r="23" ht="14.25" customHeight="1">
      <c r="A23" s="10" t="s">
        <v>22</v>
      </c>
      <c r="B23" s="7">
        <v>9.0</v>
      </c>
    </row>
    <row r="24" ht="14.25" customHeight="1">
      <c r="A24" s="10" t="s">
        <v>23</v>
      </c>
      <c r="B24" s="7">
        <v>5.0</v>
      </c>
    </row>
    <row r="25" ht="14.25" customHeight="1">
      <c r="A25" s="11" t="s">
        <v>24</v>
      </c>
      <c r="B25" s="7">
        <v>3.0</v>
      </c>
    </row>
    <row r="26" ht="14.25" customHeight="1">
      <c r="A26" s="12" t="s">
        <v>25</v>
      </c>
      <c r="B26" s="7">
        <v>1102.0</v>
      </c>
    </row>
    <row r="27" ht="14.25" customHeight="1">
      <c r="A27" s="13" t="s">
        <v>26</v>
      </c>
      <c r="B27" s="7">
        <v>696803.0</v>
      </c>
    </row>
    <row r="28" ht="14.25" customHeight="1">
      <c r="A28" s="13" t="s">
        <v>27</v>
      </c>
      <c r="B28" s="7">
        <v>8217.0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1" t="s">
        <v>209</v>
      </c>
      <c r="B1" s="152" t="s">
        <v>210</v>
      </c>
      <c r="C1" s="76" t="s">
        <v>75</v>
      </c>
    </row>
    <row r="2" ht="14.25" customHeight="1">
      <c r="A2" s="153" t="s">
        <v>211</v>
      </c>
      <c r="B2" s="154">
        <v>9.0</v>
      </c>
      <c r="C2" s="155">
        <v>1341.0</v>
      </c>
    </row>
    <row r="3" ht="14.25" customHeight="1">
      <c r="A3" s="156" t="s">
        <v>212</v>
      </c>
      <c r="B3" s="157">
        <v>0.0</v>
      </c>
      <c r="C3" s="158">
        <v>0.0</v>
      </c>
    </row>
    <row r="4" ht="14.25" customHeight="1">
      <c r="A4" s="156" t="s">
        <v>213</v>
      </c>
      <c r="B4" s="157">
        <v>82.0</v>
      </c>
      <c r="C4" s="158">
        <v>506.0</v>
      </c>
    </row>
    <row r="5" ht="14.25" customHeight="1">
      <c r="A5" s="156" t="s">
        <v>214</v>
      </c>
      <c r="B5" s="157">
        <v>6.0</v>
      </c>
      <c r="C5" s="158">
        <v>726.0</v>
      </c>
    </row>
    <row r="6" ht="14.25" customHeight="1">
      <c r="A6" s="156" t="s">
        <v>215</v>
      </c>
      <c r="B6" s="157">
        <v>17.0</v>
      </c>
      <c r="C6" s="158">
        <v>663.0</v>
      </c>
    </row>
    <row r="7" ht="14.25" customHeight="1">
      <c r="A7" s="156" t="s">
        <v>216</v>
      </c>
      <c r="B7" s="157">
        <v>209.0</v>
      </c>
      <c r="C7" s="158">
        <v>939.0</v>
      </c>
    </row>
    <row r="8" ht="14.25" customHeight="1">
      <c r="A8" s="156" t="s">
        <v>217</v>
      </c>
      <c r="B8" s="157">
        <v>10.0</v>
      </c>
      <c r="C8" s="158">
        <v>828.0</v>
      </c>
    </row>
    <row r="9" ht="14.25" customHeight="1">
      <c r="A9" s="156" t="s">
        <v>218</v>
      </c>
      <c r="B9" s="157">
        <v>37.0</v>
      </c>
      <c r="C9" s="158">
        <v>476.0</v>
      </c>
    </row>
    <row r="10" ht="14.25" customHeight="1">
      <c r="A10" s="156" t="s">
        <v>219</v>
      </c>
      <c r="B10" s="157">
        <v>55.0</v>
      </c>
      <c r="C10" s="158">
        <v>717.0</v>
      </c>
    </row>
    <row r="11" ht="14.25" customHeight="1">
      <c r="A11" s="156" t="s">
        <v>220</v>
      </c>
      <c r="B11" s="157">
        <v>0.0</v>
      </c>
      <c r="C11" s="158">
        <v>0.0</v>
      </c>
    </row>
    <row r="12" ht="14.25" customHeight="1">
      <c r="A12" s="156" t="s">
        <v>221</v>
      </c>
      <c r="B12" s="157">
        <v>304.0</v>
      </c>
      <c r="C12" s="158">
        <v>926.0</v>
      </c>
    </row>
    <row r="13" ht="14.25" customHeight="1">
      <c r="A13" s="156" t="s">
        <v>222</v>
      </c>
      <c r="B13" s="157">
        <v>32.0</v>
      </c>
      <c r="C13" s="158">
        <v>530.0</v>
      </c>
    </row>
    <row r="14" ht="14.25" customHeight="1">
      <c r="A14" s="156" t="s">
        <v>223</v>
      </c>
      <c r="B14" s="157">
        <v>142.0</v>
      </c>
      <c r="C14" s="158">
        <v>781.0</v>
      </c>
    </row>
    <row r="15" ht="14.25" customHeight="1">
      <c r="A15" s="156" t="s">
        <v>224</v>
      </c>
      <c r="B15" s="157">
        <v>49.0</v>
      </c>
      <c r="C15" s="158">
        <v>745.0</v>
      </c>
    </row>
    <row r="16" ht="14.25" customHeight="1">
      <c r="A16" s="156" t="s">
        <v>225</v>
      </c>
      <c r="B16" s="157">
        <v>35.0</v>
      </c>
      <c r="C16" s="158">
        <v>636.0</v>
      </c>
    </row>
    <row r="17" ht="14.25" customHeight="1">
      <c r="A17" s="156" t="s">
        <v>226</v>
      </c>
      <c r="B17" s="157">
        <v>0.0</v>
      </c>
      <c r="C17" s="158">
        <v>0.0</v>
      </c>
    </row>
    <row r="18" ht="14.25" customHeight="1">
      <c r="A18" s="156" t="s">
        <v>227</v>
      </c>
      <c r="B18" s="157">
        <v>19.0</v>
      </c>
      <c r="C18" s="158">
        <v>922.0</v>
      </c>
    </row>
    <row r="19" ht="14.25" customHeight="1">
      <c r="A19" s="156" t="s">
        <v>228</v>
      </c>
      <c r="B19" s="157">
        <v>235.0</v>
      </c>
      <c r="C19" s="158">
        <v>2989.0</v>
      </c>
    </row>
    <row r="20" ht="14.25" customHeight="1">
      <c r="A20" s="156" t="s">
        <v>229</v>
      </c>
      <c r="B20" s="157">
        <v>35.0</v>
      </c>
      <c r="C20" s="158">
        <v>590.0</v>
      </c>
    </row>
    <row r="21" ht="14.25" customHeight="1">
      <c r="A21" s="156" t="s">
        <v>230</v>
      </c>
      <c r="B21" s="157">
        <v>39.0</v>
      </c>
      <c r="C21" s="158">
        <v>1114.0</v>
      </c>
    </row>
    <row r="22" ht="14.25" customHeight="1">
      <c r="A22" s="156" t="s">
        <v>231</v>
      </c>
      <c r="B22" s="157">
        <v>19.0</v>
      </c>
      <c r="C22" s="158">
        <v>440.0</v>
      </c>
    </row>
    <row r="23" ht="14.25" customHeight="1">
      <c r="A23" s="156" t="s">
        <v>232</v>
      </c>
      <c r="B23" s="157">
        <v>0.0</v>
      </c>
      <c r="C23" s="158">
        <v>0.0</v>
      </c>
    </row>
    <row r="24" ht="14.25" customHeight="1">
      <c r="A24" s="156" t="s">
        <v>233</v>
      </c>
      <c r="B24" s="157">
        <v>29.0</v>
      </c>
      <c r="C24" s="158">
        <v>528.0</v>
      </c>
    </row>
    <row r="25" ht="14.25" customHeight="1">
      <c r="A25" s="156" t="s">
        <v>234</v>
      </c>
      <c r="B25" s="159">
        <v>0.0</v>
      </c>
      <c r="C25" s="158">
        <v>0.0</v>
      </c>
    </row>
    <row r="26" ht="14.25" customHeight="1">
      <c r="A26" s="156" t="s">
        <v>235</v>
      </c>
      <c r="B26" s="157">
        <v>14.0</v>
      </c>
      <c r="C26" s="158">
        <v>399.0</v>
      </c>
    </row>
    <row r="27" ht="14.25" customHeight="1">
      <c r="A27" s="156" t="s">
        <v>236</v>
      </c>
      <c r="B27" s="157">
        <v>126.0</v>
      </c>
      <c r="C27" s="158">
        <v>3581.0</v>
      </c>
    </row>
    <row r="28" ht="14.25" customHeight="1">
      <c r="A28" s="156" t="s">
        <v>237</v>
      </c>
      <c r="B28" s="157">
        <v>14.0</v>
      </c>
      <c r="C28" s="158">
        <v>679.0</v>
      </c>
    </row>
    <row r="29" ht="14.25" customHeight="1">
      <c r="A29" s="156" t="s">
        <v>238</v>
      </c>
      <c r="B29" s="157">
        <v>157.0</v>
      </c>
      <c r="C29" s="158">
        <v>676.0</v>
      </c>
    </row>
    <row r="30" ht="14.25" customHeight="1">
      <c r="A30" s="156" t="s">
        <v>239</v>
      </c>
      <c r="B30" s="157">
        <v>10.0</v>
      </c>
      <c r="C30" s="158">
        <v>613.0</v>
      </c>
    </row>
    <row r="31" ht="14.25" customHeight="1">
      <c r="A31" s="156" t="s">
        <v>240</v>
      </c>
      <c r="B31" s="157">
        <v>90.0</v>
      </c>
      <c r="C31" s="158">
        <v>563.0</v>
      </c>
    </row>
    <row r="32" ht="14.25" customHeight="1">
      <c r="A32" s="156" t="s">
        <v>241</v>
      </c>
      <c r="B32" s="157">
        <v>288.0</v>
      </c>
      <c r="C32" s="158">
        <v>1307.0</v>
      </c>
    </row>
    <row r="33" ht="14.25" customHeight="1">
      <c r="A33" s="156" t="s">
        <v>242</v>
      </c>
      <c r="B33" s="157">
        <v>57.0</v>
      </c>
      <c r="C33" s="158">
        <v>653.0</v>
      </c>
    </row>
    <row r="34" ht="14.25" customHeight="1">
      <c r="A34" s="156" t="s">
        <v>243</v>
      </c>
      <c r="B34" s="159">
        <v>0.0</v>
      </c>
      <c r="C34" s="158">
        <v>0.0</v>
      </c>
    </row>
    <row r="35" ht="14.25" customHeight="1">
      <c r="A35" s="156" t="s">
        <v>244</v>
      </c>
      <c r="B35" s="157">
        <v>98.0</v>
      </c>
      <c r="C35" s="158">
        <v>1356.0</v>
      </c>
    </row>
    <row r="36" ht="14.25" customHeight="1">
      <c r="A36" s="156" t="s">
        <v>245</v>
      </c>
      <c r="B36" s="157">
        <v>1742.0</v>
      </c>
      <c r="C36" s="158">
        <v>3696.0</v>
      </c>
    </row>
    <row r="37" ht="14.25" customHeight="1">
      <c r="A37" s="156" t="s">
        <v>246</v>
      </c>
      <c r="B37" s="157">
        <v>573.0</v>
      </c>
      <c r="C37" s="158">
        <v>2288.0</v>
      </c>
    </row>
    <row r="38" ht="14.25" customHeight="1">
      <c r="A38" s="156" t="s">
        <v>247</v>
      </c>
      <c r="B38" s="157">
        <v>1246.0</v>
      </c>
      <c r="C38" s="158">
        <v>6441.0</v>
      </c>
    </row>
    <row r="39" ht="14.25" customHeight="1">
      <c r="A39" s="156" t="s">
        <v>248</v>
      </c>
      <c r="B39" s="157">
        <v>480.0</v>
      </c>
      <c r="C39" s="158">
        <v>1386.0</v>
      </c>
    </row>
    <row r="40" ht="14.25" customHeight="1">
      <c r="A40" s="156" t="s">
        <v>249</v>
      </c>
      <c r="B40" s="157">
        <v>220.0</v>
      </c>
      <c r="C40" s="158">
        <v>1261.0</v>
      </c>
    </row>
    <row r="41" ht="14.25" customHeight="1">
      <c r="A41" s="156" t="s">
        <v>250</v>
      </c>
      <c r="B41" s="157">
        <v>82.0</v>
      </c>
      <c r="C41" s="158">
        <v>478.0</v>
      </c>
    </row>
    <row r="42" ht="14.25" customHeight="1">
      <c r="A42" s="156" t="s">
        <v>251</v>
      </c>
      <c r="B42" s="157">
        <v>0.0</v>
      </c>
      <c r="C42" s="158">
        <v>0.0</v>
      </c>
    </row>
    <row r="43" ht="14.25" customHeight="1">
      <c r="A43" s="156" t="s">
        <v>252</v>
      </c>
      <c r="B43" s="157">
        <v>0.0</v>
      </c>
      <c r="C43" s="158">
        <v>0.0</v>
      </c>
    </row>
    <row r="44" ht="14.25" customHeight="1">
      <c r="A44" s="156" t="s">
        <v>253</v>
      </c>
      <c r="B44" s="157">
        <v>44.0</v>
      </c>
      <c r="C44" s="158">
        <v>738.0</v>
      </c>
    </row>
    <row r="45" ht="14.25" customHeight="1">
      <c r="A45" s="156" t="s">
        <v>254</v>
      </c>
      <c r="B45" s="157">
        <v>0.0</v>
      </c>
      <c r="C45" s="158">
        <v>0.0</v>
      </c>
    </row>
    <row r="46" ht="14.25" customHeight="1">
      <c r="A46" s="156" t="s">
        <v>255</v>
      </c>
      <c r="B46" s="157">
        <v>7.0</v>
      </c>
      <c r="C46" s="158">
        <v>2405.0</v>
      </c>
    </row>
    <row r="47" ht="14.25" customHeight="1">
      <c r="A47" s="156" t="s">
        <v>256</v>
      </c>
      <c r="B47" s="157">
        <v>126.0</v>
      </c>
      <c r="C47" s="158">
        <v>797.0</v>
      </c>
    </row>
    <row r="48" ht="14.25" customHeight="1">
      <c r="A48" s="156" t="s">
        <v>257</v>
      </c>
      <c r="B48" s="157">
        <v>148.0</v>
      </c>
      <c r="C48" s="158">
        <v>721.0</v>
      </c>
    </row>
    <row r="49" ht="14.25" customHeight="1">
      <c r="A49" s="156" t="s">
        <v>258</v>
      </c>
      <c r="B49" s="157">
        <v>15.0</v>
      </c>
      <c r="C49" s="158">
        <v>191.0</v>
      </c>
    </row>
    <row r="50" ht="14.25" customHeight="1">
      <c r="A50" s="156" t="s">
        <v>259</v>
      </c>
      <c r="B50" s="157">
        <v>111.0</v>
      </c>
      <c r="C50" s="158">
        <v>796.0</v>
      </c>
    </row>
    <row r="51" ht="14.25" customHeight="1">
      <c r="A51" s="156" t="s">
        <v>260</v>
      </c>
      <c r="B51" s="157">
        <v>108.0</v>
      </c>
      <c r="C51" s="158">
        <v>1032.0</v>
      </c>
    </row>
    <row r="52" ht="14.25" customHeight="1">
      <c r="A52" s="156" t="s">
        <v>261</v>
      </c>
      <c r="B52" s="157">
        <v>287.0</v>
      </c>
      <c r="C52" s="158">
        <v>989.0</v>
      </c>
    </row>
    <row r="53" ht="14.25" customHeight="1">
      <c r="A53" s="156" t="s">
        <v>262</v>
      </c>
      <c r="B53" s="157">
        <v>212.0</v>
      </c>
      <c r="C53" s="158">
        <v>1106.0</v>
      </c>
    </row>
    <row r="54" ht="14.25" customHeight="1">
      <c r="A54" s="156" t="s">
        <v>263</v>
      </c>
      <c r="B54" s="157">
        <v>409.0</v>
      </c>
      <c r="C54" s="158">
        <v>1496.0</v>
      </c>
    </row>
    <row r="55" ht="14.25" customHeight="1">
      <c r="A55" s="156" t="s">
        <v>264</v>
      </c>
      <c r="B55" s="157">
        <v>92.0</v>
      </c>
      <c r="C55" s="158">
        <v>436.0</v>
      </c>
    </row>
    <row r="56" ht="14.25" customHeight="1">
      <c r="A56" s="156" t="s">
        <v>265</v>
      </c>
      <c r="B56" s="157">
        <v>40.0</v>
      </c>
      <c r="C56" s="158">
        <v>771.0</v>
      </c>
    </row>
    <row r="57" ht="14.25" customHeight="1">
      <c r="A57" s="156" t="s">
        <v>266</v>
      </c>
      <c r="B57" s="157">
        <v>429.0</v>
      </c>
      <c r="C57" s="158">
        <v>1472.0</v>
      </c>
    </row>
    <row r="58" ht="14.25" customHeight="1">
      <c r="A58" s="156" t="s">
        <v>267</v>
      </c>
      <c r="B58" s="157">
        <v>0.0</v>
      </c>
      <c r="C58" s="158">
        <v>0.0</v>
      </c>
    </row>
    <row r="59" ht="14.25" customHeight="1">
      <c r="A59" s="156" t="s">
        <v>268</v>
      </c>
      <c r="B59" s="157">
        <v>857.0</v>
      </c>
      <c r="C59" s="158">
        <v>2063.0</v>
      </c>
    </row>
    <row r="60" ht="14.25" customHeight="1">
      <c r="A60" s="156" t="s">
        <v>269</v>
      </c>
      <c r="B60" s="157">
        <v>158.0</v>
      </c>
      <c r="C60" s="158">
        <v>1310.0</v>
      </c>
    </row>
    <row r="61" ht="14.25" customHeight="1">
      <c r="A61" s="156" t="s">
        <v>270</v>
      </c>
      <c r="B61" s="157">
        <v>19.0</v>
      </c>
      <c r="C61" s="158">
        <v>1156.0</v>
      </c>
    </row>
    <row r="62" ht="14.25" customHeight="1">
      <c r="A62" s="156" t="s">
        <v>271</v>
      </c>
      <c r="B62" s="157">
        <v>245.0</v>
      </c>
      <c r="C62" s="158">
        <v>2324.0</v>
      </c>
    </row>
    <row r="63" ht="14.25" customHeight="1">
      <c r="A63" s="156" t="s">
        <v>272</v>
      </c>
      <c r="B63" s="157">
        <v>1176.0</v>
      </c>
      <c r="C63" s="158">
        <v>3853.0</v>
      </c>
    </row>
    <row r="64" ht="14.25" customHeight="1">
      <c r="A64" s="156" t="s">
        <v>273</v>
      </c>
      <c r="B64" s="157">
        <v>866.0</v>
      </c>
      <c r="C64" s="158">
        <v>3398.0</v>
      </c>
    </row>
    <row r="65" ht="14.25" customHeight="1">
      <c r="A65" s="156" t="s">
        <v>274</v>
      </c>
      <c r="B65" s="157">
        <v>414.0</v>
      </c>
      <c r="C65" s="158">
        <v>1468.0</v>
      </c>
    </row>
    <row r="66" ht="14.25" customHeight="1">
      <c r="A66" s="156" t="s">
        <v>275</v>
      </c>
      <c r="B66" s="157">
        <v>1822.0</v>
      </c>
      <c r="C66" s="158">
        <v>5919.0</v>
      </c>
    </row>
    <row r="67" ht="14.25" customHeight="1">
      <c r="A67" s="156" t="s">
        <v>276</v>
      </c>
      <c r="B67" s="157">
        <v>1881.0</v>
      </c>
      <c r="C67" s="158">
        <v>5009.0</v>
      </c>
    </row>
    <row r="68" ht="14.25" customHeight="1">
      <c r="A68" s="156" t="s">
        <v>277</v>
      </c>
      <c r="B68" s="157">
        <v>2525.0</v>
      </c>
      <c r="C68" s="158">
        <v>6224.0</v>
      </c>
    </row>
    <row r="69" ht="14.25" customHeight="1">
      <c r="A69" s="156" t="s">
        <v>278</v>
      </c>
      <c r="B69" s="157">
        <v>403.0</v>
      </c>
      <c r="C69" s="158">
        <v>1820.0</v>
      </c>
    </row>
    <row r="70" ht="14.25" customHeight="1">
      <c r="A70" s="156" t="s">
        <v>279</v>
      </c>
      <c r="B70" s="157">
        <v>304.0</v>
      </c>
      <c r="C70" s="158">
        <v>1916.0</v>
      </c>
    </row>
    <row r="71" ht="14.25" customHeight="1">
      <c r="A71" s="156" t="s">
        <v>280</v>
      </c>
      <c r="B71" s="157">
        <v>0.0</v>
      </c>
      <c r="C71" s="158">
        <v>0.0</v>
      </c>
    </row>
    <row r="72" ht="14.25" customHeight="1">
      <c r="A72" s="156" t="s">
        <v>281</v>
      </c>
      <c r="B72" s="157">
        <v>535.0</v>
      </c>
      <c r="C72" s="158">
        <v>2476.0</v>
      </c>
    </row>
    <row r="73" ht="14.25" customHeight="1">
      <c r="A73" s="156" t="s">
        <v>282</v>
      </c>
      <c r="B73" s="157">
        <v>264.0</v>
      </c>
      <c r="C73" s="158">
        <v>1586.0</v>
      </c>
    </row>
    <row r="74" ht="14.25" customHeight="1">
      <c r="A74" s="156" t="s">
        <v>283</v>
      </c>
      <c r="B74" s="157">
        <v>99.0</v>
      </c>
      <c r="C74" s="158">
        <v>1091.0</v>
      </c>
    </row>
    <row r="75" ht="14.25" customHeight="1">
      <c r="A75" s="156" t="s">
        <v>284</v>
      </c>
      <c r="B75" s="157">
        <v>137.0</v>
      </c>
      <c r="C75" s="158">
        <v>993.0</v>
      </c>
    </row>
    <row r="76" ht="14.25" customHeight="1">
      <c r="A76" s="156" t="s">
        <v>285</v>
      </c>
      <c r="B76" s="157">
        <v>639.0</v>
      </c>
      <c r="C76" s="158">
        <v>2184.0</v>
      </c>
    </row>
    <row r="77" ht="14.25" customHeight="1">
      <c r="A77" s="156" t="s">
        <v>286</v>
      </c>
      <c r="B77" s="157">
        <v>798.0</v>
      </c>
      <c r="C77" s="158">
        <v>2145.0</v>
      </c>
    </row>
    <row r="78" ht="14.25" customHeight="1">
      <c r="A78" s="156" t="s">
        <v>287</v>
      </c>
      <c r="B78" s="157">
        <v>142.0</v>
      </c>
      <c r="C78" s="158">
        <v>1144.0</v>
      </c>
    </row>
    <row r="79" ht="14.25" customHeight="1">
      <c r="A79" s="160" t="s">
        <v>288</v>
      </c>
      <c r="B79" s="157">
        <v>1167.0</v>
      </c>
      <c r="C79" s="158" t="s">
        <v>30</v>
      </c>
    </row>
    <row r="80" ht="14.25" customHeight="1">
      <c r="A80" s="160" t="s">
        <v>118</v>
      </c>
      <c r="B80" s="157">
        <v>23059.0</v>
      </c>
      <c r="C80" s="158">
        <v>2182.0</v>
      </c>
    </row>
    <row r="81" ht="14.25" customHeight="1">
      <c r="A81" s="161" t="s">
        <v>289</v>
      </c>
    </row>
    <row r="82" ht="14.25" customHeight="1">
      <c r="A82" s="84" t="s">
        <v>290</v>
      </c>
    </row>
    <row r="83" ht="14.25" customHeight="1"/>
    <row r="84" ht="14.25" customHeight="1"/>
    <row r="85" ht="14.25" customHeight="1"/>
    <row r="86" ht="14.25" customHeight="1">
      <c r="A86" s="71" t="s">
        <v>0</v>
      </c>
      <c r="B86" s="85">
        <v>44097.0</v>
      </c>
      <c r="C86" s="162"/>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3" t="s">
        <v>291</v>
      </c>
    </row>
    <row r="2">
      <c r="A2" s="164" t="s">
        <v>292</v>
      </c>
      <c r="B2" s="165"/>
      <c r="C2" s="165"/>
      <c r="D2" s="165"/>
    </row>
    <row r="3">
      <c r="A3" s="166" t="s">
        <v>293</v>
      </c>
      <c r="B3" s="167" t="s">
        <v>294</v>
      </c>
      <c r="C3" s="167" t="s">
        <v>295</v>
      </c>
      <c r="D3" s="168" t="s">
        <v>296</v>
      </c>
    </row>
    <row r="4">
      <c r="A4" s="169" t="s">
        <v>297</v>
      </c>
      <c r="B4" s="98"/>
      <c r="C4" s="98"/>
      <c r="D4" s="35"/>
    </row>
    <row r="5">
      <c r="A5" s="170" t="s">
        <v>298</v>
      </c>
      <c r="B5" s="171" t="s">
        <v>299</v>
      </c>
      <c r="C5" s="172">
        <v>0.0</v>
      </c>
      <c r="D5" s="173">
        <v>0.0</v>
      </c>
    </row>
    <row r="6">
      <c r="A6" s="170" t="s">
        <v>300</v>
      </c>
      <c r="B6" s="171" t="s">
        <v>301</v>
      </c>
      <c r="C6" s="172" t="s">
        <v>302</v>
      </c>
      <c r="D6" s="173" t="s">
        <v>303</v>
      </c>
    </row>
    <row r="7">
      <c r="A7" s="170" t="s">
        <v>304</v>
      </c>
      <c r="B7" s="171" t="s">
        <v>305</v>
      </c>
      <c r="C7" s="172">
        <v>0.0</v>
      </c>
      <c r="D7" s="173" t="s">
        <v>306</v>
      </c>
    </row>
    <row r="8">
      <c r="A8" s="170" t="s">
        <v>307</v>
      </c>
      <c r="B8" s="171" t="s">
        <v>303</v>
      </c>
      <c r="C8" s="172">
        <v>0.0</v>
      </c>
      <c r="D8" s="173" t="s">
        <v>299</v>
      </c>
    </row>
    <row r="9">
      <c r="A9" s="170" t="s">
        <v>308</v>
      </c>
      <c r="B9" s="171" t="s">
        <v>306</v>
      </c>
      <c r="C9" s="172">
        <v>0.0</v>
      </c>
      <c r="D9" s="173" t="s">
        <v>309</v>
      </c>
    </row>
    <row r="10">
      <c r="A10" s="170" t="s">
        <v>310</v>
      </c>
      <c r="B10" s="171" t="s">
        <v>311</v>
      </c>
      <c r="C10" s="172" t="s">
        <v>302</v>
      </c>
      <c r="D10" s="173" t="s">
        <v>312</v>
      </c>
    </row>
    <row r="11">
      <c r="A11" s="170" t="s">
        <v>313</v>
      </c>
      <c r="B11" s="171" t="s">
        <v>309</v>
      </c>
      <c r="C11" s="172">
        <v>0.0</v>
      </c>
      <c r="D11" s="173" t="s">
        <v>302</v>
      </c>
    </row>
    <row r="12">
      <c r="A12" s="170" t="s">
        <v>314</v>
      </c>
      <c r="B12" s="171" t="s">
        <v>303</v>
      </c>
      <c r="C12" s="172" t="s">
        <v>302</v>
      </c>
      <c r="D12" s="173" t="s">
        <v>302</v>
      </c>
    </row>
    <row r="13">
      <c r="A13" s="170" t="s">
        <v>315</v>
      </c>
      <c r="B13" s="171" t="s">
        <v>299</v>
      </c>
      <c r="C13" s="172" t="s">
        <v>302</v>
      </c>
      <c r="D13" s="173">
        <v>0.0</v>
      </c>
    </row>
    <row r="14">
      <c r="A14" s="170" t="s">
        <v>316</v>
      </c>
      <c r="B14" s="171" t="s">
        <v>317</v>
      </c>
      <c r="C14" s="172">
        <v>0.0</v>
      </c>
      <c r="D14" s="173" t="s">
        <v>309</v>
      </c>
    </row>
    <row r="15">
      <c r="A15" s="170" t="s">
        <v>318</v>
      </c>
      <c r="B15" s="171" t="s">
        <v>317</v>
      </c>
      <c r="C15" s="172">
        <v>0.0</v>
      </c>
      <c r="D15" s="173" t="s">
        <v>319</v>
      </c>
    </row>
    <row r="16">
      <c r="A16" s="170" t="s">
        <v>320</v>
      </c>
      <c r="B16" s="171" t="s">
        <v>319</v>
      </c>
      <c r="C16" s="172" t="s">
        <v>309</v>
      </c>
      <c r="D16" s="173" t="s">
        <v>302</v>
      </c>
    </row>
    <row r="17">
      <c r="A17" s="170" t="s">
        <v>321</v>
      </c>
      <c r="B17" s="171" t="s">
        <v>322</v>
      </c>
      <c r="C17" s="172">
        <v>0.0</v>
      </c>
      <c r="D17" s="173" t="s">
        <v>303</v>
      </c>
    </row>
    <row r="18">
      <c r="A18" s="170" t="s">
        <v>323</v>
      </c>
      <c r="B18" s="171" t="s">
        <v>322</v>
      </c>
      <c r="C18" s="172">
        <v>0.0</v>
      </c>
      <c r="D18" s="173" t="s">
        <v>309</v>
      </c>
    </row>
    <row r="19">
      <c r="A19" s="170" t="s">
        <v>324</v>
      </c>
      <c r="B19" s="171" t="s">
        <v>325</v>
      </c>
      <c r="C19" s="172">
        <v>0.0</v>
      </c>
      <c r="D19" s="173" t="s">
        <v>319</v>
      </c>
    </row>
    <row r="20">
      <c r="A20" s="170" t="s">
        <v>326</v>
      </c>
      <c r="B20" s="171" t="s">
        <v>327</v>
      </c>
      <c r="C20" s="172">
        <v>0.0</v>
      </c>
      <c r="D20" s="173" t="s">
        <v>299</v>
      </c>
    </row>
    <row r="21">
      <c r="A21" s="170" t="s">
        <v>328</v>
      </c>
      <c r="B21" s="171" t="s">
        <v>329</v>
      </c>
      <c r="C21" s="172">
        <v>0.0</v>
      </c>
      <c r="D21" s="173" t="s">
        <v>312</v>
      </c>
    </row>
    <row r="22">
      <c r="A22" s="170" t="s">
        <v>330</v>
      </c>
      <c r="B22" s="171" t="s">
        <v>331</v>
      </c>
      <c r="C22" s="172">
        <v>0.0</v>
      </c>
      <c r="D22" s="173" t="s">
        <v>303</v>
      </c>
    </row>
    <row r="23">
      <c r="A23" s="170" t="s">
        <v>332</v>
      </c>
      <c r="B23" s="171" t="s">
        <v>333</v>
      </c>
      <c r="C23" s="172" t="s">
        <v>302</v>
      </c>
      <c r="D23" s="173" t="s">
        <v>306</v>
      </c>
    </row>
    <row r="24">
      <c r="A24" s="170" t="s">
        <v>334</v>
      </c>
      <c r="B24" s="171" t="s">
        <v>335</v>
      </c>
      <c r="C24" s="172">
        <v>0.0</v>
      </c>
      <c r="D24" s="173">
        <v>0.0</v>
      </c>
    </row>
    <row r="25">
      <c r="A25" s="170" t="s">
        <v>336</v>
      </c>
      <c r="B25" s="171" t="s">
        <v>335</v>
      </c>
      <c r="C25" s="172">
        <v>0.0</v>
      </c>
      <c r="D25" s="173" t="s">
        <v>302</v>
      </c>
    </row>
    <row r="26">
      <c r="A26" s="170" t="s">
        <v>337</v>
      </c>
      <c r="B26" s="171" t="s">
        <v>338</v>
      </c>
      <c r="C26" s="172" t="s">
        <v>303</v>
      </c>
      <c r="D26" s="173" t="s">
        <v>302</v>
      </c>
    </row>
    <row r="27">
      <c r="A27" s="170" t="s">
        <v>339</v>
      </c>
      <c r="B27" s="171" t="s">
        <v>317</v>
      </c>
      <c r="C27" s="172">
        <v>0.0</v>
      </c>
      <c r="D27" s="173" t="s">
        <v>312</v>
      </c>
    </row>
    <row r="28">
      <c r="A28" s="170" t="s">
        <v>340</v>
      </c>
      <c r="B28" s="171" t="s">
        <v>335</v>
      </c>
      <c r="C28" s="172">
        <v>0.0</v>
      </c>
      <c r="D28" s="173">
        <v>0.0</v>
      </c>
    </row>
    <row r="29">
      <c r="A29" s="170" t="s">
        <v>341</v>
      </c>
      <c r="B29" s="171" t="s">
        <v>319</v>
      </c>
      <c r="C29" s="172">
        <v>0.0</v>
      </c>
      <c r="D29" s="173" t="s">
        <v>309</v>
      </c>
    </row>
    <row r="30">
      <c r="A30" s="170" t="s">
        <v>342</v>
      </c>
      <c r="B30" s="171" t="s">
        <v>312</v>
      </c>
      <c r="C30" s="172">
        <v>0.0</v>
      </c>
      <c r="D30" s="173" t="s">
        <v>302</v>
      </c>
    </row>
    <row r="31">
      <c r="A31" s="170" t="s">
        <v>343</v>
      </c>
      <c r="B31" s="171" t="s">
        <v>335</v>
      </c>
      <c r="C31" s="172">
        <v>0.0</v>
      </c>
      <c r="D31" s="173">
        <v>0.0</v>
      </c>
    </row>
    <row r="32">
      <c r="A32" s="170" t="s">
        <v>344</v>
      </c>
      <c r="B32" s="171" t="s">
        <v>335</v>
      </c>
      <c r="C32" s="172">
        <v>0.0</v>
      </c>
      <c r="D32" s="173">
        <v>0.0</v>
      </c>
    </row>
    <row r="33">
      <c r="A33" s="170" t="s">
        <v>345</v>
      </c>
      <c r="B33" s="171" t="s">
        <v>299</v>
      </c>
      <c r="C33" s="172">
        <v>0.0</v>
      </c>
      <c r="D33" s="173">
        <v>0.0</v>
      </c>
    </row>
    <row r="34">
      <c r="A34" s="170" t="s">
        <v>346</v>
      </c>
      <c r="B34" s="171" t="s">
        <v>347</v>
      </c>
      <c r="C34" s="172">
        <v>0.0</v>
      </c>
      <c r="D34" s="173" t="s">
        <v>319</v>
      </c>
    </row>
    <row r="35">
      <c r="A35" s="170" t="s">
        <v>348</v>
      </c>
      <c r="B35" s="171" t="s">
        <v>349</v>
      </c>
      <c r="C35" s="172">
        <v>0.0</v>
      </c>
      <c r="D35" s="173" t="s">
        <v>312</v>
      </c>
    </row>
    <row r="36">
      <c r="A36" s="170" t="s">
        <v>350</v>
      </c>
      <c r="B36" s="171" t="s">
        <v>319</v>
      </c>
      <c r="C36" s="172">
        <v>0.0</v>
      </c>
      <c r="D36" s="173" t="s">
        <v>302</v>
      </c>
    </row>
    <row r="37">
      <c r="A37" s="170" t="s">
        <v>351</v>
      </c>
      <c r="B37" s="171" t="s">
        <v>306</v>
      </c>
      <c r="C37" s="172">
        <v>0.0</v>
      </c>
      <c r="D37" s="173" t="s">
        <v>309</v>
      </c>
    </row>
    <row r="38">
      <c r="A38" s="170" t="s">
        <v>352</v>
      </c>
      <c r="B38" s="171" t="s">
        <v>319</v>
      </c>
      <c r="C38" s="172">
        <v>0.0</v>
      </c>
      <c r="D38" s="173" t="s">
        <v>299</v>
      </c>
    </row>
    <row r="39">
      <c r="A39" s="170" t="s">
        <v>353</v>
      </c>
      <c r="B39" s="171" t="s">
        <v>317</v>
      </c>
      <c r="C39" s="172">
        <v>0.0</v>
      </c>
      <c r="D39" s="173" t="s">
        <v>312</v>
      </c>
    </row>
    <row r="40">
      <c r="A40" s="170" t="s">
        <v>354</v>
      </c>
      <c r="B40" s="171" t="s">
        <v>325</v>
      </c>
      <c r="C40" s="172">
        <v>0.0</v>
      </c>
      <c r="D40" s="173" t="s">
        <v>319</v>
      </c>
    </row>
    <row r="41">
      <c r="A41" s="170" t="s">
        <v>355</v>
      </c>
      <c r="B41" s="171" t="s">
        <v>317</v>
      </c>
      <c r="C41" s="172">
        <v>0.0</v>
      </c>
      <c r="D41" s="173" t="s">
        <v>312</v>
      </c>
    </row>
    <row r="42">
      <c r="A42" s="170" t="s">
        <v>356</v>
      </c>
      <c r="B42" s="171" t="s">
        <v>357</v>
      </c>
      <c r="C42" s="172">
        <v>0.0</v>
      </c>
      <c r="D42" s="173" t="s">
        <v>327</v>
      </c>
    </row>
    <row r="43">
      <c r="A43" s="170" t="s">
        <v>358</v>
      </c>
      <c r="B43" s="171" t="s">
        <v>327</v>
      </c>
      <c r="C43" s="172">
        <v>0.0</v>
      </c>
      <c r="D43" s="173" t="s">
        <v>299</v>
      </c>
    </row>
    <row r="44">
      <c r="A44" s="170" t="s">
        <v>359</v>
      </c>
      <c r="B44" s="171" t="s">
        <v>312</v>
      </c>
      <c r="C44" s="172">
        <v>0.0</v>
      </c>
      <c r="D44" s="173" t="s">
        <v>299</v>
      </c>
    </row>
    <row r="45">
      <c r="A45" s="170" t="s">
        <v>360</v>
      </c>
      <c r="B45" s="171" t="s">
        <v>333</v>
      </c>
      <c r="C45" s="172" t="s">
        <v>303</v>
      </c>
      <c r="D45" s="173" t="s">
        <v>309</v>
      </c>
    </row>
    <row r="46">
      <c r="A46" s="170" t="s">
        <v>361</v>
      </c>
      <c r="B46" s="171" t="s">
        <v>335</v>
      </c>
      <c r="C46" s="172" t="s">
        <v>302</v>
      </c>
      <c r="D46" s="173">
        <v>0.0</v>
      </c>
    </row>
    <row r="47">
      <c r="A47" s="170" t="s">
        <v>362</v>
      </c>
      <c r="B47" s="171" t="s">
        <v>363</v>
      </c>
      <c r="C47" s="172">
        <v>0.0</v>
      </c>
      <c r="D47" s="173" t="s">
        <v>312</v>
      </c>
    </row>
    <row r="48">
      <c r="A48" s="170" t="s">
        <v>364</v>
      </c>
      <c r="B48" s="171" t="s">
        <v>335</v>
      </c>
      <c r="C48" s="172">
        <v>0.0</v>
      </c>
      <c r="D48" s="173">
        <v>0.0</v>
      </c>
    </row>
    <row r="49">
      <c r="A49" s="170" t="s">
        <v>365</v>
      </c>
      <c r="B49" s="171" t="s">
        <v>309</v>
      </c>
      <c r="C49" s="172">
        <v>0.0</v>
      </c>
      <c r="D49" s="173" t="s">
        <v>302</v>
      </c>
    </row>
    <row r="50">
      <c r="A50" s="170" t="s">
        <v>366</v>
      </c>
      <c r="B50" s="171" t="s">
        <v>311</v>
      </c>
      <c r="C50" s="172">
        <v>0.0</v>
      </c>
      <c r="D50" s="173" t="s">
        <v>312</v>
      </c>
    </row>
    <row r="51">
      <c r="A51" s="174" t="s">
        <v>367</v>
      </c>
      <c r="B51" s="175" t="s">
        <v>303</v>
      </c>
      <c r="C51" s="175" t="s">
        <v>309</v>
      </c>
      <c r="D51" s="175" t="s">
        <v>302</v>
      </c>
    </row>
    <row r="52">
      <c r="A52" s="170" t="s">
        <v>368</v>
      </c>
      <c r="B52" s="171" t="s">
        <v>335</v>
      </c>
      <c r="C52" s="172">
        <v>0.0</v>
      </c>
      <c r="D52" s="173">
        <v>0.0</v>
      </c>
    </row>
    <row r="53">
      <c r="A53" s="170" t="s">
        <v>369</v>
      </c>
      <c r="B53" s="171" t="s">
        <v>325</v>
      </c>
      <c r="C53" s="172">
        <v>0.0</v>
      </c>
      <c r="D53" s="173" t="s">
        <v>319</v>
      </c>
    </row>
    <row r="54">
      <c r="A54" s="170" t="s">
        <v>370</v>
      </c>
      <c r="B54" s="171" t="s">
        <v>312</v>
      </c>
      <c r="C54" s="172">
        <v>0.0</v>
      </c>
      <c r="D54" s="173" t="s">
        <v>299</v>
      </c>
    </row>
    <row r="55">
      <c r="A55" s="170" t="s">
        <v>371</v>
      </c>
      <c r="B55" s="171" t="s">
        <v>317</v>
      </c>
      <c r="C55" s="172">
        <v>0.0</v>
      </c>
      <c r="D55" s="173" t="s">
        <v>319</v>
      </c>
    </row>
    <row r="56">
      <c r="A56" s="170" t="s">
        <v>372</v>
      </c>
      <c r="B56" s="171" t="s">
        <v>331</v>
      </c>
      <c r="C56" s="172">
        <v>0.0</v>
      </c>
      <c r="D56" s="173" t="s">
        <v>312</v>
      </c>
    </row>
    <row r="57">
      <c r="A57" s="170" t="s">
        <v>373</v>
      </c>
      <c r="B57" s="171" t="s">
        <v>349</v>
      </c>
      <c r="C57" s="172">
        <v>0.0</v>
      </c>
      <c r="D57" s="173" t="s">
        <v>338</v>
      </c>
    </row>
    <row r="58">
      <c r="A58" s="170" t="s">
        <v>374</v>
      </c>
      <c r="B58" s="171" t="s">
        <v>312</v>
      </c>
      <c r="C58" s="172">
        <v>0.0</v>
      </c>
      <c r="D58" s="173" t="s">
        <v>302</v>
      </c>
    </row>
    <row r="59">
      <c r="A59" s="170" t="s">
        <v>375</v>
      </c>
      <c r="B59" s="171" t="s">
        <v>335</v>
      </c>
      <c r="C59" s="172">
        <v>0.0</v>
      </c>
      <c r="D59" s="173">
        <v>0.0</v>
      </c>
    </row>
    <row r="60">
      <c r="A60" s="170" t="s">
        <v>376</v>
      </c>
      <c r="B60" s="171" t="s">
        <v>327</v>
      </c>
      <c r="C60" s="172">
        <v>0.0</v>
      </c>
      <c r="D60" s="173" t="s">
        <v>309</v>
      </c>
    </row>
    <row r="61">
      <c r="A61" s="170" t="s">
        <v>377</v>
      </c>
      <c r="B61" s="171" t="s">
        <v>329</v>
      </c>
      <c r="C61" s="172">
        <v>0.0</v>
      </c>
      <c r="D61" s="173" t="s">
        <v>327</v>
      </c>
    </row>
    <row r="62">
      <c r="A62" s="170" t="s">
        <v>378</v>
      </c>
      <c r="B62" s="171" t="s">
        <v>363</v>
      </c>
      <c r="C62" s="172">
        <v>0.0</v>
      </c>
      <c r="D62" s="173" t="s">
        <v>303</v>
      </c>
    </row>
    <row r="63">
      <c r="A63" s="170" t="s">
        <v>379</v>
      </c>
      <c r="B63" s="171" t="s">
        <v>301</v>
      </c>
      <c r="C63" s="172">
        <v>0.0</v>
      </c>
      <c r="D63" s="173" t="s">
        <v>312</v>
      </c>
    </row>
    <row r="64">
      <c r="A64" s="176" t="s">
        <v>380</v>
      </c>
      <c r="B64" s="177" t="s">
        <v>381</v>
      </c>
      <c r="C64" s="178" t="s">
        <v>311</v>
      </c>
      <c r="D64" s="179" t="s">
        <v>382</v>
      </c>
    </row>
    <row r="65">
      <c r="A65" s="169" t="s">
        <v>383</v>
      </c>
      <c r="B65" s="98"/>
      <c r="C65" s="98"/>
      <c r="D65" s="35"/>
    </row>
    <row r="66">
      <c r="A66" s="180" t="s">
        <v>384</v>
      </c>
      <c r="B66" s="181" t="s">
        <v>299</v>
      </c>
      <c r="C66" s="182">
        <v>0.0</v>
      </c>
      <c r="D66" s="183" t="s">
        <v>302</v>
      </c>
    </row>
    <row r="67">
      <c r="A67" s="170" t="s">
        <v>385</v>
      </c>
      <c r="B67" s="171" t="s">
        <v>335</v>
      </c>
      <c r="C67" s="172">
        <v>0.0</v>
      </c>
      <c r="D67" s="173">
        <v>0.0</v>
      </c>
    </row>
    <row r="68">
      <c r="A68" s="170" t="s">
        <v>386</v>
      </c>
      <c r="B68" s="171" t="s">
        <v>335</v>
      </c>
      <c r="C68" s="172" t="s">
        <v>302</v>
      </c>
      <c r="D68" s="173">
        <v>0.0</v>
      </c>
    </row>
    <row r="69">
      <c r="A69" s="170" t="s">
        <v>387</v>
      </c>
      <c r="B69" s="171" t="s">
        <v>335</v>
      </c>
      <c r="C69" s="172">
        <v>0.0</v>
      </c>
      <c r="D69" s="173" t="s">
        <v>302</v>
      </c>
    </row>
    <row r="70">
      <c r="A70" s="170" t="s">
        <v>388</v>
      </c>
      <c r="B70" s="171" t="s">
        <v>312</v>
      </c>
      <c r="C70" s="172">
        <v>0.0</v>
      </c>
      <c r="D70" s="184" t="s">
        <v>299</v>
      </c>
    </row>
    <row r="71">
      <c r="A71" s="185" t="s">
        <v>389</v>
      </c>
      <c r="B71" s="171" t="s">
        <v>390</v>
      </c>
      <c r="C71" s="172">
        <v>0.0</v>
      </c>
      <c r="D71" s="173" t="s">
        <v>309</v>
      </c>
    </row>
    <row r="72">
      <c r="A72" s="170" t="s">
        <v>391</v>
      </c>
      <c r="B72" s="171" t="s">
        <v>306</v>
      </c>
      <c r="C72" s="172">
        <v>0.0</v>
      </c>
      <c r="D72" s="173" t="s">
        <v>299</v>
      </c>
    </row>
    <row r="73">
      <c r="A73" s="170" t="s">
        <v>392</v>
      </c>
      <c r="B73" s="171" t="s">
        <v>303</v>
      </c>
      <c r="C73" s="172">
        <v>0.0</v>
      </c>
      <c r="D73" s="173" t="s">
        <v>302</v>
      </c>
    </row>
    <row r="74">
      <c r="A74" s="170" t="s">
        <v>393</v>
      </c>
      <c r="B74" s="171" t="s">
        <v>309</v>
      </c>
      <c r="C74" s="172">
        <v>0.0</v>
      </c>
      <c r="D74" s="173" t="s">
        <v>302</v>
      </c>
    </row>
    <row r="75">
      <c r="A75" s="170" t="s">
        <v>394</v>
      </c>
      <c r="B75" s="171" t="s">
        <v>303</v>
      </c>
      <c r="C75" s="172">
        <v>0.0</v>
      </c>
      <c r="D75" s="173" t="s">
        <v>302</v>
      </c>
    </row>
    <row r="76">
      <c r="A76" s="170" t="s">
        <v>395</v>
      </c>
      <c r="B76" s="171" t="s">
        <v>299</v>
      </c>
      <c r="C76" s="172" t="s">
        <v>302</v>
      </c>
      <c r="D76" s="173" t="s">
        <v>302</v>
      </c>
    </row>
    <row r="77">
      <c r="A77" s="185" t="s">
        <v>396</v>
      </c>
      <c r="B77" s="171" t="s">
        <v>322</v>
      </c>
      <c r="C77" s="172" t="s">
        <v>319</v>
      </c>
      <c r="D77" s="173" t="s">
        <v>302</v>
      </c>
    </row>
    <row r="78">
      <c r="A78" s="185" t="s">
        <v>397</v>
      </c>
      <c r="B78" s="171" t="s">
        <v>312</v>
      </c>
      <c r="C78" s="172">
        <v>0.0</v>
      </c>
      <c r="D78" s="173" t="s">
        <v>309</v>
      </c>
    </row>
    <row r="79">
      <c r="A79" s="185" t="s">
        <v>398</v>
      </c>
      <c r="B79" s="171" t="s">
        <v>303</v>
      </c>
      <c r="C79" s="172">
        <v>0.0</v>
      </c>
      <c r="D79" s="173" t="s">
        <v>302</v>
      </c>
    </row>
    <row r="80">
      <c r="A80" s="176" t="s">
        <v>380</v>
      </c>
      <c r="B80" s="177" t="s">
        <v>399</v>
      </c>
      <c r="C80" s="178" t="s">
        <v>319</v>
      </c>
      <c r="D80" s="179" t="s">
        <v>331</v>
      </c>
    </row>
    <row r="81" ht="45.0" customHeight="1">
      <c r="A81" s="186" t="s">
        <v>400</v>
      </c>
      <c r="B81" s="187"/>
      <c r="C81" s="187"/>
      <c r="D81" s="187"/>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5"/>
    <col customWidth="1" min="2" max="2" width="41.63"/>
    <col customWidth="1" min="3" max="3" width="19.38"/>
    <col customWidth="1" min="4" max="4" width="19.75"/>
  </cols>
  <sheetData>
    <row r="1">
      <c r="A1" s="188" t="s">
        <v>401</v>
      </c>
      <c r="B1" s="98"/>
      <c r="C1" s="98"/>
      <c r="D1" s="35"/>
      <c r="E1" s="88"/>
    </row>
    <row r="2">
      <c r="A2" s="189" t="s">
        <v>402</v>
      </c>
      <c r="B2" s="98"/>
      <c r="C2" s="98"/>
      <c r="D2" s="35"/>
      <c r="E2" s="88"/>
    </row>
    <row r="3" ht="29.25" customHeight="1">
      <c r="A3" s="190" t="s">
        <v>403</v>
      </c>
      <c r="B3" s="191" t="s">
        <v>404</v>
      </c>
      <c r="C3" s="192" t="s">
        <v>405</v>
      </c>
      <c r="D3" s="193" t="s">
        <v>406</v>
      </c>
      <c r="E3" s="194"/>
    </row>
    <row r="4">
      <c r="A4" s="195" t="s">
        <v>407</v>
      </c>
      <c r="B4" s="196"/>
      <c r="C4" s="196"/>
      <c r="D4" s="197"/>
      <c r="E4" s="194"/>
    </row>
    <row r="5">
      <c r="A5" s="198" t="s">
        <v>408</v>
      </c>
      <c r="B5" s="199" t="s">
        <v>81</v>
      </c>
      <c r="C5" s="200" t="s">
        <v>302</v>
      </c>
      <c r="D5" s="200" t="s">
        <v>302</v>
      </c>
      <c r="E5" s="88"/>
    </row>
    <row r="6">
      <c r="A6" s="198" t="s">
        <v>409</v>
      </c>
      <c r="B6" s="199" t="s">
        <v>410</v>
      </c>
      <c r="C6" s="200" t="s">
        <v>299</v>
      </c>
      <c r="D6" s="200" t="s">
        <v>299</v>
      </c>
      <c r="E6" s="88"/>
    </row>
    <row r="7">
      <c r="A7" s="198" t="s">
        <v>411</v>
      </c>
      <c r="B7" s="199" t="s">
        <v>84</v>
      </c>
      <c r="C7" s="200" t="s">
        <v>302</v>
      </c>
      <c r="D7" s="200" t="s">
        <v>302</v>
      </c>
      <c r="E7" s="88"/>
    </row>
    <row r="8">
      <c r="A8" s="198" t="s">
        <v>412</v>
      </c>
      <c r="B8" s="199" t="s">
        <v>88</v>
      </c>
      <c r="C8" s="200" t="s">
        <v>302</v>
      </c>
      <c r="D8" s="200" t="s">
        <v>302</v>
      </c>
      <c r="E8" s="88"/>
    </row>
    <row r="9">
      <c r="A9" s="198" t="s">
        <v>413</v>
      </c>
      <c r="B9" s="199" t="s">
        <v>88</v>
      </c>
      <c r="C9" s="200" t="s">
        <v>302</v>
      </c>
      <c r="D9" s="200" t="s">
        <v>302</v>
      </c>
      <c r="E9" s="88"/>
    </row>
    <row r="10">
      <c r="A10" s="198" t="s">
        <v>414</v>
      </c>
      <c r="B10" s="199" t="s">
        <v>415</v>
      </c>
      <c r="C10" s="200" t="s">
        <v>302</v>
      </c>
      <c r="D10" s="200" t="s">
        <v>302</v>
      </c>
      <c r="E10" s="88"/>
    </row>
    <row r="11">
      <c r="A11" s="198" t="s">
        <v>416</v>
      </c>
      <c r="B11" s="199" t="s">
        <v>417</v>
      </c>
      <c r="C11" s="200" t="s">
        <v>302</v>
      </c>
      <c r="D11" s="200" t="s">
        <v>302</v>
      </c>
      <c r="E11" s="88"/>
    </row>
    <row r="12">
      <c r="A12" s="198" t="s">
        <v>418</v>
      </c>
      <c r="B12" s="199" t="s">
        <v>94</v>
      </c>
      <c r="C12" s="200" t="s">
        <v>302</v>
      </c>
      <c r="D12" s="200" t="s">
        <v>302</v>
      </c>
      <c r="E12" s="88"/>
    </row>
    <row r="13">
      <c r="A13" s="198" t="s">
        <v>419</v>
      </c>
      <c r="B13" s="199" t="s">
        <v>94</v>
      </c>
      <c r="C13" s="200" t="s">
        <v>302</v>
      </c>
      <c r="D13" s="200" t="s">
        <v>302</v>
      </c>
      <c r="E13" s="88"/>
    </row>
    <row r="14">
      <c r="A14" s="198" t="s">
        <v>420</v>
      </c>
      <c r="B14" s="199" t="s">
        <v>94</v>
      </c>
      <c r="C14" s="200" t="s">
        <v>302</v>
      </c>
      <c r="D14" s="200" t="s">
        <v>302</v>
      </c>
      <c r="E14" s="88"/>
    </row>
    <row r="15">
      <c r="A15" s="198" t="s">
        <v>421</v>
      </c>
      <c r="B15" s="199" t="s">
        <v>422</v>
      </c>
      <c r="C15" s="200" t="s">
        <v>302</v>
      </c>
      <c r="D15" s="200" t="s">
        <v>302</v>
      </c>
      <c r="E15" s="88"/>
    </row>
    <row r="16">
      <c r="A16" s="198" t="s">
        <v>423</v>
      </c>
      <c r="B16" s="199" t="s">
        <v>422</v>
      </c>
      <c r="C16" s="200" t="s">
        <v>302</v>
      </c>
      <c r="D16" s="200" t="s">
        <v>302</v>
      </c>
      <c r="E16" s="88"/>
    </row>
    <row r="17">
      <c r="A17" s="198" t="s">
        <v>424</v>
      </c>
      <c r="B17" s="199" t="s">
        <v>422</v>
      </c>
      <c r="C17" s="200" t="s">
        <v>302</v>
      </c>
      <c r="D17" s="200" t="s">
        <v>302</v>
      </c>
      <c r="E17" s="88"/>
    </row>
    <row r="18">
      <c r="A18" s="198" t="s">
        <v>425</v>
      </c>
      <c r="B18" s="199" t="s">
        <v>422</v>
      </c>
      <c r="C18" s="200" t="s">
        <v>302</v>
      </c>
      <c r="D18" s="200" t="s">
        <v>302</v>
      </c>
      <c r="E18" s="88"/>
    </row>
    <row r="19">
      <c r="A19" s="198" t="s">
        <v>426</v>
      </c>
      <c r="B19" s="199" t="s">
        <v>106</v>
      </c>
      <c r="C19" s="200" t="s">
        <v>302</v>
      </c>
      <c r="D19" s="200" t="s">
        <v>302</v>
      </c>
      <c r="E19" s="88"/>
    </row>
    <row r="20">
      <c r="A20" s="198" t="s">
        <v>427</v>
      </c>
      <c r="B20" s="199" t="s">
        <v>106</v>
      </c>
      <c r="C20" s="200" t="s">
        <v>302</v>
      </c>
      <c r="D20" s="200" t="s">
        <v>302</v>
      </c>
      <c r="E20" s="88"/>
    </row>
    <row r="21">
      <c r="A21" s="198" t="s">
        <v>428</v>
      </c>
      <c r="B21" s="199" t="s">
        <v>106</v>
      </c>
      <c r="C21" s="200" t="s">
        <v>302</v>
      </c>
      <c r="D21" s="200" t="s">
        <v>302</v>
      </c>
      <c r="E21" s="88"/>
    </row>
    <row r="22">
      <c r="A22" s="198" t="s">
        <v>429</v>
      </c>
      <c r="B22" s="199" t="s">
        <v>106</v>
      </c>
      <c r="C22" s="200" t="s">
        <v>302</v>
      </c>
      <c r="D22" s="200" t="s">
        <v>302</v>
      </c>
      <c r="E22" s="88"/>
    </row>
    <row r="23">
      <c r="A23" s="198" t="s">
        <v>430</v>
      </c>
      <c r="B23" s="199" t="s">
        <v>431</v>
      </c>
      <c r="C23" s="200" t="s">
        <v>302</v>
      </c>
      <c r="D23" s="200" t="s">
        <v>302</v>
      </c>
      <c r="E23" s="88"/>
    </row>
    <row r="24">
      <c r="A24" s="201"/>
      <c r="B24" s="202" t="s">
        <v>432</v>
      </c>
      <c r="C24" s="203" t="s">
        <v>338</v>
      </c>
      <c r="D24" s="203" t="s">
        <v>338</v>
      </c>
      <c r="E24" s="88"/>
    </row>
    <row r="25">
      <c r="A25" s="204" t="s">
        <v>433</v>
      </c>
      <c r="B25" s="98"/>
      <c r="C25" s="98"/>
      <c r="D25" s="35"/>
      <c r="E25" s="88"/>
    </row>
    <row r="26">
      <c r="A26" s="198" t="s">
        <v>434</v>
      </c>
      <c r="B26" s="199" t="s">
        <v>79</v>
      </c>
      <c r="C26" s="200" t="s">
        <v>302</v>
      </c>
      <c r="D26" s="200" t="s">
        <v>302</v>
      </c>
      <c r="E26" s="88"/>
    </row>
    <row r="27">
      <c r="A27" s="198" t="s">
        <v>435</v>
      </c>
      <c r="B27" s="199" t="s">
        <v>436</v>
      </c>
      <c r="C27" s="200" t="s">
        <v>302</v>
      </c>
      <c r="D27" s="200" t="s">
        <v>302</v>
      </c>
      <c r="E27" s="88"/>
    </row>
    <row r="28">
      <c r="A28" s="198" t="s">
        <v>437</v>
      </c>
      <c r="B28" s="199" t="s">
        <v>410</v>
      </c>
      <c r="C28" s="200" t="s">
        <v>302</v>
      </c>
      <c r="D28" s="200" t="s">
        <v>302</v>
      </c>
      <c r="E28" s="88"/>
    </row>
    <row r="29">
      <c r="A29" s="198" t="s">
        <v>438</v>
      </c>
      <c r="B29" s="199" t="s">
        <v>82</v>
      </c>
      <c r="C29" s="200" t="s">
        <v>302</v>
      </c>
      <c r="D29" s="200" t="s">
        <v>302</v>
      </c>
      <c r="E29" s="88"/>
    </row>
    <row r="30">
      <c r="A30" s="198" t="s">
        <v>439</v>
      </c>
      <c r="B30" s="199" t="s">
        <v>84</v>
      </c>
      <c r="C30" s="200" t="s">
        <v>302</v>
      </c>
      <c r="D30" s="200" t="s">
        <v>302</v>
      </c>
      <c r="E30" s="88"/>
    </row>
    <row r="31">
      <c r="A31" s="198" t="s">
        <v>440</v>
      </c>
      <c r="B31" s="199" t="s">
        <v>84</v>
      </c>
      <c r="C31" s="200" t="s">
        <v>302</v>
      </c>
      <c r="D31" s="200" t="s">
        <v>302</v>
      </c>
      <c r="E31" s="88"/>
    </row>
    <row r="32">
      <c r="A32" s="198" t="s">
        <v>441</v>
      </c>
      <c r="B32" s="199" t="s">
        <v>85</v>
      </c>
      <c r="C32" s="200" t="s">
        <v>302</v>
      </c>
      <c r="D32" s="200" t="s">
        <v>302</v>
      </c>
      <c r="E32" s="88"/>
    </row>
    <row r="33">
      <c r="A33" s="198" t="s">
        <v>442</v>
      </c>
      <c r="B33" s="199" t="s">
        <v>85</v>
      </c>
      <c r="C33" s="200" t="s">
        <v>302</v>
      </c>
      <c r="D33" s="200" t="s">
        <v>302</v>
      </c>
      <c r="E33" s="88"/>
    </row>
    <row r="34">
      <c r="A34" s="198" t="s">
        <v>443</v>
      </c>
      <c r="B34" s="199" t="s">
        <v>85</v>
      </c>
      <c r="C34" s="200" t="s">
        <v>302</v>
      </c>
      <c r="D34" s="200" t="s">
        <v>302</v>
      </c>
      <c r="E34" s="88"/>
    </row>
    <row r="35">
      <c r="A35" s="198" t="s">
        <v>444</v>
      </c>
      <c r="B35" s="199" t="s">
        <v>85</v>
      </c>
      <c r="C35" s="200" t="s">
        <v>302</v>
      </c>
      <c r="D35" s="200" t="s">
        <v>302</v>
      </c>
      <c r="E35" s="88"/>
    </row>
    <row r="36">
      <c r="A36" s="198" t="s">
        <v>445</v>
      </c>
      <c r="B36" s="199" t="s">
        <v>86</v>
      </c>
      <c r="C36" s="200" t="s">
        <v>302</v>
      </c>
      <c r="D36" s="200" t="s">
        <v>302</v>
      </c>
      <c r="E36" s="88"/>
    </row>
    <row r="37">
      <c r="A37" s="198" t="s">
        <v>446</v>
      </c>
      <c r="B37" s="199" t="s">
        <v>86</v>
      </c>
      <c r="C37" s="200" t="s">
        <v>302</v>
      </c>
      <c r="D37" s="200" t="s">
        <v>302</v>
      </c>
      <c r="E37" s="88"/>
    </row>
    <row r="38">
      <c r="A38" s="198" t="s">
        <v>447</v>
      </c>
      <c r="B38" s="199" t="s">
        <v>94</v>
      </c>
      <c r="C38" s="200" t="s">
        <v>302</v>
      </c>
      <c r="D38" s="200" t="s">
        <v>302</v>
      </c>
      <c r="E38" s="88"/>
    </row>
    <row r="39">
      <c r="A39" s="198" t="s">
        <v>418</v>
      </c>
      <c r="B39" s="199" t="s">
        <v>94</v>
      </c>
      <c r="C39" s="200" t="s">
        <v>302</v>
      </c>
      <c r="D39" s="200" t="s">
        <v>302</v>
      </c>
      <c r="E39" s="88"/>
    </row>
    <row r="40">
      <c r="A40" s="198" t="s">
        <v>419</v>
      </c>
      <c r="B40" s="199" t="s">
        <v>94</v>
      </c>
      <c r="C40" s="200" t="s">
        <v>302</v>
      </c>
      <c r="D40" s="200" t="s">
        <v>302</v>
      </c>
      <c r="E40" s="88"/>
    </row>
    <row r="41">
      <c r="A41" s="198" t="s">
        <v>448</v>
      </c>
      <c r="B41" s="199" t="s">
        <v>449</v>
      </c>
      <c r="C41" s="200" t="s">
        <v>302</v>
      </c>
      <c r="D41" s="200" t="s">
        <v>302</v>
      </c>
      <c r="E41" s="88"/>
    </row>
    <row r="42">
      <c r="A42" s="198" t="s">
        <v>450</v>
      </c>
      <c r="B42" s="199" t="s">
        <v>104</v>
      </c>
      <c r="C42" s="200" t="s">
        <v>302</v>
      </c>
      <c r="D42" s="200" t="s">
        <v>302</v>
      </c>
      <c r="E42" s="88"/>
    </row>
    <row r="43">
      <c r="A43" s="198" t="s">
        <v>451</v>
      </c>
      <c r="B43" s="199" t="s">
        <v>104</v>
      </c>
      <c r="C43" s="200" t="s">
        <v>302</v>
      </c>
      <c r="D43" s="200" t="s">
        <v>302</v>
      </c>
      <c r="E43" s="88"/>
    </row>
    <row r="44">
      <c r="A44" s="198" t="s">
        <v>452</v>
      </c>
      <c r="B44" s="199" t="s">
        <v>104</v>
      </c>
      <c r="C44" s="200" t="s">
        <v>302</v>
      </c>
      <c r="D44" s="200" t="s">
        <v>302</v>
      </c>
      <c r="E44" s="88"/>
    </row>
    <row r="45">
      <c r="A45" s="198" t="s">
        <v>453</v>
      </c>
      <c r="B45" s="199" t="s">
        <v>104</v>
      </c>
      <c r="C45" s="200" t="s">
        <v>302</v>
      </c>
      <c r="D45" s="200" t="s">
        <v>302</v>
      </c>
      <c r="E45" s="88"/>
    </row>
    <row r="46">
      <c r="A46" s="198" t="s">
        <v>454</v>
      </c>
      <c r="B46" s="199" t="s">
        <v>422</v>
      </c>
      <c r="C46" s="200" t="s">
        <v>302</v>
      </c>
      <c r="D46" s="200" t="s">
        <v>302</v>
      </c>
      <c r="E46" s="88"/>
    </row>
    <row r="47">
      <c r="A47" s="198" t="s">
        <v>455</v>
      </c>
      <c r="B47" s="199" t="s">
        <v>422</v>
      </c>
      <c r="C47" s="200" t="s">
        <v>302</v>
      </c>
      <c r="D47" s="200" t="s">
        <v>302</v>
      </c>
      <c r="E47" s="88"/>
    </row>
    <row r="48">
      <c r="A48" s="198" t="s">
        <v>456</v>
      </c>
      <c r="B48" s="199" t="s">
        <v>106</v>
      </c>
      <c r="C48" s="200" t="s">
        <v>302</v>
      </c>
      <c r="D48" s="200" t="s">
        <v>302</v>
      </c>
      <c r="E48" s="88"/>
    </row>
    <row r="49">
      <c r="A49" s="198" t="s">
        <v>457</v>
      </c>
      <c r="B49" s="199" t="s">
        <v>106</v>
      </c>
      <c r="C49" s="200" t="s">
        <v>302</v>
      </c>
      <c r="D49" s="200" t="s">
        <v>302</v>
      </c>
      <c r="E49" s="88"/>
    </row>
    <row r="50">
      <c r="A50" s="198" t="s">
        <v>458</v>
      </c>
      <c r="B50" s="199" t="s">
        <v>106</v>
      </c>
      <c r="C50" s="200" t="s">
        <v>302</v>
      </c>
      <c r="D50" s="200" t="s">
        <v>302</v>
      </c>
      <c r="E50" s="88"/>
    </row>
    <row r="51">
      <c r="A51" s="198" t="s">
        <v>459</v>
      </c>
      <c r="B51" s="199" t="s">
        <v>106</v>
      </c>
      <c r="C51" s="200" t="s">
        <v>302</v>
      </c>
      <c r="D51" s="200" t="s">
        <v>302</v>
      </c>
      <c r="E51" s="88"/>
    </row>
    <row r="52">
      <c r="A52" s="198" t="s">
        <v>460</v>
      </c>
      <c r="B52" s="199" t="s">
        <v>106</v>
      </c>
      <c r="C52" s="200" t="s">
        <v>302</v>
      </c>
      <c r="D52" s="200" t="s">
        <v>302</v>
      </c>
      <c r="E52" s="88"/>
    </row>
    <row r="53">
      <c r="A53" s="198" t="s">
        <v>461</v>
      </c>
      <c r="B53" s="199" t="s">
        <v>106</v>
      </c>
      <c r="C53" s="200" t="s">
        <v>302</v>
      </c>
      <c r="D53" s="200" t="s">
        <v>302</v>
      </c>
      <c r="E53" s="88"/>
    </row>
    <row r="54">
      <c r="A54" s="198" t="s">
        <v>462</v>
      </c>
      <c r="B54" s="199" t="s">
        <v>106</v>
      </c>
      <c r="C54" s="200" t="s">
        <v>302</v>
      </c>
      <c r="D54" s="200" t="s">
        <v>302</v>
      </c>
      <c r="E54" s="88"/>
    </row>
    <row r="55">
      <c r="A55" s="198" t="s">
        <v>463</v>
      </c>
      <c r="B55" s="199" t="s">
        <v>106</v>
      </c>
      <c r="C55" s="200" t="s">
        <v>302</v>
      </c>
      <c r="D55" s="200" t="s">
        <v>302</v>
      </c>
      <c r="E55" s="88"/>
    </row>
    <row r="56">
      <c r="A56" s="198" t="s">
        <v>464</v>
      </c>
      <c r="B56" s="199" t="s">
        <v>106</v>
      </c>
      <c r="C56" s="200" t="s">
        <v>302</v>
      </c>
      <c r="D56" s="200" t="s">
        <v>302</v>
      </c>
      <c r="E56" s="88"/>
    </row>
    <row r="57">
      <c r="A57" s="198" t="s">
        <v>465</v>
      </c>
      <c r="B57" s="199" t="s">
        <v>466</v>
      </c>
      <c r="C57" s="200" t="s">
        <v>302</v>
      </c>
      <c r="D57" s="200" t="s">
        <v>302</v>
      </c>
      <c r="E57" s="88"/>
    </row>
    <row r="58">
      <c r="A58" s="198" t="s">
        <v>467</v>
      </c>
      <c r="B58" s="199" t="s">
        <v>109</v>
      </c>
      <c r="C58" s="200" t="s">
        <v>302</v>
      </c>
      <c r="D58" s="200" t="s">
        <v>302</v>
      </c>
      <c r="E58" s="88"/>
    </row>
    <row r="59">
      <c r="A59" s="198" t="s">
        <v>468</v>
      </c>
      <c r="B59" s="199" t="s">
        <v>117</v>
      </c>
      <c r="C59" s="200" t="s">
        <v>302</v>
      </c>
      <c r="D59" s="200" t="s">
        <v>302</v>
      </c>
      <c r="E59" s="88"/>
    </row>
    <row r="60">
      <c r="A60" s="205"/>
      <c r="B60" s="202" t="s">
        <v>432</v>
      </c>
      <c r="C60" s="203" t="s">
        <v>306</v>
      </c>
      <c r="D60" s="203" t="s">
        <v>306</v>
      </c>
      <c r="E60" s="88"/>
    </row>
    <row r="61">
      <c r="A61" s="206" t="s">
        <v>469</v>
      </c>
      <c r="B61" s="98"/>
      <c r="C61" s="98"/>
      <c r="D61" s="35"/>
      <c r="E61" s="88"/>
    </row>
  </sheetData>
  <mergeCells count="5">
    <mergeCell ref="A2:D2"/>
    <mergeCell ref="A4:D4"/>
    <mergeCell ref="A25:D25"/>
    <mergeCell ref="A61:D61"/>
    <mergeCell ref="A1:D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7">
        <f>IFERROR(__xludf.DUMMYFUNCTION("filter( Trends!A1:AO1000, row(Trends!A1:A1000) &gt; counta(Trends!A1:A1000) - 199 )"),43898.0)</f>
        <v>43898</v>
      </c>
      <c r="B1" s="150">
        <f>IFERROR(__xludf.DUMMYFUNCTION("""COMPUTED_VALUE"""),0.0)</f>
        <v>0</v>
      </c>
      <c r="C1" s="150">
        <f>IFERROR(__xludf.DUMMYFUNCTION("""COMPUTED_VALUE"""),0.0)</f>
        <v>0</v>
      </c>
      <c r="D1" s="150">
        <f>IFERROR(__xludf.DUMMYFUNCTION("""COMPUTED_VALUE"""),3.0)</f>
        <v>3</v>
      </c>
      <c r="E1" s="150">
        <f>IFERROR(__xludf.DUMMYFUNCTION("""COMPUTED_VALUE"""),18.0)</f>
        <v>18</v>
      </c>
      <c r="F1" s="150">
        <f>IFERROR(__xludf.DUMMYFUNCTION("""COMPUTED_VALUE"""),70.0)</f>
        <v>70</v>
      </c>
      <c r="G1" s="150">
        <f>IFERROR(__xludf.DUMMYFUNCTION("""COMPUTED_VALUE"""),18.0)</f>
        <v>18</v>
      </c>
      <c r="H1" s="150">
        <f>IFERROR(__xludf.DUMMYFUNCTION("""COMPUTED_VALUE"""),73.0)</f>
        <v>73</v>
      </c>
      <c r="I1" s="150">
        <f>IFERROR(__xludf.DUMMYFUNCTION("""COMPUTED_VALUE"""),0.0)</f>
        <v>0</v>
      </c>
      <c r="J1" s="150">
        <f>IFERROR(__xludf.DUMMYFUNCTION("""COMPUTED_VALUE"""),0.0)</f>
        <v>0</v>
      </c>
      <c r="K1" s="150">
        <f>IFERROR(__xludf.DUMMYFUNCTION("""COMPUTED_VALUE"""),3.0)</f>
        <v>3</v>
      </c>
      <c r="L1" s="150">
        <f>IFERROR(__xludf.DUMMYFUNCTION("""COMPUTED_VALUE"""),18.0)</f>
        <v>18</v>
      </c>
      <c r="M1" s="150">
        <f>IFERROR(__xludf.DUMMYFUNCTION("""COMPUTED_VALUE"""),67.0)</f>
        <v>67</v>
      </c>
      <c r="N1" s="150">
        <f>IFERROR(__xludf.DUMMYFUNCTION("""COMPUTED_VALUE"""),70.0)</f>
        <v>70</v>
      </c>
      <c r="O1" s="150">
        <f>IFERROR(__xludf.DUMMYFUNCTION("""COMPUTED_VALUE"""),0.0)</f>
        <v>0</v>
      </c>
      <c r="P1" s="150">
        <f>IFERROR(__xludf.DUMMYFUNCTION("""COMPUTED_VALUE"""),3.0)</f>
        <v>3</v>
      </c>
      <c r="Q1" s="150">
        <f>IFERROR(__xludf.DUMMYFUNCTION("""COMPUTED_VALUE"""),0.0)</f>
        <v>0</v>
      </c>
      <c r="R1" s="150">
        <f>IFERROR(__xludf.DUMMYFUNCTION("""COMPUTED_VALUE"""),0.0)</f>
        <v>0</v>
      </c>
      <c r="S1" s="150">
        <f>IFERROR(__xludf.DUMMYFUNCTION("""COMPUTED_VALUE"""),0.0)</f>
        <v>0</v>
      </c>
      <c r="T1" s="150">
        <f>IFERROR(__xludf.DUMMYFUNCTION("""COMPUTED_VALUE"""),0.0)</f>
        <v>0</v>
      </c>
      <c r="U1" s="150">
        <f>IFERROR(__xludf.DUMMYFUNCTION("""COMPUTED_VALUE"""),3.0)</f>
        <v>3</v>
      </c>
      <c r="V1" s="150">
        <f>IFERROR(__xludf.DUMMYFUNCTION("""COMPUTED_VALUE"""),3.0)</f>
        <v>3</v>
      </c>
      <c r="W1" s="150">
        <f>IFERROR(__xludf.DUMMYFUNCTION("""COMPUTED_VALUE"""),2.0)</f>
        <v>2</v>
      </c>
      <c r="X1" s="150">
        <f>IFERROR(__xludf.DUMMYFUNCTION("""COMPUTED_VALUE"""),1.0)</f>
        <v>1</v>
      </c>
      <c r="Y1" s="150">
        <f>IFERROR(__xludf.DUMMYFUNCTION("""COMPUTED_VALUE"""),0.0)</f>
        <v>0</v>
      </c>
      <c r="Z1" s="150">
        <f>IFERROR(__xludf.DUMMYFUNCTION("""COMPUTED_VALUE"""),0.0)</f>
        <v>0</v>
      </c>
    </row>
    <row r="2">
      <c r="A2" s="207">
        <f>IFERROR(__xludf.DUMMYFUNCTION("""COMPUTED_VALUE"""),43899.0)</f>
        <v>43899</v>
      </c>
      <c r="B2" s="150">
        <f>IFERROR(__xludf.DUMMYFUNCTION("""COMPUTED_VALUE"""),1.0)</f>
        <v>1</v>
      </c>
      <c r="C2" s="150">
        <f>IFERROR(__xludf.DUMMYFUNCTION("""COMPUTED_VALUE"""),0.0)</f>
        <v>0</v>
      </c>
      <c r="D2" s="150">
        <f>IFERROR(__xludf.DUMMYFUNCTION("""COMPUTED_VALUE"""),4.0)</f>
        <v>4</v>
      </c>
      <c r="E2" s="150">
        <f>IFERROR(__xludf.DUMMYFUNCTION("""COMPUTED_VALUE"""),15.0)</f>
        <v>15</v>
      </c>
      <c r="F2" s="150">
        <f>IFERROR(__xludf.DUMMYFUNCTION("""COMPUTED_VALUE"""),85.0)</f>
        <v>85</v>
      </c>
      <c r="G2" s="150">
        <f>IFERROR(__xludf.DUMMYFUNCTION("""COMPUTED_VALUE"""),16.0)</f>
        <v>16</v>
      </c>
      <c r="H2" s="150">
        <f>IFERROR(__xludf.DUMMYFUNCTION("""COMPUTED_VALUE"""),89.0)</f>
        <v>89</v>
      </c>
      <c r="I2" s="150">
        <f>IFERROR(__xludf.DUMMYFUNCTION("""COMPUTED_VALUE"""),1.0)</f>
        <v>1</v>
      </c>
      <c r="J2" s="150">
        <f>IFERROR(__xludf.DUMMYFUNCTION("""COMPUTED_VALUE"""),0.0)</f>
        <v>0</v>
      </c>
      <c r="K2" s="150">
        <f>IFERROR(__xludf.DUMMYFUNCTION("""COMPUTED_VALUE"""),4.0)</f>
        <v>4</v>
      </c>
      <c r="L2" s="150">
        <f>IFERROR(__xludf.DUMMYFUNCTION("""COMPUTED_VALUE"""),15.0)</f>
        <v>15</v>
      </c>
      <c r="M2" s="150">
        <f>IFERROR(__xludf.DUMMYFUNCTION("""COMPUTED_VALUE"""),82.0)</f>
        <v>82</v>
      </c>
      <c r="N2" s="150">
        <f>IFERROR(__xludf.DUMMYFUNCTION("""COMPUTED_VALUE"""),86.0)</f>
        <v>86</v>
      </c>
      <c r="O2" s="150">
        <f>IFERROR(__xludf.DUMMYFUNCTION("""COMPUTED_VALUE"""),0.0)</f>
        <v>0</v>
      </c>
      <c r="P2" s="150">
        <f>IFERROR(__xludf.DUMMYFUNCTION("""COMPUTED_VALUE"""),3.0)</f>
        <v>3</v>
      </c>
      <c r="Q2" s="150">
        <f>IFERROR(__xludf.DUMMYFUNCTION("""COMPUTED_VALUE"""),0.0)</f>
        <v>0</v>
      </c>
      <c r="R2" s="150">
        <f>IFERROR(__xludf.DUMMYFUNCTION("""COMPUTED_VALUE"""),0.0)</f>
        <v>0</v>
      </c>
      <c r="S2" s="150">
        <f>IFERROR(__xludf.DUMMYFUNCTION("""COMPUTED_VALUE"""),0.0)</f>
        <v>0</v>
      </c>
      <c r="T2" s="150">
        <f>IFERROR(__xludf.DUMMYFUNCTION("""COMPUTED_VALUE"""),0.0)</f>
        <v>0</v>
      </c>
      <c r="U2" s="150">
        <f>IFERROR(__xludf.DUMMYFUNCTION("""COMPUTED_VALUE"""),3.0)</f>
        <v>3</v>
      </c>
      <c r="V2" s="150">
        <f>IFERROR(__xludf.DUMMYFUNCTION("""COMPUTED_VALUE"""),3.0)</f>
        <v>3</v>
      </c>
      <c r="W2" s="150">
        <f>IFERROR(__xludf.DUMMYFUNCTION("""COMPUTED_VALUE"""),2.0)</f>
        <v>2</v>
      </c>
      <c r="X2" s="150">
        <f>IFERROR(__xludf.DUMMYFUNCTION("""COMPUTED_VALUE"""),1.0)</f>
        <v>1</v>
      </c>
      <c r="Y2" s="150">
        <f>IFERROR(__xludf.DUMMYFUNCTION("""COMPUTED_VALUE"""),0.0)</f>
        <v>0</v>
      </c>
      <c r="Z2" s="150">
        <f>IFERROR(__xludf.DUMMYFUNCTION("""COMPUTED_VALUE"""),0.0)</f>
        <v>0</v>
      </c>
    </row>
    <row r="3">
      <c r="A3" s="207">
        <f>IFERROR(__xludf.DUMMYFUNCTION("""COMPUTED_VALUE"""),43900.0)</f>
        <v>43900</v>
      </c>
      <c r="B3" s="150">
        <f>IFERROR(__xludf.DUMMYFUNCTION("""COMPUTED_VALUE"""),2.0)</f>
        <v>2</v>
      </c>
      <c r="C3" s="150">
        <f>IFERROR(__xludf.DUMMYFUNCTION("""COMPUTED_VALUE"""),1.0)</f>
        <v>1</v>
      </c>
      <c r="D3" s="150">
        <f>IFERROR(__xludf.DUMMYFUNCTION("""COMPUTED_VALUE"""),6.0)</f>
        <v>6</v>
      </c>
      <c r="E3" s="150">
        <f>IFERROR(__xludf.DUMMYFUNCTION("""COMPUTED_VALUE"""),25.0)</f>
        <v>25</v>
      </c>
      <c r="F3" s="150">
        <f>IFERROR(__xludf.DUMMYFUNCTION("""COMPUTED_VALUE"""),110.0)</f>
        <v>110</v>
      </c>
      <c r="G3" s="150">
        <f>IFERROR(__xludf.DUMMYFUNCTION("""COMPUTED_VALUE"""),27.0)</f>
        <v>27</v>
      </c>
      <c r="H3" s="150">
        <f>IFERROR(__xludf.DUMMYFUNCTION("""COMPUTED_VALUE"""),116.0)</f>
        <v>116</v>
      </c>
      <c r="I3" s="150">
        <f>IFERROR(__xludf.DUMMYFUNCTION("""COMPUTED_VALUE"""),1.0)</f>
        <v>1</v>
      </c>
      <c r="J3" s="150">
        <f>IFERROR(__xludf.DUMMYFUNCTION("""COMPUTED_VALUE"""),1.0)</f>
        <v>1</v>
      </c>
      <c r="K3" s="150">
        <f>IFERROR(__xludf.DUMMYFUNCTION("""COMPUTED_VALUE"""),5.0)</f>
        <v>5</v>
      </c>
      <c r="L3" s="150">
        <f>IFERROR(__xludf.DUMMYFUNCTION("""COMPUTED_VALUE"""),23.0)</f>
        <v>23</v>
      </c>
      <c r="M3" s="150">
        <f>IFERROR(__xludf.DUMMYFUNCTION("""COMPUTED_VALUE"""),105.0)</f>
        <v>105</v>
      </c>
      <c r="N3" s="150">
        <f>IFERROR(__xludf.DUMMYFUNCTION("""COMPUTED_VALUE"""),110.0)</f>
        <v>110</v>
      </c>
      <c r="O3" s="150">
        <f>IFERROR(__xludf.DUMMYFUNCTION("""COMPUTED_VALUE"""),0.0)</f>
        <v>0</v>
      </c>
      <c r="P3" s="150">
        <f>IFERROR(__xludf.DUMMYFUNCTION("""COMPUTED_VALUE"""),3.0)</f>
        <v>3</v>
      </c>
      <c r="Q3" s="150">
        <f>IFERROR(__xludf.DUMMYFUNCTION("""COMPUTED_VALUE"""),0.0)</f>
        <v>0</v>
      </c>
      <c r="R3" s="150">
        <f>IFERROR(__xludf.DUMMYFUNCTION("""COMPUTED_VALUE"""),0.0)</f>
        <v>0</v>
      </c>
      <c r="S3" s="150">
        <f>IFERROR(__xludf.DUMMYFUNCTION("""COMPUTED_VALUE"""),0.0)</f>
        <v>0</v>
      </c>
      <c r="T3" s="150">
        <f>IFERROR(__xludf.DUMMYFUNCTION("""COMPUTED_VALUE"""),0.0)</f>
        <v>0</v>
      </c>
      <c r="U3" s="150">
        <f>IFERROR(__xludf.DUMMYFUNCTION("""COMPUTED_VALUE"""),3.0)</f>
        <v>3</v>
      </c>
      <c r="V3" s="150">
        <f>IFERROR(__xludf.DUMMYFUNCTION("""COMPUTED_VALUE"""),3.0)</f>
        <v>3</v>
      </c>
      <c r="W3" s="150">
        <f>IFERROR(__xludf.DUMMYFUNCTION("""COMPUTED_VALUE"""),2.0)</f>
        <v>2</v>
      </c>
      <c r="X3" s="150">
        <f>IFERROR(__xludf.DUMMYFUNCTION("""COMPUTED_VALUE"""),1.0)</f>
        <v>1</v>
      </c>
      <c r="Y3" s="150">
        <f>IFERROR(__xludf.DUMMYFUNCTION("""COMPUTED_VALUE"""),0.0)</f>
        <v>0</v>
      </c>
      <c r="Z3" s="150">
        <f>IFERROR(__xludf.DUMMYFUNCTION("""COMPUTED_VALUE"""),0.0)</f>
        <v>0</v>
      </c>
    </row>
    <row r="4">
      <c r="A4" s="207">
        <f>IFERROR(__xludf.DUMMYFUNCTION("""COMPUTED_VALUE"""),43901.0)</f>
        <v>43901</v>
      </c>
      <c r="B4" s="150">
        <f>IFERROR(__xludf.DUMMYFUNCTION("""COMPUTED_VALUE"""),0.0)</f>
        <v>0</v>
      </c>
      <c r="C4" s="150">
        <f>IFERROR(__xludf.DUMMYFUNCTION("""COMPUTED_VALUE"""),1.0)</f>
        <v>1</v>
      </c>
      <c r="D4" s="150">
        <f>IFERROR(__xludf.DUMMYFUNCTION("""COMPUTED_VALUE"""),6.0)</f>
        <v>6</v>
      </c>
      <c r="E4" s="150">
        <f>IFERROR(__xludf.DUMMYFUNCTION("""COMPUTED_VALUE"""),34.0)</f>
        <v>34</v>
      </c>
      <c r="F4" s="150">
        <f>IFERROR(__xludf.DUMMYFUNCTION("""COMPUTED_VALUE"""),144.0)</f>
        <v>144</v>
      </c>
      <c r="G4" s="150">
        <f>IFERROR(__xludf.DUMMYFUNCTION("""COMPUTED_VALUE"""),34.0)</f>
        <v>34</v>
      </c>
      <c r="H4" s="150">
        <f>IFERROR(__xludf.DUMMYFUNCTION("""COMPUTED_VALUE"""),150.0)</f>
        <v>150</v>
      </c>
      <c r="I4" s="150">
        <f>IFERROR(__xludf.DUMMYFUNCTION("""COMPUTED_VALUE"""),0.0)</f>
        <v>0</v>
      </c>
      <c r="J4" s="150">
        <f>IFERROR(__xludf.DUMMYFUNCTION("""COMPUTED_VALUE"""),1.0)</f>
        <v>1</v>
      </c>
      <c r="K4" s="150">
        <f>IFERROR(__xludf.DUMMYFUNCTION("""COMPUTED_VALUE"""),5.0)</f>
        <v>5</v>
      </c>
      <c r="L4" s="150">
        <f>IFERROR(__xludf.DUMMYFUNCTION("""COMPUTED_VALUE"""),34.0)</f>
        <v>34</v>
      </c>
      <c r="M4" s="150">
        <f>IFERROR(__xludf.DUMMYFUNCTION("""COMPUTED_VALUE"""),139.0)</f>
        <v>139</v>
      </c>
      <c r="N4" s="150">
        <f>IFERROR(__xludf.DUMMYFUNCTION("""COMPUTED_VALUE"""),144.0)</f>
        <v>144</v>
      </c>
      <c r="O4" s="150">
        <f>IFERROR(__xludf.DUMMYFUNCTION("""COMPUTED_VALUE"""),1.0)</f>
        <v>1</v>
      </c>
      <c r="P4" s="150">
        <f>IFERROR(__xludf.DUMMYFUNCTION("""COMPUTED_VALUE"""),4.0)</f>
        <v>4</v>
      </c>
      <c r="Q4" s="150">
        <f>IFERROR(__xludf.DUMMYFUNCTION("""COMPUTED_VALUE"""),0.0)</f>
        <v>0</v>
      </c>
      <c r="R4" s="150">
        <f>IFERROR(__xludf.DUMMYFUNCTION("""COMPUTED_VALUE"""),0.0)</f>
        <v>0</v>
      </c>
      <c r="S4" s="150">
        <f>IFERROR(__xludf.DUMMYFUNCTION("""COMPUTED_VALUE"""),0.0)</f>
        <v>0</v>
      </c>
      <c r="T4" s="150">
        <f>IFERROR(__xludf.DUMMYFUNCTION("""COMPUTED_VALUE"""),0.0)</f>
        <v>0</v>
      </c>
      <c r="U4" s="150">
        <f>IFERROR(__xludf.DUMMYFUNCTION("""COMPUTED_VALUE"""),4.0)</f>
        <v>4</v>
      </c>
      <c r="V4" s="150">
        <f>IFERROR(__xludf.DUMMYFUNCTION("""COMPUTED_VALUE"""),3.0)</f>
        <v>3</v>
      </c>
      <c r="W4" s="150">
        <f>IFERROR(__xludf.DUMMYFUNCTION("""COMPUTED_VALUE"""),1.0)</f>
        <v>1</v>
      </c>
      <c r="X4" s="150">
        <f>IFERROR(__xludf.DUMMYFUNCTION("""COMPUTED_VALUE"""),1.0)</f>
        <v>1</v>
      </c>
      <c r="Y4" s="150">
        <f>IFERROR(__xludf.DUMMYFUNCTION("""COMPUTED_VALUE"""),0.0)</f>
        <v>0</v>
      </c>
      <c r="Z4" s="150">
        <f>IFERROR(__xludf.DUMMYFUNCTION("""COMPUTED_VALUE"""),0.0)</f>
        <v>0</v>
      </c>
    </row>
    <row r="5">
      <c r="A5" s="207">
        <f>IFERROR(__xludf.DUMMYFUNCTION("""COMPUTED_VALUE"""),43902.0)</f>
        <v>43902</v>
      </c>
      <c r="B5" s="150">
        <f>IFERROR(__xludf.DUMMYFUNCTION("""COMPUTED_VALUE"""),9.0)</f>
        <v>9</v>
      </c>
      <c r="C5" s="150">
        <f>IFERROR(__xludf.DUMMYFUNCTION("""COMPUTED_VALUE"""),4.0)</f>
        <v>4</v>
      </c>
      <c r="D5" s="150">
        <f>IFERROR(__xludf.DUMMYFUNCTION("""COMPUTED_VALUE"""),15.0)</f>
        <v>15</v>
      </c>
      <c r="E5" s="150">
        <f>IFERROR(__xludf.DUMMYFUNCTION("""COMPUTED_VALUE"""),41.0)</f>
        <v>41</v>
      </c>
      <c r="F5" s="150">
        <f>IFERROR(__xludf.DUMMYFUNCTION("""COMPUTED_VALUE"""),185.0)</f>
        <v>185</v>
      </c>
      <c r="G5" s="150">
        <f>IFERROR(__xludf.DUMMYFUNCTION("""COMPUTED_VALUE"""),50.0)</f>
        <v>50</v>
      </c>
      <c r="H5" s="150">
        <f>IFERROR(__xludf.DUMMYFUNCTION("""COMPUTED_VALUE"""),200.0)</f>
        <v>200</v>
      </c>
      <c r="I5" s="150">
        <f>IFERROR(__xludf.DUMMYFUNCTION("""COMPUTED_VALUE"""),8.0)</f>
        <v>8</v>
      </c>
      <c r="J5" s="150">
        <f>IFERROR(__xludf.DUMMYFUNCTION("""COMPUTED_VALUE"""),3.0)</f>
        <v>3</v>
      </c>
      <c r="K5" s="150">
        <f>IFERROR(__xludf.DUMMYFUNCTION("""COMPUTED_VALUE"""),13.0)</f>
        <v>13</v>
      </c>
      <c r="L5" s="150">
        <f>IFERROR(__xludf.DUMMYFUNCTION("""COMPUTED_VALUE"""),38.0)</f>
        <v>38</v>
      </c>
      <c r="M5" s="150">
        <f>IFERROR(__xludf.DUMMYFUNCTION("""COMPUTED_VALUE"""),177.0)</f>
        <v>177</v>
      </c>
      <c r="N5" s="150">
        <f>IFERROR(__xludf.DUMMYFUNCTION("""COMPUTED_VALUE"""),190.0)</f>
        <v>190</v>
      </c>
      <c r="O5" s="150">
        <f>IFERROR(__xludf.DUMMYFUNCTION("""COMPUTED_VALUE"""),1.0)</f>
        <v>1</v>
      </c>
      <c r="P5" s="150">
        <f>IFERROR(__xludf.DUMMYFUNCTION("""COMPUTED_VALUE"""),5.0)</f>
        <v>5</v>
      </c>
      <c r="Q5" s="150">
        <f>IFERROR(__xludf.DUMMYFUNCTION("""COMPUTED_VALUE"""),0.0)</f>
        <v>0</v>
      </c>
      <c r="R5" s="150">
        <f>IFERROR(__xludf.DUMMYFUNCTION("""COMPUTED_VALUE"""),0.0)</f>
        <v>0</v>
      </c>
      <c r="S5" s="150">
        <f>IFERROR(__xludf.DUMMYFUNCTION("""COMPUTED_VALUE"""),0.0)</f>
        <v>0</v>
      </c>
      <c r="T5" s="150">
        <f>IFERROR(__xludf.DUMMYFUNCTION("""COMPUTED_VALUE"""),0.0)</f>
        <v>0</v>
      </c>
      <c r="U5" s="150">
        <f>IFERROR(__xludf.DUMMYFUNCTION("""COMPUTED_VALUE"""),5.0)</f>
        <v>5</v>
      </c>
      <c r="V5" s="150">
        <f>IFERROR(__xludf.DUMMYFUNCTION("""COMPUTED_VALUE"""),4.0)</f>
        <v>4</v>
      </c>
      <c r="W5" s="150">
        <f>IFERROR(__xludf.DUMMYFUNCTION("""COMPUTED_VALUE"""),1.0)</f>
        <v>1</v>
      </c>
      <c r="X5" s="150">
        <f>IFERROR(__xludf.DUMMYFUNCTION("""COMPUTED_VALUE"""),1.0)</f>
        <v>1</v>
      </c>
      <c r="Y5" s="150">
        <f>IFERROR(__xludf.DUMMYFUNCTION("""COMPUTED_VALUE"""),0.0)</f>
        <v>0</v>
      </c>
      <c r="Z5" s="150">
        <f>IFERROR(__xludf.DUMMYFUNCTION("""COMPUTED_VALUE"""),0.0)</f>
        <v>0</v>
      </c>
    </row>
    <row r="6">
      <c r="A6" s="207">
        <f>IFERROR(__xludf.DUMMYFUNCTION("""COMPUTED_VALUE"""),43903.0)</f>
        <v>43903</v>
      </c>
      <c r="B6" s="150">
        <f>IFERROR(__xludf.DUMMYFUNCTION("""COMPUTED_VALUE"""),6.0)</f>
        <v>6</v>
      </c>
      <c r="C6" s="150">
        <f>IFERROR(__xludf.DUMMYFUNCTION("""COMPUTED_VALUE"""),5.0)</f>
        <v>5</v>
      </c>
      <c r="D6" s="150">
        <f>IFERROR(__xludf.DUMMYFUNCTION("""COMPUTED_VALUE"""),21.0)</f>
        <v>21</v>
      </c>
      <c r="E6" s="150">
        <f>IFERROR(__xludf.DUMMYFUNCTION("""COMPUTED_VALUE"""),50.0)</f>
        <v>50</v>
      </c>
      <c r="F6" s="150">
        <f>IFERROR(__xludf.DUMMYFUNCTION("""COMPUTED_VALUE"""),235.0)</f>
        <v>235</v>
      </c>
      <c r="G6" s="150">
        <f>IFERROR(__xludf.DUMMYFUNCTION("""COMPUTED_VALUE"""),56.0)</f>
        <v>56</v>
      </c>
      <c r="H6" s="150">
        <f>IFERROR(__xludf.DUMMYFUNCTION("""COMPUTED_VALUE"""),256.0)</f>
        <v>256</v>
      </c>
      <c r="I6" s="150">
        <f>IFERROR(__xludf.DUMMYFUNCTION("""COMPUTED_VALUE"""),6.0)</f>
        <v>6</v>
      </c>
      <c r="J6" s="150">
        <f>IFERROR(__xludf.DUMMYFUNCTION("""COMPUTED_VALUE"""),5.0)</f>
        <v>5</v>
      </c>
      <c r="K6" s="150">
        <f>IFERROR(__xludf.DUMMYFUNCTION("""COMPUTED_VALUE"""),19.0)</f>
        <v>19</v>
      </c>
      <c r="L6" s="150">
        <f>IFERROR(__xludf.DUMMYFUNCTION("""COMPUTED_VALUE"""),48.0)</f>
        <v>48</v>
      </c>
      <c r="M6" s="150">
        <f>IFERROR(__xludf.DUMMYFUNCTION("""COMPUTED_VALUE"""),225.0)</f>
        <v>225</v>
      </c>
      <c r="N6" s="150">
        <f>IFERROR(__xludf.DUMMYFUNCTION("""COMPUTED_VALUE"""),244.0)</f>
        <v>244</v>
      </c>
      <c r="O6" s="150">
        <f>IFERROR(__xludf.DUMMYFUNCTION("""COMPUTED_VALUE"""),4.0)</f>
        <v>4</v>
      </c>
      <c r="P6" s="150">
        <f>IFERROR(__xludf.DUMMYFUNCTION("""COMPUTED_VALUE"""),9.0)</f>
        <v>9</v>
      </c>
      <c r="Q6" s="150">
        <f>IFERROR(__xludf.DUMMYFUNCTION("""COMPUTED_VALUE"""),1.0)</f>
        <v>1</v>
      </c>
      <c r="R6" s="150">
        <f>IFERROR(__xludf.DUMMYFUNCTION("""COMPUTED_VALUE"""),1.0)</f>
        <v>1</v>
      </c>
      <c r="S6" s="150">
        <f>IFERROR(__xludf.DUMMYFUNCTION("""COMPUTED_VALUE"""),0.0)</f>
        <v>0</v>
      </c>
      <c r="T6" s="150">
        <f>IFERROR(__xludf.DUMMYFUNCTION("""COMPUTED_VALUE"""),0.0)</f>
        <v>0</v>
      </c>
      <c r="U6" s="150">
        <f>IFERROR(__xludf.DUMMYFUNCTION("""COMPUTED_VALUE"""),8.0)</f>
        <v>8</v>
      </c>
      <c r="V6" s="150">
        <f>IFERROR(__xludf.DUMMYFUNCTION("""COMPUTED_VALUE"""),6.0)</f>
        <v>6</v>
      </c>
      <c r="W6" s="150">
        <f>IFERROR(__xludf.DUMMYFUNCTION("""COMPUTED_VALUE"""),1.0)</f>
        <v>1</v>
      </c>
      <c r="X6" s="150">
        <f>IFERROR(__xludf.DUMMYFUNCTION("""COMPUTED_VALUE"""),1.0)</f>
        <v>1</v>
      </c>
      <c r="Y6" s="150">
        <f>IFERROR(__xludf.DUMMYFUNCTION("""COMPUTED_VALUE"""),0.0)</f>
        <v>0</v>
      </c>
      <c r="Z6" s="150">
        <f>IFERROR(__xludf.DUMMYFUNCTION("""COMPUTED_VALUE"""),0.0)</f>
        <v>0</v>
      </c>
    </row>
    <row r="7">
      <c r="A7" s="207">
        <f>IFERROR(__xludf.DUMMYFUNCTION("""COMPUTED_VALUE"""),43904.0)</f>
        <v>43904</v>
      </c>
      <c r="B7" s="150">
        <f>IFERROR(__xludf.DUMMYFUNCTION("""COMPUTED_VALUE"""),0.0)</f>
        <v>0</v>
      </c>
      <c r="C7" s="150">
        <f>IFERROR(__xludf.DUMMYFUNCTION("""COMPUTED_VALUE"""),5.0)</f>
        <v>5</v>
      </c>
      <c r="D7" s="150">
        <f>IFERROR(__xludf.DUMMYFUNCTION("""COMPUTED_VALUE"""),21.0)</f>
        <v>21</v>
      </c>
      <c r="E7" s="150">
        <f>IFERROR(__xludf.DUMMYFUNCTION("""COMPUTED_VALUE"""),90.0)</f>
        <v>90</v>
      </c>
      <c r="F7" s="150">
        <f>IFERROR(__xludf.DUMMYFUNCTION("""COMPUTED_VALUE"""),325.0)</f>
        <v>325</v>
      </c>
      <c r="G7" s="150">
        <f>IFERROR(__xludf.DUMMYFUNCTION("""COMPUTED_VALUE"""),90.0)</f>
        <v>90</v>
      </c>
      <c r="H7" s="150">
        <f>IFERROR(__xludf.DUMMYFUNCTION("""COMPUTED_VALUE"""),346.0)</f>
        <v>346</v>
      </c>
      <c r="I7" s="150">
        <f>IFERROR(__xludf.DUMMYFUNCTION("""COMPUTED_VALUE"""),0.0)</f>
        <v>0</v>
      </c>
      <c r="J7" s="150">
        <f>IFERROR(__xludf.DUMMYFUNCTION("""COMPUTED_VALUE"""),5.0)</f>
        <v>5</v>
      </c>
      <c r="K7" s="150">
        <f>IFERROR(__xludf.DUMMYFUNCTION("""COMPUTED_VALUE"""),19.0)</f>
        <v>19</v>
      </c>
      <c r="L7" s="150">
        <f>IFERROR(__xludf.DUMMYFUNCTION("""COMPUTED_VALUE"""),86.0)</f>
        <v>86</v>
      </c>
      <c r="M7" s="150">
        <f>IFERROR(__xludf.DUMMYFUNCTION("""COMPUTED_VALUE"""),311.0)</f>
        <v>311</v>
      </c>
      <c r="N7" s="150">
        <f>IFERROR(__xludf.DUMMYFUNCTION("""COMPUTED_VALUE"""),330.0)</f>
        <v>330</v>
      </c>
      <c r="O7" s="150">
        <f>IFERROR(__xludf.DUMMYFUNCTION("""COMPUTED_VALUE"""),0.0)</f>
        <v>0</v>
      </c>
      <c r="P7" s="150">
        <f>IFERROR(__xludf.DUMMYFUNCTION("""COMPUTED_VALUE"""),9.0)</f>
        <v>9</v>
      </c>
      <c r="Q7" s="150">
        <f>IFERROR(__xludf.DUMMYFUNCTION("""COMPUTED_VALUE"""),0.0)</f>
        <v>0</v>
      </c>
      <c r="R7" s="150">
        <f>IFERROR(__xludf.DUMMYFUNCTION("""COMPUTED_VALUE"""),1.0)</f>
        <v>1</v>
      </c>
      <c r="S7" s="150">
        <f>IFERROR(__xludf.DUMMYFUNCTION("""COMPUTED_VALUE"""),0.0)</f>
        <v>0</v>
      </c>
      <c r="T7" s="150">
        <f>IFERROR(__xludf.DUMMYFUNCTION("""COMPUTED_VALUE"""),0.0)</f>
        <v>0</v>
      </c>
      <c r="U7" s="150">
        <f>IFERROR(__xludf.DUMMYFUNCTION("""COMPUTED_VALUE"""),8.0)</f>
        <v>8</v>
      </c>
      <c r="V7" s="150">
        <f>IFERROR(__xludf.DUMMYFUNCTION("""COMPUTED_VALUE"""),7.0)</f>
        <v>7</v>
      </c>
      <c r="W7" s="150">
        <f>IFERROR(__xludf.DUMMYFUNCTION("""COMPUTED_VALUE"""),1.0)</f>
        <v>1</v>
      </c>
      <c r="X7" s="150">
        <f>IFERROR(__xludf.DUMMYFUNCTION("""COMPUTED_VALUE"""),1.0)</f>
        <v>1</v>
      </c>
      <c r="Y7" s="150">
        <f>IFERROR(__xludf.DUMMYFUNCTION("""COMPUTED_VALUE"""),0.0)</f>
        <v>0</v>
      </c>
      <c r="Z7" s="150">
        <f>IFERROR(__xludf.DUMMYFUNCTION("""COMPUTED_VALUE"""),0.0)</f>
        <v>0</v>
      </c>
    </row>
    <row r="8">
      <c r="A8" s="207">
        <f>IFERROR(__xludf.DUMMYFUNCTION("""COMPUTED_VALUE"""),43905.0)</f>
        <v>43905</v>
      </c>
      <c r="B8" s="150">
        <f>IFERROR(__xludf.DUMMYFUNCTION("""COMPUTED_VALUE"""),1.0)</f>
        <v>1</v>
      </c>
      <c r="C8" s="150">
        <f>IFERROR(__xludf.DUMMYFUNCTION("""COMPUTED_VALUE"""),2.0)</f>
        <v>2</v>
      </c>
      <c r="D8" s="150">
        <f>IFERROR(__xludf.DUMMYFUNCTION("""COMPUTED_VALUE"""),22.0)</f>
        <v>22</v>
      </c>
      <c r="E8" s="150">
        <f>IFERROR(__xludf.DUMMYFUNCTION("""COMPUTED_VALUE"""),54.0)</f>
        <v>54</v>
      </c>
      <c r="F8" s="150">
        <f>IFERROR(__xludf.DUMMYFUNCTION("""COMPUTED_VALUE"""),379.0)</f>
        <v>379</v>
      </c>
      <c r="G8" s="150">
        <f>IFERROR(__xludf.DUMMYFUNCTION("""COMPUTED_VALUE"""),55.0)</f>
        <v>55</v>
      </c>
      <c r="H8" s="150">
        <f>IFERROR(__xludf.DUMMYFUNCTION("""COMPUTED_VALUE"""),401.0)</f>
        <v>401</v>
      </c>
      <c r="I8" s="150">
        <f>IFERROR(__xludf.DUMMYFUNCTION("""COMPUTED_VALUE"""),1.0)</f>
        <v>1</v>
      </c>
      <c r="J8" s="150">
        <f>IFERROR(__xludf.DUMMYFUNCTION("""COMPUTED_VALUE"""),2.0)</f>
        <v>2</v>
      </c>
      <c r="K8" s="150">
        <f>IFERROR(__xludf.DUMMYFUNCTION("""COMPUTED_VALUE"""),20.0)</f>
        <v>20</v>
      </c>
      <c r="L8" s="150">
        <f>IFERROR(__xludf.DUMMYFUNCTION("""COMPUTED_VALUE"""),54.0)</f>
        <v>54</v>
      </c>
      <c r="M8" s="150">
        <f>IFERROR(__xludf.DUMMYFUNCTION("""COMPUTED_VALUE"""),365.0)</f>
        <v>365</v>
      </c>
      <c r="N8" s="150">
        <f>IFERROR(__xludf.DUMMYFUNCTION("""COMPUTED_VALUE"""),385.0)</f>
        <v>385</v>
      </c>
      <c r="O8" s="150">
        <f>IFERROR(__xludf.DUMMYFUNCTION("""COMPUTED_VALUE"""),1.0)</f>
        <v>1</v>
      </c>
      <c r="P8" s="150">
        <f>IFERROR(__xludf.DUMMYFUNCTION("""COMPUTED_VALUE"""),10.0)</f>
        <v>10</v>
      </c>
      <c r="Q8" s="150">
        <f>IFERROR(__xludf.DUMMYFUNCTION("""COMPUTED_VALUE"""),0.0)</f>
        <v>0</v>
      </c>
      <c r="R8" s="150">
        <f>IFERROR(__xludf.DUMMYFUNCTION("""COMPUTED_VALUE"""),1.0)</f>
        <v>1</v>
      </c>
      <c r="S8" s="150">
        <f>IFERROR(__xludf.DUMMYFUNCTION("""COMPUTED_VALUE"""),0.0)</f>
        <v>0</v>
      </c>
      <c r="T8" s="150">
        <f>IFERROR(__xludf.DUMMYFUNCTION("""COMPUTED_VALUE"""),0.0)</f>
        <v>0</v>
      </c>
      <c r="U8" s="150">
        <f>IFERROR(__xludf.DUMMYFUNCTION("""COMPUTED_VALUE"""),9.0)</f>
        <v>9</v>
      </c>
      <c r="V8" s="150">
        <f>IFERROR(__xludf.DUMMYFUNCTION("""COMPUTED_VALUE"""),8.0)</f>
        <v>8</v>
      </c>
      <c r="W8" s="150">
        <f>IFERROR(__xludf.DUMMYFUNCTION("""COMPUTED_VALUE"""),2.0)</f>
        <v>2</v>
      </c>
      <c r="X8" s="150">
        <f>IFERROR(__xludf.DUMMYFUNCTION("""COMPUTED_VALUE"""),1.0)</f>
        <v>1</v>
      </c>
      <c r="Y8" s="150">
        <f>IFERROR(__xludf.DUMMYFUNCTION("""COMPUTED_VALUE"""),0.0)</f>
        <v>0</v>
      </c>
      <c r="Z8" s="150">
        <f>IFERROR(__xludf.DUMMYFUNCTION("""COMPUTED_VALUE"""),0.0)</f>
        <v>0</v>
      </c>
    </row>
    <row r="9">
      <c r="A9" s="207">
        <f>IFERROR(__xludf.DUMMYFUNCTION("""COMPUTED_VALUE"""),43906.0)</f>
        <v>43906</v>
      </c>
      <c r="B9" s="150">
        <f>IFERROR(__xludf.DUMMYFUNCTION("""COMPUTED_VALUE"""),2.0)</f>
        <v>2</v>
      </c>
      <c r="C9" s="150">
        <f>IFERROR(__xludf.DUMMYFUNCTION("""COMPUTED_VALUE"""),1.0)</f>
        <v>1</v>
      </c>
      <c r="D9" s="150">
        <f>IFERROR(__xludf.DUMMYFUNCTION("""COMPUTED_VALUE"""),24.0)</f>
        <v>24</v>
      </c>
      <c r="E9" s="150">
        <f>IFERROR(__xludf.DUMMYFUNCTION("""COMPUTED_VALUE"""),95.0)</f>
        <v>95</v>
      </c>
      <c r="F9" s="150">
        <f>IFERROR(__xludf.DUMMYFUNCTION("""COMPUTED_VALUE"""),474.0)</f>
        <v>474</v>
      </c>
      <c r="G9" s="150">
        <f>IFERROR(__xludf.DUMMYFUNCTION("""COMPUTED_VALUE"""),97.0)</f>
        <v>97</v>
      </c>
      <c r="H9" s="150">
        <f>IFERROR(__xludf.DUMMYFUNCTION("""COMPUTED_VALUE"""),498.0)</f>
        <v>498</v>
      </c>
      <c r="I9" s="150">
        <f>IFERROR(__xludf.DUMMYFUNCTION("""COMPUTED_VALUE"""),2.0)</f>
        <v>2</v>
      </c>
      <c r="J9" s="150">
        <f>IFERROR(__xludf.DUMMYFUNCTION("""COMPUTED_VALUE"""),1.0)</f>
        <v>1</v>
      </c>
      <c r="K9" s="150">
        <f>IFERROR(__xludf.DUMMYFUNCTION("""COMPUTED_VALUE"""),22.0)</f>
        <v>22</v>
      </c>
      <c r="L9" s="150">
        <f>IFERROR(__xludf.DUMMYFUNCTION("""COMPUTED_VALUE"""),92.0)</f>
        <v>92</v>
      </c>
      <c r="M9" s="150">
        <f>IFERROR(__xludf.DUMMYFUNCTION("""COMPUTED_VALUE"""),457.0)</f>
        <v>457</v>
      </c>
      <c r="N9" s="150">
        <f>IFERROR(__xludf.DUMMYFUNCTION("""COMPUTED_VALUE"""),479.0)</f>
        <v>479</v>
      </c>
      <c r="O9" s="150">
        <f>IFERROR(__xludf.DUMMYFUNCTION("""COMPUTED_VALUE"""),2.0)</f>
        <v>2</v>
      </c>
      <c r="P9" s="150">
        <f>IFERROR(__xludf.DUMMYFUNCTION("""COMPUTED_VALUE"""),12.0)</f>
        <v>12</v>
      </c>
      <c r="Q9" s="150">
        <f>IFERROR(__xludf.DUMMYFUNCTION("""COMPUTED_VALUE"""),0.0)</f>
        <v>0</v>
      </c>
      <c r="R9" s="150">
        <f>IFERROR(__xludf.DUMMYFUNCTION("""COMPUTED_VALUE"""),1.0)</f>
        <v>1</v>
      </c>
      <c r="S9" s="150">
        <f>IFERROR(__xludf.DUMMYFUNCTION("""COMPUTED_VALUE"""),0.0)</f>
        <v>0</v>
      </c>
      <c r="T9" s="150">
        <f>IFERROR(__xludf.DUMMYFUNCTION("""COMPUTED_VALUE"""),0.0)</f>
        <v>0</v>
      </c>
      <c r="U9" s="150">
        <f>IFERROR(__xludf.DUMMYFUNCTION("""COMPUTED_VALUE"""),11.0)</f>
        <v>11</v>
      </c>
      <c r="V9" s="150">
        <f>IFERROR(__xludf.DUMMYFUNCTION("""COMPUTED_VALUE"""),9.0)</f>
        <v>9</v>
      </c>
      <c r="W9" s="150">
        <f>IFERROR(__xludf.DUMMYFUNCTION("""COMPUTED_VALUE"""),2.0)</f>
        <v>2</v>
      </c>
      <c r="X9" s="150">
        <f>IFERROR(__xludf.DUMMYFUNCTION("""COMPUTED_VALUE"""),0.0)</f>
        <v>0</v>
      </c>
      <c r="Y9" s="150">
        <f>IFERROR(__xludf.DUMMYFUNCTION("""COMPUTED_VALUE"""),0.0)</f>
        <v>0</v>
      </c>
      <c r="Z9" s="150">
        <f>IFERROR(__xludf.DUMMYFUNCTION("""COMPUTED_VALUE"""),0.0)</f>
        <v>0</v>
      </c>
    </row>
    <row r="10">
      <c r="A10" s="207">
        <f>IFERROR(__xludf.DUMMYFUNCTION("""COMPUTED_VALUE"""),43907.0)</f>
        <v>43907</v>
      </c>
      <c r="B10" s="150">
        <f>IFERROR(__xludf.DUMMYFUNCTION("""COMPUTED_VALUE"""),12.0)</f>
        <v>12</v>
      </c>
      <c r="C10" s="150">
        <f>IFERROR(__xludf.DUMMYFUNCTION("""COMPUTED_VALUE"""),5.0)</f>
        <v>5</v>
      </c>
      <c r="D10" s="150">
        <f>IFERROR(__xludf.DUMMYFUNCTION("""COMPUTED_VALUE"""),36.0)</f>
        <v>36</v>
      </c>
      <c r="E10" s="150">
        <f>IFERROR(__xludf.DUMMYFUNCTION("""COMPUTED_VALUE"""),162.0)</f>
        <v>162</v>
      </c>
      <c r="F10" s="150">
        <f>IFERROR(__xludf.DUMMYFUNCTION("""COMPUTED_VALUE"""),636.0)</f>
        <v>636</v>
      </c>
      <c r="G10" s="150">
        <f>IFERROR(__xludf.DUMMYFUNCTION("""COMPUTED_VALUE"""),174.0)</f>
        <v>174</v>
      </c>
      <c r="H10" s="150">
        <f>IFERROR(__xludf.DUMMYFUNCTION("""COMPUTED_VALUE"""),672.0)</f>
        <v>672</v>
      </c>
      <c r="I10" s="150">
        <f>IFERROR(__xludf.DUMMYFUNCTION("""COMPUTED_VALUE"""),11.0)</f>
        <v>11</v>
      </c>
      <c r="J10" s="150">
        <f>IFERROR(__xludf.DUMMYFUNCTION("""COMPUTED_VALUE"""),5.0)</f>
        <v>5</v>
      </c>
      <c r="K10" s="150">
        <f>IFERROR(__xludf.DUMMYFUNCTION("""COMPUTED_VALUE"""),33.0)</f>
        <v>33</v>
      </c>
      <c r="L10" s="150">
        <f>IFERROR(__xludf.DUMMYFUNCTION("""COMPUTED_VALUE"""),151.0)</f>
        <v>151</v>
      </c>
      <c r="M10" s="150">
        <f>IFERROR(__xludf.DUMMYFUNCTION("""COMPUTED_VALUE"""),608.0)</f>
        <v>608</v>
      </c>
      <c r="N10" s="150">
        <f>IFERROR(__xludf.DUMMYFUNCTION("""COMPUTED_VALUE"""),641.0)</f>
        <v>641</v>
      </c>
      <c r="O10" s="150">
        <f>IFERROR(__xludf.DUMMYFUNCTION("""COMPUTED_VALUE"""),6.0)</f>
        <v>6</v>
      </c>
      <c r="P10" s="150">
        <f>IFERROR(__xludf.DUMMYFUNCTION("""COMPUTED_VALUE"""),18.0)</f>
        <v>18</v>
      </c>
      <c r="Q10" s="150">
        <f>IFERROR(__xludf.DUMMYFUNCTION("""COMPUTED_VALUE"""),0.0)</f>
        <v>0</v>
      </c>
      <c r="R10" s="150">
        <f>IFERROR(__xludf.DUMMYFUNCTION("""COMPUTED_VALUE"""),1.0)</f>
        <v>1</v>
      </c>
      <c r="S10" s="150">
        <f>IFERROR(__xludf.DUMMYFUNCTION("""COMPUTED_VALUE"""),0.0)</f>
        <v>0</v>
      </c>
      <c r="T10" s="150">
        <f>IFERROR(__xludf.DUMMYFUNCTION("""COMPUTED_VALUE"""),0.0)</f>
        <v>0</v>
      </c>
      <c r="U10" s="150">
        <f>IFERROR(__xludf.DUMMYFUNCTION("""COMPUTED_VALUE"""),17.0)</f>
        <v>17</v>
      </c>
      <c r="V10" s="150">
        <f>IFERROR(__xludf.DUMMYFUNCTION("""COMPUTED_VALUE"""),12.0)</f>
        <v>12</v>
      </c>
      <c r="W10" s="150">
        <f>IFERROR(__xludf.DUMMYFUNCTION("""COMPUTED_VALUE"""),2.0)</f>
        <v>2</v>
      </c>
      <c r="X10" s="150">
        <f>IFERROR(__xludf.DUMMYFUNCTION("""COMPUTED_VALUE"""),0.0)</f>
        <v>0</v>
      </c>
      <c r="Y10" s="150">
        <f>IFERROR(__xludf.DUMMYFUNCTION("""COMPUTED_VALUE"""),0.0)</f>
        <v>0</v>
      </c>
      <c r="Z10" s="150">
        <f>IFERROR(__xludf.DUMMYFUNCTION("""COMPUTED_VALUE"""),0.0)</f>
        <v>0</v>
      </c>
    </row>
    <row r="11">
      <c r="A11" s="207">
        <f>IFERROR(__xludf.DUMMYFUNCTION("""COMPUTED_VALUE"""),43908.0)</f>
        <v>43908</v>
      </c>
      <c r="B11" s="150">
        <f>IFERROR(__xludf.DUMMYFUNCTION("""COMPUTED_VALUE"""),9.0)</f>
        <v>9</v>
      </c>
      <c r="C11" s="150">
        <f>IFERROR(__xludf.DUMMYFUNCTION("""COMPUTED_VALUE"""),8.0)</f>
        <v>8</v>
      </c>
      <c r="D11" s="150">
        <f>IFERROR(__xludf.DUMMYFUNCTION("""COMPUTED_VALUE"""),45.0)</f>
        <v>45</v>
      </c>
      <c r="E11" s="150">
        <f>IFERROR(__xludf.DUMMYFUNCTION("""COMPUTED_VALUE"""),116.0)</f>
        <v>116</v>
      </c>
      <c r="F11" s="150">
        <f>IFERROR(__xludf.DUMMYFUNCTION("""COMPUTED_VALUE"""),752.0)</f>
        <v>752</v>
      </c>
      <c r="G11" s="150">
        <f>IFERROR(__xludf.DUMMYFUNCTION("""COMPUTED_VALUE"""),125.0)</f>
        <v>125</v>
      </c>
      <c r="H11" s="150">
        <f>IFERROR(__xludf.DUMMYFUNCTION("""COMPUTED_VALUE"""),797.0)</f>
        <v>797</v>
      </c>
      <c r="I11" s="150">
        <f>IFERROR(__xludf.DUMMYFUNCTION("""COMPUTED_VALUE"""),11.0)</f>
        <v>11</v>
      </c>
      <c r="J11" s="150">
        <f>IFERROR(__xludf.DUMMYFUNCTION("""COMPUTED_VALUE"""),8.0)</f>
        <v>8</v>
      </c>
      <c r="K11" s="150">
        <f>IFERROR(__xludf.DUMMYFUNCTION("""COMPUTED_VALUE"""),44.0)</f>
        <v>44</v>
      </c>
      <c r="L11" s="150">
        <f>IFERROR(__xludf.DUMMYFUNCTION("""COMPUTED_VALUE"""),110.0)</f>
        <v>110</v>
      </c>
      <c r="M11" s="150">
        <f>IFERROR(__xludf.DUMMYFUNCTION("""COMPUTED_VALUE"""),718.0)</f>
        <v>718</v>
      </c>
      <c r="N11" s="150">
        <f>IFERROR(__xludf.DUMMYFUNCTION("""COMPUTED_VALUE"""),762.0)</f>
        <v>762</v>
      </c>
      <c r="O11" s="150">
        <f>IFERROR(__xludf.DUMMYFUNCTION("""COMPUTED_VALUE"""),3.0)</f>
        <v>3</v>
      </c>
      <c r="P11" s="150">
        <f>IFERROR(__xludf.DUMMYFUNCTION("""COMPUTED_VALUE"""),21.0)</f>
        <v>21</v>
      </c>
      <c r="Q11" s="150">
        <f>IFERROR(__xludf.DUMMYFUNCTION("""COMPUTED_VALUE"""),0.0)</f>
        <v>0</v>
      </c>
      <c r="R11" s="150">
        <f>IFERROR(__xludf.DUMMYFUNCTION("""COMPUTED_VALUE"""),1.0)</f>
        <v>1</v>
      </c>
      <c r="S11" s="150">
        <f>IFERROR(__xludf.DUMMYFUNCTION("""COMPUTED_VALUE"""),0.0)</f>
        <v>0</v>
      </c>
      <c r="T11" s="150">
        <f>IFERROR(__xludf.DUMMYFUNCTION("""COMPUTED_VALUE"""),0.0)</f>
        <v>0</v>
      </c>
      <c r="U11" s="150">
        <f>IFERROR(__xludf.DUMMYFUNCTION("""COMPUTED_VALUE"""),20.0)</f>
        <v>20</v>
      </c>
      <c r="V11" s="150">
        <f>IFERROR(__xludf.DUMMYFUNCTION("""COMPUTED_VALUE"""),16.0)</f>
        <v>16</v>
      </c>
      <c r="W11" s="150">
        <f>IFERROR(__xludf.DUMMYFUNCTION("""COMPUTED_VALUE"""),2.0)</f>
        <v>2</v>
      </c>
      <c r="X11" s="150">
        <f>IFERROR(__xludf.DUMMYFUNCTION("""COMPUTED_VALUE"""),0.0)</f>
        <v>0</v>
      </c>
      <c r="Y11" s="150">
        <f>IFERROR(__xludf.DUMMYFUNCTION("""COMPUTED_VALUE"""),0.0)</f>
        <v>0</v>
      </c>
      <c r="Z11" s="150">
        <f>IFERROR(__xludf.DUMMYFUNCTION("""COMPUTED_VALUE"""),0.0)</f>
        <v>0</v>
      </c>
    </row>
    <row r="12">
      <c r="A12" s="207">
        <f>IFERROR(__xludf.DUMMYFUNCTION("""COMPUTED_VALUE"""),43909.0)</f>
        <v>43909</v>
      </c>
      <c r="B12" s="150">
        <f>IFERROR(__xludf.DUMMYFUNCTION("""COMPUTED_VALUE"""),15.0)</f>
        <v>15</v>
      </c>
      <c r="C12" s="150">
        <f>IFERROR(__xludf.DUMMYFUNCTION("""COMPUTED_VALUE"""),12.0)</f>
        <v>12</v>
      </c>
      <c r="D12" s="150">
        <f>IFERROR(__xludf.DUMMYFUNCTION("""COMPUTED_VALUE"""),60.0)</f>
        <v>60</v>
      </c>
      <c r="E12" s="150">
        <f>IFERROR(__xludf.DUMMYFUNCTION("""COMPUTED_VALUE"""),262.0)</f>
        <v>262</v>
      </c>
      <c r="F12" s="150">
        <f>IFERROR(__xludf.DUMMYFUNCTION("""COMPUTED_VALUE"""),1014.0)</f>
        <v>1014</v>
      </c>
      <c r="G12" s="150">
        <f>IFERROR(__xludf.DUMMYFUNCTION("""COMPUTED_VALUE"""),277.0)</f>
        <v>277</v>
      </c>
      <c r="H12" s="150">
        <f>IFERROR(__xludf.DUMMYFUNCTION("""COMPUTED_VALUE"""),1074.0)</f>
        <v>1074</v>
      </c>
      <c r="I12" s="150">
        <f>IFERROR(__xludf.DUMMYFUNCTION("""COMPUTED_VALUE"""),17.0)</f>
        <v>17</v>
      </c>
      <c r="J12" s="150">
        <f>IFERROR(__xludf.DUMMYFUNCTION("""COMPUTED_VALUE"""),13.0)</f>
        <v>13</v>
      </c>
      <c r="K12" s="150">
        <f>IFERROR(__xludf.DUMMYFUNCTION("""COMPUTED_VALUE"""),61.0)</f>
        <v>61</v>
      </c>
      <c r="L12" s="150">
        <f>IFERROR(__xludf.DUMMYFUNCTION("""COMPUTED_VALUE"""),251.0)</f>
        <v>251</v>
      </c>
      <c r="M12" s="150">
        <f>IFERROR(__xludf.DUMMYFUNCTION("""COMPUTED_VALUE"""),969.0)</f>
        <v>969</v>
      </c>
      <c r="N12" s="150">
        <f>IFERROR(__xludf.DUMMYFUNCTION("""COMPUTED_VALUE"""),1030.0)</f>
        <v>1030</v>
      </c>
      <c r="O12" s="150">
        <f>IFERROR(__xludf.DUMMYFUNCTION("""COMPUTED_VALUE"""),2.0)</f>
        <v>2</v>
      </c>
      <c r="P12" s="150">
        <f>IFERROR(__xludf.DUMMYFUNCTION("""COMPUTED_VALUE"""),23.0)</f>
        <v>23</v>
      </c>
      <c r="Q12" s="150">
        <f>IFERROR(__xludf.DUMMYFUNCTION("""COMPUTED_VALUE"""),1.0)</f>
        <v>1</v>
      </c>
      <c r="R12" s="150">
        <f>IFERROR(__xludf.DUMMYFUNCTION("""COMPUTED_VALUE"""),2.0)</f>
        <v>2</v>
      </c>
      <c r="S12" s="150">
        <f>IFERROR(__xludf.DUMMYFUNCTION("""COMPUTED_VALUE"""),0.0)</f>
        <v>0</v>
      </c>
      <c r="T12" s="150">
        <f>IFERROR(__xludf.DUMMYFUNCTION("""COMPUTED_VALUE"""),0.0)</f>
        <v>0</v>
      </c>
      <c r="U12" s="150">
        <f>IFERROR(__xludf.DUMMYFUNCTION("""COMPUTED_VALUE"""),21.0)</f>
        <v>21</v>
      </c>
      <c r="V12" s="150">
        <f>IFERROR(__xludf.DUMMYFUNCTION("""COMPUTED_VALUE"""),19.0)</f>
        <v>19</v>
      </c>
      <c r="W12" s="150">
        <f>IFERROR(__xludf.DUMMYFUNCTION("""COMPUTED_VALUE"""),3.0)</f>
        <v>3</v>
      </c>
      <c r="X12" s="150">
        <f>IFERROR(__xludf.DUMMYFUNCTION("""COMPUTED_VALUE"""),0.0)</f>
        <v>0</v>
      </c>
      <c r="Y12" s="150">
        <f>IFERROR(__xludf.DUMMYFUNCTION("""COMPUTED_VALUE"""),1.0)</f>
        <v>1</v>
      </c>
      <c r="Z12" s="150">
        <f>IFERROR(__xludf.DUMMYFUNCTION("""COMPUTED_VALUE"""),1.0)</f>
        <v>1</v>
      </c>
    </row>
    <row r="13">
      <c r="A13" s="207">
        <f>IFERROR(__xludf.DUMMYFUNCTION("""COMPUTED_VALUE"""),43910.0)</f>
        <v>43910</v>
      </c>
      <c r="B13" s="150">
        <f>IFERROR(__xludf.DUMMYFUNCTION("""COMPUTED_VALUE"""),13.0)</f>
        <v>13</v>
      </c>
      <c r="C13" s="150">
        <f>IFERROR(__xludf.DUMMYFUNCTION("""COMPUTED_VALUE"""),12.0)</f>
        <v>12</v>
      </c>
      <c r="D13" s="150">
        <f>IFERROR(__xludf.DUMMYFUNCTION("""COMPUTED_VALUE"""),73.0)</f>
        <v>73</v>
      </c>
      <c r="E13" s="150">
        <f>IFERROR(__xludf.DUMMYFUNCTION("""COMPUTED_VALUE"""),197.0)</f>
        <v>197</v>
      </c>
      <c r="F13" s="150">
        <f>IFERROR(__xludf.DUMMYFUNCTION("""COMPUTED_VALUE"""),1211.0)</f>
        <v>1211</v>
      </c>
      <c r="G13" s="150">
        <f>IFERROR(__xludf.DUMMYFUNCTION("""COMPUTED_VALUE"""),210.0)</f>
        <v>210</v>
      </c>
      <c r="H13" s="150">
        <f>IFERROR(__xludf.DUMMYFUNCTION("""COMPUTED_VALUE"""),1284.0)</f>
        <v>1284</v>
      </c>
      <c r="I13" s="150">
        <f>IFERROR(__xludf.DUMMYFUNCTION("""COMPUTED_VALUE"""),13.0)</f>
        <v>13</v>
      </c>
      <c r="J13" s="150">
        <f>IFERROR(__xludf.DUMMYFUNCTION("""COMPUTED_VALUE"""),14.0)</f>
        <v>14</v>
      </c>
      <c r="K13" s="150">
        <f>IFERROR(__xludf.DUMMYFUNCTION("""COMPUTED_VALUE"""),74.0)</f>
        <v>74</v>
      </c>
      <c r="L13" s="150">
        <f>IFERROR(__xludf.DUMMYFUNCTION("""COMPUTED_VALUE"""),191.0)</f>
        <v>191</v>
      </c>
      <c r="M13" s="150">
        <f>IFERROR(__xludf.DUMMYFUNCTION("""COMPUTED_VALUE"""),1160.0)</f>
        <v>1160</v>
      </c>
      <c r="N13" s="150">
        <f>IFERROR(__xludf.DUMMYFUNCTION("""COMPUTED_VALUE"""),1234.0)</f>
        <v>1234</v>
      </c>
      <c r="O13" s="150">
        <f>IFERROR(__xludf.DUMMYFUNCTION("""COMPUTED_VALUE"""),5.0)</f>
        <v>5</v>
      </c>
      <c r="P13" s="150">
        <f>IFERROR(__xludf.DUMMYFUNCTION("""COMPUTED_VALUE"""),28.0)</f>
        <v>28</v>
      </c>
      <c r="Q13" s="150">
        <f>IFERROR(__xludf.DUMMYFUNCTION("""COMPUTED_VALUE"""),0.0)</f>
        <v>0</v>
      </c>
      <c r="R13" s="150">
        <f>IFERROR(__xludf.DUMMYFUNCTION("""COMPUTED_VALUE"""),2.0)</f>
        <v>2</v>
      </c>
      <c r="S13" s="150">
        <f>IFERROR(__xludf.DUMMYFUNCTION("""COMPUTED_VALUE"""),0.0)</f>
        <v>0</v>
      </c>
      <c r="T13" s="150">
        <f>IFERROR(__xludf.DUMMYFUNCTION("""COMPUTED_VALUE"""),0.0)</f>
        <v>0</v>
      </c>
      <c r="U13" s="150">
        <f>IFERROR(__xludf.DUMMYFUNCTION("""COMPUTED_VALUE"""),26.0)</f>
        <v>26</v>
      </c>
      <c r="V13" s="150">
        <f>IFERROR(__xludf.DUMMYFUNCTION("""COMPUTED_VALUE"""),22.0)</f>
        <v>22</v>
      </c>
      <c r="W13" s="150">
        <f>IFERROR(__xludf.DUMMYFUNCTION("""COMPUTED_VALUE"""),4.0)</f>
        <v>4</v>
      </c>
      <c r="X13" s="150">
        <f>IFERROR(__xludf.DUMMYFUNCTION("""COMPUTED_VALUE"""),0.0)</f>
        <v>0</v>
      </c>
      <c r="Y13" s="150">
        <f>IFERROR(__xludf.DUMMYFUNCTION("""COMPUTED_VALUE"""),0.0)</f>
        <v>0</v>
      </c>
      <c r="Z13" s="150">
        <f>IFERROR(__xludf.DUMMYFUNCTION("""COMPUTED_VALUE"""),1.0)</f>
        <v>1</v>
      </c>
    </row>
    <row r="14">
      <c r="A14" s="207">
        <f>IFERROR(__xludf.DUMMYFUNCTION("""COMPUTED_VALUE"""),43911.0)</f>
        <v>43911</v>
      </c>
      <c r="B14" s="150">
        <f>IFERROR(__xludf.DUMMYFUNCTION("""COMPUTED_VALUE"""),12.0)</f>
        <v>12</v>
      </c>
      <c r="C14" s="150">
        <f>IFERROR(__xludf.DUMMYFUNCTION("""COMPUTED_VALUE"""),13.0)</f>
        <v>13</v>
      </c>
      <c r="D14" s="150">
        <f>IFERROR(__xludf.DUMMYFUNCTION("""COMPUTED_VALUE"""),85.0)</f>
        <v>85</v>
      </c>
      <c r="E14" s="150">
        <f>IFERROR(__xludf.DUMMYFUNCTION("""COMPUTED_VALUE"""),126.0)</f>
        <v>126</v>
      </c>
      <c r="F14" s="150">
        <f>IFERROR(__xludf.DUMMYFUNCTION("""COMPUTED_VALUE"""),1337.0)</f>
        <v>1337</v>
      </c>
      <c r="G14" s="150">
        <f>IFERROR(__xludf.DUMMYFUNCTION("""COMPUTED_VALUE"""),138.0)</f>
        <v>138</v>
      </c>
      <c r="H14" s="150">
        <f>IFERROR(__xludf.DUMMYFUNCTION("""COMPUTED_VALUE"""),1422.0)</f>
        <v>1422</v>
      </c>
      <c r="I14" s="150">
        <f>IFERROR(__xludf.DUMMYFUNCTION("""COMPUTED_VALUE"""),14.0)</f>
        <v>14</v>
      </c>
      <c r="J14" s="150">
        <f>IFERROR(__xludf.DUMMYFUNCTION("""COMPUTED_VALUE"""),15.0)</f>
        <v>15</v>
      </c>
      <c r="K14" s="150">
        <f>IFERROR(__xludf.DUMMYFUNCTION("""COMPUTED_VALUE"""),88.0)</f>
        <v>88</v>
      </c>
      <c r="L14" s="150">
        <f>IFERROR(__xludf.DUMMYFUNCTION("""COMPUTED_VALUE"""),123.0)</f>
        <v>123</v>
      </c>
      <c r="M14" s="150">
        <f>IFERROR(__xludf.DUMMYFUNCTION("""COMPUTED_VALUE"""),1283.0)</f>
        <v>1283</v>
      </c>
      <c r="N14" s="150">
        <f>IFERROR(__xludf.DUMMYFUNCTION("""COMPUTED_VALUE"""),1371.0)</f>
        <v>1371</v>
      </c>
      <c r="O14" s="150">
        <f>IFERROR(__xludf.DUMMYFUNCTION("""COMPUTED_VALUE"""),3.0)</f>
        <v>3</v>
      </c>
      <c r="P14" s="150">
        <f>IFERROR(__xludf.DUMMYFUNCTION("""COMPUTED_VALUE"""),31.0)</f>
        <v>31</v>
      </c>
      <c r="Q14" s="150">
        <f>IFERROR(__xludf.DUMMYFUNCTION("""COMPUTED_VALUE"""),2.0)</f>
        <v>2</v>
      </c>
      <c r="R14" s="150">
        <f>IFERROR(__xludf.DUMMYFUNCTION("""COMPUTED_VALUE"""),4.0)</f>
        <v>4</v>
      </c>
      <c r="S14" s="150">
        <f>IFERROR(__xludf.DUMMYFUNCTION("""COMPUTED_VALUE"""),0.0)</f>
        <v>0</v>
      </c>
      <c r="T14" s="150">
        <f>IFERROR(__xludf.DUMMYFUNCTION("""COMPUTED_VALUE"""),0.0)</f>
        <v>0</v>
      </c>
      <c r="U14" s="150">
        <f>IFERROR(__xludf.DUMMYFUNCTION("""COMPUTED_VALUE"""),27.0)</f>
        <v>27</v>
      </c>
      <c r="V14" s="150">
        <f>IFERROR(__xludf.DUMMYFUNCTION("""COMPUTED_VALUE"""),25.0)</f>
        <v>25</v>
      </c>
      <c r="W14" s="150">
        <f>IFERROR(__xludf.DUMMYFUNCTION("""COMPUTED_VALUE"""),5.0)</f>
        <v>5</v>
      </c>
      <c r="X14" s="150">
        <f>IFERROR(__xludf.DUMMYFUNCTION("""COMPUTED_VALUE"""),0.0)</f>
        <v>0</v>
      </c>
      <c r="Y14" s="150">
        <f>IFERROR(__xludf.DUMMYFUNCTION("""COMPUTED_VALUE"""),0.0)</f>
        <v>0</v>
      </c>
      <c r="Z14" s="150">
        <f>IFERROR(__xludf.DUMMYFUNCTION("""COMPUTED_VALUE"""),1.0)</f>
        <v>1</v>
      </c>
    </row>
    <row r="15">
      <c r="A15" s="207">
        <f>IFERROR(__xludf.DUMMYFUNCTION("""COMPUTED_VALUE"""),43912.0)</f>
        <v>43912</v>
      </c>
      <c r="B15" s="150">
        <f>IFERROR(__xludf.DUMMYFUNCTION("""COMPUTED_VALUE"""),27.0)</f>
        <v>27</v>
      </c>
      <c r="C15" s="150">
        <f>IFERROR(__xludf.DUMMYFUNCTION("""COMPUTED_VALUE"""),17.0)</f>
        <v>17</v>
      </c>
      <c r="D15" s="150">
        <f>IFERROR(__xludf.DUMMYFUNCTION("""COMPUTED_VALUE"""),112.0)</f>
        <v>112</v>
      </c>
      <c r="E15" s="150">
        <f>IFERROR(__xludf.DUMMYFUNCTION("""COMPUTED_VALUE"""),282.0)</f>
        <v>282</v>
      </c>
      <c r="F15" s="150">
        <f>IFERROR(__xludf.DUMMYFUNCTION("""COMPUTED_VALUE"""),1619.0)</f>
        <v>1619</v>
      </c>
      <c r="G15" s="150">
        <f>IFERROR(__xludf.DUMMYFUNCTION("""COMPUTED_VALUE"""),309.0)</f>
        <v>309</v>
      </c>
      <c r="H15" s="150">
        <f>IFERROR(__xludf.DUMMYFUNCTION("""COMPUTED_VALUE"""),1731.0)</f>
        <v>1731</v>
      </c>
      <c r="I15" s="150">
        <f>IFERROR(__xludf.DUMMYFUNCTION("""COMPUTED_VALUE"""),25.0)</f>
        <v>25</v>
      </c>
      <c r="J15" s="150">
        <f>IFERROR(__xludf.DUMMYFUNCTION("""COMPUTED_VALUE"""),17.0)</f>
        <v>17</v>
      </c>
      <c r="K15" s="150">
        <f>IFERROR(__xludf.DUMMYFUNCTION("""COMPUTED_VALUE"""),113.0)</f>
        <v>113</v>
      </c>
      <c r="L15" s="150">
        <f>IFERROR(__xludf.DUMMYFUNCTION("""COMPUTED_VALUE"""),262.0)</f>
        <v>262</v>
      </c>
      <c r="M15" s="150">
        <f>IFERROR(__xludf.DUMMYFUNCTION("""COMPUTED_VALUE"""),1545.0)</f>
        <v>1545</v>
      </c>
      <c r="N15" s="150">
        <f>IFERROR(__xludf.DUMMYFUNCTION("""COMPUTED_VALUE"""),1658.0)</f>
        <v>1658</v>
      </c>
      <c r="O15" s="150">
        <f>IFERROR(__xludf.DUMMYFUNCTION("""COMPUTED_VALUE"""),2.0)</f>
        <v>2</v>
      </c>
      <c r="P15" s="150">
        <f>IFERROR(__xludf.DUMMYFUNCTION("""COMPUTED_VALUE"""),33.0)</f>
        <v>33</v>
      </c>
      <c r="Q15" s="150">
        <f>IFERROR(__xludf.DUMMYFUNCTION("""COMPUTED_VALUE"""),0.0)</f>
        <v>0</v>
      </c>
      <c r="R15" s="150">
        <f>IFERROR(__xludf.DUMMYFUNCTION("""COMPUTED_VALUE"""),4.0)</f>
        <v>4</v>
      </c>
      <c r="S15" s="150">
        <f>IFERROR(__xludf.DUMMYFUNCTION("""COMPUTED_VALUE"""),0.0)</f>
        <v>0</v>
      </c>
      <c r="T15" s="150">
        <f>IFERROR(__xludf.DUMMYFUNCTION("""COMPUTED_VALUE"""),0.0)</f>
        <v>0</v>
      </c>
      <c r="U15" s="150">
        <f>IFERROR(__xludf.DUMMYFUNCTION("""COMPUTED_VALUE"""),29.0)</f>
        <v>29</v>
      </c>
      <c r="V15" s="150">
        <f>IFERROR(__xludf.DUMMYFUNCTION("""COMPUTED_VALUE"""),27.0)</f>
        <v>27</v>
      </c>
      <c r="W15" s="150">
        <f>IFERROR(__xludf.DUMMYFUNCTION("""COMPUTED_VALUE"""),5.0)</f>
        <v>5</v>
      </c>
      <c r="X15" s="150">
        <f>IFERROR(__xludf.DUMMYFUNCTION("""COMPUTED_VALUE"""),0.0)</f>
        <v>0</v>
      </c>
      <c r="Y15" s="150">
        <f>IFERROR(__xludf.DUMMYFUNCTION("""COMPUTED_VALUE"""),0.0)</f>
        <v>0</v>
      </c>
      <c r="Z15" s="150">
        <f>IFERROR(__xludf.DUMMYFUNCTION("""COMPUTED_VALUE"""),1.0)</f>
        <v>1</v>
      </c>
    </row>
    <row r="16">
      <c r="A16" s="207">
        <f>IFERROR(__xludf.DUMMYFUNCTION("""COMPUTED_VALUE"""),43913.0)</f>
        <v>43913</v>
      </c>
      <c r="B16" s="150">
        <f>IFERROR(__xludf.DUMMYFUNCTION("""COMPUTED_VALUE"""),14.0)</f>
        <v>14</v>
      </c>
      <c r="C16" s="150">
        <f>IFERROR(__xludf.DUMMYFUNCTION("""COMPUTED_VALUE"""),18.0)</f>
        <v>18</v>
      </c>
      <c r="D16" s="150">
        <f>IFERROR(__xludf.DUMMYFUNCTION("""COMPUTED_VALUE"""),126.0)</f>
        <v>126</v>
      </c>
      <c r="E16" s="150">
        <f>IFERROR(__xludf.DUMMYFUNCTION("""COMPUTED_VALUE"""),169.0)</f>
        <v>169</v>
      </c>
      <c r="F16" s="150">
        <f>IFERROR(__xludf.DUMMYFUNCTION("""COMPUTED_VALUE"""),1788.0)</f>
        <v>1788</v>
      </c>
      <c r="G16" s="150">
        <f>IFERROR(__xludf.DUMMYFUNCTION("""COMPUTED_VALUE"""),183.0)</f>
        <v>183</v>
      </c>
      <c r="H16" s="150">
        <f>IFERROR(__xludf.DUMMYFUNCTION("""COMPUTED_VALUE"""),1914.0)</f>
        <v>1914</v>
      </c>
      <c r="I16" s="150">
        <f>IFERROR(__xludf.DUMMYFUNCTION("""COMPUTED_VALUE"""),16.0)</f>
        <v>16</v>
      </c>
      <c r="J16" s="150">
        <f>IFERROR(__xludf.DUMMYFUNCTION("""COMPUTED_VALUE"""),18.0)</f>
        <v>18</v>
      </c>
      <c r="K16" s="150">
        <f>IFERROR(__xludf.DUMMYFUNCTION("""COMPUTED_VALUE"""),129.0)</f>
        <v>129</v>
      </c>
      <c r="L16" s="150">
        <f>IFERROR(__xludf.DUMMYFUNCTION("""COMPUTED_VALUE"""),165.0)</f>
        <v>165</v>
      </c>
      <c r="M16" s="150">
        <f>IFERROR(__xludf.DUMMYFUNCTION("""COMPUTED_VALUE"""),1710.0)</f>
        <v>1710</v>
      </c>
      <c r="N16" s="150">
        <f>IFERROR(__xludf.DUMMYFUNCTION("""COMPUTED_VALUE"""),1839.0)</f>
        <v>1839</v>
      </c>
      <c r="O16" s="150">
        <f>IFERROR(__xludf.DUMMYFUNCTION("""COMPUTED_VALUE"""),15.0)</f>
        <v>15</v>
      </c>
      <c r="P16" s="150">
        <f>IFERROR(__xludf.DUMMYFUNCTION("""COMPUTED_VALUE"""),48.0)</f>
        <v>48</v>
      </c>
      <c r="Q16" s="150">
        <f>IFERROR(__xludf.DUMMYFUNCTION("""COMPUTED_VALUE"""),1.0)</f>
        <v>1</v>
      </c>
      <c r="R16" s="150">
        <f>IFERROR(__xludf.DUMMYFUNCTION("""COMPUTED_VALUE"""),5.0)</f>
        <v>5</v>
      </c>
      <c r="S16" s="150">
        <f>IFERROR(__xludf.DUMMYFUNCTION("""COMPUTED_VALUE"""),0.0)</f>
        <v>0</v>
      </c>
      <c r="T16" s="150">
        <f>IFERROR(__xludf.DUMMYFUNCTION("""COMPUTED_VALUE"""),0.0)</f>
        <v>0</v>
      </c>
      <c r="U16" s="150">
        <f>IFERROR(__xludf.DUMMYFUNCTION("""COMPUTED_VALUE"""),43.0)</f>
        <v>43</v>
      </c>
      <c r="V16" s="150">
        <f>IFERROR(__xludf.DUMMYFUNCTION("""COMPUTED_VALUE"""),33.0)</f>
        <v>33</v>
      </c>
      <c r="W16" s="150">
        <f>IFERROR(__xludf.DUMMYFUNCTION("""COMPUTED_VALUE"""),9.0)</f>
        <v>9</v>
      </c>
      <c r="X16" s="150">
        <f>IFERROR(__xludf.DUMMYFUNCTION("""COMPUTED_VALUE"""),3.0)</f>
        <v>3</v>
      </c>
      <c r="Y16" s="150">
        <f>IFERROR(__xludf.DUMMYFUNCTION("""COMPUTED_VALUE"""),0.0)</f>
        <v>0</v>
      </c>
      <c r="Z16" s="150">
        <f>IFERROR(__xludf.DUMMYFUNCTION("""COMPUTED_VALUE"""),1.0)</f>
        <v>1</v>
      </c>
    </row>
    <row r="17">
      <c r="A17" s="207">
        <f>IFERROR(__xludf.DUMMYFUNCTION("""COMPUTED_VALUE"""),43914.0)</f>
        <v>43914</v>
      </c>
      <c r="B17" s="150">
        <f>IFERROR(__xludf.DUMMYFUNCTION("""COMPUTED_VALUE"""),20.0)</f>
        <v>20</v>
      </c>
      <c r="C17" s="150">
        <f>IFERROR(__xludf.DUMMYFUNCTION("""COMPUTED_VALUE"""),20.0)</f>
        <v>20</v>
      </c>
      <c r="D17" s="150">
        <f>IFERROR(__xludf.DUMMYFUNCTION("""COMPUTED_VALUE"""),146.0)</f>
        <v>146</v>
      </c>
      <c r="E17" s="150">
        <f>IFERROR(__xludf.DUMMYFUNCTION("""COMPUTED_VALUE"""),242.0)</f>
        <v>242</v>
      </c>
      <c r="F17" s="150">
        <f>IFERROR(__xludf.DUMMYFUNCTION("""COMPUTED_VALUE"""),2030.0)</f>
        <v>2030</v>
      </c>
      <c r="G17" s="150">
        <f>IFERROR(__xludf.DUMMYFUNCTION("""COMPUTED_VALUE"""),262.0)</f>
        <v>262</v>
      </c>
      <c r="H17" s="150">
        <f>IFERROR(__xludf.DUMMYFUNCTION("""COMPUTED_VALUE"""),2176.0)</f>
        <v>2176</v>
      </c>
      <c r="I17" s="150">
        <f>IFERROR(__xludf.DUMMYFUNCTION("""COMPUTED_VALUE"""),19.0)</f>
        <v>19</v>
      </c>
      <c r="J17" s="150">
        <f>IFERROR(__xludf.DUMMYFUNCTION("""COMPUTED_VALUE"""),20.0)</f>
        <v>20</v>
      </c>
      <c r="K17" s="150">
        <f>IFERROR(__xludf.DUMMYFUNCTION("""COMPUTED_VALUE"""),148.0)</f>
        <v>148</v>
      </c>
      <c r="L17" s="150">
        <f>IFERROR(__xludf.DUMMYFUNCTION("""COMPUTED_VALUE"""),238.0)</f>
        <v>238</v>
      </c>
      <c r="M17" s="150">
        <f>IFERROR(__xludf.DUMMYFUNCTION("""COMPUTED_VALUE"""),1948.0)</f>
        <v>1948</v>
      </c>
      <c r="N17" s="150">
        <f>IFERROR(__xludf.DUMMYFUNCTION("""COMPUTED_VALUE"""),2096.0)</f>
        <v>2096</v>
      </c>
      <c r="O17" s="150">
        <f>IFERROR(__xludf.DUMMYFUNCTION("""COMPUTED_VALUE"""),7.0)</f>
        <v>7</v>
      </c>
      <c r="P17" s="150">
        <f>IFERROR(__xludf.DUMMYFUNCTION("""COMPUTED_VALUE"""),55.0)</f>
        <v>55</v>
      </c>
      <c r="Q17" s="150">
        <f>IFERROR(__xludf.DUMMYFUNCTION("""COMPUTED_VALUE"""),0.0)</f>
        <v>0</v>
      </c>
      <c r="R17" s="150">
        <f>IFERROR(__xludf.DUMMYFUNCTION("""COMPUTED_VALUE"""),5.0)</f>
        <v>5</v>
      </c>
      <c r="S17" s="150">
        <f>IFERROR(__xludf.DUMMYFUNCTION("""COMPUTED_VALUE"""),0.0)</f>
        <v>0</v>
      </c>
      <c r="T17" s="150">
        <f>IFERROR(__xludf.DUMMYFUNCTION("""COMPUTED_VALUE"""),0.0)</f>
        <v>0</v>
      </c>
      <c r="U17" s="150">
        <f>IFERROR(__xludf.DUMMYFUNCTION("""COMPUTED_VALUE"""),50.0)</f>
        <v>50</v>
      </c>
      <c r="V17" s="150">
        <f>IFERROR(__xludf.DUMMYFUNCTION("""COMPUTED_VALUE"""),41.0)</f>
        <v>41</v>
      </c>
      <c r="W17" s="150">
        <f>IFERROR(__xludf.DUMMYFUNCTION("""COMPUTED_VALUE"""),10.0)</f>
        <v>10</v>
      </c>
      <c r="X17" s="150">
        <f>IFERROR(__xludf.DUMMYFUNCTION("""COMPUTED_VALUE"""),4.0)</f>
        <v>4</v>
      </c>
      <c r="Y17" s="150">
        <f>IFERROR(__xludf.DUMMYFUNCTION("""COMPUTED_VALUE"""),0.0)</f>
        <v>0</v>
      </c>
      <c r="Z17" s="150">
        <f>IFERROR(__xludf.DUMMYFUNCTION("""COMPUTED_VALUE"""),1.0)</f>
        <v>1</v>
      </c>
    </row>
    <row r="18">
      <c r="A18" s="207">
        <f>IFERROR(__xludf.DUMMYFUNCTION("""COMPUTED_VALUE"""),43915.0)</f>
        <v>43915</v>
      </c>
      <c r="B18" s="150">
        <f>IFERROR(__xludf.DUMMYFUNCTION("""COMPUTED_VALUE"""),26.0)</f>
        <v>26</v>
      </c>
      <c r="C18" s="150">
        <f>IFERROR(__xludf.DUMMYFUNCTION("""COMPUTED_VALUE"""),20.0)</f>
        <v>20</v>
      </c>
      <c r="D18" s="150">
        <f>IFERROR(__xludf.DUMMYFUNCTION("""COMPUTED_VALUE"""),172.0)</f>
        <v>172</v>
      </c>
      <c r="E18" s="150">
        <f>IFERROR(__xludf.DUMMYFUNCTION("""COMPUTED_VALUE"""),182.0)</f>
        <v>182</v>
      </c>
      <c r="F18" s="150">
        <f>IFERROR(__xludf.DUMMYFUNCTION("""COMPUTED_VALUE"""),2212.0)</f>
        <v>2212</v>
      </c>
      <c r="G18" s="150">
        <f>IFERROR(__xludf.DUMMYFUNCTION("""COMPUTED_VALUE"""),208.0)</f>
        <v>208</v>
      </c>
      <c r="H18" s="150">
        <f>IFERROR(__xludf.DUMMYFUNCTION("""COMPUTED_VALUE"""),2384.0)</f>
        <v>2384</v>
      </c>
      <c r="I18" s="150">
        <f>IFERROR(__xludf.DUMMYFUNCTION("""COMPUTED_VALUE"""),28.0)</f>
        <v>28</v>
      </c>
      <c r="J18" s="150">
        <f>IFERROR(__xludf.DUMMYFUNCTION("""COMPUTED_VALUE"""),21.0)</f>
        <v>21</v>
      </c>
      <c r="K18" s="150">
        <f>IFERROR(__xludf.DUMMYFUNCTION("""COMPUTED_VALUE"""),176.0)</f>
        <v>176</v>
      </c>
      <c r="L18" s="150">
        <f>IFERROR(__xludf.DUMMYFUNCTION("""COMPUTED_VALUE"""),172.0)</f>
        <v>172</v>
      </c>
      <c r="M18" s="150">
        <f>IFERROR(__xludf.DUMMYFUNCTION("""COMPUTED_VALUE"""),2120.0)</f>
        <v>2120</v>
      </c>
      <c r="N18" s="150">
        <f>IFERROR(__xludf.DUMMYFUNCTION("""COMPUTED_VALUE"""),2296.0)</f>
        <v>2296</v>
      </c>
      <c r="O18" s="150">
        <f>IFERROR(__xludf.DUMMYFUNCTION("""COMPUTED_VALUE"""),5.0)</f>
        <v>5</v>
      </c>
      <c r="P18" s="150">
        <f>IFERROR(__xludf.DUMMYFUNCTION("""COMPUTED_VALUE"""),60.0)</f>
        <v>60</v>
      </c>
      <c r="Q18" s="150">
        <f>IFERROR(__xludf.DUMMYFUNCTION("""COMPUTED_VALUE"""),1.0)</f>
        <v>1</v>
      </c>
      <c r="R18" s="150">
        <f>IFERROR(__xludf.DUMMYFUNCTION("""COMPUTED_VALUE"""),6.0)</f>
        <v>6</v>
      </c>
      <c r="S18" s="150">
        <f>IFERROR(__xludf.DUMMYFUNCTION("""COMPUTED_VALUE"""),0.0)</f>
        <v>0</v>
      </c>
      <c r="T18" s="150">
        <f>IFERROR(__xludf.DUMMYFUNCTION("""COMPUTED_VALUE"""),0.0)</f>
        <v>0</v>
      </c>
      <c r="U18" s="150">
        <f>IFERROR(__xludf.DUMMYFUNCTION("""COMPUTED_VALUE"""),54.0)</f>
        <v>54</v>
      </c>
      <c r="V18" s="150">
        <f>IFERROR(__xludf.DUMMYFUNCTION("""COMPUTED_VALUE"""),49.0)</f>
        <v>49</v>
      </c>
      <c r="W18" s="150">
        <f>IFERROR(__xludf.DUMMYFUNCTION("""COMPUTED_VALUE"""),11.0)</f>
        <v>11</v>
      </c>
      <c r="X18" s="150">
        <f>IFERROR(__xludf.DUMMYFUNCTION("""COMPUTED_VALUE"""),3.0)</f>
        <v>3</v>
      </c>
      <c r="Y18" s="150">
        <f>IFERROR(__xludf.DUMMYFUNCTION("""COMPUTED_VALUE"""),0.0)</f>
        <v>0</v>
      </c>
      <c r="Z18" s="150">
        <f>IFERROR(__xludf.DUMMYFUNCTION("""COMPUTED_VALUE"""),1.0)</f>
        <v>1</v>
      </c>
    </row>
    <row r="19">
      <c r="A19" s="207">
        <f>IFERROR(__xludf.DUMMYFUNCTION("""COMPUTED_VALUE"""),43916.0)</f>
        <v>43916</v>
      </c>
      <c r="B19" s="150">
        <f>IFERROR(__xludf.DUMMYFUNCTION("""COMPUTED_VALUE"""),35.0)</f>
        <v>35</v>
      </c>
      <c r="C19" s="150">
        <f>IFERROR(__xludf.DUMMYFUNCTION("""COMPUTED_VALUE"""),27.0)</f>
        <v>27</v>
      </c>
      <c r="D19" s="150">
        <f>IFERROR(__xludf.DUMMYFUNCTION("""COMPUTED_VALUE"""),207.0)</f>
        <v>207</v>
      </c>
      <c r="E19" s="150">
        <f>IFERROR(__xludf.DUMMYFUNCTION("""COMPUTED_VALUE"""),181.0)</f>
        <v>181</v>
      </c>
      <c r="F19" s="150">
        <f>IFERROR(__xludf.DUMMYFUNCTION("""COMPUTED_VALUE"""),2393.0)</f>
        <v>2393</v>
      </c>
      <c r="G19" s="150">
        <f>IFERROR(__xludf.DUMMYFUNCTION("""COMPUTED_VALUE"""),216.0)</f>
        <v>216</v>
      </c>
      <c r="H19" s="150">
        <f>IFERROR(__xludf.DUMMYFUNCTION("""COMPUTED_VALUE"""),2600.0)</f>
        <v>2600</v>
      </c>
      <c r="I19" s="150">
        <f>IFERROR(__xludf.DUMMYFUNCTION("""COMPUTED_VALUE"""),41.0)</f>
        <v>41</v>
      </c>
      <c r="J19" s="150">
        <f>IFERROR(__xludf.DUMMYFUNCTION("""COMPUTED_VALUE"""),29.0)</f>
        <v>29</v>
      </c>
      <c r="K19" s="150">
        <f>IFERROR(__xludf.DUMMYFUNCTION("""COMPUTED_VALUE"""),217.0)</f>
        <v>217</v>
      </c>
      <c r="L19" s="150">
        <f>IFERROR(__xludf.DUMMYFUNCTION("""COMPUTED_VALUE"""),176.0)</f>
        <v>176</v>
      </c>
      <c r="M19" s="150">
        <f>IFERROR(__xludf.DUMMYFUNCTION("""COMPUTED_VALUE"""),2296.0)</f>
        <v>2296</v>
      </c>
      <c r="N19" s="150">
        <f>IFERROR(__xludf.DUMMYFUNCTION("""COMPUTED_VALUE"""),2513.0)</f>
        <v>2513</v>
      </c>
      <c r="O19" s="150">
        <f>IFERROR(__xludf.DUMMYFUNCTION("""COMPUTED_VALUE"""),10.0)</f>
        <v>10</v>
      </c>
      <c r="P19" s="150">
        <f>IFERROR(__xludf.DUMMYFUNCTION("""COMPUTED_VALUE"""),70.0)</f>
        <v>70</v>
      </c>
      <c r="Q19" s="150">
        <f>IFERROR(__xludf.DUMMYFUNCTION("""COMPUTED_VALUE"""),5.0)</f>
        <v>5</v>
      </c>
      <c r="R19" s="150">
        <f>IFERROR(__xludf.DUMMYFUNCTION("""COMPUTED_VALUE"""),11.0)</f>
        <v>11</v>
      </c>
      <c r="S19" s="150">
        <f>IFERROR(__xludf.DUMMYFUNCTION("""COMPUTED_VALUE"""),0.0)</f>
        <v>0</v>
      </c>
      <c r="T19" s="150">
        <f>IFERROR(__xludf.DUMMYFUNCTION("""COMPUTED_VALUE"""),0.0)</f>
        <v>0</v>
      </c>
      <c r="U19" s="150">
        <f>IFERROR(__xludf.DUMMYFUNCTION("""COMPUTED_VALUE"""),59.0)</f>
        <v>59</v>
      </c>
      <c r="V19" s="150">
        <f>IFERROR(__xludf.DUMMYFUNCTION("""COMPUTED_VALUE"""),54.0)</f>
        <v>54</v>
      </c>
      <c r="W19" s="150">
        <f>IFERROR(__xludf.DUMMYFUNCTION("""COMPUTED_VALUE"""),14.0)</f>
        <v>14</v>
      </c>
      <c r="X19" s="150">
        <f>IFERROR(__xludf.DUMMYFUNCTION("""COMPUTED_VALUE"""),5.0)</f>
        <v>5</v>
      </c>
      <c r="Y19" s="150">
        <f>IFERROR(__xludf.DUMMYFUNCTION("""COMPUTED_VALUE"""),0.0)</f>
        <v>0</v>
      </c>
      <c r="Z19" s="150">
        <f>IFERROR(__xludf.DUMMYFUNCTION("""COMPUTED_VALUE"""),1.0)</f>
        <v>1</v>
      </c>
    </row>
    <row r="20">
      <c r="A20" s="207">
        <f>IFERROR(__xludf.DUMMYFUNCTION("""COMPUTED_VALUE"""),43917.0)</f>
        <v>43917</v>
      </c>
      <c r="B20" s="150">
        <f>IFERROR(__xludf.DUMMYFUNCTION("""COMPUTED_VALUE"""),27.0)</f>
        <v>27</v>
      </c>
      <c r="C20" s="150">
        <f>IFERROR(__xludf.DUMMYFUNCTION("""COMPUTED_VALUE"""),29.0)</f>
        <v>29</v>
      </c>
      <c r="D20" s="150">
        <f>IFERROR(__xludf.DUMMYFUNCTION("""COMPUTED_VALUE"""),234.0)</f>
        <v>234</v>
      </c>
      <c r="E20" s="150">
        <f>IFERROR(__xludf.DUMMYFUNCTION("""COMPUTED_VALUE"""),214.0)</f>
        <v>214</v>
      </c>
      <c r="F20" s="150">
        <f>IFERROR(__xludf.DUMMYFUNCTION("""COMPUTED_VALUE"""),2607.0)</f>
        <v>2607</v>
      </c>
      <c r="G20" s="150">
        <f>IFERROR(__xludf.DUMMYFUNCTION("""COMPUTED_VALUE"""),241.0)</f>
        <v>241</v>
      </c>
      <c r="H20" s="150">
        <f>IFERROR(__xludf.DUMMYFUNCTION("""COMPUTED_VALUE"""),2841.0)</f>
        <v>2841</v>
      </c>
      <c r="I20" s="150">
        <f>IFERROR(__xludf.DUMMYFUNCTION("""COMPUTED_VALUE"""),31.0)</f>
        <v>31</v>
      </c>
      <c r="J20" s="150">
        <f>IFERROR(__xludf.DUMMYFUNCTION("""COMPUTED_VALUE"""),33.0)</f>
        <v>33</v>
      </c>
      <c r="K20" s="150">
        <f>IFERROR(__xludf.DUMMYFUNCTION("""COMPUTED_VALUE"""),248.0)</f>
        <v>248</v>
      </c>
      <c r="L20" s="150">
        <f>IFERROR(__xludf.DUMMYFUNCTION("""COMPUTED_VALUE"""),202.0)</f>
        <v>202</v>
      </c>
      <c r="M20" s="150">
        <f>IFERROR(__xludf.DUMMYFUNCTION("""COMPUTED_VALUE"""),2498.0)</f>
        <v>2498</v>
      </c>
      <c r="N20" s="150">
        <f>IFERROR(__xludf.DUMMYFUNCTION("""COMPUTED_VALUE"""),2746.0)</f>
        <v>2746</v>
      </c>
      <c r="O20" s="150">
        <f>IFERROR(__xludf.DUMMYFUNCTION("""COMPUTED_VALUE"""),9.0)</f>
        <v>9</v>
      </c>
      <c r="P20" s="150">
        <f>IFERROR(__xludf.DUMMYFUNCTION("""COMPUTED_VALUE"""),79.0)</f>
        <v>79</v>
      </c>
      <c r="Q20" s="150">
        <f>IFERROR(__xludf.DUMMYFUNCTION("""COMPUTED_VALUE"""),1.0)</f>
        <v>1</v>
      </c>
      <c r="R20" s="150">
        <f>IFERROR(__xludf.DUMMYFUNCTION("""COMPUTED_VALUE"""),12.0)</f>
        <v>12</v>
      </c>
      <c r="S20" s="150">
        <f>IFERROR(__xludf.DUMMYFUNCTION("""COMPUTED_VALUE"""),1.0)</f>
        <v>1</v>
      </c>
      <c r="T20" s="150">
        <f>IFERROR(__xludf.DUMMYFUNCTION("""COMPUTED_VALUE"""),1.0)</f>
        <v>1</v>
      </c>
      <c r="U20" s="150">
        <f>IFERROR(__xludf.DUMMYFUNCTION("""COMPUTED_VALUE"""),66.0)</f>
        <v>66</v>
      </c>
      <c r="V20" s="150">
        <f>IFERROR(__xludf.DUMMYFUNCTION("""COMPUTED_VALUE"""),60.0)</f>
        <v>60</v>
      </c>
      <c r="W20" s="150">
        <f>IFERROR(__xludf.DUMMYFUNCTION("""COMPUTED_VALUE"""),17.0)</f>
        <v>17</v>
      </c>
      <c r="X20" s="150">
        <f>IFERROR(__xludf.DUMMYFUNCTION("""COMPUTED_VALUE"""),6.0)</f>
        <v>6</v>
      </c>
      <c r="Y20" s="150">
        <f>IFERROR(__xludf.DUMMYFUNCTION("""COMPUTED_VALUE"""),2.0)</f>
        <v>2</v>
      </c>
      <c r="Z20" s="150">
        <f>IFERROR(__xludf.DUMMYFUNCTION("""COMPUTED_VALUE"""),3.0)</f>
        <v>3</v>
      </c>
    </row>
    <row r="21">
      <c r="A21" s="207">
        <f>IFERROR(__xludf.DUMMYFUNCTION("""COMPUTED_VALUE"""),43918.0)</f>
        <v>43918</v>
      </c>
      <c r="B21" s="150">
        <f>IFERROR(__xludf.DUMMYFUNCTION("""COMPUTED_VALUE"""),59.0)</f>
        <v>59</v>
      </c>
      <c r="C21" s="150">
        <f>IFERROR(__xludf.DUMMYFUNCTION("""COMPUTED_VALUE"""),40.0)</f>
        <v>40</v>
      </c>
      <c r="D21" s="150">
        <f>IFERROR(__xludf.DUMMYFUNCTION("""COMPUTED_VALUE"""),293.0)</f>
        <v>293</v>
      </c>
      <c r="E21" s="150">
        <f>IFERROR(__xludf.DUMMYFUNCTION("""COMPUTED_VALUE"""),260.0)</f>
        <v>260</v>
      </c>
      <c r="F21" s="150">
        <f>IFERROR(__xludf.DUMMYFUNCTION("""COMPUTED_VALUE"""),2867.0)</f>
        <v>2867</v>
      </c>
      <c r="G21" s="150">
        <f>IFERROR(__xludf.DUMMYFUNCTION("""COMPUTED_VALUE"""),319.0)</f>
        <v>319</v>
      </c>
      <c r="H21" s="150">
        <f>IFERROR(__xludf.DUMMYFUNCTION("""COMPUTED_VALUE"""),3160.0)</f>
        <v>3160</v>
      </c>
      <c r="I21" s="150">
        <f>IFERROR(__xludf.DUMMYFUNCTION("""COMPUTED_VALUE"""),63.0)</f>
        <v>63</v>
      </c>
      <c r="J21" s="150">
        <f>IFERROR(__xludf.DUMMYFUNCTION("""COMPUTED_VALUE"""),45.0)</f>
        <v>45</v>
      </c>
      <c r="K21" s="150">
        <f>IFERROR(__xludf.DUMMYFUNCTION("""COMPUTED_VALUE"""),311.0)</f>
        <v>311</v>
      </c>
      <c r="L21" s="150">
        <f>IFERROR(__xludf.DUMMYFUNCTION("""COMPUTED_VALUE"""),241.0)</f>
        <v>241</v>
      </c>
      <c r="M21" s="150">
        <f>IFERROR(__xludf.DUMMYFUNCTION("""COMPUTED_VALUE"""),2739.0)</f>
        <v>2739</v>
      </c>
      <c r="N21" s="150">
        <f>IFERROR(__xludf.DUMMYFUNCTION("""COMPUTED_VALUE"""),3050.0)</f>
        <v>3050</v>
      </c>
      <c r="O21" s="150">
        <f>IFERROR(__xludf.DUMMYFUNCTION("""COMPUTED_VALUE"""),13.0)</f>
        <v>13</v>
      </c>
      <c r="P21" s="150">
        <f>IFERROR(__xludf.DUMMYFUNCTION("""COMPUTED_VALUE"""),92.0)</f>
        <v>92</v>
      </c>
      <c r="Q21" s="150">
        <f>IFERROR(__xludf.DUMMYFUNCTION("""COMPUTED_VALUE"""),3.0)</f>
        <v>3</v>
      </c>
      <c r="R21" s="150">
        <f>IFERROR(__xludf.DUMMYFUNCTION("""COMPUTED_VALUE"""),15.0)</f>
        <v>15</v>
      </c>
      <c r="S21" s="150">
        <f>IFERROR(__xludf.DUMMYFUNCTION("""COMPUTED_VALUE"""),2.0)</f>
        <v>2</v>
      </c>
      <c r="T21" s="150">
        <f>IFERROR(__xludf.DUMMYFUNCTION("""COMPUTED_VALUE"""),3.0)</f>
        <v>3</v>
      </c>
      <c r="U21" s="150">
        <f>IFERROR(__xludf.DUMMYFUNCTION("""COMPUTED_VALUE"""),74.0)</f>
        <v>74</v>
      </c>
      <c r="V21" s="150">
        <f>IFERROR(__xludf.DUMMYFUNCTION("""COMPUTED_VALUE"""),66.0)</f>
        <v>66</v>
      </c>
      <c r="W21" s="150">
        <f>IFERROR(__xludf.DUMMYFUNCTION("""COMPUTED_VALUE"""),15.0)</f>
        <v>15</v>
      </c>
      <c r="X21" s="150">
        <f>IFERROR(__xludf.DUMMYFUNCTION("""COMPUTED_VALUE"""),6.0)</f>
        <v>6</v>
      </c>
      <c r="Y21" s="150">
        <f>IFERROR(__xludf.DUMMYFUNCTION("""COMPUTED_VALUE"""),1.0)</f>
        <v>1</v>
      </c>
      <c r="Z21" s="150">
        <f>IFERROR(__xludf.DUMMYFUNCTION("""COMPUTED_VALUE"""),4.0)</f>
        <v>4</v>
      </c>
    </row>
    <row r="22">
      <c r="A22" s="207">
        <f>IFERROR(__xludf.DUMMYFUNCTION("""COMPUTED_VALUE"""),43919.0)</f>
        <v>43919</v>
      </c>
      <c r="B22" s="150">
        <f>IFERROR(__xludf.DUMMYFUNCTION("""COMPUTED_VALUE"""),100.0)</f>
        <v>100</v>
      </c>
      <c r="C22" s="150">
        <f>IFERROR(__xludf.DUMMYFUNCTION("""COMPUTED_VALUE"""),62.0)</f>
        <v>62</v>
      </c>
      <c r="D22" s="150">
        <f>IFERROR(__xludf.DUMMYFUNCTION("""COMPUTED_VALUE"""),393.0)</f>
        <v>393</v>
      </c>
      <c r="E22" s="150">
        <f>IFERROR(__xludf.DUMMYFUNCTION("""COMPUTED_VALUE"""),350.0)</f>
        <v>350</v>
      </c>
      <c r="F22" s="150">
        <f>IFERROR(__xludf.DUMMYFUNCTION("""COMPUTED_VALUE"""),3217.0)</f>
        <v>3217</v>
      </c>
      <c r="G22" s="150">
        <f>IFERROR(__xludf.DUMMYFUNCTION("""COMPUTED_VALUE"""),450.0)</f>
        <v>450</v>
      </c>
      <c r="H22" s="150">
        <f>IFERROR(__xludf.DUMMYFUNCTION("""COMPUTED_VALUE"""),3610.0)</f>
        <v>3610</v>
      </c>
      <c r="I22" s="150">
        <f>IFERROR(__xludf.DUMMYFUNCTION("""COMPUTED_VALUE"""),105.0)</f>
        <v>105</v>
      </c>
      <c r="J22" s="150">
        <f>IFERROR(__xludf.DUMMYFUNCTION("""COMPUTED_VALUE"""),66.0)</f>
        <v>66</v>
      </c>
      <c r="K22" s="150">
        <f>IFERROR(__xludf.DUMMYFUNCTION("""COMPUTED_VALUE"""),416.0)</f>
        <v>416</v>
      </c>
      <c r="L22" s="150">
        <f>IFERROR(__xludf.DUMMYFUNCTION("""COMPUTED_VALUE"""),314.0)</f>
        <v>314</v>
      </c>
      <c r="M22" s="150">
        <f>IFERROR(__xludf.DUMMYFUNCTION("""COMPUTED_VALUE"""),3053.0)</f>
        <v>3053</v>
      </c>
      <c r="N22" s="150">
        <f>IFERROR(__xludf.DUMMYFUNCTION("""COMPUTED_VALUE"""),3469.0)</f>
        <v>3469</v>
      </c>
      <c r="O22" s="150">
        <f>IFERROR(__xludf.DUMMYFUNCTION("""COMPUTED_VALUE"""),8.0)</f>
        <v>8</v>
      </c>
      <c r="P22" s="150">
        <f>IFERROR(__xludf.DUMMYFUNCTION("""COMPUTED_VALUE"""),100.0)</f>
        <v>100</v>
      </c>
      <c r="Q22" s="150">
        <f>IFERROR(__xludf.DUMMYFUNCTION("""COMPUTED_VALUE"""),4.0)</f>
        <v>4</v>
      </c>
      <c r="R22" s="150">
        <f>IFERROR(__xludf.DUMMYFUNCTION("""COMPUTED_VALUE"""),19.0)</f>
        <v>19</v>
      </c>
      <c r="S22" s="150">
        <f>IFERROR(__xludf.DUMMYFUNCTION("""COMPUTED_VALUE"""),1.0)</f>
        <v>1</v>
      </c>
      <c r="T22" s="150">
        <f>IFERROR(__xludf.DUMMYFUNCTION("""COMPUTED_VALUE"""),4.0)</f>
        <v>4</v>
      </c>
      <c r="U22" s="150">
        <f>IFERROR(__xludf.DUMMYFUNCTION("""COMPUTED_VALUE"""),77.0)</f>
        <v>77</v>
      </c>
      <c r="V22" s="150">
        <f>IFERROR(__xludf.DUMMYFUNCTION("""COMPUTED_VALUE"""),72.0)</f>
        <v>72</v>
      </c>
      <c r="W22" s="150">
        <f>IFERROR(__xludf.DUMMYFUNCTION("""COMPUTED_VALUE"""),18.0)</f>
        <v>18</v>
      </c>
      <c r="X22" s="150">
        <f>IFERROR(__xludf.DUMMYFUNCTION("""COMPUTED_VALUE"""),8.0)</f>
        <v>8</v>
      </c>
      <c r="Y22" s="150">
        <f>IFERROR(__xludf.DUMMYFUNCTION("""COMPUTED_VALUE"""),2.0)</f>
        <v>2</v>
      </c>
      <c r="Z22" s="150">
        <f>IFERROR(__xludf.DUMMYFUNCTION("""COMPUTED_VALUE"""),6.0)</f>
        <v>6</v>
      </c>
    </row>
    <row r="23">
      <c r="A23" s="207">
        <f>IFERROR(__xludf.DUMMYFUNCTION("""COMPUTED_VALUE"""),43920.0)</f>
        <v>43920</v>
      </c>
      <c r="B23" s="150">
        <f>IFERROR(__xludf.DUMMYFUNCTION("""COMPUTED_VALUE"""),62.0)</f>
        <v>62</v>
      </c>
      <c r="C23" s="150">
        <f>IFERROR(__xludf.DUMMYFUNCTION("""COMPUTED_VALUE"""),74.0)</f>
        <v>74</v>
      </c>
      <c r="D23" s="150">
        <f>IFERROR(__xludf.DUMMYFUNCTION("""COMPUTED_VALUE"""),455.0)</f>
        <v>455</v>
      </c>
      <c r="E23" s="150">
        <f>IFERROR(__xludf.DUMMYFUNCTION("""COMPUTED_VALUE"""),222.0)</f>
        <v>222</v>
      </c>
      <c r="F23" s="150">
        <f>IFERROR(__xludf.DUMMYFUNCTION("""COMPUTED_VALUE"""),3439.0)</f>
        <v>3439</v>
      </c>
      <c r="G23" s="150">
        <f>IFERROR(__xludf.DUMMYFUNCTION("""COMPUTED_VALUE"""),284.0)</f>
        <v>284</v>
      </c>
      <c r="H23" s="150">
        <f>IFERROR(__xludf.DUMMYFUNCTION("""COMPUTED_VALUE"""),3894.0)</f>
        <v>3894</v>
      </c>
      <c r="I23" s="150">
        <f>IFERROR(__xludf.DUMMYFUNCTION("""COMPUTED_VALUE"""),78.0)</f>
        <v>78</v>
      </c>
      <c r="J23" s="150">
        <f>IFERROR(__xludf.DUMMYFUNCTION("""COMPUTED_VALUE"""),82.0)</f>
        <v>82</v>
      </c>
      <c r="K23" s="150">
        <f>IFERROR(__xludf.DUMMYFUNCTION("""COMPUTED_VALUE"""),494.0)</f>
        <v>494</v>
      </c>
      <c r="L23" s="150">
        <f>IFERROR(__xludf.DUMMYFUNCTION("""COMPUTED_VALUE"""),184.0)</f>
        <v>184</v>
      </c>
      <c r="M23" s="150">
        <f>IFERROR(__xludf.DUMMYFUNCTION("""COMPUTED_VALUE"""),3237.0)</f>
        <v>3237</v>
      </c>
      <c r="N23" s="150">
        <f>IFERROR(__xludf.DUMMYFUNCTION("""COMPUTED_VALUE"""),3731.0)</f>
        <v>3731</v>
      </c>
      <c r="O23" s="150">
        <f>IFERROR(__xludf.DUMMYFUNCTION("""COMPUTED_VALUE"""),20.0)</f>
        <v>20</v>
      </c>
      <c r="P23" s="150">
        <f>IFERROR(__xludf.DUMMYFUNCTION("""COMPUTED_VALUE"""),120.0)</f>
        <v>120</v>
      </c>
      <c r="Q23" s="150">
        <f>IFERROR(__xludf.DUMMYFUNCTION("""COMPUTED_VALUE"""),5.0)</f>
        <v>5</v>
      </c>
      <c r="R23" s="150">
        <f>IFERROR(__xludf.DUMMYFUNCTION("""COMPUTED_VALUE"""),24.0)</f>
        <v>24</v>
      </c>
      <c r="S23" s="150">
        <f>IFERROR(__xludf.DUMMYFUNCTION("""COMPUTED_VALUE"""),0.0)</f>
        <v>0</v>
      </c>
      <c r="T23" s="150">
        <f>IFERROR(__xludf.DUMMYFUNCTION("""COMPUTED_VALUE"""),4.0)</f>
        <v>4</v>
      </c>
      <c r="U23" s="150">
        <f>IFERROR(__xludf.DUMMYFUNCTION("""COMPUTED_VALUE"""),92.0)</f>
        <v>92</v>
      </c>
      <c r="V23" s="150">
        <f>IFERROR(__xludf.DUMMYFUNCTION("""COMPUTED_VALUE"""),81.0)</f>
        <v>81</v>
      </c>
      <c r="W23" s="150">
        <f>IFERROR(__xludf.DUMMYFUNCTION("""COMPUTED_VALUE"""),20.0)</f>
        <v>20</v>
      </c>
      <c r="X23" s="150">
        <f>IFERROR(__xludf.DUMMYFUNCTION("""COMPUTED_VALUE"""),11.0)</f>
        <v>11</v>
      </c>
      <c r="Y23" s="150">
        <f>IFERROR(__xludf.DUMMYFUNCTION("""COMPUTED_VALUE"""),3.0)</f>
        <v>3</v>
      </c>
      <c r="Z23" s="150">
        <f>IFERROR(__xludf.DUMMYFUNCTION("""COMPUTED_VALUE"""),9.0)</f>
        <v>9</v>
      </c>
    </row>
    <row r="24">
      <c r="A24" s="207">
        <f>IFERROR(__xludf.DUMMYFUNCTION("""COMPUTED_VALUE"""),43921.0)</f>
        <v>43921</v>
      </c>
      <c r="B24" s="150">
        <f>IFERROR(__xludf.DUMMYFUNCTION("""COMPUTED_VALUE"""),71.0)</f>
        <v>71</v>
      </c>
      <c r="C24" s="150">
        <f>IFERROR(__xludf.DUMMYFUNCTION("""COMPUTED_VALUE"""),78.0)</f>
        <v>78</v>
      </c>
      <c r="D24" s="150">
        <f>IFERROR(__xludf.DUMMYFUNCTION("""COMPUTED_VALUE"""),526.0)</f>
        <v>526</v>
      </c>
      <c r="E24" s="150">
        <f>IFERROR(__xludf.DUMMYFUNCTION("""COMPUTED_VALUE"""),369.0)</f>
        <v>369</v>
      </c>
      <c r="F24" s="150">
        <f>IFERROR(__xludf.DUMMYFUNCTION("""COMPUTED_VALUE"""),3808.0)</f>
        <v>3808</v>
      </c>
      <c r="G24" s="150">
        <f>IFERROR(__xludf.DUMMYFUNCTION("""COMPUTED_VALUE"""),440.0)</f>
        <v>440</v>
      </c>
      <c r="H24" s="150">
        <f>IFERROR(__xludf.DUMMYFUNCTION("""COMPUTED_VALUE"""),4334.0)</f>
        <v>4334</v>
      </c>
      <c r="I24" s="150">
        <f>IFERROR(__xludf.DUMMYFUNCTION("""COMPUTED_VALUE"""),73.0)</f>
        <v>73</v>
      </c>
      <c r="J24" s="150">
        <f>IFERROR(__xludf.DUMMYFUNCTION("""COMPUTED_VALUE"""),85.0)</f>
        <v>85</v>
      </c>
      <c r="K24" s="150">
        <f>IFERROR(__xludf.DUMMYFUNCTION("""COMPUTED_VALUE"""),567.0)</f>
        <v>567</v>
      </c>
      <c r="L24" s="150">
        <f>IFERROR(__xludf.DUMMYFUNCTION("""COMPUTED_VALUE"""),297.0)</f>
        <v>297</v>
      </c>
      <c r="M24" s="150">
        <f>IFERROR(__xludf.DUMMYFUNCTION("""COMPUTED_VALUE"""),3534.0)</f>
        <v>3534</v>
      </c>
      <c r="N24" s="150">
        <f>IFERROR(__xludf.DUMMYFUNCTION("""COMPUTED_VALUE"""),4101.0)</f>
        <v>4101</v>
      </c>
      <c r="O24" s="150">
        <f>IFERROR(__xludf.DUMMYFUNCTION("""COMPUTED_VALUE"""),11.0)</f>
        <v>11</v>
      </c>
      <c r="P24" s="150">
        <f>IFERROR(__xludf.DUMMYFUNCTION("""COMPUTED_VALUE"""),131.0)</f>
        <v>131</v>
      </c>
      <c r="Q24" s="150">
        <f>IFERROR(__xludf.DUMMYFUNCTION("""COMPUTED_VALUE"""),7.0)</f>
        <v>7</v>
      </c>
      <c r="R24" s="150">
        <f>IFERROR(__xludf.DUMMYFUNCTION("""COMPUTED_VALUE"""),31.0)</f>
        <v>31</v>
      </c>
      <c r="S24" s="150">
        <f>IFERROR(__xludf.DUMMYFUNCTION("""COMPUTED_VALUE"""),1.0)</f>
        <v>1</v>
      </c>
      <c r="T24" s="150">
        <f>IFERROR(__xludf.DUMMYFUNCTION("""COMPUTED_VALUE"""),5.0)</f>
        <v>5</v>
      </c>
      <c r="U24" s="150">
        <f>IFERROR(__xludf.DUMMYFUNCTION("""COMPUTED_VALUE"""),95.0)</f>
        <v>95</v>
      </c>
      <c r="V24" s="150">
        <f>IFERROR(__xludf.DUMMYFUNCTION("""COMPUTED_VALUE"""),88.0)</f>
        <v>88</v>
      </c>
      <c r="W24" s="150">
        <f>IFERROR(__xludf.DUMMYFUNCTION("""COMPUTED_VALUE"""),22.0)</f>
        <v>22</v>
      </c>
      <c r="X24" s="150">
        <f>IFERROR(__xludf.DUMMYFUNCTION("""COMPUTED_VALUE"""),13.0)</f>
        <v>13</v>
      </c>
      <c r="Y24" s="150">
        <f>IFERROR(__xludf.DUMMYFUNCTION("""COMPUTED_VALUE"""),2.0)</f>
        <v>2</v>
      </c>
      <c r="Z24" s="150">
        <f>IFERROR(__xludf.DUMMYFUNCTION("""COMPUTED_VALUE"""),11.0)</f>
        <v>11</v>
      </c>
    </row>
    <row r="25">
      <c r="A25" s="207">
        <f>IFERROR(__xludf.DUMMYFUNCTION("""COMPUTED_VALUE"""),43922.0)</f>
        <v>43922</v>
      </c>
      <c r="B25" s="150">
        <f>IFERROR(__xludf.DUMMYFUNCTION("""COMPUTED_VALUE"""),99.0)</f>
        <v>99</v>
      </c>
      <c r="C25" s="150">
        <f>IFERROR(__xludf.DUMMYFUNCTION("""COMPUTED_VALUE"""),77.0)</f>
        <v>77</v>
      </c>
      <c r="D25" s="150">
        <f>IFERROR(__xludf.DUMMYFUNCTION("""COMPUTED_VALUE"""),625.0)</f>
        <v>625</v>
      </c>
      <c r="E25" s="150">
        <f>IFERROR(__xludf.DUMMYFUNCTION("""COMPUTED_VALUE"""),698.0)</f>
        <v>698</v>
      </c>
      <c r="F25" s="150">
        <f>IFERROR(__xludf.DUMMYFUNCTION("""COMPUTED_VALUE"""),4506.0)</f>
        <v>4506</v>
      </c>
      <c r="G25" s="150">
        <f>IFERROR(__xludf.DUMMYFUNCTION("""COMPUTED_VALUE"""),797.0)</f>
        <v>797</v>
      </c>
      <c r="H25" s="150">
        <f>IFERROR(__xludf.DUMMYFUNCTION("""COMPUTED_VALUE"""),5131.0)</f>
        <v>5131</v>
      </c>
      <c r="I25" s="150">
        <f>IFERROR(__xludf.DUMMYFUNCTION("""COMPUTED_VALUE"""),102.0)</f>
        <v>102</v>
      </c>
      <c r="J25" s="150">
        <f>IFERROR(__xludf.DUMMYFUNCTION("""COMPUTED_VALUE"""),84.0)</f>
        <v>84</v>
      </c>
      <c r="K25" s="150">
        <f>IFERROR(__xludf.DUMMYFUNCTION("""COMPUTED_VALUE"""),669.0)</f>
        <v>669</v>
      </c>
      <c r="L25" s="150">
        <f>IFERROR(__xludf.DUMMYFUNCTION("""COMPUTED_VALUE"""),641.0)</f>
        <v>641</v>
      </c>
      <c r="M25" s="150">
        <f>IFERROR(__xludf.DUMMYFUNCTION("""COMPUTED_VALUE"""),4175.0)</f>
        <v>4175</v>
      </c>
      <c r="N25" s="150">
        <f>IFERROR(__xludf.DUMMYFUNCTION("""COMPUTED_VALUE"""),4844.0)</f>
        <v>4844</v>
      </c>
      <c r="O25" s="150">
        <f>IFERROR(__xludf.DUMMYFUNCTION("""COMPUTED_VALUE"""),18.0)</f>
        <v>18</v>
      </c>
      <c r="P25" s="150">
        <f>IFERROR(__xludf.DUMMYFUNCTION("""COMPUTED_VALUE"""),149.0)</f>
        <v>149</v>
      </c>
      <c r="Q25" s="150">
        <f>IFERROR(__xludf.DUMMYFUNCTION("""COMPUTED_VALUE"""),7.0)</f>
        <v>7</v>
      </c>
      <c r="R25" s="150">
        <f>IFERROR(__xludf.DUMMYFUNCTION("""COMPUTED_VALUE"""),38.0)</f>
        <v>38</v>
      </c>
      <c r="S25" s="150">
        <f>IFERROR(__xludf.DUMMYFUNCTION("""COMPUTED_VALUE"""),0.0)</f>
        <v>0</v>
      </c>
      <c r="T25" s="150">
        <f>IFERROR(__xludf.DUMMYFUNCTION("""COMPUTED_VALUE"""),5.0)</f>
        <v>5</v>
      </c>
      <c r="U25" s="150">
        <f>IFERROR(__xludf.DUMMYFUNCTION("""COMPUTED_VALUE"""),106.0)</f>
        <v>106</v>
      </c>
      <c r="V25" s="150">
        <f>IFERROR(__xludf.DUMMYFUNCTION("""COMPUTED_VALUE"""),98.0)</f>
        <v>98</v>
      </c>
      <c r="W25" s="150">
        <f>IFERROR(__xludf.DUMMYFUNCTION("""COMPUTED_VALUE"""),30.0)</f>
        <v>30</v>
      </c>
      <c r="X25" s="150">
        <f>IFERROR(__xludf.DUMMYFUNCTION("""COMPUTED_VALUE"""),15.0)</f>
        <v>15</v>
      </c>
      <c r="Y25" s="150">
        <f>IFERROR(__xludf.DUMMYFUNCTION("""COMPUTED_VALUE"""),1.0)</f>
        <v>1</v>
      </c>
      <c r="Z25" s="150">
        <f>IFERROR(__xludf.DUMMYFUNCTION("""COMPUTED_VALUE"""),12.0)</f>
        <v>12</v>
      </c>
    </row>
    <row r="26">
      <c r="A26" s="207">
        <f>IFERROR(__xludf.DUMMYFUNCTION("""COMPUTED_VALUE"""),43923.0)</f>
        <v>43923</v>
      </c>
      <c r="B26" s="150">
        <f>IFERROR(__xludf.DUMMYFUNCTION("""COMPUTED_VALUE"""),52.0)</f>
        <v>52</v>
      </c>
      <c r="C26" s="150">
        <f>IFERROR(__xludf.DUMMYFUNCTION("""COMPUTED_VALUE"""),74.0)</f>
        <v>74</v>
      </c>
      <c r="D26" s="150">
        <f>IFERROR(__xludf.DUMMYFUNCTION("""COMPUTED_VALUE"""),677.0)</f>
        <v>677</v>
      </c>
      <c r="E26" s="150">
        <f>IFERROR(__xludf.DUMMYFUNCTION("""COMPUTED_VALUE"""),477.0)</f>
        <v>477</v>
      </c>
      <c r="F26" s="150">
        <f>IFERROR(__xludf.DUMMYFUNCTION("""COMPUTED_VALUE"""),4983.0)</f>
        <v>4983</v>
      </c>
      <c r="G26" s="150">
        <f>IFERROR(__xludf.DUMMYFUNCTION("""COMPUTED_VALUE"""),529.0)</f>
        <v>529</v>
      </c>
      <c r="H26" s="150">
        <f>IFERROR(__xludf.DUMMYFUNCTION("""COMPUTED_VALUE"""),5660.0)</f>
        <v>5660</v>
      </c>
      <c r="I26" s="150">
        <f>IFERROR(__xludf.DUMMYFUNCTION("""COMPUTED_VALUE"""),62.0)</f>
        <v>62</v>
      </c>
      <c r="J26" s="150">
        <f>IFERROR(__xludf.DUMMYFUNCTION("""COMPUTED_VALUE"""),79.0)</f>
        <v>79</v>
      </c>
      <c r="K26" s="150">
        <f>IFERROR(__xludf.DUMMYFUNCTION("""COMPUTED_VALUE"""),731.0)</f>
        <v>731</v>
      </c>
      <c r="L26" s="150">
        <f>IFERROR(__xludf.DUMMYFUNCTION("""COMPUTED_VALUE"""),436.0)</f>
        <v>436</v>
      </c>
      <c r="M26" s="150">
        <f>IFERROR(__xludf.DUMMYFUNCTION("""COMPUTED_VALUE"""),4611.0)</f>
        <v>4611</v>
      </c>
      <c r="N26" s="150">
        <f>IFERROR(__xludf.DUMMYFUNCTION("""COMPUTED_VALUE"""),5342.0)</f>
        <v>5342</v>
      </c>
      <c r="O26" s="150">
        <f>IFERROR(__xludf.DUMMYFUNCTION("""COMPUTED_VALUE"""),22.0)</f>
        <v>22</v>
      </c>
      <c r="P26" s="150">
        <f>IFERROR(__xludf.DUMMYFUNCTION("""COMPUTED_VALUE"""),171.0)</f>
        <v>171</v>
      </c>
      <c r="Q26" s="150">
        <f>IFERROR(__xludf.DUMMYFUNCTION("""COMPUTED_VALUE"""),6.0)</f>
        <v>6</v>
      </c>
      <c r="R26" s="150">
        <f>IFERROR(__xludf.DUMMYFUNCTION("""COMPUTED_VALUE"""),44.0)</f>
        <v>44</v>
      </c>
      <c r="S26" s="150">
        <f>IFERROR(__xludf.DUMMYFUNCTION("""COMPUTED_VALUE"""),2.0)</f>
        <v>2</v>
      </c>
      <c r="T26" s="150">
        <f>IFERROR(__xludf.DUMMYFUNCTION("""COMPUTED_VALUE"""),7.0)</f>
        <v>7</v>
      </c>
      <c r="U26" s="150">
        <f>IFERROR(__xludf.DUMMYFUNCTION("""COMPUTED_VALUE"""),120.0)</f>
        <v>120</v>
      </c>
      <c r="V26" s="150">
        <f>IFERROR(__xludf.DUMMYFUNCTION("""COMPUTED_VALUE"""),107.0)</f>
        <v>107</v>
      </c>
      <c r="W26" s="150">
        <f>IFERROR(__xludf.DUMMYFUNCTION("""COMPUTED_VALUE"""),36.0)</f>
        <v>36</v>
      </c>
      <c r="X26" s="150">
        <f>IFERROR(__xludf.DUMMYFUNCTION("""COMPUTED_VALUE"""),21.0)</f>
        <v>21</v>
      </c>
      <c r="Y26" s="150">
        <f>IFERROR(__xludf.DUMMYFUNCTION("""COMPUTED_VALUE"""),4.0)</f>
        <v>4</v>
      </c>
      <c r="Z26" s="150">
        <f>IFERROR(__xludf.DUMMYFUNCTION("""COMPUTED_VALUE"""),16.0)</f>
        <v>16</v>
      </c>
    </row>
    <row r="27">
      <c r="A27" s="207">
        <f>IFERROR(__xludf.DUMMYFUNCTION("""COMPUTED_VALUE"""),43924.0)</f>
        <v>43924</v>
      </c>
      <c r="B27" s="150">
        <f>IFERROR(__xludf.DUMMYFUNCTION("""COMPUTED_VALUE"""),108.0)</f>
        <v>108</v>
      </c>
      <c r="C27" s="150">
        <f>IFERROR(__xludf.DUMMYFUNCTION("""COMPUTED_VALUE"""),86.0)</f>
        <v>86</v>
      </c>
      <c r="D27" s="150">
        <f>IFERROR(__xludf.DUMMYFUNCTION("""COMPUTED_VALUE"""),785.0)</f>
        <v>785</v>
      </c>
      <c r="E27" s="150">
        <f>IFERROR(__xludf.DUMMYFUNCTION("""COMPUTED_VALUE"""),774.0)</f>
        <v>774</v>
      </c>
      <c r="F27" s="150">
        <f>IFERROR(__xludf.DUMMYFUNCTION("""COMPUTED_VALUE"""),5757.0)</f>
        <v>5757</v>
      </c>
      <c r="G27" s="150">
        <f>IFERROR(__xludf.DUMMYFUNCTION("""COMPUTED_VALUE"""),882.0)</f>
        <v>882</v>
      </c>
      <c r="H27" s="150">
        <f>IFERROR(__xludf.DUMMYFUNCTION("""COMPUTED_VALUE"""),6542.0)</f>
        <v>6542</v>
      </c>
      <c r="I27" s="150">
        <f>IFERROR(__xludf.DUMMYFUNCTION("""COMPUTED_VALUE"""),100.0)</f>
        <v>100</v>
      </c>
      <c r="J27" s="150">
        <f>IFERROR(__xludf.DUMMYFUNCTION("""COMPUTED_VALUE"""),88.0)</f>
        <v>88</v>
      </c>
      <c r="K27" s="150">
        <f>IFERROR(__xludf.DUMMYFUNCTION("""COMPUTED_VALUE"""),831.0)</f>
        <v>831</v>
      </c>
      <c r="L27" s="150">
        <f>IFERROR(__xludf.DUMMYFUNCTION("""COMPUTED_VALUE"""),712.0)</f>
        <v>712</v>
      </c>
      <c r="M27" s="150">
        <f>IFERROR(__xludf.DUMMYFUNCTION("""COMPUTED_VALUE"""),5323.0)</f>
        <v>5323</v>
      </c>
      <c r="N27" s="150">
        <f>IFERROR(__xludf.DUMMYFUNCTION("""COMPUTED_VALUE"""),6154.0)</f>
        <v>6154</v>
      </c>
      <c r="O27" s="150">
        <f>IFERROR(__xludf.DUMMYFUNCTION("""COMPUTED_VALUE"""),23.0)</f>
        <v>23</v>
      </c>
      <c r="P27" s="150">
        <f>IFERROR(__xludf.DUMMYFUNCTION("""COMPUTED_VALUE"""),194.0)</f>
        <v>194</v>
      </c>
      <c r="Q27" s="150">
        <f>IFERROR(__xludf.DUMMYFUNCTION("""COMPUTED_VALUE"""),7.0)</f>
        <v>7</v>
      </c>
      <c r="R27" s="150">
        <f>IFERROR(__xludf.DUMMYFUNCTION("""COMPUTED_VALUE"""),51.0)</f>
        <v>51</v>
      </c>
      <c r="S27" s="150">
        <f>IFERROR(__xludf.DUMMYFUNCTION("""COMPUTED_VALUE"""),0.0)</f>
        <v>0</v>
      </c>
      <c r="T27" s="150">
        <f>IFERROR(__xludf.DUMMYFUNCTION("""COMPUTED_VALUE"""),7.0)</f>
        <v>7</v>
      </c>
      <c r="U27" s="150">
        <f>IFERROR(__xludf.DUMMYFUNCTION("""COMPUTED_VALUE"""),136.0)</f>
        <v>136</v>
      </c>
      <c r="V27" s="150">
        <f>IFERROR(__xludf.DUMMYFUNCTION("""COMPUTED_VALUE"""),121.0)</f>
        <v>121</v>
      </c>
      <c r="W27" s="150">
        <f>IFERROR(__xludf.DUMMYFUNCTION("""COMPUTED_VALUE"""),43.0)</f>
        <v>43</v>
      </c>
      <c r="X27" s="150">
        <f>IFERROR(__xludf.DUMMYFUNCTION("""COMPUTED_VALUE"""),25.0)</f>
        <v>25</v>
      </c>
      <c r="Y27" s="150">
        <f>IFERROR(__xludf.DUMMYFUNCTION("""COMPUTED_VALUE"""),3.0)</f>
        <v>3</v>
      </c>
      <c r="Z27" s="150">
        <f>IFERROR(__xludf.DUMMYFUNCTION("""COMPUTED_VALUE"""),19.0)</f>
        <v>19</v>
      </c>
    </row>
    <row r="28">
      <c r="A28" s="207">
        <f>IFERROR(__xludf.DUMMYFUNCTION("""COMPUTED_VALUE"""),43925.0)</f>
        <v>43925</v>
      </c>
      <c r="B28" s="150">
        <f>IFERROR(__xludf.DUMMYFUNCTION("""COMPUTED_VALUE"""),143.0)</f>
        <v>143</v>
      </c>
      <c r="C28" s="150">
        <f>IFERROR(__xludf.DUMMYFUNCTION("""COMPUTED_VALUE"""),101.0)</f>
        <v>101</v>
      </c>
      <c r="D28" s="150">
        <f>IFERROR(__xludf.DUMMYFUNCTION("""COMPUTED_VALUE"""),928.0)</f>
        <v>928</v>
      </c>
      <c r="E28" s="150">
        <f>IFERROR(__xludf.DUMMYFUNCTION("""COMPUTED_VALUE"""),660.0)</f>
        <v>660</v>
      </c>
      <c r="F28" s="150">
        <f>IFERROR(__xludf.DUMMYFUNCTION("""COMPUTED_VALUE"""),6417.0)</f>
        <v>6417</v>
      </c>
      <c r="G28" s="150">
        <f>IFERROR(__xludf.DUMMYFUNCTION("""COMPUTED_VALUE"""),803.0)</f>
        <v>803</v>
      </c>
      <c r="H28" s="150">
        <f>IFERROR(__xludf.DUMMYFUNCTION("""COMPUTED_VALUE"""),7345.0)</f>
        <v>7345</v>
      </c>
      <c r="I28" s="150">
        <f>IFERROR(__xludf.DUMMYFUNCTION("""COMPUTED_VALUE"""),137.0)</f>
        <v>137</v>
      </c>
      <c r="J28" s="150">
        <f>IFERROR(__xludf.DUMMYFUNCTION("""COMPUTED_VALUE"""),100.0)</f>
        <v>100</v>
      </c>
      <c r="K28" s="150">
        <f>IFERROR(__xludf.DUMMYFUNCTION("""COMPUTED_VALUE"""),968.0)</f>
        <v>968</v>
      </c>
      <c r="L28" s="150">
        <f>IFERROR(__xludf.DUMMYFUNCTION("""COMPUTED_VALUE"""),618.0)</f>
        <v>618</v>
      </c>
      <c r="M28" s="150">
        <f>IFERROR(__xludf.DUMMYFUNCTION("""COMPUTED_VALUE"""),5941.0)</f>
        <v>5941</v>
      </c>
      <c r="N28" s="150">
        <f>IFERROR(__xludf.DUMMYFUNCTION("""COMPUTED_VALUE"""),6909.0)</f>
        <v>6909</v>
      </c>
      <c r="O28" s="150">
        <f>IFERROR(__xludf.DUMMYFUNCTION("""COMPUTED_VALUE"""),22.0)</f>
        <v>22</v>
      </c>
      <c r="P28" s="150">
        <f>IFERROR(__xludf.DUMMYFUNCTION("""COMPUTED_VALUE"""),216.0)</f>
        <v>216</v>
      </c>
      <c r="Q28" s="150">
        <f>IFERROR(__xludf.DUMMYFUNCTION("""COMPUTED_VALUE"""),4.0)</f>
        <v>4</v>
      </c>
      <c r="R28" s="150">
        <f>IFERROR(__xludf.DUMMYFUNCTION("""COMPUTED_VALUE"""),55.0)</f>
        <v>55</v>
      </c>
      <c r="S28" s="150">
        <f>IFERROR(__xludf.DUMMYFUNCTION("""COMPUTED_VALUE"""),5.0)</f>
        <v>5</v>
      </c>
      <c r="T28" s="150">
        <f>IFERROR(__xludf.DUMMYFUNCTION("""COMPUTED_VALUE"""),12.0)</f>
        <v>12</v>
      </c>
      <c r="U28" s="150">
        <f>IFERROR(__xludf.DUMMYFUNCTION("""COMPUTED_VALUE"""),149.0)</f>
        <v>149</v>
      </c>
      <c r="V28" s="150">
        <f>IFERROR(__xludf.DUMMYFUNCTION("""COMPUTED_VALUE"""),135.0)</f>
        <v>135</v>
      </c>
      <c r="W28" s="150">
        <f>IFERROR(__xludf.DUMMYFUNCTION("""COMPUTED_VALUE"""),41.0)</f>
        <v>41</v>
      </c>
      <c r="X28" s="150">
        <f>IFERROR(__xludf.DUMMYFUNCTION("""COMPUTED_VALUE"""),30.0)</f>
        <v>30</v>
      </c>
      <c r="Y28" s="150">
        <f>IFERROR(__xludf.DUMMYFUNCTION("""COMPUTED_VALUE"""),9.0)</f>
        <v>9</v>
      </c>
      <c r="Z28" s="150">
        <f>IFERROR(__xludf.DUMMYFUNCTION("""COMPUTED_VALUE"""),28.0)</f>
        <v>28</v>
      </c>
    </row>
    <row r="29">
      <c r="A29" s="207">
        <f>IFERROR(__xludf.DUMMYFUNCTION("""COMPUTED_VALUE"""),43926.0)</f>
        <v>43926</v>
      </c>
      <c r="B29" s="150">
        <f>IFERROR(__xludf.DUMMYFUNCTION("""COMPUTED_VALUE"""),187.0)</f>
        <v>187</v>
      </c>
      <c r="C29" s="150">
        <f>IFERROR(__xludf.DUMMYFUNCTION("""COMPUTED_VALUE"""),146.0)</f>
        <v>146</v>
      </c>
      <c r="D29" s="150">
        <f>IFERROR(__xludf.DUMMYFUNCTION("""COMPUTED_VALUE"""),1115.0)</f>
        <v>1115</v>
      </c>
      <c r="E29" s="150">
        <f>IFERROR(__xludf.DUMMYFUNCTION("""COMPUTED_VALUE"""),1156.0)</f>
        <v>1156</v>
      </c>
      <c r="F29" s="150">
        <f>IFERROR(__xludf.DUMMYFUNCTION("""COMPUTED_VALUE"""),7573.0)</f>
        <v>7573</v>
      </c>
      <c r="G29" s="150">
        <f>IFERROR(__xludf.DUMMYFUNCTION("""COMPUTED_VALUE"""),1343.0)</f>
        <v>1343</v>
      </c>
      <c r="H29" s="150">
        <f>IFERROR(__xludf.DUMMYFUNCTION("""COMPUTED_VALUE"""),8688.0)</f>
        <v>8688</v>
      </c>
      <c r="I29" s="150">
        <f>IFERROR(__xludf.DUMMYFUNCTION("""COMPUTED_VALUE"""),182.0)</f>
        <v>182</v>
      </c>
      <c r="J29" s="150">
        <f>IFERROR(__xludf.DUMMYFUNCTION("""COMPUTED_VALUE"""),140.0)</f>
        <v>140</v>
      </c>
      <c r="K29" s="150">
        <f>IFERROR(__xludf.DUMMYFUNCTION("""COMPUTED_VALUE"""),1150.0)</f>
        <v>1150</v>
      </c>
      <c r="L29" s="150">
        <f>IFERROR(__xludf.DUMMYFUNCTION("""COMPUTED_VALUE"""),1069.0)</f>
        <v>1069</v>
      </c>
      <c r="M29" s="150">
        <f>IFERROR(__xludf.DUMMYFUNCTION("""COMPUTED_VALUE"""),7010.0)</f>
        <v>7010</v>
      </c>
      <c r="N29" s="150">
        <f>IFERROR(__xludf.DUMMYFUNCTION("""COMPUTED_VALUE"""),8160.0)</f>
        <v>8160</v>
      </c>
      <c r="O29" s="150">
        <f>IFERROR(__xludf.DUMMYFUNCTION("""COMPUTED_VALUE"""),20.0)</f>
        <v>20</v>
      </c>
      <c r="P29" s="150">
        <f>IFERROR(__xludf.DUMMYFUNCTION("""COMPUTED_VALUE"""),236.0)</f>
        <v>236</v>
      </c>
      <c r="Q29" s="150">
        <f>IFERROR(__xludf.DUMMYFUNCTION("""COMPUTED_VALUE"""),9.0)</f>
        <v>9</v>
      </c>
      <c r="R29" s="150">
        <f>IFERROR(__xludf.DUMMYFUNCTION("""COMPUTED_VALUE"""),64.0)</f>
        <v>64</v>
      </c>
      <c r="S29" s="150">
        <f>IFERROR(__xludf.DUMMYFUNCTION("""COMPUTED_VALUE"""),1.0)</f>
        <v>1</v>
      </c>
      <c r="T29" s="150">
        <f>IFERROR(__xludf.DUMMYFUNCTION("""COMPUTED_VALUE"""),13.0)</f>
        <v>13</v>
      </c>
      <c r="U29" s="150">
        <f>IFERROR(__xludf.DUMMYFUNCTION("""COMPUTED_VALUE"""),159.0)</f>
        <v>159</v>
      </c>
      <c r="V29" s="150">
        <f>IFERROR(__xludf.DUMMYFUNCTION("""COMPUTED_VALUE"""),148.0)</f>
        <v>148</v>
      </c>
      <c r="W29" s="150">
        <f>IFERROR(__xludf.DUMMYFUNCTION("""COMPUTED_VALUE"""),44.0)</f>
        <v>44</v>
      </c>
      <c r="X29" s="150">
        <f>IFERROR(__xludf.DUMMYFUNCTION("""COMPUTED_VALUE"""),36.0)</f>
        <v>36</v>
      </c>
      <c r="Y29" s="150">
        <f>IFERROR(__xludf.DUMMYFUNCTION("""COMPUTED_VALUE"""),2.0)</f>
        <v>2</v>
      </c>
      <c r="Z29" s="150">
        <f>IFERROR(__xludf.DUMMYFUNCTION("""COMPUTED_VALUE"""),30.0)</f>
        <v>30</v>
      </c>
    </row>
    <row r="30">
      <c r="A30" s="207">
        <f>IFERROR(__xludf.DUMMYFUNCTION("""COMPUTED_VALUE"""),43927.0)</f>
        <v>43927</v>
      </c>
      <c r="B30" s="150">
        <f>IFERROR(__xludf.DUMMYFUNCTION("""COMPUTED_VALUE"""),218.0)</f>
        <v>218</v>
      </c>
      <c r="C30" s="150">
        <f>IFERROR(__xludf.DUMMYFUNCTION("""COMPUTED_VALUE"""),183.0)</f>
        <v>183</v>
      </c>
      <c r="D30" s="150">
        <f>IFERROR(__xludf.DUMMYFUNCTION("""COMPUTED_VALUE"""),1333.0)</f>
        <v>1333</v>
      </c>
      <c r="E30" s="150">
        <f>IFERROR(__xludf.DUMMYFUNCTION("""COMPUTED_VALUE"""),1706.0)</f>
        <v>1706</v>
      </c>
      <c r="F30" s="150">
        <f>IFERROR(__xludf.DUMMYFUNCTION("""COMPUTED_VALUE"""),9279.0)</f>
        <v>9279</v>
      </c>
      <c r="G30" s="150">
        <f>IFERROR(__xludf.DUMMYFUNCTION("""COMPUTED_VALUE"""),1924.0)</f>
        <v>1924</v>
      </c>
      <c r="H30" s="150">
        <f>IFERROR(__xludf.DUMMYFUNCTION("""COMPUTED_VALUE"""),10612.0)</f>
        <v>10612</v>
      </c>
      <c r="I30" s="150">
        <f>IFERROR(__xludf.DUMMYFUNCTION("""COMPUTED_VALUE"""),206.0)</f>
        <v>206</v>
      </c>
      <c r="J30" s="150">
        <f>IFERROR(__xludf.DUMMYFUNCTION("""COMPUTED_VALUE"""),175.0)</f>
        <v>175</v>
      </c>
      <c r="K30" s="150">
        <f>IFERROR(__xludf.DUMMYFUNCTION("""COMPUTED_VALUE"""),1356.0)</f>
        <v>1356</v>
      </c>
      <c r="L30" s="150">
        <f>IFERROR(__xludf.DUMMYFUNCTION("""COMPUTED_VALUE"""),1555.0)</f>
        <v>1555</v>
      </c>
      <c r="M30" s="150">
        <f>IFERROR(__xludf.DUMMYFUNCTION("""COMPUTED_VALUE"""),8565.0)</f>
        <v>8565</v>
      </c>
      <c r="N30" s="150">
        <f>IFERROR(__xludf.DUMMYFUNCTION("""COMPUTED_VALUE"""),9921.0)</f>
        <v>9921</v>
      </c>
      <c r="O30" s="150">
        <f>IFERROR(__xludf.DUMMYFUNCTION("""COMPUTED_VALUE"""),26.0)</f>
        <v>26</v>
      </c>
      <c r="P30" s="150">
        <f>IFERROR(__xludf.DUMMYFUNCTION("""COMPUTED_VALUE"""),262.0)</f>
        <v>262</v>
      </c>
      <c r="Q30" s="150">
        <f>IFERROR(__xludf.DUMMYFUNCTION("""COMPUTED_VALUE"""),7.0)</f>
        <v>7</v>
      </c>
      <c r="R30" s="150">
        <f>IFERROR(__xludf.DUMMYFUNCTION("""COMPUTED_VALUE"""),71.0)</f>
        <v>71</v>
      </c>
      <c r="S30" s="150">
        <f>IFERROR(__xludf.DUMMYFUNCTION("""COMPUTED_VALUE"""),0.0)</f>
        <v>0</v>
      </c>
      <c r="T30" s="150">
        <f>IFERROR(__xludf.DUMMYFUNCTION("""COMPUTED_VALUE"""),13.0)</f>
        <v>13</v>
      </c>
      <c r="U30" s="150">
        <f>IFERROR(__xludf.DUMMYFUNCTION("""COMPUTED_VALUE"""),178.0)</f>
        <v>178</v>
      </c>
      <c r="V30" s="150">
        <f>IFERROR(__xludf.DUMMYFUNCTION("""COMPUTED_VALUE"""),162.0)</f>
        <v>162</v>
      </c>
      <c r="W30" s="150">
        <f>IFERROR(__xludf.DUMMYFUNCTION("""COMPUTED_VALUE"""),48.0)</f>
        <v>48</v>
      </c>
      <c r="X30" s="150">
        <f>IFERROR(__xludf.DUMMYFUNCTION("""COMPUTED_VALUE"""),40.0)</f>
        <v>40</v>
      </c>
      <c r="Y30" s="150">
        <f>IFERROR(__xludf.DUMMYFUNCTION("""COMPUTED_VALUE"""),7.0)</f>
        <v>7</v>
      </c>
      <c r="Z30" s="150">
        <f>IFERROR(__xludf.DUMMYFUNCTION("""COMPUTED_VALUE"""),37.0)</f>
        <v>37</v>
      </c>
    </row>
    <row r="31">
      <c r="A31" s="207">
        <f>IFERROR(__xludf.DUMMYFUNCTION("""COMPUTED_VALUE"""),43928.0)</f>
        <v>43928</v>
      </c>
      <c r="B31" s="150">
        <f>IFERROR(__xludf.DUMMYFUNCTION("""COMPUTED_VALUE"""),284.0)</f>
        <v>284</v>
      </c>
      <c r="C31" s="150">
        <f>IFERROR(__xludf.DUMMYFUNCTION("""COMPUTED_VALUE"""),230.0)</f>
        <v>230</v>
      </c>
      <c r="D31" s="150">
        <f>IFERROR(__xludf.DUMMYFUNCTION("""COMPUTED_VALUE"""),1617.0)</f>
        <v>1617</v>
      </c>
      <c r="E31" s="150">
        <f>IFERROR(__xludf.DUMMYFUNCTION("""COMPUTED_VALUE"""),1629.0)</f>
        <v>1629</v>
      </c>
      <c r="F31" s="150">
        <f>IFERROR(__xludf.DUMMYFUNCTION("""COMPUTED_VALUE"""),10908.0)</f>
        <v>10908</v>
      </c>
      <c r="G31" s="150">
        <f>IFERROR(__xludf.DUMMYFUNCTION("""COMPUTED_VALUE"""),1913.0)</f>
        <v>1913</v>
      </c>
      <c r="H31" s="150">
        <f>IFERROR(__xludf.DUMMYFUNCTION("""COMPUTED_VALUE"""),12525.0)</f>
        <v>12525</v>
      </c>
      <c r="I31" s="150">
        <f>IFERROR(__xludf.DUMMYFUNCTION("""COMPUTED_VALUE"""),261.0)</f>
        <v>261</v>
      </c>
      <c r="J31" s="150">
        <f>IFERROR(__xludf.DUMMYFUNCTION("""COMPUTED_VALUE"""),216.0)</f>
        <v>216</v>
      </c>
      <c r="K31" s="150">
        <f>IFERROR(__xludf.DUMMYFUNCTION("""COMPUTED_VALUE"""),1617.0)</f>
        <v>1617</v>
      </c>
      <c r="L31" s="150">
        <f>IFERROR(__xludf.DUMMYFUNCTION("""COMPUTED_VALUE"""),1481.0)</f>
        <v>1481</v>
      </c>
      <c r="M31" s="150">
        <f>IFERROR(__xludf.DUMMYFUNCTION("""COMPUTED_VALUE"""),10046.0)</f>
        <v>10046</v>
      </c>
      <c r="N31" s="150">
        <f>IFERROR(__xludf.DUMMYFUNCTION("""COMPUTED_VALUE"""),11663.0)</f>
        <v>11663</v>
      </c>
      <c r="O31" s="150">
        <f>IFERROR(__xludf.DUMMYFUNCTION("""COMPUTED_VALUE"""),20.0)</f>
        <v>20</v>
      </c>
      <c r="P31" s="150">
        <f>IFERROR(__xludf.DUMMYFUNCTION("""COMPUTED_VALUE"""),282.0)</f>
        <v>282</v>
      </c>
      <c r="Q31" s="150">
        <f>IFERROR(__xludf.DUMMYFUNCTION("""COMPUTED_VALUE"""),5.0)</f>
        <v>5</v>
      </c>
      <c r="R31" s="150">
        <f>IFERROR(__xludf.DUMMYFUNCTION("""COMPUTED_VALUE"""),76.0)</f>
        <v>76</v>
      </c>
      <c r="S31" s="150">
        <f>IFERROR(__xludf.DUMMYFUNCTION("""COMPUTED_VALUE"""),2.0)</f>
        <v>2</v>
      </c>
      <c r="T31" s="150">
        <f>IFERROR(__xludf.DUMMYFUNCTION("""COMPUTED_VALUE"""),15.0)</f>
        <v>15</v>
      </c>
      <c r="U31" s="150">
        <f>IFERROR(__xludf.DUMMYFUNCTION("""COMPUTED_VALUE"""),191.0)</f>
        <v>191</v>
      </c>
      <c r="V31" s="150">
        <f>IFERROR(__xludf.DUMMYFUNCTION("""COMPUTED_VALUE"""),176.0)</f>
        <v>176</v>
      </c>
      <c r="W31" s="150">
        <f>IFERROR(__xludf.DUMMYFUNCTION("""COMPUTED_VALUE"""),50.0)</f>
        <v>50</v>
      </c>
      <c r="X31" s="150">
        <f>IFERROR(__xludf.DUMMYFUNCTION("""COMPUTED_VALUE"""),42.0)</f>
        <v>42</v>
      </c>
      <c r="Y31" s="150">
        <f>IFERROR(__xludf.DUMMYFUNCTION("""COMPUTED_VALUE"""),5.0)</f>
        <v>5</v>
      </c>
      <c r="Z31" s="150">
        <f>IFERROR(__xludf.DUMMYFUNCTION("""COMPUTED_VALUE"""),42.0)</f>
        <v>42</v>
      </c>
    </row>
    <row r="32">
      <c r="A32" s="207">
        <f>IFERROR(__xludf.DUMMYFUNCTION("""COMPUTED_VALUE"""),43929.0)</f>
        <v>43929</v>
      </c>
      <c r="B32" s="150">
        <f>IFERROR(__xludf.DUMMYFUNCTION("""COMPUTED_VALUE"""),290.0)</f>
        <v>290</v>
      </c>
      <c r="C32" s="150">
        <f>IFERROR(__xludf.DUMMYFUNCTION("""COMPUTED_VALUE"""),264.0)</f>
        <v>264</v>
      </c>
      <c r="D32" s="150">
        <f>IFERROR(__xludf.DUMMYFUNCTION("""COMPUTED_VALUE"""),1907.0)</f>
        <v>1907</v>
      </c>
      <c r="E32" s="150">
        <f>IFERROR(__xludf.DUMMYFUNCTION("""COMPUTED_VALUE"""),1720.0)</f>
        <v>1720</v>
      </c>
      <c r="F32" s="150">
        <f>IFERROR(__xludf.DUMMYFUNCTION("""COMPUTED_VALUE"""),12628.0)</f>
        <v>12628</v>
      </c>
      <c r="G32" s="150">
        <f>IFERROR(__xludf.DUMMYFUNCTION("""COMPUTED_VALUE"""),2010.0)</f>
        <v>2010</v>
      </c>
      <c r="H32" s="150">
        <f>IFERROR(__xludf.DUMMYFUNCTION("""COMPUTED_VALUE"""),14535.0)</f>
        <v>14535</v>
      </c>
      <c r="I32" s="150">
        <f>IFERROR(__xludf.DUMMYFUNCTION("""COMPUTED_VALUE"""),273.0)</f>
        <v>273</v>
      </c>
      <c r="J32" s="150">
        <f>IFERROR(__xludf.DUMMYFUNCTION("""COMPUTED_VALUE"""),247.0)</f>
        <v>247</v>
      </c>
      <c r="K32" s="150">
        <f>IFERROR(__xludf.DUMMYFUNCTION("""COMPUTED_VALUE"""),1890.0)</f>
        <v>1890</v>
      </c>
      <c r="L32" s="150">
        <f>IFERROR(__xludf.DUMMYFUNCTION("""COMPUTED_VALUE"""),1561.0)</f>
        <v>1561</v>
      </c>
      <c r="M32" s="150">
        <f>IFERROR(__xludf.DUMMYFUNCTION("""COMPUTED_VALUE"""),11607.0)</f>
        <v>11607</v>
      </c>
      <c r="N32" s="150">
        <f>IFERROR(__xludf.DUMMYFUNCTION("""COMPUTED_VALUE"""),13497.0)</f>
        <v>13497</v>
      </c>
      <c r="O32" s="150">
        <f>IFERROR(__xludf.DUMMYFUNCTION("""COMPUTED_VALUE"""),19.0)</f>
        <v>19</v>
      </c>
      <c r="P32" s="150">
        <f>IFERROR(__xludf.DUMMYFUNCTION("""COMPUTED_VALUE"""),301.0)</f>
        <v>301</v>
      </c>
      <c r="Q32" s="150">
        <f>IFERROR(__xludf.DUMMYFUNCTION("""COMPUTED_VALUE"""),7.0)</f>
        <v>7</v>
      </c>
      <c r="R32" s="150">
        <f>IFERROR(__xludf.DUMMYFUNCTION("""COMPUTED_VALUE"""),83.0)</f>
        <v>83</v>
      </c>
      <c r="S32" s="150">
        <f>IFERROR(__xludf.DUMMYFUNCTION("""COMPUTED_VALUE"""),6.0)</f>
        <v>6</v>
      </c>
      <c r="T32" s="150">
        <f>IFERROR(__xludf.DUMMYFUNCTION("""COMPUTED_VALUE"""),21.0)</f>
        <v>21</v>
      </c>
      <c r="U32" s="150">
        <f>IFERROR(__xludf.DUMMYFUNCTION("""COMPUTED_VALUE"""),197.0)</f>
        <v>197</v>
      </c>
      <c r="V32" s="150">
        <f>IFERROR(__xludf.DUMMYFUNCTION("""COMPUTED_VALUE"""),189.0)</f>
        <v>189</v>
      </c>
      <c r="W32" s="150">
        <f>IFERROR(__xludf.DUMMYFUNCTION("""COMPUTED_VALUE"""),50.0)</f>
        <v>50</v>
      </c>
      <c r="X32" s="150">
        <f>IFERROR(__xludf.DUMMYFUNCTION("""COMPUTED_VALUE"""),38.0)</f>
        <v>38</v>
      </c>
      <c r="Y32" s="150">
        <f>IFERROR(__xludf.DUMMYFUNCTION("""COMPUTED_VALUE"""),10.0)</f>
        <v>10</v>
      </c>
      <c r="Z32" s="150">
        <f>IFERROR(__xludf.DUMMYFUNCTION("""COMPUTED_VALUE"""),52.0)</f>
        <v>52</v>
      </c>
    </row>
    <row r="33">
      <c r="A33" s="207">
        <f>IFERROR(__xludf.DUMMYFUNCTION("""COMPUTED_VALUE"""),43930.0)</f>
        <v>43930</v>
      </c>
      <c r="B33" s="150">
        <f>IFERROR(__xludf.DUMMYFUNCTION("""COMPUTED_VALUE"""),283.0)</f>
        <v>283</v>
      </c>
      <c r="C33" s="150">
        <f>IFERROR(__xludf.DUMMYFUNCTION("""COMPUTED_VALUE"""),286.0)</f>
        <v>286</v>
      </c>
      <c r="D33" s="150">
        <f>IFERROR(__xludf.DUMMYFUNCTION("""COMPUTED_VALUE"""),2190.0)</f>
        <v>2190</v>
      </c>
      <c r="E33" s="150">
        <f>IFERROR(__xludf.DUMMYFUNCTION("""COMPUTED_VALUE"""),1516.0)</f>
        <v>1516</v>
      </c>
      <c r="F33" s="150">
        <f>IFERROR(__xludf.DUMMYFUNCTION("""COMPUTED_VALUE"""),14144.0)</f>
        <v>14144</v>
      </c>
      <c r="G33" s="150">
        <f>IFERROR(__xludf.DUMMYFUNCTION("""COMPUTED_VALUE"""),1799.0)</f>
        <v>1799</v>
      </c>
      <c r="H33" s="150">
        <f>IFERROR(__xludf.DUMMYFUNCTION("""COMPUTED_VALUE"""),16334.0)</f>
        <v>16334</v>
      </c>
      <c r="I33" s="150">
        <f>IFERROR(__xludf.DUMMYFUNCTION("""COMPUTED_VALUE"""),280.0)</f>
        <v>280</v>
      </c>
      <c r="J33" s="150">
        <f>IFERROR(__xludf.DUMMYFUNCTION("""COMPUTED_VALUE"""),271.0)</f>
        <v>271</v>
      </c>
      <c r="K33" s="150">
        <f>IFERROR(__xludf.DUMMYFUNCTION("""COMPUTED_VALUE"""),2170.0)</f>
        <v>2170</v>
      </c>
      <c r="L33" s="150">
        <f>IFERROR(__xludf.DUMMYFUNCTION("""COMPUTED_VALUE"""),1355.0)</f>
        <v>1355</v>
      </c>
      <c r="M33" s="150">
        <f>IFERROR(__xludf.DUMMYFUNCTION("""COMPUTED_VALUE"""),12962.0)</f>
        <v>12962</v>
      </c>
      <c r="N33" s="150">
        <f>IFERROR(__xludf.DUMMYFUNCTION("""COMPUTED_VALUE"""),15132.0)</f>
        <v>15132</v>
      </c>
      <c r="O33" s="150">
        <f>IFERROR(__xludf.DUMMYFUNCTION("""COMPUTED_VALUE"""),32.0)</f>
        <v>32</v>
      </c>
      <c r="P33" s="150">
        <f>IFERROR(__xludf.DUMMYFUNCTION("""COMPUTED_VALUE"""),333.0)</f>
        <v>333</v>
      </c>
      <c r="Q33" s="150">
        <f>IFERROR(__xludf.DUMMYFUNCTION("""COMPUTED_VALUE"""),9.0)</f>
        <v>9</v>
      </c>
      <c r="R33" s="150">
        <f>IFERROR(__xludf.DUMMYFUNCTION("""COMPUTED_VALUE"""),92.0)</f>
        <v>92</v>
      </c>
      <c r="S33" s="150">
        <f>IFERROR(__xludf.DUMMYFUNCTION("""COMPUTED_VALUE"""),4.0)</f>
        <v>4</v>
      </c>
      <c r="T33" s="150">
        <f>IFERROR(__xludf.DUMMYFUNCTION("""COMPUTED_VALUE"""),25.0)</f>
        <v>25</v>
      </c>
      <c r="U33" s="150">
        <f>IFERROR(__xludf.DUMMYFUNCTION("""COMPUTED_VALUE"""),216.0)</f>
        <v>216</v>
      </c>
      <c r="V33" s="150">
        <f>IFERROR(__xludf.DUMMYFUNCTION("""COMPUTED_VALUE"""),201.0)</f>
        <v>201</v>
      </c>
      <c r="W33" s="150">
        <f>IFERROR(__xludf.DUMMYFUNCTION("""COMPUTED_VALUE"""),53.0)</f>
        <v>53</v>
      </c>
      <c r="X33" s="150">
        <f>IFERROR(__xludf.DUMMYFUNCTION("""COMPUTED_VALUE"""),40.0)</f>
        <v>40</v>
      </c>
      <c r="Y33" s="150">
        <f>IFERROR(__xludf.DUMMYFUNCTION("""COMPUTED_VALUE"""),7.0)</f>
        <v>7</v>
      </c>
      <c r="Z33" s="150">
        <f>IFERROR(__xludf.DUMMYFUNCTION("""COMPUTED_VALUE"""),59.0)</f>
        <v>59</v>
      </c>
    </row>
    <row r="34">
      <c r="A34" s="207">
        <f>IFERROR(__xludf.DUMMYFUNCTION("""COMPUTED_VALUE"""),43931.0)</f>
        <v>43931</v>
      </c>
      <c r="B34" s="150">
        <f>IFERROR(__xludf.DUMMYFUNCTION("""COMPUTED_VALUE"""),419.0)</f>
        <v>419</v>
      </c>
      <c r="C34" s="150">
        <f>IFERROR(__xludf.DUMMYFUNCTION("""COMPUTED_VALUE"""),331.0)</f>
        <v>331</v>
      </c>
      <c r="D34" s="150">
        <f>IFERROR(__xludf.DUMMYFUNCTION("""COMPUTED_VALUE"""),2609.0)</f>
        <v>2609</v>
      </c>
      <c r="E34" s="150">
        <f>IFERROR(__xludf.DUMMYFUNCTION("""COMPUTED_VALUE"""),2574.0)</f>
        <v>2574</v>
      </c>
      <c r="F34" s="150">
        <f>IFERROR(__xludf.DUMMYFUNCTION("""COMPUTED_VALUE"""),16718.0)</f>
        <v>16718</v>
      </c>
      <c r="G34" s="150">
        <f>IFERROR(__xludf.DUMMYFUNCTION("""COMPUTED_VALUE"""),2993.0)</f>
        <v>2993</v>
      </c>
      <c r="H34" s="150">
        <f>IFERROR(__xludf.DUMMYFUNCTION("""COMPUTED_VALUE"""),19327.0)</f>
        <v>19327</v>
      </c>
      <c r="I34" s="150">
        <f>IFERROR(__xludf.DUMMYFUNCTION("""COMPUTED_VALUE"""),403.0)</f>
        <v>403</v>
      </c>
      <c r="J34" s="150">
        <f>IFERROR(__xludf.DUMMYFUNCTION("""COMPUTED_VALUE"""),319.0)</f>
        <v>319</v>
      </c>
      <c r="K34" s="150">
        <f>IFERROR(__xludf.DUMMYFUNCTION("""COMPUTED_VALUE"""),2573.0)</f>
        <v>2573</v>
      </c>
      <c r="L34" s="150">
        <f>IFERROR(__xludf.DUMMYFUNCTION("""COMPUTED_VALUE"""),2371.0)</f>
        <v>2371</v>
      </c>
      <c r="M34" s="150">
        <f>IFERROR(__xludf.DUMMYFUNCTION("""COMPUTED_VALUE"""),15333.0)</f>
        <v>15333</v>
      </c>
      <c r="N34" s="150">
        <f>IFERROR(__xludf.DUMMYFUNCTION("""COMPUTED_VALUE"""),17906.0)</f>
        <v>17906</v>
      </c>
      <c r="O34" s="150">
        <f>IFERROR(__xludf.DUMMYFUNCTION("""COMPUTED_VALUE"""),29.0)</f>
        <v>29</v>
      </c>
      <c r="P34" s="150">
        <f>IFERROR(__xludf.DUMMYFUNCTION("""COMPUTED_VALUE"""),362.0)</f>
        <v>362</v>
      </c>
      <c r="Q34" s="150">
        <f>IFERROR(__xludf.DUMMYFUNCTION("""COMPUTED_VALUE"""),16.0)</f>
        <v>16</v>
      </c>
      <c r="R34" s="150">
        <f>IFERROR(__xludf.DUMMYFUNCTION("""COMPUTED_VALUE"""),108.0)</f>
        <v>108</v>
      </c>
      <c r="S34" s="150">
        <f>IFERROR(__xludf.DUMMYFUNCTION("""COMPUTED_VALUE"""),5.0)</f>
        <v>5</v>
      </c>
      <c r="T34" s="150">
        <f>IFERROR(__xludf.DUMMYFUNCTION("""COMPUTED_VALUE"""),30.0)</f>
        <v>30</v>
      </c>
      <c r="U34" s="150">
        <f>IFERROR(__xludf.DUMMYFUNCTION("""COMPUTED_VALUE"""),224.0)</f>
        <v>224</v>
      </c>
      <c r="V34" s="150">
        <f>IFERROR(__xludf.DUMMYFUNCTION("""COMPUTED_VALUE"""),212.0)</f>
        <v>212</v>
      </c>
      <c r="W34" s="150">
        <f>IFERROR(__xludf.DUMMYFUNCTION("""COMPUTED_VALUE"""),59.0)</f>
        <v>59</v>
      </c>
      <c r="X34" s="150">
        <f>IFERROR(__xludf.DUMMYFUNCTION("""COMPUTED_VALUE"""),41.0)</f>
        <v>41</v>
      </c>
      <c r="Y34" s="150">
        <f>IFERROR(__xludf.DUMMYFUNCTION("""COMPUTED_VALUE"""),11.0)</f>
        <v>11</v>
      </c>
      <c r="Z34" s="150">
        <f>IFERROR(__xludf.DUMMYFUNCTION("""COMPUTED_VALUE"""),70.0)</f>
        <v>70</v>
      </c>
    </row>
    <row r="35">
      <c r="A35" s="207">
        <f>IFERROR(__xludf.DUMMYFUNCTION("""COMPUTED_VALUE"""),43932.0)</f>
        <v>43932</v>
      </c>
      <c r="B35" s="150">
        <f>IFERROR(__xludf.DUMMYFUNCTION("""COMPUTED_VALUE"""),297.0)</f>
        <v>297</v>
      </c>
      <c r="C35" s="150">
        <f>IFERROR(__xludf.DUMMYFUNCTION("""COMPUTED_VALUE"""),333.0)</f>
        <v>333</v>
      </c>
      <c r="D35" s="150">
        <f>IFERROR(__xludf.DUMMYFUNCTION("""COMPUTED_VALUE"""),2906.0)</f>
        <v>2906</v>
      </c>
      <c r="E35" s="150">
        <f>IFERROR(__xludf.DUMMYFUNCTION("""COMPUTED_VALUE"""),1905.0)</f>
        <v>1905</v>
      </c>
      <c r="F35" s="150">
        <f>IFERROR(__xludf.DUMMYFUNCTION("""COMPUTED_VALUE"""),18623.0)</f>
        <v>18623</v>
      </c>
      <c r="G35" s="150">
        <f>IFERROR(__xludf.DUMMYFUNCTION("""COMPUTED_VALUE"""),2202.0)</f>
        <v>2202</v>
      </c>
      <c r="H35" s="150">
        <f>IFERROR(__xludf.DUMMYFUNCTION("""COMPUTED_VALUE"""),21529.0)</f>
        <v>21529</v>
      </c>
      <c r="I35" s="150">
        <f>IFERROR(__xludf.DUMMYFUNCTION("""COMPUTED_VALUE"""),280.0)</f>
        <v>280</v>
      </c>
      <c r="J35" s="150">
        <f>IFERROR(__xludf.DUMMYFUNCTION("""COMPUTED_VALUE"""),321.0)</f>
        <v>321</v>
      </c>
      <c r="K35" s="150">
        <f>IFERROR(__xludf.DUMMYFUNCTION("""COMPUTED_VALUE"""),2853.0)</f>
        <v>2853</v>
      </c>
      <c r="L35" s="150">
        <f>IFERROR(__xludf.DUMMYFUNCTION("""COMPUTED_VALUE"""),1720.0)</f>
        <v>1720</v>
      </c>
      <c r="M35" s="150">
        <f>IFERROR(__xludf.DUMMYFUNCTION("""COMPUTED_VALUE"""),17053.0)</f>
        <v>17053</v>
      </c>
      <c r="N35" s="150">
        <f>IFERROR(__xludf.DUMMYFUNCTION("""COMPUTED_VALUE"""),19906.0)</f>
        <v>19906</v>
      </c>
      <c r="O35" s="150">
        <f>IFERROR(__xludf.DUMMYFUNCTION("""COMPUTED_VALUE"""),29.0)</f>
        <v>29</v>
      </c>
      <c r="P35" s="150">
        <f>IFERROR(__xludf.DUMMYFUNCTION("""COMPUTED_VALUE"""),391.0)</f>
        <v>391</v>
      </c>
      <c r="Q35" s="150">
        <f>IFERROR(__xludf.DUMMYFUNCTION("""COMPUTED_VALUE"""),11.0)</f>
        <v>11</v>
      </c>
      <c r="R35" s="150">
        <f>IFERROR(__xludf.DUMMYFUNCTION("""COMPUTED_VALUE"""),119.0)</f>
        <v>119</v>
      </c>
      <c r="S35" s="150">
        <f>IFERROR(__xludf.DUMMYFUNCTION("""COMPUTED_VALUE"""),2.0)</f>
        <v>2</v>
      </c>
      <c r="T35" s="150">
        <f>IFERROR(__xludf.DUMMYFUNCTION("""COMPUTED_VALUE"""),32.0)</f>
        <v>32</v>
      </c>
      <c r="U35" s="150">
        <f>IFERROR(__xludf.DUMMYFUNCTION("""COMPUTED_VALUE"""),240.0)</f>
        <v>240</v>
      </c>
      <c r="V35" s="150">
        <f>IFERROR(__xludf.DUMMYFUNCTION("""COMPUTED_VALUE"""),227.0)</f>
        <v>227</v>
      </c>
      <c r="W35" s="150">
        <f>IFERROR(__xludf.DUMMYFUNCTION("""COMPUTED_VALUE"""),61.0)</f>
        <v>61</v>
      </c>
      <c r="X35" s="150">
        <f>IFERROR(__xludf.DUMMYFUNCTION("""COMPUTED_VALUE"""),48.0)</f>
        <v>48</v>
      </c>
      <c r="Y35" s="150">
        <f>IFERROR(__xludf.DUMMYFUNCTION("""COMPUTED_VALUE"""),12.0)</f>
        <v>12</v>
      </c>
      <c r="Z35" s="150">
        <f>IFERROR(__xludf.DUMMYFUNCTION("""COMPUTED_VALUE"""),82.0)</f>
        <v>82</v>
      </c>
    </row>
    <row r="36">
      <c r="A36" s="207">
        <f>IFERROR(__xludf.DUMMYFUNCTION("""COMPUTED_VALUE"""),43933.0)</f>
        <v>43933</v>
      </c>
      <c r="B36" s="150">
        <f>IFERROR(__xludf.DUMMYFUNCTION("""COMPUTED_VALUE"""),314.0)</f>
        <v>314</v>
      </c>
      <c r="C36" s="150">
        <f>IFERROR(__xludf.DUMMYFUNCTION("""COMPUTED_VALUE"""),343.0)</f>
        <v>343</v>
      </c>
      <c r="D36" s="150">
        <f>IFERROR(__xludf.DUMMYFUNCTION("""COMPUTED_VALUE"""),3220.0)</f>
        <v>3220</v>
      </c>
      <c r="E36" s="150">
        <f>IFERROR(__xludf.DUMMYFUNCTION("""COMPUTED_VALUE"""),1670.0)</f>
        <v>1670</v>
      </c>
      <c r="F36" s="150">
        <f>IFERROR(__xludf.DUMMYFUNCTION("""COMPUTED_VALUE"""),20293.0)</f>
        <v>20293</v>
      </c>
      <c r="G36" s="150">
        <f>IFERROR(__xludf.DUMMYFUNCTION("""COMPUTED_VALUE"""),1984.0)</f>
        <v>1984</v>
      </c>
      <c r="H36" s="150">
        <f>IFERROR(__xludf.DUMMYFUNCTION("""COMPUTED_VALUE"""),23513.0)</f>
        <v>23513</v>
      </c>
      <c r="I36" s="150">
        <f>IFERROR(__xludf.DUMMYFUNCTION("""COMPUTED_VALUE"""),289.0)</f>
        <v>289</v>
      </c>
      <c r="J36" s="150">
        <f>IFERROR(__xludf.DUMMYFUNCTION("""COMPUTED_VALUE"""),324.0)</f>
        <v>324</v>
      </c>
      <c r="K36" s="150">
        <f>IFERROR(__xludf.DUMMYFUNCTION("""COMPUTED_VALUE"""),3142.0)</f>
        <v>3142</v>
      </c>
      <c r="L36" s="150">
        <f>IFERROR(__xludf.DUMMYFUNCTION("""COMPUTED_VALUE"""),1436.0)</f>
        <v>1436</v>
      </c>
      <c r="M36" s="150">
        <f>IFERROR(__xludf.DUMMYFUNCTION("""COMPUTED_VALUE"""),18489.0)</f>
        <v>18489</v>
      </c>
      <c r="N36" s="150">
        <f>IFERROR(__xludf.DUMMYFUNCTION("""COMPUTED_VALUE"""),21631.0)</f>
        <v>21631</v>
      </c>
      <c r="O36" s="150">
        <f>IFERROR(__xludf.DUMMYFUNCTION("""COMPUTED_VALUE"""),35.0)</f>
        <v>35</v>
      </c>
      <c r="P36" s="150">
        <f>IFERROR(__xludf.DUMMYFUNCTION("""COMPUTED_VALUE"""),426.0)</f>
        <v>426</v>
      </c>
      <c r="Q36" s="150">
        <f>IFERROR(__xludf.DUMMYFUNCTION("""COMPUTED_VALUE"""),13.0)</f>
        <v>13</v>
      </c>
      <c r="R36" s="150">
        <f>IFERROR(__xludf.DUMMYFUNCTION("""COMPUTED_VALUE"""),132.0)</f>
        <v>132</v>
      </c>
      <c r="S36" s="150">
        <f>IFERROR(__xludf.DUMMYFUNCTION("""COMPUTED_VALUE"""),5.0)</f>
        <v>5</v>
      </c>
      <c r="T36" s="150">
        <f>IFERROR(__xludf.DUMMYFUNCTION("""COMPUTED_VALUE"""),37.0)</f>
        <v>37</v>
      </c>
      <c r="U36" s="150">
        <f>IFERROR(__xludf.DUMMYFUNCTION("""COMPUTED_VALUE"""),257.0)</f>
        <v>257</v>
      </c>
      <c r="V36" s="150">
        <f>IFERROR(__xludf.DUMMYFUNCTION("""COMPUTED_VALUE"""),240.0)</f>
        <v>240</v>
      </c>
      <c r="W36" s="150">
        <f>IFERROR(__xludf.DUMMYFUNCTION("""COMPUTED_VALUE"""),59.0)</f>
        <v>59</v>
      </c>
      <c r="X36" s="150">
        <f>IFERROR(__xludf.DUMMYFUNCTION("""COMPUTED_VALUE"""),49.0)</f>
        <v>49</v>
      </c>
      <c r="Y36" s="150">
        <f>IFERROR(__xludf.DUMMYFUNCTION("""COMPUTED_VALUE"""),9.0)</f>
        <v>9</v>
      </c>
      <c r="Z36" s="150">
        <f>IFERROR(__xludf.DUMMYFUNCTION("""COMPUTED_VALUE"""),91.0)</f>
        <v>91</v>
      </c>
    </row>
    <row r="37">
      <c r="A37" s="207">
        <f>IFERROR(__xludf.DUMMYFUNCTION("""COMPUTED_VALUE"""),43934.0)</f>
        <v>43934</v>
      </c>
      <c r="B37" s="150">
        <f>IFERROR(__xludf.DUMMYFUNCTION("""COMPUTED_VALUE"""),161.0)</f>
        <v>161</v>
      </c>
      <c r="C37" s="150">
        <f>IFERROR(__xludf.DUMMYFUNCTION("""COMPUTED_VALUE"""),257.0)</f>
        <v>257</v>
      </c>
      <c r="D37" s="150">
        <f>IFERROR(__xludf.DUMMYFUNCTION("""COMPUTED_VALUE"""),3381.0)</f>
        <v>3381</v>
      </c>
      <c r="E37" s="150">
        <f>IFERROR(__xludf.DUMMYFUNCTION("""COMPUTED_VALUE"""),935.0)</f>
        <v>935</v>
      </c>
      <c r="F37" s="150">
        <f>IFERROR(__xludf.DUMMYFUNCTION("""COMPUTED_VALUE"""),21228.0)</f>
        <v>21228</v>
      </c>
      <c r="G37" s="150">
        <f>IFERROR(__xludf.DUMMYFUNCTION("""COMPUTED_VALUE"""),1096.0)</f>
        <v>1096</v>
      </c>
      <c r="H37" s="150">
        <f>IFERROR(__xludf.DUMMYFUNCTION("""COMPUTED_VALUE"""),24609.0)</f>
        <v>24609</v>
      </c>
      <c r="I37" s="150">
        <f>IFERROR(__xludf.DUMMYFUNCTION("""COMPUTED_VALUE"""),187.0)</f>
        <v>187</v>
      </c>
      <c r="J37" s="150">
        <f>IFERROR(__xludf.DUMMYFUNCTION("""COMPUTED_VALUE"""),252.0)</f>
        <v>252</v>
      </c>
      <c r="K37" s="150">
        <f>IFERROR(__xludf.DUMMYFUNCTION("""COMPUTED_VALUE"""),3329.0)</f>
        <v>3329</v>
      </c>
      <c r="L37" s="150">
        <f>IFERROR(__xludf.DUMMYFUNCTION("""COMPUTED_VALUE"""),838.0)</f>
        <v>838</v>
      </c>
      <c r="M37" s="150">
        <f>IFERROR(__xludf.DUMMYFUNCTION("""COMPUTED_VALUE"""),19327.0)</f>
        <v>19327</v>
      </c>
      <c r="N37" s="150">
        <f>IFERROR(__xludf.DUMMYFUNCTION("""COMPUTED_VALUE"""),22656.0)</f>
        <v>22656</v>
      </c>
      <c r="O37" s="150">
        <f>IFERROR(__xludf.DUMMYFUNCTION("""COMPUTED_VALUE"""),35.0)</f>
        <v>35</v>
      </c>
      <c r="P37" s="150">
        <f>IFERROR(__xludf.DUMMYFUNCTION("""COMPUTED_VALUE"""),461.0)</f>
        <v>461</v>
      </c>
      <c r="Q37" s="150">
        <f>IFERROR(__xludf.DUMMYFUNCTION("""COMPUTED_VALUE"""),13.0)</f>
        <v>13</v>
      </c>
      <c r="R37" s="150">
        <f>IFERROR(__xludf.DUMMYFUNCTION("""COMPUTED_VALUE"""),145.0)</f>
        <v>145</v>
      </c>
      <c r="S37" s="150">
        <f>IFERROR(__xludf.DUMMYFUNCTION("""COMPUTED_VALUE"""),3.0)</f>
        <v>3</v>
      </c>
      <c r="T37" s="150">
        <f>IFERROR(__xludf.DUMMYFUNCTION("""COMPUTED_VALUE"""),40.0)</f>
        <v>40</v>
      </c>
      <c r="U37" s="150">
        <f>IFERROR(__xludf.DUMMYFUNCTION("""COMPUTED_VALUE"""),276.0)</f>
        <v>276</v>
      </c>
      <c r="V37" s="150">
        <f>IFERROR(__xludf.DUMMYFUNCTION("""COMPUTED_VALUE"""),258.0)</f>
        <v>258</v>
      </c>
      <c r="W37" s="150">
        <f>IFERROR(__xludf.DUMMYFUNCTION("""COMPUTED_VALUE"""),64.0)</f>
        <v>64</v>
      </c>
      <c r="X37" s="150">
        <f>IFERROR(__xludf.DUMMYFUNCTION("""COMPUTED_VALUE"""),54.0)</f>
        <v>54</v>
      </c>
      <c r="Y37" s="150">
        <f>IFERROR(__xludf.DUMMYFUNCTION("""COMPUTED_VALUE"""),9.0)</f>
        <v>9</v>
      </c>
      <c r="Z37" s="150">
        <f>IFERROR(__xludf.DUMMYFUNCTION("""COMPUTED_VALUE"""),100.0)</f>
        <v>100</v>
      </c>
    </row>
    <row r="38">
      <c r="A38" s="207">
        <f>IFERROR(__xludf.DUMMYFUNCTION("""COMPUTED_VALUE"""),43935.0)</f>
        <v>43935</v>
      </c>
      <c r="B38" s="150">
        <f>IFERROR(__xludf.DUMMYFUNCTION("""COMPUTED_VALUE"""),289.0)</f>
        <v>289</v>
      </c>
      <c r="C38" s="150">
        <f>IFERROR(__xludf.DUMMYFUNCTION("""COMPUTED_VALUE"""),255.0)</f>
        <v>255</v>
      </c>
      <c r="D38" s="150">
        <f>IFERROR(__xludf.DUMMYFUNCTION("""COMPUTED_VALUE"""),3670.0)</f>
        <v>3670</v>
      </c>
      <c r="E38" s="150">
        <f>IFERROR(__xludf.DUMMYFUNCTION("""COMPUTED_VALUE"""),1787.0)</f>
        <v>1787</v>
      </c>
      <c r="F38" s="150">
        <f>IFERROR(__xludf.DUMMYFUNCTION("""COMPUTED_VALUE"""),23015.0)</f>
        <v>23015</v>
      </c>
      <c r="G38" s="150">
        <f>IFERROR(__xludf.DUMMYFUNCTION("""COMPUTED_VALUE"""),2076.0)</f>
        <v>2076</v>
      </c>
      <c r="H38" s="150">
        <f>IFERROR(__xludf.DUMMYFUNCTION("""COMPUTED_VALUE"""),26685.0)</f>
        <v>26685</v>
      </c>
      <c r="I38" s="150">
        <f>IFERROR(__xludf.DUMMYFUNCTION("""COMPUTED_VALUE"""),265.0)</f>
        <v>265</v>
      </c>
      <c r="J38" s="150">
        <f>IFERROR(__xludf.DUMMYFUNCTION("""COMPUTED_VALUE"""),247.0)</f>
        <v>247</v>
      </c>
      <c r="K38" s="150">
        <f>IFERROR(__xludf.DUMMYFUNCTION("""COMPUTED_VALUE"""),3594.0)</f>
        <v>3594</v>
      </c>
      <c r="L38" s="150">
        <f>IFERROR(__xludf.DUMMYFUNCTION("""COMPUTED_VALUE"""),1528.0)</f>
        <v>1528</v>
      </c>
      <c r="M38" s="150">
        <f>IFERROR(__xludf.DUMMYFUNCTION("""COMPUTED_VALUE"""),20855.0)</f>
        <v>20855</v>
      </c>
      <c r="N38" s="150">
        <f>IFERROR(__xludf.DUMMYFUNCTION("""COMPUTED_VALUE"""),24449.0)</f>
        <v>24449</v>
      </c>
      <c r="O38" s="150">
        <f>IFERROR(__xludf.DUMMYFUNCTION("""COMPUTED_VALUE"""),27.0)</f>
        <v>27</v>
      </c>
      <c r="P38" s="150">
        <f>IFERROR(__xludf.DUMMYFUNCTION("""COMPUTED_VALUE"""),488.0)</f>
        <v>488</v>
      </c>
      <c r="Q38" s="150">
        <f>IFERROR(__xludf.DUMMYFUNCTION("""COMPUTED_VALUE"""),17.0)</f>
        <v>17</v>
      </c>
      <c r="R38" s="150">
        <f>IFERROR(__xludf.DUMMYFUNCTION("""COMPUTED_VALUE"""),162.0)</f>
        <v>162</v>
      </c>
      <c r="S38" s="150">
        <f>IFERROR(__xludf.DUMMYFUNCTION("""COMPUTED_VALUE"""),5.0)</f>
        <v>5</v>
      </c>
      <c r="T38" s="150">
        <f>IFERROR(__xludf.DUMMYFUNCTION("""COMPUTED_VALUE"""),45.0)</f>
        <v>45</v>
      </c>
      <c r="U38" s="150">
        <f>IFERROR(__xludf.DUMMYFUNCTION("""COMPUTED_VALUE"""),281.0)</f>
        <v>281</v>
      </c>
      <c r="V38" s="150">
        <f>IFERROR(__xludf.DUMMYFUNCTION("""COMPUTED_VALUE"""),271.0)</f>
        <v>271</v>
      </c>
      <c r="W38" s="150">
        <f>IFERROR(__xludf.DUMMYFUNCTION("""COMPUTED_VALUE"""),72.0)</f>
        <v>72</v>
      </c>
      <c r="X38" s="150">
        <f>IFERROR(__xludf.DUMMYFUNCTION("""COMPUTED_VALUE"""),53.0)</f>
        <v>53</v>
      </c>
      <c r="Y38" s="150">
        <f>IFERROR(__xludf.DUMMYFUNCTION("""COMPUTED_VALUE"""),8.0)</f>
        <v>8</v>
      </c>
      <c r="Z38" s="150">
        <f>IFERROR(__xludf.DUMMYFUNCTION("""COMPUTED_VALUE"""),108.0)</f>
        <v>108</v>
      </c>
    </row>
    <row r="39">
      <c r="A39" s="207">
        <f>IFERROR(__xludf.DUMMYFUNCTION("""COMPUTED_VALUE"""),43936.0)</f>
        <v>43936</v>
      </c>
      <c r="B39" s="150">
        <f>IFERROR(__xludf.DUMMYFUNCTION("""COMPUTED_VALUE"""),351.0)</f>
        <v>351</v>
      </c>
      <c r="C39" s="150">
        <f>IFERROR(__xludf.DUMMYFUNCTION("""COMPUTED_VALUE"""),267.0)</f>
        <v>267</v>
      </c>
      <c r="D39" s="150">
        <f>IFERROR(__xludf.DUMMYFUNCTION("""COMPUTED_VALUE"""),4021.0)</f>
        <v>4021</v>
      </c>
      <c r="E39" s="150">
        <f>IFERROR(__xludf.DUMMYFUNCTION("""COMPUTED_VALUE"""),1799.0)</f>
        <v>1799</v>
      </c>
      <c r="F39" s="150">
        <f>IFERROR(__xludf.DUMMYFUNCTION("""COMPUTED_VALUE"""),24814.0)</f>
        <v>24814</v>
      </c>
      <c r="G39" s="150">
        <f>IFERROR(__xludf.DUMMYFUNCTION("""COMPUTED_VALUE"""),2150.0)</f>
        <v>2150</v>
      </c>
      <c r="H39" s="150">
        <f>IFERROR(__xludf.DUMMYFUNCTION("""COMPUTED_VALUE"""),28835.0)</f>
        <v>28835</v>
      </c>
      <c r="I39" s="150">
        <f>IFERROR(__xludf.DUMMYFUNCTION("""COMPUTED_VALUE"""),307.0)</f>
        <v>307</v>
      </c>
      <c r="J39" s="150">
        <f>IFERROR(__xludf.DUMMYFUNCTION("""COMPUTED_VALUE"""),253.0)</f>
        <v>253</v>
      </c>
      <c r="K39" s="150">
        <f>IFERROR(__xludf.DUMMYFUNCTION("""COMPUTED_VALUE"""),3901.0)</f>
        <v>3901</v>
      </c>
      <c r="L39" s="150">
        <f>IFERROR(__xludf.DUMMYFUNCTION("""COMPUTED_VALUE"""),1558.0)</f>
        <v>1558</v>
      </c>
      <c r="M39" s="150">
        <f>IFERROR(__xludf.DUMMYFUNCTION("""COMPUTED_VALUE"""),22413.0)</f>
        <v>22413</v>
      </c>
      <c r="N39" s="150">
        <f>IFERROR(__xludf.DUMMYFUNCTION("""COMPUTED_VALUE"""),26314.0)</f>
        <v>26314</v>
      </c>
      <c r="O39" s="150">
        <f>IFERROR(__xludf.DUMMYFUNCTION("""COMPUTED_VALUE"""),31.0)</f>
        <v>31</v>
      </c>
      <c r="P39" s="150">
        <f>IFERROR(__xludf.DUMMYFUNCTION("""COMPUTED_VALUE"""),519.0)</f>
        <v>519</v>
      </c>
      <c r="Q39" s="150">
        <f>IFERROR(__xludf.DUMMYFUNCTION("""COMPUTED_VALUE"""),20.0)</f>
        <v>20</v>
      </c>
      <c r="R39" s="150">
        <f>IFERROR(__xludf.DUMMYFUNCTION("""COMPUTED_VALUE"""),182.0)</f>
        <v>182</v>
      </c>
      <c r="S39" s="150">
        <f>IFERROR(__xludf.DUMMYFUNCTION("""COMPUTED_VALUE"""),3.0)</f>
        <v>3</v>
      </c>
      <c r="T39" s="150">
        <f>IFERROR(__xludf.DUMMYFUNCTION("""COMPUTED_VALUE"""),48.0)</f>
        <v>48</v>
      </c>
      <c r="U39" s="150">
        <f>IFERROR(__xludf.DUMMYFUNCTION("""COMPUTED_VALUE"""),289.0)</f>
        <v>289</v>
      </c>
      <c r="V39" s="150">
        <f>IFERROR(__xludf.DUMMYFUNCTION("""COMPUTED_VALUE"""),282.0)</f>
        <v>282</v>
      </c>
      <c r="W39" s="150">
        <f>IFERROR(__xludf.DUMMYFUNCTION("""COMPUTED_VALUE"""),72.0)</f>
        <v>72</v>
      </c>
      <c r="X39" s="150">
        <f>IFERROR(__xludf.DUMMYFUNCTION("""COMPUTED_VALUE"""),54.0)</f>
        <v>54</v>
      </c>
      <c r="Y39" s="150">
        <f>IFERROR(__xludf.DUMMYFUNCTION("""COMPUTED_VALUE"""),17.0)</f>
        <v>17</v>
      </c>
      <c r="Z39" s="150">
        <f>IFERROR(__xludf.DUMMYFUNCTION("""COMPUTED_VALUE"""),125.0)</f>
        <v>125</v>
      </c>
    </row>
    <row r="40">
      <c r="A40" s="207">
        <f>IFERROR(__xludf.DUMMYFUNCTION("""COMPUTED_VALUE"""),43937.0)</f>
        <v>43937</v>
      </c>
      <c r="B40" s="150">
        <f>IFERROR(__xludf.DUMMYFUNCTION("""COMPUTED_VALUE"""),447.0)</f>
        <v>447</v>
      </c>
      <c r="C40" s="150">
        <f>IFERROR(__xludf.DUMMYFUNCTION("""COMPUTED_VALUE"""),362.0)</f>
        <v>362</v>
      </c>
      <c r="D40" s="150">
        <f>IFERROR(__xludf.DUMMYFUNCTION("""COMPUTED_VALUE"""),4468.0)</f>
        <v>4468</v>
      </c>
      <c r="E40" s="150">
        <f>IFERROR(__xludf.DUMMYFUNCTION("""COMPUTED_VALUE"""),2494.0)</f>
        <v>2494</v>
      </c>
      <c r="F40" s="150">
        <f>IFERROR(__xludf.DUMMYFUNCTION("""COMPUTED_VALUE"""),27308.0)</f>
        <v>27308</v>
      </c>
      <c r="G40" s="150">
        <f>IFERROR(__xludf.DUMMYFUNCTION("""COMPUTED_VALUE"""),2941.0)</f>
        <v>2941</v>
      </c>
      <c r="H40" s="150">
        <f>IFERROR(__xludf.DUMMYFUNCTION("""COMPUTED_VALUE"""),31776.0)</f>
        <v>31776</v>
      </c>
      <c r="I40" s="150">
        <f>IFERROR(__xludf.DUMMYFUNCTION("""COMPUTED_VALUE"""),390.0)</f>
        <v>390</v>
      </c>
      <c r="J40" s="150">
        <f>IFERROR(__xludf.DUMMYFUNCTION("""COMPUTED_VALUE"""),321.0)</f>
        <v>321</v>
      </c>
      <c r="K40" s="150">
        <f>IFERROR(__xludf.DUMMYFUNCTION("""COMPUTED_VALUE"""),4291.0)</f>
        <v>4291</v>
      </c>
      <c r="L40" s="150">
        <f>IFERROR(__xludf.DUMMYFUNCTION("""COMPUTED_VALUE"""),2077.0)</f>
        <v>2077</v>
      </c>
      <c r="M40" s="150">
        <f>IFERROR(__xludf.DUMMYFUNCTION("""COMPUTED_VALUE"""),24490.0)</f>
        <v>24490</v>
      </c>
      <c r="N40" s="150">
        <f>IFERROR(__xludf.DUMMYFUNCTION("""COMPUTED_VALUE"""),28781.0)</f>
        <v>28781</v>
      </c>
      <c r="O40" s="150">
        <f>IFERROR(__xludf.DUMMYFUNCTION("""COMPUTED_VALUE"""),36.0)</f>
        <v>36</v>
      </c>
      <c r="P40" s="150">
        <f>IFERROR(__xludf.DUMMYFUNCTION("""COMPUTED_VALUE"""),555.0)</f>
        <v>555</v>
      </c>
      <c r="Q40" s="150">
        <f>IFERROR(__xludf.DUMMYFUNCTION("""COMPUTED_VALUE"""),25.0)</f>
        <v>25</v>
      </c>
      <c r="R40" s="150">
        <f>IFERROR(__xludf.DUMMYFUNCTION("""COMPUTED_VALUE"""),207.0)</f>
        <v>207</v>
      </c>
      <c r="S40" s="150">
        <f>IFERROR(__xludf.DUMMYFUNCTION("""COMPUTED_VALUE"""),6.0)</f>
        <v>6</v>
      </c>
      <c r="T40" s="150">
        <f>IFERROR(__xludf.DUMMYFUNCTION("""COMPUTED_VALUE"""),54.0)</f>
        <v>54</v>
      </c>
      <c r="U40" s="150">
        <f>IFERROR(__xludf.DUMMYFUNCTION("""COMPUTED_VALUE"""),294.0)</f>
        <v>294</v>
      </c>
      <c r="V40" s="150">
        <f>IFERROR(__xludf.DUMMYFUNCTION("""COMPUTED_VALUE"""),288.0)</f>
        <v>288</v>
      </c>
      <c r="W40" s="150">
        <f>IFERROR(__xludf.DUMMYFUNCTION("""COMPUTED_VALUE"""),72.0)</f>
        <v>72</v>
      </c>
      <c r="X40" s="150">
        <f>IFERROR(__xludf.DUMMYFUNCTION("""COMPUTED_VALUE"""),53.0)</f>
        <v>53</v>
      </c>
      <c r="Y40" s="150">
        <f>IFERROR(__xludf.DUMMYFUNCTION("""COMPUTED_VALUE"""),14.0)</f>
        <v>14</v>
      </c>
      <c r="Z40" s="150">
        <f>IFERROR(__xludf.DUMMYFUNCTION("""COMPUTED_VALUE"""),139.0)</f>
        <v>139</v>
      </c>
    </row>
    <row r="41">
      <c r="A41" s="207">
        <f>IFERROR(__xludf.DUMMYFUNCTION("""COMPUTED_VALUE"""),43938.0)</f>
        <v>43938</v>
      </c>
      <c r="B41" s="150">
        <f>IFERROR(__xludf.DUMMYFUNCTION("""COMPUTED_VALUE"""),304.0)</f>
        <v>304</v>
      </c>
      <c r="C41" s="150">
        <f>IFERROR(__xludf.DUMMYFUNCTION("""COMPUTED_VALUE"""),367.0)</f>
        <v>367</v>
      </c>
      <c r="D41" s="150">
        <f>IFERROR(__xludf.DUMMYFUNCTION("""COMPUTED_VALUE"""),4772.0)</f>
        <v>4772</v>
      </c>
      <c r="E41" s="150">
        <f>IFERROR(__xludf.DUMMYFUNCTION("""COMPUTED_VALUE"""),1821.0)</f>
        <v>1821</v>
      </c>
      <c r="F41" s="150">
        <f>IFERROR(__xludf.DUMMYFUNCTION("""COMPUTED_VALUE"""),29129.0)</f>
        <v>29129</v>
      </c>
      <c r="G41" s="150">
        <f>IFERROR(__xludf.DUMMYFUNCTION("""COMPUTED_VALUE"""),2125.0)</f>
        <v>2125</v>
      </c>
      <c r="H41" s="150">
        <f>IFERROR(__xludf.DUMMYFUNCTION("""COMPUTED_VALUE"""),33901.0)</f>
        <v>33901</v>
      </c>
      <c r="I41" s="150">
        <f>IFERROR(__xludf.DUMMYFUNCTION("""COMPUTED_VALUE"""),293.0)</f>
        <v>293</v>
      </c>
      <c r="J41" s="150">
        <f>IFERROR(__xludf.DUMMYFUNCTION("""COMPUTED_VALUE"""),330.0)</f>
        <v>330</v>
      </c>
      <c r="K41" s="150">
        <f>IFERROR(__xludf.DUMMYFUNCTION("""COMPUTED_VALUE"""),4584.0)</f>
        <v>4584</v>
      </c>
      <c r="L41" s="150">
        <f>IFERROR(__xludf.DUMMYFUNCTION("""COMPUTED_VALUE"""),1447.0)</f>
        <v>1447</v>
      </c>
      <c r="M41" s="150">
        <f>IFERROR(__xludf.DUMMYFUNCTION("""COMPUTED_VALUE"""),25937.0)</f>
        <v>25937</v>
      </c>
      <c r="N41" s="150">
        <f>IFERROR(__xludf.DUMMYFUNCTION("""COMPUTED_VALUE"""),30521.0)</f>
        <v>30521</v>
      </c>
      <c r="O41" s="150">
        <f>IFERROR(__xludf.DUMMYFUNCTION("""COMPUTED_VALUE"""),32.0)</f>
        <v>32</v>
      </c>
      <c r="P41" s="150">
        <f>IFERROR(__xludf.DUMMYFUNCTION("""COMPUTED_VALUE"""),587.0)</f>
        <v>587</v>
      </c>
      <c r="Q41" s="150">
        <f>IFERROR(__xludf.DUMMYFUNCTION("""COMPUTED_VALUE"""),20.0)</f>
        <v>20</v>
      </c>
      <c r="R41" s="150">
        <f>IFERROR(__xludf.DUMMYFUNCTION("""COMPUTED_VALUE"""),227.0)</f>
        <v>227</v>
      </c>
      <c r="S41" s="150">
        <f>IFERROR(__xludf.DUMMYFUNCTION("""COMPUTED_VALUE"""),7.0)</f>
        <v>7</v>
      </c>
      <c r="T41" s="150">
        <f>IFERROR(__xludf.DUMMYFUNCTION("""COMPUTED_VALUE"""),61.0)</f>
        <v>61</v>
      </c>
      <c r="U41" s="150">
        <f>IFERROR(__xludf.DUMMYFUNCTION("""COMPUTED_VALUE"""),299.0)</f>
        <v>299</v>
      </c>
      <c r="V41" s="150">
        <f>IFERROR(__xludf.DUMMYFUNCTION("""COMPUTED_VALUE"""),294.0)</f>
        <v>294</v>
      </c>
      <c r="W41" s="150">
        <f>IFERROR(__xludf.DUMMYFUNCTION("""COMPUTED_VALUE"""),66.0)</f>
        <v>66</v>
      </c>
      <c r="X41" s="150">
        <f>IFERROR(__xludf.DUMMYFUNCTION("""COMPUTED_VALUE"""),45.0)</f>
        <v>45</v>
      </c>
      <c r="Y41" s="150">
        <f>IFERROR(__xludf.DUMMYFUNCTION("""COMPUTED_VALUE"""),21.0)</f>
        <v>21</v>
      </c>
      <c r="Z41" s="150">
        <f>IFERROR(__xludf.DUMMYFUNCTION("""COMPUTED_VALUE"""),160.0)</f>
        <v>160</v>
      </c>
    </row>
    <row r="42">
      <c r="A42" s="207">
        <f>IFERROR(__xludf.DUMMYFUNCTION("""COMPUTED_VALUE"""),43939.0)</f>
        <v>43939</v>
      </c>
      <c r="B42" s="150">
        <f>IFERROR(__xludf.DUMMYFUNCTION("""COMPUTED_VALUE"""),321.0)</f>
        <v>321</v>
      </c>
      <c r="C42" s="150">
        <f>IFERROR(__xludf.DUMMYFUNCTION("""COMPUTED_VALUE"""),357.0)</f>
        <v>357</v>
      </c>
      <c r="D42" s="150">
        <f>IFERROR(__xludf.DUMMYFUNCTION("""COMPUTED_VALUE"""),5093.0)</f>
        <v>5093</v>
      </c>
      <c r="E42" s="150">
        <f>IFERROR(__xludf.DUMMYFUNCTION("""COMPUTED_VALUE"""),1725.0)</f>
        <v>1725</v>
      </c>
      <c r="F42" s="150">
        <f>IFERROR(__xludf.DUMMYFUNCTION("""COMPUTED_VALUE"""),30854.0)</f>
        <v>30854</v>
      </c>
      <c r="G42" s="150">
        <f>IFERROR(__xludf.DUMMYFUNCTION("""COMPUTED_VALUE"""),2046.0)</f>
        <v>2046</v>
      </c>
      <c r="H42" s="150">
        <f>IFERROR(__xludf.DUMMYFUNCTION("""COMPUTED_VALUE"""),35947.0)</f>
        <v>35947</v>
      </c>
      <c r="I42" s="150">
        <f>IFERROR(__xludf.DUMMYFUNCTION("""COMPUTED_VALUE"""),286.0)</f>
        <v>286</v>
      </c>
      <c r="J42" s="150">
        <f>IFERROR(__xludf.DUMMYFUNCTION("""COMPUTED_VALUE"""),323.0)</f>
        <v>323</v>
      </c>
      <c r="K42" s="150">
        <f>IFERROR(__xludf.DUMMYFUNCTION("""COMPUTED_VALUE"""),4870.0)</f>
        <v>4870</v>
      </c>
      <c r="L42" s="150">
        <f>IFERROR(__xludf.DUMMYFUNCTION("""COMPUTED_VALUE"""),1325.0)</f>
        <v>1325</v>
      </c>
      <c r="M42" s="150">
        <f>IFERROR(__xludf.DUMMYFUNCTION("""COMPUTED_VALUE"""),27262.0)</f>
        <v>27262</v>
      </c>
      <c r="N42" s="150">
        <f>IFERROR(__xludf.DUMMYFUNCTION("""COMPUTED_VALUE"""),32132.0)</f>
        <v>32132</v>
      </c>
      <c r="O42" s="150">
        <f>IFERROR(__xludf.DUMMYFUNCTION("""COMPUTED_VALUE"""),26.0)</f>
        <v>26</v>
      </c>
      <c r="P42" s="150">
        <f>IFERROR(__xludf.DUMMYFUNCTION("""COMPUTED_VALUE"""),613.0)</f>
        <v>613</v>
      </c>
      <c r="Q42" s="150">
        <f>IFERROR(__xludf.DUMMYFUNCTION("""COMPUTED_VALUE"""),18.0)</f>
        <v>18</v>
      </c>
      <c r="R42" s="150">
        <f>IFERROR(__xludf.DUMMYFUNCTION("""COMPUTED_VALUE"""),245.0)</f>
        <v>245</v>
      </c>
      <c r="S42" s="150">
        <f>IFERROR(__xludf.DUMMYFUNCTION("""COMPUTED_VALUE"""),4.0)</f>
        <v>4</v>
      </c>
      <c r="T42" s="150">
        <f>IFERROR(__xludf.DUMMYFUNCTION("""COMPUTED_VALUE"""),65.0)</f>
        <v>65</v>
      </c>
      <c r="U42" s="150">
        <f>IFERROR(__xludf.DUMMYFUNCTION("""COMPUTED_VALUE"""),303.0)</f>
        <v>303</v>
      </c>
      <c r="V42" s="150">
        <f>IFERROR(__xludf.DUMMYFUNCTION("""COMPUTED_VALUE"""),299.0)</f>
        <v>299</v>
      </c>
      <c r="W42" s="150">
        <f>IFERROR(__xludf.DUMMYFUNCTION("""COMPUTED_VALUE"""),63.0)</f>
        <v>63</v>
      </c>
      <c r="X42" s="150">
        <f>IFERROR(__xludf.DUMMYFUNCTION("""COMPUTED_VALUE"""),49.0)</f>
        <v>49</v>
      </c>
      <c r="Y42" s="150">
        <f>IFERROR(__xludf.DUMMYFUNCTION("""COMPUTED_VALUE"""),15.0)</f>
        <v>15</v>
      </c>
      <c r="Z42" s="150">
        <f>IFERROR(__xludf.DUMMYFUNCTION("""COMPUTED_VALUE"""),175.0)</f>
        <v>175</v>
      </c>
    </row>
    <row r="43">
      <c r="A43" s="207">
        <f>IFERROR(__xludf.DUMMYFUNCTION("""COMPUTED_VALUE"""),43940.0)</f>
        <v>43940</v>
      </c>
      <c r="B43" s="150">
        <f>IFERROR(__xludf.DUMMYFUNCTION("""COMPUTED_VALUE"""),381.0)</f>
        <v>381</v>
      </c>
      <c r="C43" s="150">
        <f>IFERROR(__xludf.DUMMYFUNCTION("""COMPUTED_VALUE"""),335.0)</f>
        <v>335</v>
      </c>
      <c r="D43" s="150">
        <f>IFERROR(__xludf.DUMMYFUNCTION("""COMPUTED_VALUE"""),5474.0)</f>
        <v>5474</v>
      </c>
      <c r="E43" s="150">
        <f>IFERROR(__xludf.DUMMYFUNCTION("""COMPUTED_VALUE"""),2047.0)</f>
        <v>2047</v>
      </c>
      <c r="F43" s="150">
        <f>IFERROR(__xludf.DUMMYFUNCTION("""COMPUTED_VALUE"""),32901.0)</f>
        <v>32901</v>
      </c>
      <c r="G43" s="150">
        <f>IFERROR(__xludf.DUMMYFUNCTION("""COMPUTED_VALUE"""),2428.0)</f>
        <v>2428</v>
      </c>
      <c r="H43" s="150">
        <f>IFERROR(__xludf.DUMMYFUNCTION("""COMPUTED_VALUE"""),38375.0)</f>
        <v>38375</v>
      </c>
      <c r="I43" s="150">
        <f>IFERROR(__xludf.DUMMYFUNCTION("""COMPUTED_VALUE"""),338.0)</f>
        <v>338</v>
      </c>
      <c r="J43" s="150">
        <f>IFERROR(__xludf.DUMMYFUNCTION("""COMPUTED_VALUE"""),306.0)</f>
        <v>306</v>
      </c>
      <c r="K43" s="150">
        <f>IFERROR(__xludf.DUMMYFUNCTION("""COMPUTED_VALUE"""),5208.0)</f>
        <v>5208</v>
      </c>
      <c r="L43" s="150">
        <f>IFERROR(__xludf.DUMMYFUNCTION("""COMPUTED_VALUE"""),1742.0)</f>
        <v>1742</v>
      </c>
      <c r="M43" s="150">
        <f>IFERROR(__xludf.DUMMYFUNCTION("""COMPUTED_VALUE"""),29004.0)</f>
        <v>29004</v>
      </c>
      <c r="N43" s="150">
        <f>IFERROR(__xludf.DUMMYFUNCTION("""COMPUTED_VALUE"""),34212.0)</f>
        <v>34212</v>
      </c>
      <c r="O43" s="150">
        <f>IFERROR(__xludf.DUMMYFUNCTION("""COMPUTED_VALUE"""),23.0)</f>
        <v>23</v>
      </c>
      <c r="P43" s="150">
        <f>IFERROR(__xludf.DUMMYFUNCTION("""COMPUTED_VALUE"""),636.0)</f>
        <v>636</v>
      </c>
      <c r="Q43" s="150">
        <f>IFERROR(__xludf.DUMMYFUNCTION("""COMPUTED_VALUE"""),26.0)</f>
        <v>26</v>
      </c>
      <c r="R43" s="150">
        <f>IFERROR(__xludf.DUMMYFUNCTION("""COMPUTED_VALUE"""),271.0)</f>
        <v>271</v>
      </c>
      <c r="S43" s="150">
        <f>IFERROR(__xludf.DUMMYFUNCTION("""COMPUTED_VALUE"""),1.0)</f>
        <v>1</v>
      </c>
      <c r="T43" s="150">
        <f>IFERROR(__xludf.DUMMYFUNCTION("""COMPUTED_VALUE"""),66.0)</f>
        <v>66</v>
      </c>
      <c r="U43" s="150">
        <f>IFERROR(__xludf.DUMMYFUNCTION("""COMPUTED_VALUE"""),299.0)</f>
        <v>299</v>
      </c>
      <c r="V43" s="150">
        <f>IFERROR(__xludf.DUMMYFUNCTION("""COMPUTED_VALUE"""),300.0)</f>
        <v>300</v>
      </c>
      <c r="W43" s="150">
        <f>IFERROR(__xludf.DUMMYFUNCTION("""COMPUTED_VALUE"""),65.0)</f>
        <v>65</v>
      </c>
      <c r="X43" s="150">
        <f>IFERROR(__xludf.DUMMYFUNCTION("""COMPUTED_VALUE"""),55.0)</f>
        <v>55</v>
      </c>
      <c r="Y43" s="150">
        <f>IFERROR(__xludf.DUMMYFUNCTION("""COMPUTED_VALUE"""),11.0)</f>
        <v>11</v>
      </c>
      <c r="Z43" s="150">
        <f>IFERROR(__xludf.DUMMYFUNCTION("""COMPUTED_VALUE"""),186.0)</f>
        <v>186</v>
      </c>
    </row>
    <row r="44">
      <c r="A44" s="207">
        <f>IFERROR(__xludf.DUMMYFUNCTION("""COMPUTED_VALUE"""),43941.0)</f>
        <v>43941</v>
      </c>
      <c r="B44" s="150">
        <f>IFERROR(__xludf.DUMMYFUNCTION("""COMPUTED_VALUE"""),394.0)</f>
        <v>394</v>
      </c>
      <c r="C44" s="150">
        <f>IFERROR(__xludf.DUMMYFUNCTION("""COMPUTED_VALUE"""),365.0)</f>
        <v>365</v>
      </c>
      <c r="D44" s="150">
        <f>IFERROR(__xludf.DUMMYFUNCTION("""COMPUTED_VALUE"""),5868.0)</f>
        <v>5868</v>
      </c>
      <c r="E44" s="150">
        <f>IFERROR(__xludf.DUMMYFUNCTION("""COMPUTED_VALUE"""),1907.0)</f>
        <v>1907</v>
      </c>
      <c r="F44" s="150">
        <f>IFERROR(__xludf.DUMMYFUNCTION("""COMPUTED_VALUE"""),34808.0)</f>
        <v>34808</v>
      </c>
      <c r="G44" s="150">
        <f>IFERROR(__xludf.DUMMYFUNCTION("""COMPUTED_VALUE"""),2301.0)</f>
        <v>2301</v>
      </c>
      <c r="H44" s="150">
        <f>IFERROR(__xludf.DUMMYFUNCTION("""COMPUTED_VALUE"""),40676.0)</f>
        <v>40676</v>
      </c>
      <c r="I44" s="150">
        <f>IFERROR(__xludf.DUMMYFUNCTION("""COMPUTED_VALUE"""),377.0)</f>
        <v>377</v>
      </c>
      <c r="J44" s="150">
        <f>IFERROR(__xludf.DUMMYFUNCTION("""COMPUTED_VALUE"""),334.0)</f>
        <v>334</v>
      </c>
      <c r="K44" s="150">
        <f>IFERROR(__xludf.DUMMYFUNCTION("""COMPUTED_VALUE"""),5585.0)</f>
        <v>5585</v>
      </c>
      <c r="L44" s="150">
        <f>IFERROR(__xludf.DUMMYFUNCTION("""COMPUTED_VALUE"""),1574.0)</f>
        <v>1574</v>
      </c>
      <c r="M44" s="150">
        <f>IFERROR(__xludf.DUMMYFUNCTION("""COMPUTED_VALUE"""),30578.0)</f>
        <v>30578</v>
      </c>
      <c r="N44" s="150">
        <f>IFERROR(__xludf.DUMMYFUNCTION("""COMPUTED_VALUE"""),36163.0)</f>
        <v>36163</v>
      </c>
      <c r="O44" s="150">
        <f>IFERROR(__xludf.DUMMYFUNCTION("""COMPUTED_VALUE"""),46.0)</f>
        <v>46</v>
      </c>
      <c r="P44" s="150">
        <f>IFERROR(__xludf.DUMMYFUNCTION("""COMPUTED_VALUE"""),682.0)</f>
        <v>682</v>
      </c>
      <c r="Q44" s="150">
        <f>IFERROR(__xludf.DUMMYFUNCTION("""COMPUTED_VALUE"""),29.0)</f>
        <v>29</v>
      </c>
      <c r="R44" s="150">
        <f>IFERROR(__xludf.DUMMYFUNCTION("""COMPUTED_VALUE"""),300.0)</f>
        <v>300</v>
      </c>
      <c r="S44" s="150">
        <f>IFERROR(__xludf.DUMMYFUNCTION("""COMPUTED_VALUE"""),2.0)</f>
        <v>2</v>
      </c>
      <c r="T44" s="150">
        <f>IFERROR(__xludf.DUMMYFUNCTION("""COMPUTED_VALUE"""),68.0)</f>
        <v>68</v>
      </c>
      <c r="U44" s="150">
        <f>IFERROR(__xludf.DUMMYFUNCTION("""COMPUTED_VALUE"""),314.0)</f>
        <v>314</v>
      </c>
      <c r="V44" s="150">
        <f>IFERROR(__xludf.DUMMYFUNCTION("""COMPUTED_VALUE"""),305.0)</f>
        <v>305</v>
      </c>
      <c r="W44" s="150">
        <f>IFERROR(__xludf.DUMMYFUNCTION("""COMPUTED_VALUE"""),75.0)</f>
        <v>75</v>
      </c>
      <c r="X44" s="150">
        <f>IFERROR(__xludf.DUMMYFUNCTION("""COMPUTED_VALUE"""),56.0)</f>
        <v>56</v>
      </c>
      <c r="Y44" s="150">
        <f>IFERROR(__xludf.DUMMYFUNCTION("""COMPUTED_VALUE"""),10.0)</f>
        <v>10</v>
      </c>
      <c r="Z44" s="150">
        <f>IFERROR(__xludf.DUMMYFUNCTION("""COMPUTED_VALUE"""),196.0)</f>
        <v>196</v>
      </c>
    </row>
    <row r="45">
      <c r="A45" s="207">
        <f>IFERROR(__xludf.DUMMYFUNCTION("""COMPUTED_VALUE"""),43942.0)</f>
        <v>43942</v>
      </c>
      <c r="B45" s="150">
        <f>IFERROR(__xludf.DUMMYFUNCTION("""COMPUTED_VALUE"""),444.0)</f>
        <v>444</v>
      </c>
      <c r="C45" s="150">
        <f>IFERROR(__xludf.DUMMYFUNCTION("""COMPUTED_VALUE"""),406.0)</f>
        <v>406</v>
      </c>
      <c r="D45" s="150">
        <f>IFERROR(__xludf.DUMMYFUNCTION("""COMPUTED_VALUE"""),6312.0)</f>
        <v>6312</v>
      </c>
      <c r="E45" s="150">
        <f>IFERROR(__xludf.DUMMYFUNCTION("""COMPUTED_VALUE"""),2110.0)</f>
        <v>2110</v>
      </c>
      <c r="F45" s="150">
        <f>IFERROR(__xludf.DUMMYFUNCTION("""COMPUTED_VALUE"""),36918.0)</f>
        <v>36918</v>
      </c>
      <c r="G45" s="150">
        <f>IFERROR(__xludf.DUMMYFUNCTION("""COMPUTED_VALUE"""),2554.0)</f>
        <v>2554</v>
      </c>
      <c r="H45" s="150">
        <f>IFERROR(__xludf.DUMMYFUNCTION("""COMPUTED_VALUE"""),43230.0)</f>
        <v>43230</v>
      </c>
      <c r="I45" s="150">
        <f>IFERROR(__xludf.DUMMYFUNCTION("""COMPUTED_VALUE"""),391.0)</f>
        <v>391</v>
      </c>
      <c r="J45" s="150">
        <f>IFERROR(__xludf.DUMMYFUNCTION("""COMPUTED_VALUE"""),369.0)</f>
        <v>369</v>
      </c>
      <c r="K45" s="150">
        <f>IFERROR(__xludf.DUMMYFUNCTION("""COMPUTED_VALUE"""),5976.0)</f>
        <v>5976</v>
      </c>
      <c r="L45" s="150">
        <f>IFERROR(__xludf.DUMMYFUNCTION("""COMPUTED_VALUE"""),1709.0)</f>
        <v>1709</v>
      </c>
      <c r="M45" s="150">
        <f>IFERROR(__xludf.DUMMYFUNCTION("""COMPUTED_VALUE"""),32287.0)</f>
        <v>32287</v>
      </c>
      <c r="N45" s="150">
        <f>IFERROR(__xludf.DUMMYFUNCTION("""COMPUTED_VALUE"""),38263.0)</f>
        <v>38263</v>
      </c>
      <c r="O45" s="150">
        <f>IFERROR(__xludf.DUMMYFUNCTION("""COMPUTED_VALUE"""),45.0)</f>
        <v>45</v>
      </c>
      <c r="P45" s="150">
        <f>IFERROR(__xludf.DUMMYFUNCTION("""COMPUTED_VALUE"""),727.0)</f>
        <v>727</v>
      </c>
      <c r="Q45" s="150">
        <f>IFERROR(__xludf.DUMMYFUNCTION("""COMPUTED_VALUE"""),33.0)</f>
        <v>33</v>
      </c>
      <c r="R45" s="150">
        <f>IFERROR(__xludf.DUMMYFUNCTION("""COMPUTED_VALUE"""),333.0)</f>
        <v>333</v>
      </c>
      <c r="S45" s="150">
        <f>IFERROR(__xludf.DUMMYFUNCTION("""COMPUTED_VALUE"""),5.0)</f>
        <v>5</v>
      </c>
      <c r="T45" s="150">
        <f>IFERROR(__xludf.DUMMYFUNCTION("""COMPUTED_VALUE"""),73.0)</f>
        <v>73</v>
      </c>
      <c r="U45" s="150">
        <f>IFERROR(__xludf.DUMMYFUNCTION("""COMPUTED_VALUE"""),321.0)</f>
        <v>321</v>
      </c>
      <c r="V45" s="150">
        <f>IFERROR(__xludf.DUMMYFUNCTION("""COMPUTED_VALUE"""),311.0)</f>
        <v>311</v>
      </c>
      <c r="W45" s="150">
        <f>IFERROR(__xludf.DUMMYFUNCTION("""COMPUTED_VALUE"""),72.0)</f>
        <v>72</v>
      </c>
      <c r="X45" s="150">
        <f>IFERROR(__xludf.DUMMYFUNCTION("""COMPUTED_VALUE"""),56.0)</f>
        <v>56</v>
      </c>
      <c r="Y45" s="150">
        <f>IFERROR(__xludf.DUMMYFUNCTION("""COMPUTED_VALUE"""),18.0)</f>
        <v>18</v>
      </c>
      <c r="Z45" s="150">
        <f>IFERROR(__xludf.DUMMYFUNCTION("""COMPUTED_VALUE"""),214.0)</f>
        <v>214</v>
      </c>
    </row>
    <row r="46">
      <c r="A46" s="207">
        <f>IFERROR(__xludf.DUMMYFUNCTION("""COMPUTED_VALUE"""),43943.0)</f>
        <v>43943</v>
      </c>
      <c r="B46" s="150">
        <f>IFERROR(__xludf.DUMMYFUNCTION("""COMPUTED_VALUE"""),418.0)</f>
        <v>418</v>
      </c>
      <c r="C46" s="150">
        <f>IFERROR(__xludf.DUMMYFUNCTION("""COMPUTED_VALUE"""),419.0)</f>
        <v>419</v>
      </c>
      <c r="D46" s="150">
        <f>IFERROR(__xludf.DUMMYFUNCTION("""COMPUTED_VALUE"""),6730.0)</f>
        <v>6730</v>
      </c>
      <c r="E46" s="150">
        <f>IFERROR(__xludf.DUMMYFUNCTION("""COMPUTED_VALUE"""),2390.0)</f>
        <v>2390</v>
      </c>
      <c r="F46" s="150">
        <f>IFERROR(__xludf.DUMMYFUNCTION("""COMPUTED_VALUE"""),39308.0)</f>
        <v>39308</v>
      </c>
      <c r="G46" s="150">
        <f>IFERROR(__xludf.DUMMYFUNCTION("""COMPUTED_VALUE"""),2808.0)</f>
        <v>2808</v>
      </c>
      <c r="H46" s="150">
        <f>IFERROR(__xludf.DUMMYFUNCTION("""COMPUTED_VALUE"""),46038.0)</f>
        <v>46038</v>
      </c>
      <c r="I46" s="150">
        <f>IFERROR(__xludf.DUMMYFUNCTION("""COMPUTED_VALUE"""),384.0)</f>
        <v>384</v>
      </c>
      <c r="J46" s="150">
        <f>IFERROR(__xludf.DUMMYFUNCTION("""COMPUTED_VALUE"""),384.0)</f>
        <v>384</v>
      </c>
      <c r="K46" s="150">
        <f>IFERROR(__xludf.DUMMYFUNCTION("""COMPUTED_VALUE"""),6360.0)</f>
        <v>6360</v>
      </c>
      <c r="L46" s="150">
        <f>IFERROR(__xludf.DUMMYFUNCTION("""COMPUTED_VALUE"""),1915.0)</f>
        <v>1915</v>
      </c>
      <c r="M46" s="150">
        <f>IFERROR(__xludf.DUMMYFUNCTION("""COMPUTED_VALUE"""),34202.0)</f>
        <v>34202</v>
      </c>
      <c r="N46" s="150">
        <f>IFERROR(__xludf.DUMMYFUNCTION("""COMPUTED_VALUE"""),40562.0)</f>
        <v>40562</v>
      </c>
      <c r="O46" s="150">
        <f>IFERROR(__xludf.DUMMYFUNCTION("""COMPUTED_VALUE"""),41.0)</f>
        <v>41</v>
      </c>
      <c r="P46" s="150">
        <f>IFERROR(__xludf.DUMMYFUNCTION("""COMPUTED_VALUE"""),768.0)</f>
        <v>768</v>
      </c>
      <c r="Q46" s="150">
        <f>IFERROR(__xludf.DUMMYFUNCTION("""COMPUTED_VALUE"""),32.0)</f>
        <v>32</v>
      </c>
      <c r="R46" s="150">
        <f>IFERROR(__xludf.DUMMYFUNCTION("""COMPUTED_VALUE"""),365.0)</f>
        <v>365</v>
      </c>
      <c r="S46" s="150">
        <f>IFERROR(__xludf.DUMMYFUNCTION("""COMPUTED_VALUE"""),5.0)</f>
        <v>5</v>
      </c>
      <c r="T46" s="150">
        <f>IFERROR(__xludf.DUMMYFUNCTION("""COMPUTED_VALUE"""),78.0)</f>
        <v>78</v>
      </c>
      <c r="U46" s="150">
        <f>IFERROR(__xludf.DUMMYFUNCTION("""COMPUTED_VALUE"""),325.0)</f>
        <v>325</v>
      </c>
      <c r="V46" s="150">
        <f>IFERROR(__xludf.DUMMYFUNCTION("""COMPUTED_VALUE"""),320.0)</f>
        <v>320</v>
      </c>
      <c r="W46" s="150">
        <f>IFERROR(__xludf.DUMMYFUNCTION("""COMPUTED_VALUE"""),73.0)</f>
        <v>73</v>
      </c>
      <c r="X46" s="150">
        <f>IFERROR(__xludf.DUMMYFUNCTION("""COMPUTED_VALUE"""),58.0)</f>
        <v>58</v>
      </c>
      <c r="Y46" s="150">
        <f>IFERROR(__xludf.DUMMYFUNCTION("""COMPUTED_VALUE"""),18.0)</f>
        <v>18</v>
      </c>
      <c r="Z46" s="150">
        <f>IFERROR(__xludf.DUMMYFUNCTION("""COMPUTED_VALUE"""),232.0)</f>
        <v>232</v>
      </c>
    </row>
    <row r="47">
      <c r="A47" s="207">
        <f>IFERROR(__xludf.DUMMYFUNCTION("""COMPUTED_VALUE"""),43944.0)</f>
        <v>43944</v>
      </c>
      <c r="B47" s="150">
        <f>IFERROR(__xludf.DUMMYFUNCTION("""COMPUTED_VALUE"""),479.0)</f>
        <v>479</v>
      </c>
      <c r="C47" s="150">
        <f>IFERROR(__xludf.DUMMYFUNCTION("""COMPUTED_VALUE"""),447.0)</f>
        <v>447</v>
      </c>
      <c r="D47" s="150">
        <f>IFERROR(__xludf.DUMMYFUNCTION("""COMPUTED_VALUE"""),7209.0)</f>
        <v>7209</v>
      </c>
      <c r="E47" s="150">
        <f>IFERROR(__xludf.DUMMYFUNCTION("""COMPUTED_VALUE"""),2469.0)</f>
        <v>2469</v>
      </c>
      <c r="F47" s="150">
        <f>IFERROR(__xludf.DUMMYFUNCTION("""COMPUTED_VALUE"""),41777.0)</f>
        <v>41777</v>
      </c>
      <c r="G47" s="150">
        <f>IFERROR(__xludf.DUMMYFUNCTION("""COMPUTED_VALUE"""),2948.0)</f>
        <v>2948</v>
      </c>
      <c r="H47" s="150">
        <f>IFERROR(__xludf.DUMMYFUNCTION("""COMPUTED_VALUE"""),48986.0)</f>
        <v>48986</v>
      </c>
      <c r="I47" s="150">
        <f>IFERROR(__xludf.DUMMYFUNCTION("""COMPUTED_VALUE"""),420.0)</f>
        <v>420</v>
      </c>
      <c r="J47" s="150">
        <f>IFERROR(__xludf.DUMMYFUNCTION("""COMPUTED_VALUE"""),398.0)</f>
        <v>398</v>
      </c>
      <c r="K47" s="150">
        <f>IFERROR(__xludf.DUMMYFUNCTION("""COMPUTED_VALUE"""),6780.0)</f>
        <v>6780</v>
      </c>
      <c r="L47" s="150">
        <f>IFERROR(__xludf.DUMMYFUNCTION("""COMPUTED_VALUE"""),1860.0)</f>
        <v>1860</v>
      </c>
      <c r="M47" s="150">
        <f>IFERROR(__xludf.DUMMYFUNCTION("""COMPUTED_VALUE"""),36062.0)</f>
        <v>36062</v>
      </c>
      <c r="N47" s="150">
        <f>IFERROR(__xludf.DUMMYFUNCTION("""COMPUTED_VALUE"""),42842.0)</f>
        <v>42842</v>
      </c>
      <c r="O47" s="150">
        <f>IFERROR(__xludf.DUMMYFUNCTION("""COMPUTED_VALUE"""),32.0)</f>
        <v>32</v>
      </c>
      <c r="P47" s="150">
        <f>IFERROR(__xludf.DUMMYFUNCTION("""COMPUTED_VALUE"""),800.0)</f>
        <v>800</v>
      </c>
      <c r="Q47" s="150">
        <f>IFERROR(__xludf.DUMMYFUNCTION("""COMPUTED_VALUE"""),28.0)</f>
        <v>28</v>
      </c>
      <c r="R47" s="150">
        <f>IFERROR(__xludf.DUMMYFUNCTION("""COMPUTED_VALUE"""),393.0)</f>
        <v>393</v>
      </c>
      <c r="S47" s="150">
        <f>IFERROR(__xludf.DUMMYFUNCTION("""COMPUTED_VALUE"""),5.0)</f>
        <v>5</v>
      </c>
      <c r="T47" s="150">
        <f>IFERROR(__xludf.DUMMYFUNCTION("""COMPUTED_VALUE"""),83.0)</f>
        <v>83</v>
      </c>
      <c r="U47" s="150">
        <f>IFERROR(__xludf.DUMMYFUNCTION("""COMPUTED_VALUE"""),324.0)</f>
        <v>324</v>
      </c>
      <c r="V47" s="150">
        <f>IFERROR(__xludf.DUMMYFUNCTION("""COMPUTED_VALUE"""),323.0)</f>
        <v>323</v>
      </c>
      <c r="W47" s="150">
        <f>IFERROR(__xludf.DUMMYFUNCTION("""COMPUTED_VALUE"""),76.0)</f>
        <v>76</v>
      </c>
      <c r="X47" s="150">
        <f>IFERROR(__xludf.DUMMYFUNCTION("""COMPUTED_VALUE"""),62.0)</f>
        <v>62</v>
      </c>
      <c r="Y47" s="150">
        <f>IFERROR(__xludf.DUMMYFUNCTION("""COMPUTED_VALUE"""),15.0)</f>
        <v>15</v>
      </c>
      <c r="Z47" s="150">
        <f>IFERROR(__xludf.DUMMYFUNCTION("""COMPUTED_VALUE"""),247.0)</f>
        <v>247</v>
      </c>
    </row>
    <row r="48">
      <c r="A48" s="207">
        <f>IFERROR(__xludf.DUMMYFUNCTION("""COMPUTED_VALUE"""),43945.0)</f>
        <v>43945</v>
      </c>
      <c r="B48" s="150">
        <f>IFERROR(__xludf.DUMMYFUNCTION("""COMPUTED_VALUE"""),491.0)</f>
        <v>491</v>
      </c>
      <c r="C48" s="150">
        <f>IFERROR(__xludf.DUMMYFUNCTION("""COMPUTED_VALUE"""),463.0)</f>
        <v>463</v>
      </c>
      <c r="D48" s="150">
        <f>IFERROR(__xludf.DUMMYFUNCTION("""COMPUTED_VALUE"""),7700.0)</f>
        <v>7700</v>
      </c>
      <c r="E48" s="150">
        <f>IFERROR(__xludf.DUMMYFUNCTION("""COMPUTED_VALUE"""),3284.0)</f>
        <v>3284</v>
      </c>
      <c r="F48" s="150">
        <f>IFERROR(__xludf.DUMMYFUNCTION("""COMPUTED_VALUE"""),45061.0)</f>
        <v>45061</v>
      </c>
      <c r="G48" s="150">
        <f>IFERROR(__xludf.DUMMYFUNCTION("""COMPUTED_VALUE"""),3775.0)</f>
        <v>3775</v>
      </c>
      <c r="H48" s="150">
        <f>IFERROR(__xludf.DUMMYFUNCTION("""COMPUTED_VALUE"""),52761.0)</f>
        <v>52761</v>
      </c>
      <c r="I48" s="150">
        <f>IFERROR(__xludf.DUMMYFUNCTION("""COMPUTED_VALUE"""),416.0)</f>
        <v>416</v>
      </c>
      <c r="J48" s="150">
        <f>IFERROR(__xludf.DUMMYFUNCTION("""COMPUTED_VALUE"""),407.0)</f>
        <v>407</v>
      </c>
      <c r="K48" s="150">
        <f>IFERROR(__xludf.DUMMYFUNCTION("""COMPUTED_VALUE"""),7196.0)</f>
        <v>7196</v>
      </c>
      <c r="L48" s="150">
        <f>IFERROR(__xludf.DUMMYFUNCTION("""COMPUTED_VALUE"""),2629.0)</f>
        <v>2629</v>
      </c>
      <c r="M48" s="150">
        <f>IFERROR(__xludf.DUMMYFUNCTION("""COMPUTED_VALUE"""),38691.0)</f>
        <v>38691</v>
      </c>
      <c r="N48" s="150">
        <f>IFERROR(__xludf.DUMMYFUNCTION("""COMPUTED_VALUE"""),45887.0)</f>
        <v>45887</v>
      </c>
      <c r="O48" s="150">
        <f>IFERROR(__xludf.DUMMYFUNCTION("""COMPUTED_VALUE"""),35.0)</f>
        <v>35</v>
      </c>
      <c r="P48" s="150">
        <f>IFERROR(__xludf.DUMMYFUNCTION("""COMPUTED_VALUE"""),835.0)</f>
        <v>835</v>
      </c>
      <c r="Q48" s="150">
        <f>IFERROR(__xludf.DUMMYFUNCTION("""COMPUTED_VALUE"""),26.0)</f>
        <v>26</v>
      </c>
      <c r="R48" s="150">
        <f>IFERROR(__xludf.DUMMYFUNCTION("""COMPUTED_VALUE"""),419.0)</f>
        <v>419</v>
      </c>
      <c r="S48" s="150">
        <f>IFERROR(__xludf.DUMMYFUNCTION("""COMPUTED_VALUE"""),4.0)</f>
        <v>4</v>
      </c>
      <c r="T48" s="150">
        <f>IFERROR(__xludf.DUMMYFUNCTION("""COMPUTED_VALUE"""),87.0)</f>
        <v>87</v>
      </c>
      <c r="U48" s="150">
        <f>IFERROR(__xludf.DUMMYFUNCTION("""COMPUTED_VALUE"""),329.0)</f>
        <v>329</v>
      </c>
      <c r="V48" s="150">
        <f>IFERROR(__xludf.DUMMYFUNCTION("""COMPUTED_VALUE"""),326.0)</f>
        <v>326</v>
      </c>
      <c r="W48" s="150">
        <f>IFERROR(__xludf.DUMMYFUNCTION("""COMPUTED_VALUE"""),85.0)</f>
        <v>85</v>
      </c>
      <c r="X48" s="150">
        <f>IFERROR(__xludf.DUMMYFUNCTION("""COMPUTED_VALUE"""),63.0)</f>
        <v>63</v>
      </c>
      <c r="Y48" s="150">
        <f>IFERROR(__xludf.DUMMYFUNCTION("""COMPUTED_VALUE"""),15.0)</f>
        <v>15</v>
      </c>
      <c r="Z48" s="150">
        <f>IFERROR(__xludf.DUMMYFUNCTION("""COMPUTED_VALUE"""),262.0)</f>
        <v>262</v>
      </c>
    </row>
    <row r="49">
      <c r="A49" s="207">
        <f>IFERROR(__xludf.DUMMYFUNCTION("""COMPUTED_VALUE"""),43946.0)</f>
        <v>43946</v>
      </c>
      <c r="B49" s="150">
        <f>IFERROR(__xludf.DUMMYFUNCTION("""COMPUTED_VALUE"""),393.0)</f>
        <v>393</v>
      </c>
      <c r="C49" s="150">
        <f>IFERROR(__xludf.DUMMYFUNCTION("""COMPUTED_VALUE"""),454.0)</f>
        <v>454</v>
      </c>
      <c r="D49" s="150">
        <f>IFERROR(__xludf.DUMMYFUNCTION("""COMPUTED_VALUE"""),8093.0)</f>
        <v>8093</v>
      </c>
      <c r="E49" s="150">
        <f>IFERROR(__xludf.DUMMYFUNCTION("""COMPUTED_VALUE"""),2206.0)</f>
        <v>2206</v>
      </c>
      <c r="F49" s="150">
        <f>IFERROR(__xludf.DUMMYFUNCTION("""COMPUTED_VALUE"""),47267.0)</f>
        <v>47267</v>
      </c>
      <c r="G49" s="150">
        <f>IFERROR(__xludf.DUMMYFUNCTION("""COMPUTED_VALUE"""),2599.0)</f>
        <v>2599</v>
      </c>
      <c r="H49" s="150">
        <f>IFERROR(__xludf.DUMMYFUNCTION("""COMPUTED_VALUE"""),55360.0)</f>
        <v>55360</v>
      </c>
      <c r="I49" s="150">
        <f>IFERROR(__xludf.DUMMYFUNCTION("""COMPUTED_VALUE"""),304.0)</f>
        <v>304</v>
      </c>
      <c r="J49" s="150">
        <f>IFERROR(__xludf.DUMMYFUNCTION("""COMPUTED_VALUE"""),380.0)</f>
        <v>380</v>
      </c>
      <c r="K49" s="150">
        <f>IFERROR(__xludf.DUMMYFUNCTION("""COMPUTED_VALUE"""),7500.0)</f>
        <v>7500</v>
      </c>
      <c r="L49" s="150">
        <f>IFERROR(__xludf.DUMMYFUNCTION("""COMPUTED_VALUE"""),1771.0)</f>
        <v>1771</v>
      </c>
      <c r="M49" s="150">
        <f>IFERROR(__xludf.DUMMYFUNCTION("""COMPUTED_VALUE"""),40462.0)</f>
        <v>40462</v>
      </c>
      <c r="N49" s="150">
        <f>IFERROR(__xludf.DUMMYFUNCTION("""COMPUTED_VALUE"""),47962.0)</f>
        <v>47962</v>
      </c>
      <c r="O49" s="150">
        <f>IFERROR(__xludf.DUMMYFUNCTION("""COMPUTED_VALUE"""),34.0)</f>
        <v>34</v>
      </c>
      <c r="P49" s="150">
        <f>IFERROR(__xludf.DUMMYFUNCTION("""COMPUTED_VALUE"""),869.0)</f>
        <v>869</v>
      </c>
      <c r="Q49" s="150">
        <f>IFERROR(__xludf.DUMMYFUNCTION("""COMPUTED_VALUE"""),17.0)</f>
        <v>17</v>
      </c>
      <c r="R49" s="150">
        <f>IFERROR(__xludf.DUMMYFUNCTION("""COMPUTED_VALUE"""),436.0)</f>
        <v>436</v>
      </c>
      <c r="S49" s="150">
        <f>IFERROR(__xludf.DUMMYFUNCTION("""COMPUTED_VALUE"""),5.0)</f>
        <v>5</v>
      </c>
      <c r="T49" s="150">
        <f>IFERROR(__xludf.DUMMYFUNCTION("""COMPUTED_VALUE"""),92.0)</f>
        <v>92</v>
      </c>
      <c r="U49" s="150">
        <f>IFERROR(__xludf.DUMMYFUNCTION("""COMPUTED_VALUE"""),341.0)</f>
        <v>341</v>
      </c>
      <c r="V49" s="150">
        <f>IFERROR(__xludf.DUMMYFUNCTION("""COMPUTED_VALUE"""),331.0)</f>
        <v>331</v>
      </c>
      <c r="W49" s="150">
        <f>IFERROR(__xludf.DUMMYFUNCTION("""COMPUTED_VALUE"""),85.0)</f>
        <v>85</v>
      </c>
      <c r="X49" s="150">
        <f>IFERROR(__xludf.DUMMYFUNCTION("""COMPUTED_VALUE"""),62.0)</f>
        <v>62</v>
      </c>
      <c r="Y49" s="150">
        <f>IFERROR(__xludf.DUMMYFUNCTION("""COMPUTED_VALUE"""),14.0)</f>
        <v>14</v>
      </c>
      <c r="Z49" s="150">
        <f>IFERROR(__xludf.DUMMYFUNCTION("""COMPUTED_VALUE"""),276.0)</f>
        <v>276</v>
      </c>
    </row>
    <row r="50">
      <c r="A50" s="207">
        <f>IFERROR(__xludf.DUMMYFUNCTION("""COMPUTED_VALUE"""),43947.0)</f>
        <v>43947</v>
      </c>
      <c r="B50" s="150">
        <f>IFERROR(__xludf.DUMMYFUNCTION("""COMPUTED_VALUE"""),316.0)</f>
        <v>316</v>
      </c>
      <c r="C50" s="150">
        <f>IFERROR(__xludf.DUMMYFUNCTION("""COMPUTED_VALUE"""),400.0)</f>
        <v>400</v>
      </c>
      <c r="D50" s="150">
        <f>IFERROR(__xludf.DUMMYFUNCTION("""COMPUTED_VALUE"""),8409.0)</f>
        <v>8409</v>
      </c>
      <c r="E50" s="150">
        <f>IFERROR(__xludf.DUMMYFUNCTION("""COMPUTED_VALUE"""),2309.0)</f>
        <v>2309</v>
      </c>
      <c r="F50" s="150">
        <f>IFERROR(__xludf.DUMMYFUNCTION("""COMPUTED_VALUE"""),49576.0)</f>
        <v>49576</v>
      </c>
      <c r="G50" s="150">
        <f>IFERROR(__xludf.DUMMYFUNCTION("""COMPUTED_VALUE"""),2625.0)</f>
        <v>2625</v>
      </c>
      <c r="H50" s="150">
        <f>IFERROR(__xludf.DUMMYFUNCTION("""COMPUTED_VALUE"""),57985.0)</f>
        <v>57985</v>
      </c>
      <c r="I50" s="150">
        <f>IFERROR(__xludf.DUMMYFUNCTION("""COMPUTED_VALUE"""),275.0)</f>
        <v>275</v>
      </c>
      <c r="J50" s="150">
        <f>IFERROR(__xludf.DUMMYFUNCTION("""COMPUTED_VALUE"""),332.0)</f>
        <v>332</v>
      </c>
      <c r="K50" s="150">
        <f>IFERROR(__xludf.DUMMYFUNCTION("""COMPUTED_VALUE"""),7775.0)</f>
        <v>7775</v>
      </c>
      <c r="L50" s="150">
        <f>IFERROR(__xludf.DUMMYFUNCTION("""COMPUTED_VALUE"""),1878.0)</f>
        <v>1878</v>
      </c>
      <c r="M50" s="150">
        <f>IFERROR(__xludf.DUMMYFUNCTION("""COMPUTED_VALUE"""),42340.0)</f>
        <v>42340</v>
      </c>
      <c r="N50" s="150">
        <f>IFERROR(__xludf.DUMMYFUNCTION("""COMPUTED_VALUE"""),50115.0)</f>
        <v>50115</v>
      </c>
      <c r="O50" s="150">
        <f>IFERROR(__xludf.DUMMYFUNCTION("""COMPUTED_VALUE"""),33.0)</f>
        <v>33</v>
      </c>
      <c r="P50" s="150">
        <f>IFERROR(__xludf.DUMMYFUNCTION("""COMPUTED_VALUE"""),902.0)</f>
        <v>902</v>
      </c>
      <c r="Q50" s="150">
        <f>IFERROR(__xludf.DUMMYFUNCTION("""COMPUTED_VALUE"""),15.0)</f>
        <v>15</v>
      </c>
      <c r="R50" s="150">
        <f>IFERROR(__xludf.DUMMYFUNCTION("""COMPUTED_VALUE"""),451.0)</f>
        <v>451</v>
      </c>
      <c r="S50" s="150">
        <f>IFERROR(__xludf.DUMMYFUNCTION("""COMPUTED_VALUE"""),3.0)</f>
        <v>3</v>
      </c>
      <c r="T50" s="150">
        <f>IFERROR(__xludf.DUMMYFUNCTION("""COMPUTED_VALUE"""),95.0)</f>
        <v>95</v>
      </c>
      <c r="U50" s="150">
        <f>IFERROR(__xludf.DUMMYFUNCTION("""COMPUTED_VALUE"""),356.0)</f>
        <v>356</v>
      </c>
      <c r="V50" s="150">
        <f>IFERROR(__xludf.DUMMYFUNCTION("""COMPUTED_VALUE"""),342.0)</f>
        <v>342</v>
      </c>
      <c r="W50" s="150">
        <f>IFERROR(__xludf.DUMMYFUNCTION("""COMPUTED_VALUE"""),86.0)</f>
        <v>86</v>
      </c>
      <c r="X50" s="150">
        <f>IFERROR(__xludf.DUMMYFUNCTION("""COMPUTED_VALUE"""),59.0)</f>
        <v>59</v>
      </c>
      <c r="Y50" s="150">
        <f>IFERROR(__xludf.DUMMYFUNCTION("""COMPUTED_VALUE"""),14.0)</f>
        <v>14</v>
      </c>
      <c r="Z50" s="150">
        <f>IFERROR(__xludf.DUMMYFUNCTION("""COMPUTED_VALUE"""),290.0)</f>
        <v>290</v>
      </c>
    </row>
    <row r="51">
      <c r="A51" s="207">
        <f>IFERROR(__xludf.DUMMYFUNCTION("""COMPUTED_VALUE"""),43948.0)</f>
        <v>43948</v>
      </c>
      <c r="B51" s="150">
        <f>IFERROR(__xludf.DUMMYFUNCTION("""COMPUTED_VALUE"""),249.0)</f>
        <v>249</v>
      </c>
      <c r="C51" s="150">
        <f>IFERROR(__xludf.DUMMYFUNCTION("""COMPUTED_VALUE"""),319.0)</f>
        <v>319</v>
      </c>
      <c r="D51" s="150">
        <f>IFERROR(__xludf.DUMMYFUNCTION("""COMPUTED_VALUE"""),8658.0)</f>
        <v>8658</v>
      </c>
      <c r="E51" s="150">
        <f>IFERROR(__xludf.DUMMYFUNCTION("""COMPUTED_VALUE"""),1620.0)</f>
        <v>1620</v>
      </c>
      <c r="F51" s="150">
        <f>IFERROR(__xludf.DUMMYFUNCTION("""COMPUTED_VALUE"""),51196.0)</f>
        <v>51196</v>
      </c>
      <c r="G51" s="150">
        <f>IFERROR(__xludf.DUMMYFUNCTION("""COMPUTED_VALUE"""),1869.0)</f>
        <v>1869</v>
      </c>
      <c r="H51" s="150">
        <f>IFERROR(__xludf.DUMMYFUNCTION("""COMPUTED_VALUE"""),59854.0)</f>
        <v>59854</v>
      </c>
      <c r="I51" s="150">
        <f>IFERROR(__xludf.DUMMYFUNCTION("""COMPUTED_VALUE"""),204.0)</f>
        <v>204</v>
      </c>
      <c r="J51" s="150">
        <f>IFERROR(__xludf.DUMMYFUNCTION("""COMPUTED_VALUE"""),261.0)</f>
        <v>261</v>
      </c>
      <c r="K51" s="150">
        <f>IFERROR(__xludf.DUMMYFUNCTION("""COMPUTED_VALUE"""),7979.0)</f>
        <v>7979</v>
      </c>
      <c r="L51" s="150">
        <f>IFERROR(__xludf.DUMMYFUNCTION("""COMPUTED_VALUE"""),1163.0)</f>
        <v>1163</v>
      </c>
      <c r="M51" s="150">
        <f>IFERROR(__xludf.DUMMYFUNCTION("""COMPUTED_VALUE"""),43503.0)</f>
        <v>43503</v>
      </c>
      <c r="N51" s="150">
        <f>IFERROR(__xludf.DUMMYFUNCTION("""COMPUTED_VALUE"""),51482.0)</f>
        <v>51482</v>
      </c>
      <c r="O51" s="150">
        <f>IFERROR(__xludf.DUMMYFUNCTION("""COMPUTED_VALUE"""),29.0)</f>
        <v>29</v>
      </c>
      <c r="P51" s="150">
        <f>IFERROR(__xludf.DUMMYFUNCTION("""COMPUTED_VALUE"""),931.0)</f>
        <v>931</v>
      </c>
      <c r="Q51" s="150">
        <f>IFERROR(__xludf.DUMMYFUNCTION("""COMPUTED_VALUE"""),21.0)</f>
        <v>21</v>
      </c>
      <c r="R51" s="150">
        <f>IFERROR(__xludf.DUMMYFUNCTION("""COMPUTED_VALUE"""),472.0)</f>
        <v>472</v>
      </c>
      <c r="S51" s="150">
        <f>IFERROR(__xludf.DUMMYFUNCTION("""COMPUTED_VALUE"""),4.0)</f>
        <v>4</v>
      </c>
      <c r="T51" s="150">
        <f>IFERROR(__xludf.DUMMYFUNCTION("""COMPUTED_VALUE"""),99.0)</f>
        <v>99</v>
      </c>
      <c r="U51" s="150">
        <f>IFERROR(__xludf.DUMMYFUNCTION("""COMPUTED_VALUE"""),360.0)</f>
        <v>360</v>
      </c>
      <c r="V51" s="150">
        <f>IFERROR(__xludf.DUMMYFUNCTION("""COMPUTED_VALUE"""),352.0)</f>
        <v>352</v>
      </c>
      <c r="W51" s="150">
        <f>IFERROR(__xludf.DUMMYFUNCTION("""COMPUTED_VALUE"""),86.0)</f>
        <v>86</v>
      </c>
      <c r="X51" s="150">
        <f>IFERROR(__xludf.DUMMYFUNCTION("""COMPUTED_VALUE"""),61.0)</f>
        <v>61</v>
      </c>
      <c r="Y51" s="150">
        <f>IFERROR(__xludf.DUMMYFUNCTION("""COMPUTED_VALUE"""),10.0)</f>
        <v>10</v>
      </c>
      <c r="Z51" s="150">
        <f>IFERROR(__xludf.DUMMYFUNCTION("""COMPUTED_VALUE"""),300.0)</f>
        <v>300</v>
      </c>
    </row>
    <row r="52">
      <c r="A52" s="207">
        <f>IFERROR(__xludf.DUMMYFUNCTION("""COMPUTED_VALUE"""),43949.0)</f>
        <v>43949</v>
      </c>
      <c r="B52" s="150">
        <f>IFERROR(__xludf.DUMMYFUNCTION("""COMPUTED_VALUE"""),410.0)</f>
        <v>410</v>
      </c>
      <c r="C52" s="150">
        <f>IFERROR(__xludf.DUMMYFUNCTION("""COMPUTED_VALUE"""),325.0)</f>
        <v>325</v>
      </c>
      <c r="D52" s="150">
        <f>IFERROR(__xludf.DUMMYFUNCTION("""COMPUTED_VALUE"""),9068.0)</f>
        <v>9068</v>
      </c>
      <c r="E52" s="150">
        <f>IFERROR(__xludf.DUMMYFUNCTION("""COMPUTED_VALUE"""),2263.0)</f>
        <v>2263</v>
      </c>
      <c r="F52" s="150">
        <f>IFERROR(__xludf.DUMMYFUNCTION("""COMPUTED_VALUE"""),53459.0)</f>
        <v>53459</v>
      </c>
      <c r="G52" s="150">
        <f>IFERROR(__xludf.DUMMYFUNCTION("""COMPUTED_VALUE"""),2673.0)</f>
        <v>2673</v>
      </c>
      <c r="H52" s="150">
        <f>IFERROR(__xludf.DUMMYFUNCTION("""COMPUTED_VALUE"""),62527.0)</f>
        <v>62527</v>
      </c>
      <c r="I52" s="150">
        <f>IFERROR(__xludf.DUMMYFUNCTION("""COMPUTED_VALUE"""),330.0)</f>
        <v>330</v>
      </c>
      <c r="J52" s="150">
        <f>IFERROR(__xludf.DUMMYFUNCTION("""COMPUTED_VALUE"""),270.0)</f>
        <v>270</v>
      </c>
      <c r="K52" s="150">
        <f>IFERROR(__xludf.DUMMYFUNCTION("""COMPUTED_VALUE"""),8309.0)</f>
        <v>8309</v>
      </c>
      <c r="L52" s="150">
        <f>IFERROR(__xludf.DUMMYFUNCTION("""COMPUTED_VALUE"""),1763.0)</f>
        <v>1763</v>
      </c>
      <c r="M52" s="150">
        <f>IFERROR(__xludf.DUMMYFUNCTION("""COMPUTED_VALUE"""),45266.0)</f>
        <v>45266</v>
      </c>
      <c r="N52" s="150">
        <f>IFERROR(__xludf.DUMMYFUNCTION("""COMPUTED_VALUE"""),53575.0)</f>
        <v>53575</v>
      </c>
      <c r="O52" s="150">
        <f>IFERROR(__xludf.DUMMYFUNCTION("""COMPUTED_VALUE"""),44.0)</f>
        <v>44</v>
      </c>
      <c r="P52" s="150">
        <f>IFERROR(__xludf.DUMMYFUNCTION("""COMPUTED_VALUE"""),975.0)</f>
        <v>975</v>
      </c>
      <c r="Q52" s="150">
        <f>IFERROR(__xludf.DUMMYFUNCTION("""COMPUTED_VALUE"""),24.0)</f>
        <v>24</v>
      </c>
      <c r="R52" s="150">
        <f>IFERROR(__xludf.DUMMYFUNCTION("""COMPUTED_VALUE"""),496.0)</f>
        <v>496</v>
      </c>
      <c r="S52" s="150">
        <f>IFERROR(__xludf.DUMMYFUNCTION("""COMPUTED_VALUE"""),3.0)</f>
        <v>3</v>
      </c>
      <c r="T52" s="150">
        <f>IFERROR(__xludf.DUMMYFUNCTION("""COMPUTED_VALUE"""),102.0)</f>
        <v>102</v>
      </c>
      <c r="U52" s="150">
        <f>IFERROR(__xludf.DUMMYFUNCTION("""COMPUTED_VALUE"""),377.0)</f>
        <v>377</v>
      </c>
      <c r="V52" s="150">
        <f>IFERROR(__xludf.DUMMYFUNCTION("""COMPUTED_VALUE"""),364.0)</f>
        <v>364</v>
      </c>
      <c r="W52" s="150">
        <f>IFERROR(__xludf.DUMMYFUNCTION("""COMPUTED_VALUE"""),88.0)</f>
        <v>88</v>
      </c>
      <c r="X52" s="150">
        <f>IFERROR(__xludf.DUMMYFUNCTION("""COMPUTED_VALUE"""),59.0)</f>
        <v>59</v>
      </c>
      <c r="Y52" s="150">
        <f>IFERROR(__xludf.DUMMYFUNCTION("""COMPUTED_VALUE"""),22.0)</f>
        <v>22</v>
      </c>
      <c r="Z52" s="150">
        <f>IFERROR(__xludf.DUMMYFUNCTION("""COMPUTED_VALUE"""),322.0)</f>
        <v>322</v>
      </c>
    </row>
    <row r="53">
      <c r="A53" s="207">
        <f>IFERROR(__xludf.DUMMYFUNCTION("""COMPUTED_VALUE"""),43950.0)</f>
        <v>43950</v>
      </c>
      <c r="B53" s="150">
        <f>IFERROR(__xludf.DUMMYFUNCTION("""COMPUTED_VALUE"""),476.0)</f>
        <v>476</v>
      </c>
      <c r="C53" s="150">
        <f>IFERROR(__xludf.DUMMYFUNCTION("""COMPUTED_VALUE"""),378.0)</f>
        <v>378</v>
      </c>
      <c r="D53" s="150">
        <f>IFERROR(__xludf.DUMMYFUNCTION("""COMPUTED_VALUE"""),9544.0)</f>
        <v>9544</v>
      </c>
      <c r="E53" s="150">
        <f>IFERROR(__xludf.DUMMYFUNCTION("""COMPUTED_VALUE"""),3343.0)</f>
        <v>3343</v>
      </c>
      <c r="F53" s="150">
        <f>IFERROR(__xludf.DUMMYFUNCTION("""COMPUTED_VALUE"""),56802.0)</f>
        <v>56802</v>
      </c>
      <c r="G53" s="150">
        <f>IFERROR(__xludf.DUMMYFUNCTION("""COMPUTED_VALUE"""),3819.0)</f>
        <v>3819</v>
      </c>
      <c r="H53" s="150">
        <f>IFERROR(__xludf.DUMMYFUNCTION("""COMPUTED_VALUE"""),66346.0)</f>
        <v>66346</v>
      </c>
      <c r="I53" s="150">
        <f>IFERROR(__xludf.DUMMYFUNCTION("""COMPUTED_VALUE"""),373.0)</f>
        <v>373</v>
      </c>
      <c r="J53" s="150">
        <f>IFERROR(__xludf.DUMMYFUNCTION("""COMPUTED_VALUE"""),302.0)</f>
        <v>302</v>
      </c>
      <c r="K53" s="150">
        <f>IFERROR(__xludf.DUMMYFUNCTION("""COMPUTED_VALUE"""),8682.0)</f>
        <v>8682</v>
      </c>
      <c r="L53" s="150">
        <f>IFERROR(__xludf.DUMMYFUNCTION("""COMPUTED_VALUE"""),2425.0)</f>
        <v>2425</v>
      </c>
      <c r="M53" s="150">
        <f>IFERROR(__xludf.DUMMYFUNCTION("""COMPUTED_VALUE"""),47691.0)</f>
        <v>47691</v>
      </c>
      <c r="N53" s="150">
        <f>IFERROR(__xludf.DUMMYFUNCTION("""COMPUTED_VALUE"""),56373.0)</f>
        <v>56373</v>
      </c>
      <c r="O53" s="150">
        <f>IFERROR(__xludf.DUMMYFUNCTION("""COMPUTED_VALUE"""),36.0)</f>
        <v>36</v>
      </c>
      <c r="P53" s="150">
        <f>IFERROR(__xludf.DUMMYFUNCTION("""COMPUTED_VALUE"""),1011.0)</f>
        <v>1011</v>
      </c>
      <c r="Q53" s="150">
        <f>IFERROR(__xludf.DUMMYFUNCTION("""COMPUTED_VALUE"""),38.0)</f>
        <v>38</v>
      </c>
      <c r="R53" s="150">
        <f>IFERROR(__xludf.DUMMYFUNCTION("""COMPUTED_VALUE"""),534.0)</f>
        <v>534</v>
      </c>
      <c r="S53" s="150">
        <f>IFERROR(__xludf.DUMMYFUNCTION("""COMPUTED_VALUE"""),11.0)</f>
        <v>11</v>
      </c>
      <c r="T53" s="150">
        <f>IFERROR(__xludf.DUMMYFUNCTION("""COMPUTED_VALUE"""),113.0)</f>
        <v>113</v>
      </c>
      <c r="U53" s="150">
        <f>IFERROR(__xludf.DUMMYFUNCTION("""COMPUTED_VALUE"""),364.0)</f>
        <v>364</v>
      </c>
      <c r="V53" s="150">
        <f>IFERROR(__xludf.DUMMYFUNCTION("""COMPUTED_VALUE"""),367.0)</f>
        <v>367</v>
      </c>
      <c r="W53" s="150">
        <f>IFERROR(__xludf.DUMMYFUNCTION("""COMPUTED_VALUE"""),78.0)</f>
        <v>78</v>
      </c>
      <c r="X53" s="150">
        <f>IFERROR(__xludf.DUMMYFUNCTION("""COMPUTED_VALUE"""),53.0)</f>
        <v>53</v>
      </c>
      <c r="Y53" s="150">
        <f>IFERROR(__xludf.DUMMYFUNCTION("""COMPUTED_VALUE"""),18.0)</f>
        <v>18</v>
      </c>
      <c r="Z53" s="150">
        <f>IFERROR(__xludf.DUMMYFUNCTION("""COMPUTED_VALUE"""),340.0)</f>
        <v>340</v>
      </c>
    </row>
    <row r="54">
      <c r="A54" s="207">
        <f>IFERROR(__xludf.DUMMYFUNCTION("""COMPUTED_VALUE"""),43951.0)</f>
        <v>43951</v>
      </c>
      <c r="B54" s="150">
        <f>IFERROR(__xludf.DUMMYFUNCTION("""COMPUTED_VALUE"""),432.0)</f>
        <v>432</v>
      </c>
      <c r="C54" s="150">
        <f>IFERROR(__xludf.DUMMYFUNCTION("""COMPUTED_VALUE"""),439.0)</f>
        <v>439</v>
      </c>
      <c r="D54" s="150">
        <f>IFERROR(__xludf.DUMMYFUNCTION("""COMPUTED_VALUE"""),9976.0)</f>
        <v>9976</v>
      </c>
      <c r="E54" s="150">
        <f>IFERROR(__xludf.DUMMYFUNCTION("""COMPUTED_VALUE"""),2769.0)</f>
        <v>2769</v>
      </c>
      <c r="F54" s="150">
        <f>IFERROR(__xludf.DUMMYFUNCTION("""COMPUTED_VALUE"""),59571.0)</f>
        <v>59571</v>
      </c>
      <c r="G54" s="150">
        <f>IFERROR(__xludf.DUMMYFUNCTION("""COMPUTED_VALUE"""),3201.0)</f>
        <v>3201</v>
      </c>
      <c r="H54" s="150">
        <f>IFERROR(__xludf.DUMMYFUNCTION("""COMPUTED_VALUE"""),69547.0)</f>
        <v>69547</v>
      </c>
      <c r="I54" s="150">
        <f>IFERROR(__xludf.DUMMYFUNCTION("""COMPUTED_VALUE"""),353.0)</f>
        <v>353</v>
      </c>
      <c r="J54" s="150">
        <f>IFERROR(__xludf.DUMMYFUNCTION("""COMPUTED_VALUE"""),352.0)</f>
        <v>352</v>
      </c>
      <c r="K54" s="150">
        <f>IFERROR(__xludf.DUMMYFUNCTION("""COMPUTED_VALUE"""),9035.0)</f>
        <v>9035</v>
      </c>
      <c r="L54" s="150">
        <f>IFERROR(__xludf.DUMMYFUNCTION("""COMPUTED_VALUE"""),1937.0)</f>
        <v>1937</v>
      </c>
      <c r="M54" s="150">
        <f>IFERROR(__xludf.DUMMYFUNCTION("""COMPUTED_VALUE"""),49628.0)</f>
        <v>49628</v>
      </c>
      <c r="N54" s="150">
        <f>IFERROR(__xludf.DUMMYFUNCTION("""COMPUTED_VALUE"""),58663.0)</f>
        <v>58663</v>
      </c>
      <c r="O54" s="150">
        <f>IFERROR(__xludf.DUMMYFUNCTION("""COMPUTED_VALUE"""),33.0)</f>
        <v>33</v>
      </c>
      <c r="P54" s="150">
        <f>IFERROR(__xludf.DUMMYFUNCTION("""COMPUTED_VALUE"""),1044.0)</f>
        <v>1044</v>
      </c>
      <c r="Q54" s="150">
        <f>IFERROR(__xludf.DUMMYFUNCTION("""COMPUTED_VALUE"""),38.0)</f>
        <v>38</v>
      </c>
      <c r="R54" s="150">
        <f>IFERROR(__xludf.DUMMYFUNCTION("""COMPUTED_VALUE"""),572.0)</f>
        <v>572</v>
      </c>
      <c r="S54" s="150">
        <f>IFERROR(__xludf.DUMMYFUNCTION("""COMPUTED_VALUE"""),6.0)</f>
        <v>6</v>
      </c>
      <c r="T54" s="150">
        <f>IFERROR(__xludf.DUMMYFUNCTION("""COMPUTED_VALUE"""),119.0)</f>
        <v>119</v>
      </c>
      <c r="U54" s="150">
        <f>IFERROR(__xludf.DUMMYFUNCTION("""COMPUTED_VALUE"""),353.0)</f>
        <v>353</v>
      </c>
      <c r="V54" s="150">
        <f>IFERROR(__xludf.DUMMYFUNCTION("""COMPUTED_VALUE"""),365.0)</f>
        <v>365</v>
      </c>
      <c r="W54" s="150">
        <f>IFERROR(__xludf.DUMMYFUNCTION("""COMPUTED_VALUE"""),83.0)</f>
        <v>83</v>
      </c>
      <c r="X54" s="150">
        <f>IFERROR(__xludf.DUMMYFUNCTION("""COMPUTED_VALUE"""),57.0)</f>
        <v>57</v>
      </c>
      <c r="Y54" s="150">
        <f>IFERROR(__xludf.DUMMYFUNCTION("""COMPUTED_VALUE"""),24.0)</f>
        <v>24</v>
      </c>
      <c r="Z54" s="150">
        <f>IFERROR(__xludf.DUMMYFUNCTION("""COMPUTED_VALUE"""),364.0)</f>
        <v>364</v>
      </c>
    </row>
    <row r="55">
      <c r="A55" s="207">
        <f>IFERROR(__xludf.DUMMYFUNCTION("""COMPUTED_VALUE"""),43952.0)</f>
        <v>43952</v>
      </c>
      <c r="B55" s="150">
        <f>IFERROR(__xludf.DUMMYFUNCTION("""COMPUTED_VALUE"""),454.0)</f>
        <v>454</v>
      </c>
      <c r="C55" s="150">
        <f>IFERROR(__xludf.DUMMYFUNCTION("""COMPUTED_VALUE"""),454.0)</f>
        <v>454</v>
      </c>
      <c r="D55" s="150">
        <f>IFERROR(__xludf.DUMMYFUNCTION("""COMPUTED_VALUE"""),10430.0)</f>
        <v>10430</v>
      </c>
      <c r="E55" s="150">
        <f>IFERROR(__xludf.DUMMYFUNCTION("""COMPUTED_VALUE"""),3086.0)</f>
        <v>3086</v>
      </c>
      <c r="F55" s="150">
        <f>IFERROR(__xludf.DUMMYFUNCTION("""COMPUTED_VALUE"""),62657.0)</f>
        <v>62657</v>
      </c>
      <c r="G55" s="150">
        <f>IFERROR(__xludf.DUMMYFUNCTION("""COMPUTED_VALUE"""),3540.0)</f>
        <v>3540</v>
      </c>
      <c r="H55" s="150">
        <f>IFERROR(__xludf.DUMMYFUNCTION("""COMPUTED_VALUE"""),73087.0)</f>
        <v>73087</v>
      </c>
      <c r="I55" s="150">
        <f>IFERROR(__xludf.DUMMYFUNCTION("""COMPUTED_VALUE"""),320.0)</f>
        <v>320</v>
      </c>
      <c r="J55" s="150">
        <f>IFERROR(__xludf.DUMMYFUNCTION("""COMPUTED_VALUE"""),349.0)</f>
        <v>349</v>
      </c>
      <c r="K55" s="150">
        <f>IFERROR(__xludf.DUMMYFUNCTION("""COMPUTED_VALUE"""),9355.0)</f>
        <v>9355</v>
      </c>
      <c r="L55" s="150">
        <f>IFERROR(__xludf.DUMMYFUNCTION("""COMPUTED_VALUE"""),2194.0)</f>
        <v>2194</v>
      </c>
      <c r="M55" s="150">
        <f>IFERROR(__xludf.DUMMYFUNCTION("""COMPUTED_VALUE"""),51822.0)</f>
        <v>51822</v>
      </c>
      <c r="N55" s="150">
        <f>IFERROR(__xludf.DUMMYFUNCTION("""COMPUTED_VALUE"""),61177.0)</f>
        <v>61177</v>
      </c>
      <c r="O55" s="150">
        <f>IFERROR(__xludf.DUMMYFUNCTION("""COMPUTED_VALUE"""),51.0)</f>
        <v>51</v>
      </c>
      <c r="P55" s="150">
        <f>IFERROR(__xludf.DUMMYFUNCTION("""COMPUTED_VALUE"""),1095.0)</f>
        <v>1095</v>
      </c>
      <c r="Q55" s="150">
        <f>IFERROR(__xludf.DUMMYFUNCTION("""COMPUTED_VALUE"""),40.0)</f>
        <v>40</v>
      </c>
      <c r="R55" s="150">
        <f>IFERROR(__xludf.DUMMYFUNCTION("""COMPUTED_VALUE"""),612.0)</f>
        <v>612</v>
      </c>
      <c r="S55" s="150">
        <f>IFERROR(__xludf.DUMMYFUNCTION("""COMPUTED_VALUE"""),3.0)</f>
        <v>3</v>
      </c>
      <c r="T55" s="150">
        <f>IFERROR(__xludf.DUMMYFUNCTION("""COMPUTED_VALUE"""),122.0)</f>
        <v>122</v>
      </c>
      <c r="U55" s="150">
        <f>IFERROR(__xludf.DUMMYFUNCTION("""COMPUTED_VALUE"""),361.0)</f>
        <v>361</v>
      </c>
      <c r="V55" s="150">
        <f>IFERROR(__xludf.DUMMYFUNCTION("""COMPUTED_VALUE"""),359.0)</f>
        <v>359</v>
      </c>
      <c r="W55" s="150">
        <f>IFERROR(__xludf.DUMMYFUNCTION("""COMPUTED_VALUE"""),84.0)</f>
        <v>84</v>
      </c>
      <c r="X55" s="150">
        <f>IFERROR(__xludf.DUMMYFUNCTION("""COMPUTED_VALUE"""),58.0)</f>
        <v>58</v>
      </c>
      <c r="Y55" s="150">
        <f>IFERROR(__xludf.DUMMYFUNCTION("""COMPUTED_VALUE"""),14.0)</f>
        <v>14</v>
      </c>
      <c r="Z55" s="150">
        <f>IFERROR(__xludf.DUMMYFUNCTION("""COMPUTED_VALUE"""),378.0)</f>
        <v>378</v>
      </c>
    </row>
    <row r="56">
      <c r="A56" s="207">
        <f>IFERROR(__xludf.DUMMYFUNCTION("""COMPUTED_VALUE"""),43953.0)</f>
        <v>43953</v>
      </c>
      <c r="B56" s="150">
        <f>IFERROR(__xludf.DUMMYFUNCTION("""COMPUTED_VALUE"""),257.0)</f>
        <v>257</v>
      </c>
      <c r="C56" s="150">
        <f>IFERROR(__xludf.DUMMYFUNCTION("""COMPUTED_VALUE"""),381.0)</f>
        <v>381</v>
      </c>
      <c r="D56" s="150">
        <f>IFERROR(__xludf.DUMMYFUNCTION("""COMPUTED_VALUE"""),10687.0)</f>
        <v>10687</v>
      </c>
      <c r="E56" s="150">
        <f>IFERROR(__xludf.DUMMYFUNCTION("""COMPUTED_VALUE"""),1926.0)</f>
        <v>1926</v>
      </c>
      <c r="F56" s="150">
        <f>IFERROR(__xludf.DUMMYFUNCTION("""COMPUTED_VALUE"""),64583.0)</f>
        <v>64583</v>
      </c>
      <c r="G56" s="150">
        <f>IFERROR(__xludf.DUMMYFUNCTION("""COMPUTED_VALUE"""),2183.0)</f>
        <v>2183</v>
      </c>
      <c r="H56" s="150">
        <f>IFERROR(__xludf.DUMMYFUNCTION("""COMPUTED_VALUE"""),75270.0)</f>
        <v>75270</v>
      </c>
      <c r="I56" s="150">
        <f>IFERROR(__xludf.DUMMYFUNCTION("""COMPUTED_VALUE"""),189.0)</f>
        <v>189</v>
      </c>
      <c r="J56" s="150">
        <f>IFERROR(__xludf.DUMMYFUNCTION("""COMPUTED_VALUE"""),287.0)</f>
        <v>287</v>
      </c>
      <c r="K56" s="150">
        <f>IFERROR(__xludf.DUMMYFUNCTION("""COMPUTED_VALUE"""),9544.0)</f>
        <v>9544</v>
      </c>
      <c r="L56" s="150">
        <f>IFERROR(__xludf.DUMMYFUNCTION("""COMPUTED_VALUE"""),1279.0)</f>
        <v>1279</v>
      </c>
      <c r="M56" s="150">
        <f>IFERROR(__xludf.DUMMYFUNCTION("""COMPUTED_VALUE"""),53101.0)</f>
        <v>53101</v>
      </c>
      <c r="N56" s="150">
        <f>IFERROR(__xludf.DUMMYFUNCTION("""COMPUTED_VALUE"""),62645.0)</f>
        <v>62645</v>
      </c>
      <c r="O56" s="150">
        <f>IFERROR(__xludf.DUMMYFUNCTION("""COMPUTED_VALUE"""),36.0)</f>
        <v>36</v>
      </c>
      <c r="P56" s="150">
        <f>IFERROR(__xludf.DUMMYFUNCTION("""COMPUTED_VALUE"""),1131.0)</f>
        <v>1131</v>
      </c>
      <c r="Q56" s="150">
        <f>IFERROR(__xludf.DUMMYFUNCTION("""COMPUTED_VALUE"""),37.0)</f>
        <v>37</v>
      </c>
      <c r="R56" s="150">
        <f>IFERROR(__xludf.DUMMYFUNCTION("""COMPUTED_VALUE"""),649.0)</f>
        <v>649</v>
      </c>
      <c r="S56" s="150">
        <f>IFERROR(__xludf.DUMMYFUNCTION("""COMPUTED_VALUE"""),5.0)</f>
        <v>5</v>
      </c>
      <c r="T56" s="150">
        <f>IFERROR(__xludf.DUMMYFUNCTION("""COMPUTED_VALUE"""),127.0)</f>
        <v>127</v>
      </c>
      <c r="U56" s="150">
        <f>IFERROR(__xludf.DUMMYFUNCTION("""COMPUTED_VALUE"""),355.0)</f>
        <v>355</v>
      </c>
      <c r="V56" s="150">
        <f>IFERROR(__xludf.DUMMYFUNCTION("""COMPUTED_VALUE"""),356.0)</f>
        <v>356</v>
      </c>
      <c r="W56" s="150">
        <f>IFERROR(__xludf.DUMMYFUNCTION("""COMPUTED_VALUE"""),91.0)</f>
        <v>91</v>
      </c>
      <c r="X56" s="150">
        <f>IFERROR(__xludf.DUMMYFUNCTION("""COMPUTED_VALUE"""),62.0)</f>
        <v>62</v>
      </c>
      <c r="Y56" s="150">
        <f>IFERROR(__xludf.DUMMYFUNCTION("""COMPUTED_VALUE"""),24.0)</f>
        <v>24</v>
      </c>
      <c r="Z56" s="150">
        <f>IFERROR(__xludf.DUMMYFUNCTION("""COMPUTED_VALUE"""),402.0)</f>
        <v>402</v>
      </c>
    </row>
    <row r="57">
      <c r="A57" s="207">
        <f>IFERROR(__xludf.DUMMYFUNCTION("""COMPUTED_VALUE"""),43954.0)</f>
        <v>43954</v>
      </c>
      <c r="B57" s="150">
        <f>IFERROR(__xludf.DUMMYFUNCTION("""COMPUTED_VALUE"""),283.0)</f>
        <v>283</v>
      </c>
      <c r="C57" s="150">
        <f>IFERROR(__xludf.DUMMYFUNCTION("""COMPUTED_VALUE"""),331.0)</f>
        <v>331</v>
      </c>
      <c r="D57" s="150">
        <f>IFERROR(__xludf.DUMMYFUNCTION("""COMPUTED_VALUE"""),10970.0)</f>
        <v>10970</v>
      </c>
      <c r="E57" s="150">
        <f>IFERROR(__xludf.DUMMYFUNCTION("""COMPUTED_VALUE"""),2160.0)</f>
        <v>2160</v>
      </c>
      <c r="F57" s="150">
        <f>IFERROR(__xludf.DUMMYFUNCTION("""COMPUTED_VALUE"""),66743.0)</f>
        <v>66743</v>
      </c>
      <c r="G57" s="150">
        <f>IFERROR(__xludf.DUMMYFUNCTION("""COMPUTED_VALUE"""),2443.0)</f>
        <v>2443</v>
      </c>
      <c r="H57" s="150">
        <f>IFERROR(__xludf.DUMMYFUNCTION("""COMPUTED_VALUE"""),77713.0)</f>
        <v>77713</v>
      </c>
      <c r="I57" s="150">
        <f>IFERROR(__xludf.DUMMYFUNCTION("""COMPUTED_VALUE"""),182.0)</f>
        <v>182</v>
      </c>
      <c r="J57" s="150">
        <f>IFERROR(__xludf.DUMMYFUNCTION("""COMPUTED_VALUE"""),230.0)</f>
        <v>230</v>
      </c>
      <c r="K57" s="150">
        <f>IFERROR(__xludf.DUMMYFUNCTION("""COMPUTED_VALUE"""),9726.0)</f>
        <v>9726</v>
      </c>
      <c r="L57" s="150">
        <f>IFERROR(__xludf.DUMMYFUNCTION("""COMPUTED_VALUE"""),1593.0)</f>
        <v>1593</v>
      </c>
      <c r="M57" s="150">
        <f>IFERROR(__xludf.DUMMYFUNCTION("""COMPUTED_VALUE"""),54694.0)</f>
        <v>54694</v>
      </c>
      <c r="N57" s="150">
        <f>IFERROR(__xludf.DUMMYFUNCTION("""COMPUTED_VALUE"""),64420.0)</f>
        <v>64420</v>
      </c>
      <c r="O57" s="150">
        <f>IFERROR(__xludf.DUMMYFUNCTION("""COMPUTED_VALUE"""),31.0)</f>
        <v>31</v>
      </c>
      <c r="P57" s="150">
        <f>IFERROR(__xludf.DUMMYFUNCTION("""COMPUTED_VALUE"""),1162.0)</f>
        <v>1162</v>
      </c>
      <c r="Q57" s="150">
        <f>IFERROR(__xludf.DUMMYFUNCTION("""COMPUTED_VALUE"""),26.0)</f>
        <v>26</v>
      </c>
      <c r="R57" s="150">
        <f>IFERROR(__xludf.DUMMYFUNCTION("""COMPUTED_VALUE"""),675.0)</f>
        <v>675</v>
      </c>
      <c r="S57" s="150">
        <f>IFERROR(__xludf.DUMMYFUNCTION("""COMPUTED_VALUE"""),8.0)</f>
        <v>8</v>
      </c>
      <c r="T57" s="150">
        <f>IFERROR(__xludf.DUMMYFUNCTION("""COMPUTED_VALUE"""),135.0)</f>
        <v>135</v>
      </c>
      <c r="U57" s="150">
        <f>IFERROR(__xludf.DUMMYFUNCTION("""COMPUTED_VALUE"""),352.0)</f>
        <v>352</v>
      </c>
      <c r="V57" s="150">
        <f>IFERROR(__xludf.DUMMYFUNCTION("""COMPUTED_VALUE"""),356.0)</f>
        <v>356</v>
      </c>
      <c r="W57" s="150">
        <f>IFERROR(__xludf.DUMMYFUNCTION("""COMPUTED_VALUE"""),90.0)</f>
        <v>90</v>
      </c>
      <c r="X57" s="150">
        <f>IFERROR(__xludf.DUMMYFUNCTION("""COMPUTED_VALUE"""),61.0)</f>
        <v>61</v>
      </c>
      <c r="Y57" s="150">
        <f>IFERROR(__xludf.DUMMYFUNCTION("""COMPUTED_VALUE"""),21.0)</f>
        <v>21</v>
      </c>
      <c r="Z57" s="150">
        <f>IFERROR(__xludf.DUMMYFUNCTION("""COMPUTED_VALUE"""),423.0)</f>
        <v>423</v>
      </c>
    </row>
    <row r="58">
      <c r="A58" s="207">
        <f>IFERROR(__xludf.DUMMYFUNCTION("""COMPUTED_VALUE"""),43955.0)</f>
        <v>43955</v>
      </c>
      <c r="B58" s="150">
        <f>IFERROR(__xludf.DUMMYFUNCTION("""COMPUTED_VALUE"""),387.0)</f>
        <v>387</v>
      </c>
      <c r="C58" s="150">
        <f>IFERROR(__xludf.DUMMYFUNCTION("""COMPUTED_VALUE"""),309.0)</f>
        <v>309</v>
      </c>
      <c r="D58" s="150">
        <f>IFERROR(__xludf.DUMMYFUNCTION("""COMPUTED_VALUE"""),11357.0)</f>
        <v>11357</v>
      </c>
      <c r="E58" s="150">
        <f>IFERROR(__xludf.DUMMYFUNCTION("""COMPUTED_VALUE"""),2098.0)</f>
        <v>2098</v>
      </c>
      <c r="F58" s="150">
        <f>IFERROR(__xludf.DUMMYFUNCTION("""COMPUTED_VALUE"""),68841.0)</f>
        <v>68841</v>
      </c>
      <c r="G58" s="150">
        <f>IFERROR(__xludf.DUMMYFUNCTION("""COMPUTED_VALUE"""),2485.0)</f>
        <v>2485</v>
      </c>
      <c r="H58" s="150">
        <f>IFERROR(__xludf.DUMMYFUNCTION("""COMPUTED_VALUE"""),80198.0)</f>
        <v>80198</v>
      </c>
      <c r="I58" s="150">
        <f>IFERROR(__xludf.DUMMYFUNCTION("""COMPUTED_VALUE"""),293.0)</f>
        <v>293</v>
      </c>
      <c r="J58" s="150">
        <f>IFERROR(__xludf.DUMMYFUNCTION("""COMPUTED_VALUE"""),221.0)</f>
        <v>221</v>
      </c>
      <c r="K58" s="150">
        <f>IFERROR(__xludf.DUMMYFUNCTION("""COMPUTED_VALUE"""),10019.0)</f>
        <v>10019</v>
      </c>
      <c r="L58" s="150">
        <f>IFERROR(__xludf.DUMMYFUNCTION("""COMPUTED_VALUE"""),1568.0)</f>
        <v>1568</v>
      </c>
      <c r="M58" s="150">
        <f>IFERROR(__xludf.DUMMYFUNCTION("""COMPUTED_VALUE"""),56262.0)</f>
        <v>56262</v>
      </c>
      <c r="N58" s="150">
        <f>IFERROR(__xludf.DUMMYFUNCTION("""COMPUTED_VALUE"""),66281.0)</f>
        <v>66281</v>
      </c>
      <c r="O58" s="150">
        <f>IFERROR(__xludf.DUMMYFUNCTION("""COMPUTED_VALUE"""),30.0)</f>
        <v>30</v>
      </c>
      <c r="P58" s="150">
        <f>IFERROR(__xludf.DUMMYFUNCTION("""COMPUTED_VALUE"""),1192.0)</f>
        <v>1192</v>
      </c>
      <c r="Q58" s="150">
        <f>IFERROR(__xludf.DUMMYFUNCTION("""COMPUTED_VALUE"""),31.0)</f>
        <v>31</v>
      </c>
      <c r="R58" s="150">
        <f>IFERROR(__xludf.DUMMYFUNCTION("""COMPUTED_VALUE"""),706.0)</f>
        <v>706</v>
      </c>
      <c r="S58" s="150">
        <f>IFERROR(__xludf.DUMMYFUNCTION("""COMPUTED_VALUE"""),6.0)</f>
        <v>6</v>
      </c>
      <c r="T58" s="150">
        <f>IFERROR(__xludf.DUMMYFUNCTION("""COMPUTED_VALUE"""),141.0)</f>
        <v>141</v>
      </c>
      <c r="U58" s="150">
        <f>IFERROR(__xludf.DUMMYFUNCTION("""COMPUTED_VALUE"""),345.0)</f>
        <v>345</v>
      </c>
      <c r="V58" s="150">
        <f>IFERROR(__xludf.DUMMYFUNCTION("""COMPUTED_VALUE"""),351.0)</f>
        <v>351</v>
      </c>
      <c r="W58" s="150">
        <f>IFERROR(__xludf.DUMMYFUNCTION("""COMPUTED_VALUE"""),88.0)</f>
        <v>88</v>
      </c>
      <c r="X58" s="150">
        <f>IFERROR(__xludf.DUMMYFUNCTION("""COMPUTED_VALUE"""),57.0)</f>
        <v>57</v>
      </c>
      <c r="Y58" s="150">
        <f>IFERROR(__xludf.DUMMYFUNCTION("""COMPUTED_VALUE"""),18.0)</f>
        <v>18</v>
      </c>
      <c r="Z58" s="150">
        <f>IFERROR(__xludf.DUMMYFUNCTION("""COMPUTED_VALUE"""),441.0)</f>
        <v>441</v>
      </c>
    </row>
    <row r="59">
      <c r="A59" s="207">
        <f>IFERROR(__xludf.DUMMYFUNCTION("""COMPUTED_VALUE"""),43956.0)</f>
        <v>43956</v>
      </c>
      <c r="B59" s="150">
        <f>IFERROR(__xludf.DUMMYFUNCTION("""COMPUTED_VALUE"""),433.0)</f>
        <v>433</v>
      </c>
      <c r="C59" s="150">
        <f>IFERROR(__xludf.DUMMYFUNCTION("""COMPUTED_VALUE"""),368.0)</f>
        <v>368</v>
      </c>
      <c r="D59" s="150">
        <f>IFERROR(__xludf.DUMMYFUNCTION("""COMPUTED_VALUE"""),11790.0)</f>
        <v>11790</v>
      </c>
      <c r="E59" s="150">
        <f>IFERROR(__xludf.DUMMYFUNCTION("""COMPUTED_VALUE"""),2873.0)</f>
        <v>2873</v>
      </c>
      <c r="F59" s="150">
        <f>IFERROR(__xludf.DUMMYFUNCTION("""COMPUTED_VALUE"""),71714.0)</f>
        <v>71714</v>
      </c>
      <c r="G59" s="150">
        <f>IFERROR(__xludf.DUMMYFUNCTION("""COMPUTED_VALUE"""),3306.0)</f>
        <v>3306</v>
      </c>
      <c r="H59" s="150">
        <f>IFERROR(__xludf.DUMMYFUNCTION("""COMPUTED_VALUE"""),83504.0)</f>
        <v>83504</v>
      </c>
      <c r="I59" s="150">
        <f>IFERROR(__xludf.DUMMYFUNCTION("""COMPUTED_VALUE"""),308.0)</f>
        <v>308</v>
      </c>
      <c r="J59" s="150">
        <f>IFERROR(__xludf.DUMMYFUNCTION("""COMPUTED_VALUE"""),261.0)</f>
        <v>261</v>
      </c>
      <c r="K59" s="150">
        <f>IFERROR(__xludf.DUMMYFUNCTION("""COMPUTED_VALUE"""),10327.0)</f>
        <v>10327</v>
      </c>
      <c r="L59" s="150">
        <f>IFERROR(__xludf.DUMMYFUNCTION("""COMPUTED_VALUE"""),1966.0)</f>
        <v>1966</v>
      </c>
      <c r="M59" s="150">
        <f>IFERROR(__xludf.DUMMYFUNCTION("""COMPUTED_VALUE"""),58228.0)</f>
        <v>58228</v>
      </c>
      <c r="N59" s="150">
        <f>IFERROR(__xludf.DUMMYFUNCTION("""COMPUTED_VALUE"""),68555.0)</f>
        <v>68555</v>
      </c>
      <c r="O59" s="150">
        <f>IFERROR(__xludf.DUMMYFUNCTION("""COMPUTED_VALUE"""),29.0)</f>
        <v>29</v>
      </c>
      <c r="P59" s="150">
        <f>IFERROR(__xludf.DUMMYFUNCTION("""COMPUTED_VALUE"""),1221.0)</f>
        <v>1221</v>
      </c>
      <c r="Q59" s="150">
        <f>IFERROR(__xludf.DUMMYFUNCTION("""COMPUTED_VALUE"""),32.0)</f>
        <v>32</v>
      </c>
      <c r="R59" s="150">
        <f>IFERROR(__xludf.DUMMYFUNCTION("""COMPUTED_VALUE"""),738.0)</f>
        <v>738</v>
      </c>
      <c r="S59" s="150">
        <f>IFERROR(__xludf.DUMMYFUNCTION("""COMPUTED_VALUE"""),6.0)</f>
        <v>6</v>
      </c>
      <c r="T59" s="150">
        <f>IFERROR(__xludf.DUMMYFUNCTION("""COMPUTED_VALUE"""),147.0)</f>
        <v>147</v>
      </c>
      <c r="U59" s="150">
        <f>IFERROR(__xludf.DUMMYFUNCTION("""COMPUTED_VALUE"""),336.0)</f>
        <v>336</v>
      </c>
      <c r="V59" s="150">
        <f>IFERROR(__xludf.DUMMYFUNCTION("""COMPUTED_VALUE"""),344.0)</f>
        <v>344</v>
      </c>
      <c r="W59" s="150">
        <f>IFERROR(__xludf.DUMMYFUNCTION("""COMPUTED_VALUE"""),82.0)</f>
        <v>82</v>
      </c>
      <c r="X59" s="150">
        <f>IFERROR(__xludf.DUMMYFUNCTION("""COMPUTED_VALUE"""),54.0)</f>
        <v>54</v>
      </c>
      <c r="Y59" s="150">
        <f>IFERROR(__xludf.DUMMYFUNCTION("""COMPUTED_VALUE"""),16.0)</f>
        <v>16</v>
      </c>
      <c r="Z59" s="150">
        <f>IFERROR(__xludf.DUMMYFUNCTION("""COMPUTED_VALUE"""),457.0)</f>
        <v>457</v>
      </c>
    </row>
    <row r="60">
      <c r="A60" s="207">
        <f>IFERROR(__xludf.DUMMYFUNCTION("""COMPUTED_VALUE"""),43957.0)</f>
        <v>43957</v>
      </c>
      <c r="B60" s="150">
        <f>IFERROR(__xludf.DUMMYFUNCTION("""COMPUTED_VALUE"""),488.0)</f>
        <v>488</v>
      </c>
      <c r="C60" s="150">
        <f>IFERROR(__xludf.DUMMYFUNCTION("""COMPUTED_VALUE"""),436.0)</f>
        <v>436</v>
      </c>
      <c r="D60" s="150">
        <f>IFERROR(__xludf.DUMMYFUNCTION("""COMPUTED_VALUE"""),12278.0)</f>
        <v>12278</v>
      </c>
      <c r="E60" s="150">
        <f>IFERROR(__xludf.DUMMYFUNCTION("""COMPUTED_VALUE"""),2830.0)</f>
        <v>2830</v>
      </c>
      <c r="F60" s="150">
        <f>IFERROR(__xludf.DUMMYFUNCTION("""COMPUTED_VALUE"""),74544.0)</f>
        <v>74544</v>
      </c>
      <c r="G60" s="150">
        <f>IFERROR(__xludf.DUMMYFUNCTION("""COMPUTED_VALUE"""),3318.0)</f>
        <v>3318</v>
      </c>
      <c r="H60" s="150">
        <f>IFERROR(__xludf.DUMMYFUNCTION("""COMPUTED_VALUE"""),86822.0)</f>
        <v>86822</v>
      </c>
      <c r="I60" s="150">
        <f>IFERROR(__xludf.DUMMYFUNCTION("""COMPUTED_VALUE"""),342.0)</f>
        <v>342</v>
      </c>
      <c r="J60" s="150">
        <f>IFERROR(__xludf.DUMMYFUNCTION("""COMPUTED_VALUE"""),314.0)</f>
        <v>314</v>
      </c>
      <c r="K60" s="150">
        <f>IFERROR(__xludf.DUMMYFUNCTION("""COMPUTED_VALUE"""),10669.0)</f>
        <v>10669</v>
      </c>
      <c r="L60" s="150">
        <f>IFERROR(__xludf.DUMMYFUNCTION("""COMPUTED_VALUE"""),1919.0)</f>
        <v>1919</v>
      </c>
      <c r="M60" s="150">
        <f>IFERROR(__xludf.DUMMYFUNCTION("""COMPUTED_VALUE"""),60147.0)</f>
        <v>60147</v>
      </c>
      <c r="N60" s="150">
        <f>IFERROR(__xludf.DUMMYFUNCTION("""COMPUTED_VALUE"""),70816.0)</f>
        <v>70816</v>
      </c>
      <c r="O60" s="150">
        <f>IFERROR(__xludf.DUMMYFUNCTION("""COMPUTED_VALUE"""),28.0)</f>
        <v>28</v>
      </c>
      <c r="P60" s="150">
        <f>IFERROR(__xludf.DUMMYFUNCTION("""COMPUTED_VALUE"""),1249.0)</f>
        <v>1249</v>
      </c>
      <c r="Q60" s="150">
        <f>IFERROR(__xludf.DUMMYFUNCTION("""COMPUTED_VALUE"""),44.0)</f>
        <v>44</v>
      </c>
      <c r="R60" s="150">
        <f>IFERROR(__xludf.DUMMYFUNCTION("""COMPUTED_VALUE"""),782.0)</f>
        <v>782</v>
      </c>
      <c r="S60" s="150">
        <f>IFERROR(__xludf.DUMMYFUNCTION("""COMPUTED_VALUE"""),9.0)</f>
        <v>9</v>
      </c>
      <c r="T60" s="150">
        <f>IFERROR(__xludf.DUMMYFUNCTION("""COMPUTED_VALUE"""),156.0)</f>
        <v>156</v>
      </c>
      <c r="U60" s="150">
        <f>IFERROR(__xludf.DUMMYFUNCTION("""COMPUTED_VALUE"""),311.0)</f>
        <v>311</v>
      </c>
      <c r="V60" s="150">
        <f>IFERROR(__xludf.DUMMYFUNCTION("""COMPUTED_VALUE"""),331.0)</f>
        <v>331</v>
      </c>
      <c r="W60" s="150">
        <f>IFERROR(__xludf.DUMMYFUNCTION("""COMPUTED_VALUE"""),79.0)</f>
        <v>79</v>
      </c>
      <c r="X60" s="150">
        <f>IFERROR(__xludf.DUMMYFUNCTION("""COMPUTED_VALUE"""),54.0)</f>
        <v>54</v>
      </c>
      <c r="Y60" s="150">
        <f>IFERROR(__xludf.DUMMYFUNCTION("""COMPUTED_VALUE"""),21.0)</f>
        <v>21</v>
      </c>
      <c r="Z60" s="150">
        <f>IFERROR(__xludf.DUMMYFUNCTION("""COMPUTED_VALUE"""),478.0)</f>
        <v>478</v>
      </c>
    </row>
    <row r="61">
      <c r="A61" s="207">
        <f>IFERROR(__xludf.DUMMYFUNCTION("""COMPUTED_VALUE"""),43958.0)</f>
        <v>43958</v>
      </c>
      <c r="B61" s="150">
        <f>IFERROR(__xludf.DUMMYFUNCTION("""COMPUTED_VALUE"""),425.0)</f>
        <v>425</v>
      </c>
      <c r="C61" s="150">
        <f>IFERROR(__xludf.DUMMYFUNCTION("""COMPUTED_VALUE"""),449.0)</f>
        <v>449</v>
      </c>
      <c r="D61" s="150">
        <f>IFERROR(__xludf.DUMMYFUNCTION("""COMPUTED_VALUE"""),12703.0)</f>
        <v>12703</v>
      </c>
      <c r="E61" s="150">
        <f>IFERROR(__xludf.DUMMYFUNCTION("""COMPUTED_VALUE"""),2969.0)</f>
        <v>2969</v>
      </c>
      <c r="F61" s="150">
        <f>IFERROR(__xludf.DUMMYFUNCTION("""COMPUTED_VALUE"""),77513.0)</f>
        <v>77513</v>
      </c>
      <c r="G61" s="150">
        <f>IFERROR(__xludf.DUMMYFUNCTION("""COMPUTED_VALUE"""),3394.0)</f>
        <v>3394</v>
      </c>
      <c r="H61" s="150">
        <f>IFERROR(__xludf.DUMMYFUNCTION("""COMPUTED_VALUE"""),90216.0)</f>
        <v>90216</v>
      </c>
      <c r="I61" s="150">
        <f>IFERROR(__xludf.DUMMYFUNCTION("""COMPUTED_VALUE"""),274.0)</f>
        <v>274</v>
      </c>
      <c r="J61" s="150">
        <f>IFERROR(__xludf.DUMMYFUNCTION("""COMPUTED_VALUE"""),308.0)</f>
        <v>308</v>
      </c>
      <c r="K61" s="150">
        <f>IFERROR(__xludf.DUMMYFUNCTION("""COMPUTED_VALUE"""),10943.0)</f>
        <v>10943</v>
      </c>
      <c r="L61" s="150">
        <f>IFERROR(__xludf.DUMMYFUNCTION("""COMPUTED_VALUE"""),1969.0)</f>
        <v>1969</v>
      </c>
      <c r="M61" s="150">
        <f>IFERROR(__xludf.DUMMYFUNCTION("""COMPUTED_VALUE"""),62116.0)</f>
        <v>62116</v>
      </c>
      <c r="N61" s="150">
        <f>IFERROR(__xludf.DUMMYFUNCTION("""COMPUTED_VALUE"""),73059.0)</f>
        <v>73059</v>
      </c>
      <c r="O61" s="150">
        <f>IFERROR(__xludf.DUMMYFUNCTION("""COMPUTED_VALUE"""),36.0)</f>
        <v>36</v>
      </c>
      <c r="P61" s="150">
        <f>IFERROR(__xludf.DUMMYFUNCTION("""COMPUTED_VALUE"""),1285.0)</f>
        <v>1285</v>
      </c>
      <c r="Q61" s="150">
        <f>IFERROR(__xludf.DUMMYFUNCTION("""COMPUTED_VALUE"""),41.0)</f>
        <v>41</v>
      </c>
      <c r="R61" s="150">
        <f>IFERROR(__xludf.DUMMYFUNCTION("""COMPUTED_VALUE"""),823.0)</f>
        <v>823</v>
      </c>
      <c r="S61" s="150">
        <f>IFERROR(__xludf.DUMMYFUNCTION("""COMPUTED_VALUE"""),5.0)</f>
        <v>5</v>
      </c>
      <c r="T61" s="150">
        <f>IFERROR(__xludf.DUMMYFUNCTION("""COMPUTED_VALUE"""),161.0)</f>
        <v>161</v>
      </c>
      <c r="U61" s="150">
        <f>IFERROR(__xludf.DUMMYFUNCTION("""COMPUTED_VALUE"""),301.0)</f>
        <v>301</v>
      </c>
      <c r="V61" s="150">
        <f>IFERROR(__xludf.DUMMYFUNCTION("""COMPUTED_VALUE"""),316.0)</f>
        <v>316</v>
      </c>
      <c r="W61" s="150">
        <f>IFERROR(__xludf.DUMMYFUNCTION("""COMPUTED_VALUE"""),71.0)</f>
        <v>71</v>
      </c>
      <c r="X61" s="150">
        <f>IFERROR(__xludf.DUMMYFUNCTION("""COMPUTED_VALUE"""),52.0)</f>
        <v>52</v>
      </c>
      <c r="Y61" s="150">
        <f>IFERROR(__xludf.DUMMYFUNCTION("""COMPUTED_VALUE"""),21.0)</f>
        <v>21</v>
      </c>
      <c r="Z61" s="150">
        <f>IFERROR(__xludf.DUMMYFUNCTION("""COMPUTED_VALUE"""),499.0)</f>
        <v>499</v>
      </c>
    </row>
    <row r="62">
      <c r="A62" s="207">
        <f>IFERROR(__xludf.DUMMYFUNCTION("""COMPUTED_VALUE"""),43959.0)</f>
        <v>43959</v>
      </c>
      <c r="B62" s="150">
        <f>IFERROR(__xludf.DUMMYFUNCTION("""COMPUTED_VALUE"""),359.0)</f>
        <v>359</v>
      </c>
      <c r="C62" s="150">
        <f>IFERROR(__xludf.DUMMYFUNCTION("""COMPUTED_VALUE"""),424.0)</f>
        <v>424</v>
      </c>
      <c r="D62" s="150">
        <f>IFERROR(__xludf.DUMMYFUNCTION("""COMPUTED_VALUE"""),13062.0)</f>
        <v>13062</v>
      </c>
      <c r="E62" s="150">
        <f>IFERROR(__xludf.DUMMYFUNCTION("""COMPUTED_VALUE"""),2598.0)</f>
        <v>2598</v>
      </c>
      <c r="F62" s="150">
        <f>IFERROR(__xludf.DUMMYFUNCTION("""COMPUTED_VALUE"""),80111.0)</f>
        <v>80111</v>
      </c>
      <c r="G62" s="150">
        <f>IFERROR(__xludf.DUMMYFUNCTION("""COMPUTED_VALUE"""),2957.0)</f>
        <v>2957</v>
      </c>
      <c r="H62" s="150">
        <f>IFERROR(__xludf.DUMMYFUNCTION("""COMPUTED_VALUE"""),93173.0)</f>
        <v>93173</v>
      </c>
      <c r="I62" s="150">
        <f>IFERROR(__xludf.DUMMYFUNCTION("""COMPUTED_VALUE"""),233.0)</f>
        <v>233</v>
      </c>
      <c r="J62" s="150">
        <f>IFERROR(__xludf.DUMMYFUNCTION("""COMPUTED_VALUE"""),283.0)</f>
        <v>283</v>
      </c>
      <c r="K62" s="150">
        <f>IFERROR(__xludf.DUMMYFUNCTION("""COMPUTED_VALUE"""),11176.0)</f>
        <v>11176</v>
      </c>
      <c r="L62" s="150">
        <f>IFERROR(__xludf.DUMMYFUNCTION("""COMPUTED_VALUE"""),1739.0)</f>
        <v>1739</v>
      </c>
      <c r="M62" s="150">
        <f>IFERROR(__xludf.DUMMYFUNCTION("""COMPUTED_VALUE"""),63855.0)</f>
        <v>63855</v>
      </c>
      <c r="N62" s="150">
        <f>IFERROR(__xludf.DUMMYFUNCTION("""COMPUTED_VALUE"""),75031.0)</f>
        <v>75031</v>
      </c>
      <c r="O62" s="150">
        <f>IFERROR(__xludf.DUMMYFUNCTION("""COMPUTED_VALUE"""),30.0)</f>
        <v>30</v>
      </c>
      <c r="P62" s="150">
        <f>IFERROR(__xludf.DUMMYFUNCTION("""COMPUTED_VALUE"""),1315.0)</f>
        <v>1315</v>
      </c>
      <c r="Q62" s="150">
        <f>IFERROR(__xludf.DUMMYFUNCTION("""COMPUTED_VALUE"""),29.0)</f>
        <v>29</v>
      </c>
      <c r="R62" s="150">
        <f>IFERROR(__xludf.DUMMYFUNCTION("""COMPUTED_VALUE"""),852.0)</f>
        <v>852</v>
      </c>
      <c r="S62" s="150">
        <f>IFERROR(__xludf.DUMMYFUNCTION("""COMPUTED_VALUE"""),5.0)</f>
        <v>5</v>
      </c>
      <c r="T62" s="150">
        <f>IFERROR(__xludf.DUMMYFUNCTION("""COMPUTED_VALUE"""),166.0)</f>
        <v>166</v>
      </c>
      <c r="U62" s="150">
        <f>IFERROR(__xludf.DUMMYFUNCTION("""COMPUTED_VALUE"""),297.0)</f>
        <v>297</v>
      </c>
      <c r="V62" s="150">
        <f>IFERROR(__xludf.DUMMYFUNCTION("""COMPUTED_VALUE"""),303.0)</f>
        <v>303</v>
      </c>
      <c r="W62" s="150">
        <f>IFERROR(__xludf.DUMMYFUNCTION("""COMPUTED_VALUE"""),71.0)</f>
        <v>71</v>
      </c>
      <c r="X62" s="150">
        <f>IFERROR(__xludf.DUMMYFUNCTION("""COMPUTED_VALUE"""),53.0)</f>
        <v>53</v>
      </c>
      <c r="Y62" s="150">
        <f>IFERROR(__xludf.DUMMYFUNCTION("""COMPUTED_VALUE"""),22.0)</f>
        <v>22</v>
      </c>
      <c r="Z62" s="150">
        <f>IFERROR(__xludf.DUMMYFUNCTION("""COMPUTED_VALUE"""),521.0)</f>
        <v>521</v>
      </c>
    </row>
    <row r="63">
      <c r="A63" s="207">
        <f>IFERROR(__xludf.DUMMYFUNCTION("""COMPUTED_VALUE"""),43960.0)</f>
        <v>43960</v>
      </c>
      <c r="B63" s="150">
        <f>IFERROR(__xludf.DUMMYFUNCTION("""COMPUTED_VALUE"""),467.0)</f>
        <v>467</v>
      </c>
      <c r="C63" s="150">
        <f>IFERROR(__xludf.DUMMYFUNCTION("""COMPUTED_VALUE"""),417.0)</f>
        <v>417</v>
      </c>
      <c r="D63" s="150">
        <f>IFERROR(__xludf.DUMMYFUNCTION("""COMPUTED_VALUE"""),13529.0)</f>
        <v>13529</v>
      </c>
      <c r="E63" s="150">
        <f>IFERROR(__xludf.DUMMYFUNCTION("""COMPUTED_VALUE"""),3346.0)</f>
        <v>3346</v>
      </c>
      <c r="F63" s="150">
        <f>IFERROR(__xludf.DUMMYFUNCTION("""COMPUTED_VALUE"""),83457.0)</f>
        <v>83457</v>
      </c>
      <c r="G63" s="150">
        <f>IFERROR(__xludf.DUMMYFUNCTION("""COMPUTED_VALUE"""),3813.0)</f>
        <v>3813</v>
      </c>
      <c r="H63" s="150">
        <f>IFERROR(__xludf.DUMMYFUNCTION("""COMPUTED_VALUE"""),96986.0)</f>
        <v>96986</v>
      </c>
      <c r="I63" s="150">
        <f>IFERROR(__xludf.DUMMYFUNCTION("""COMPUTED_VALUE"""),291.0)</f>
        <v>291</v>
      </c>
      <c r="J63" s="150">
        <f>IFERROR(__xludf.DUMMYFUNCTION("""COMPUTED_VALUE"""),266.0)</f>
        <v>266</v>
      </c>
      <c r="K63" s="150">
        <f>IFERROR(__xludf.DUMMYFUNCTION("""COMPUTED_VALUE"""),11467.0)</f>
        <v>11467</v>
      </c>
      <c r="L63" s="150">
        <f>IFERROR(__xludf.DUMMYFUNCTION("""COMPUTED_VALUE"""),2261.0)</f>
        <v>2261</v>
      </c>
      <c r="M63" s="150">
        <f>IFERROR(__xludf.DUMMYFUNCTION("""COMPUTED_VALUE"""),66116.0)</f>
        <v>66116</v>
      </c>
      <c r="N63" s="150">
        <f>IFERROR(__xludf.DUMMYFUNCTION("""COMPUTED_VALUE"""),77583.0)</f>
        <v>77583</v>
      </c>
      <c r="O63" s="150">
        <f>IFERROR(__xludf.DUMMYFUNCTION("""COMPUTED_VALUE"""),22.0)</f>
        <v>22</v>
      </c>
      <c r="P63" s="150">
        <f>IFERROR(__xludf.DUMMYFUNCTION("""COMPUTED_VALUE"""),1337.0)</f>
        <v>1337</v>
      </c>
      <c r="Q63" s="150">
        <f>IFERROR(__xludf.DUMMYFUNCTION("""COMPUTED_VALUE"""),21.0)</f>
        <v>21</v>
      </c>
      <c r="R63" s="150">
        <f>IFERROR(__xludf.DUMMYFUNCTION("""COMPUTED_VALUE"""),873.0)</f>
        <v>873</v>
      </c>
      <c r="S63" s="150">
        <f>IFERROR(__xludf.DUMMYFUNCTION("""COMPUTED_VALUE"""),4.0)</f>
        <v>4</v>
      </c>
      <c r="T63" s="150">
        <f>IFERROR(__xludf.DUMMYFUNCTION("""COMPUTED_VALUE"""),170.0)</f>
        <v>170</v>
      </c>
      <c r="U63" s="150">
        <f>IFERROR(__xludf.DUMMYFUNCTION("""COMPUTED_VALUE"""),294.0)</f>
        <v>294</v>
      </c>
      <c r="V63" s="150">
        <f>IFERROR(__xludf.DUMMYFUNCTION("""COMPUTED_VALUE"""),297.0)</f>
        <v>297</v>
      </c>
      <c r="W63" s="150">
        <f>IFERROR(__xludf.DUMMYFUNCTION("""COMPUTED_VALUE"""),69.0)</f>
        <v>69</v>
      </c>
      <c r="X63" s="150">
        <f>IFERROR(__xludf.DUMMYFUNCTION("""COMPUTED_VALUE"""),51.0)</f>
        <v>51</v>
      </c>
      <c r="Y63" s="150">
        <f>IFERROR(__xludf.DUMMYFUNCTION("""COMPUTED_VALUE"""),15.0)</f>
        <v>15</v>
      </c>
      <c r="Z63" s="150">
        <f>IFERROR(__xludf.DUMMYFUNCTION("""COMPUTED_VALUE"""),536.0)</f>
        <v>536</v>
      </c>
    </row>
    <row r="64">
      <c r="A64" s="207">
        <f>IFERROR(__xludf.DUMMYFUNCTION("""COMPUTED_VALUE"""),43961.0)</f>
        <v>43961</v>
      </c>
      <c r="B64" s="150">
        <f>IFERROR(__xludf.DUMMYFUNCTION("""COMPUTED_VALUE"""),285.0)</f>
        <v>285</v>
      </c>
      <c r="C64" s="150">
        <f>IFERROR(__xludf.DUMMYFUNCTION("""COMPUTED_VALUE"""),370.0)</f>
        <v>370</v>
      </c>
      <c r="D64" s="150">
        <f>IFERROR(__xludf.DUMMYFUNCTION("""COMPUTED_VALUE"""),13814.0)</f>
        <v>13814</v>
      </c>
      <c r="E64" s="150">
        <f>IFERROR(__xludf.DUMMYFUNCTION("""COMPUTED_VALUE"""),2117.0)</f>
        <v>2117</v>
      </c>
      <c r="F64" s="150">
        <f>IFERROR(__xludf.DUMMYFUNCTION("""COMPUTED_VALUE"""),85574.0)</f>
        <v>85574</v>
      </c>
      <c r="G64" s="150">
        <f>IFERROR(__xludf.DUMMYFUNCTION("""COMPUTED_VALUE"""),2402.0)</f>
        <v>2402</v>
      </c>
      <c r="H64" s="150">
        <f>IFERROR(__xludf.DUMMYFUNCTION("""COMPUTED_VALUE"""),99388.0)</f>
        <v>99388</v>
      </c>
      <c r="I64" s="150">
        <f>IFERROR(__xludf.DUMMYFUNCTION("""COMPUTED_VALUE"""),188.0)</f>
        <v>188</v>
      </c>
      <c r="J64" s="150">
        <f>IFERROR(__xludf.DUMMYFUNCTION("""COMPUTED_VALUE"""),237.0)</f>
        <v>237</v>
      </c>
      <c r="K64" s="150">
        <f>IFERROR(__xludf.DUMMYFUNCTION("""COMPUTED_VALUE"""),11655.0)</f>
        <v>11655</v>
      </c>
      <c r="L64" s="150">
        <f>IFERROR(__xludf.DUMMYFUNCTION("""COMPUTED_VALUE"""),1523.0)</f>
        <v>1523</v>
      </c>
      <c r="M64" s="150">
        <f>IFERROR(__xludf.DUMMYFUNCTION("""COMPUTED_VALUE"""),67639.0)</f>
        <v>67639</v>
      </c>
      <c r="N64" s="150">
        <f>IFERROR(__xludf.DUMMYFUNCTION("""COMPUTED_VALUE"""),79294.0)</f>
        <v>79294</v>
      </c>
      <c r="O64" s="150">
        <f>IFERROR(__xludf.DUMMYFUNCTION("""COMPUTED_VALUE"""),20.0)</f>
        <v>20</v>
      </c>
      <c r="P64" s="150">
        <f>IFERROR(__xludf.DUMMYFUNCTION("""COMPUTED_VALUE"""),1357.0)</f>
        <v>1357</v>
      </c>
      <c r="Q64" s="150">
        <f>IFERROR(__xludf.DUMMYFUNCTION("""COMPUTED_VALUE"""),23.0)</f>
        <v>23</v>
      </c>
      <c r="R64" s="150">
        <f>IFERROR(__xludf.DUMMYFUNCTION("""COMPUTED_VALUE"""),896.0)</f>
        <v>896</v>
      </c>
      <c r="S64" s="150">
        <f>IFERROR(__xludf.DUMMYFUNCTION("""COMPUTED_VALUE"""),6.0)</f>
        <v>6</v>
      </c>
      <c r="T64" s="150">
        <f>IFERROR(__xludf.DUMMYFUNCTION("""COMPUTED_VALUE"""),176.0)</f>
        <v>176</v>
      </c>
      <c r="U64" s="150">
        <f>IFERROR(__xludf.DUMMYFUNCTION("""COMPUTED_VALUE"""),285.0)</f>
        <v>285</v>
      </c>
      <c r="V64" s="150">
        <f>IFERROR(__xludf.DUMMYFUNCTION("""COMPUTED_VALUE"""),292.0)</f>
        <v>292</v>
      </c>
      <c r="W64" s="150">
        <f>IFERROR(__xludf.DUMMYFUNCTION("""COMPUTED_VALUE"""),70.0)</f>
        <v>70</v>
      </c>
      <c r="X64" s="150">
        <f>IFERROR(__xludf.DUMMYFUNCTION("""COMPUTED_VALUE"""),49.0)</f>
        <v>49</v>
      </c>
      <c r="Y64" s="150">
        <f>IFERROR(__xludf.DUMMYFUNCTION("""COMPUTED_VALUE"""),13.0)</f>
        <v>13</v>
      </c>
      <c r="Z64" s="150">
        <f>IFERROR(__xludf.DUMMYFUNCTION("""COMPUTED_VALUE"""),549.0)</f>
        <v>549</v>
      </c>
    </row>
    <row r="65">
      <c r="A65" s="207">
        <f>IFERROR(__xludf.DUMMYFUNCTION("""COMPUTED_VALUE"""),43962.0)</f>
        <v>43962</v>
      </c>
      <c r="B65" s="150">
        <f>IFERROR(__xludf.DUMMYFUNCTION("""COMPUTED_VALUE"""),257.0)</f>
        <v>257</v>
      </c>
      <c r="C65" s="150">
        <f>IFERROR(__xludf.DUMMYFUNCTION("""COMPUTED_VALUE"""),336.0)</f>
        <v>336</v>
      </c>
      <c r="D65" s="150">
        <f>IFERROR(__xludf.DUMMYFUNCTION("""COMPUTED_VALUE"""),14071.0)</f>
        <v>14071</v>
      </c>
      <c r="E65" s="150">
        <f>IFERROR(__xludf.DUMMYFUNCTION("""COMPUTED_VALUE"""),1857.0)</f>
        <v>1857</v>
      </c>
      <c r="F65" s="150">
        <f>IFERROR(__xludf.DUMMYFUNCTION("""COMPUTED_VALUE"""),87431.0)</f>
        <v>87431</v>
      </c>
      <c r="G65" s="150">
        <f>IFERROR(__xludf.DUMMYFUNCTION("""COMPUTED_VALUE"""),2114.0)</f>
        <v>2114</v>
      </c>
      <c r="H65" s="150">
        <f>IFERROR(__xludf.DUMMYFUNCTION("""COMPUTED_VALUE"""),101502.0)</f>
        <v>101502</v>
      </c>
      <c r="I65" s="150">
        <f>IFERROR(__xludf.DUMMYFUNCTION("""COMPUTED_VALUE"""),178.0)</f>
        <v>178</v>
      </c>
      <c r="J65" s="150">
        <f>IFERROR(__xludf.DUMMYFUNCTION("""COMPUTED_VALUE"""),219.0)</f>
        <v>219</v>
      </c>
      <c r="K65" s="150">
        <f>IFERROR(__xludf.DUMMYFUNCTION("""COMPUTED_VALUE"""),11833.0)</f>
        <v>11833</v>
      </c>
      <c r="L65" s="150">
        <f>IFERROR(__xludf.DUMMYFUNCTION("""COMPUTED_VALUE"""),1301.0)</f>
        <v>1301</v>
      </c>
      <c r="M65" s="150">
        <f>IFERROR(__xludf.DUMMYFUNCTION("""COMPUTED_VALUE"""),68940.0)</f>
        <v>68940</v>
      </c>
      <c r="N65" s="150">
        <f>IFERROR(__xludf.DUMMYFUNCTION("""COMPUTED_VALUE"""),80773.0)</f>
        <v>80773</v>
      </c>
      <c r="O65" s="150">
        <f>IFERROR(__xludf.DUMMYFUNCTION("""COMPUTED_VALUE"""),31.0)</f>
        <v>31</v>
      </c>
      <c r="P65" s="150">
        <f>IFERROR(__xludf.DUMMYFUNCTION("""COMPUTED_VALUE"""),1388.0)</f>
        <v>1388</v>
      </c>
      <c r="Q65" s="150">
        <f>IFERROR(__xludf.DUMMYFUNCTION("""COMPUTED_VALUE"""),16.0)</f>
        <v>16</v>
      </c>
      <c r="R65" s="150">
        <f>IFERROR(__xludf.DUMMYFUNCTION("""COMPUTED_VALUE"""),912.0)</f>
        <v>912</v>
      </c>
      <c r="S65" s="150">
        <f>IFERROR(__xludf.DUMMYFUNCTION("""COMPUTED_VALUE"""),6.0)</f>
        <v>6</v>
      </c>
      <c r="T65" s="150">
        <f>IFERROR(__xludf.DUMMYFUNCTION("""COMPUTED_VALUE"""),182.0)</f>
        <v>182</v>
      </c>
      <c r="U65" s="150">
        <f>IFERROR(__xludf.DUMMYFUNCTION("""COMPUTED_VALUE"""),294.0)</f>
        <v>294</v>
      </c>
      <c r="V65" s="150">
        <f>IFERROR(__xludf.DUMMYFUNCTION("""COMPUTED_VALUE"""),291.0)</f>
        <v>291</v>
      </c>
      <c r="W65" s="150">
        <f>IFERROR(__xludf.DUMMYFUNCTION("""COMPUTED_VALUE"""),71.0)</f>
        <v>71</v>
      </c>
      <c r="X65" s="150">
        <f>IFERROR(__xludf.DUMMYFUNCTION("""COMPUTED_VALUE"""),49.0)</f>
        <v>49</v>
      </c>
      <c r="Y65" s="150">
        <f>IFERROR(__xludf.DUMMYFUNCTION("""COMPUTED_VALUE"""),15.0)</f>
        <v>15</v>
      </c>
      <c r="Z65" s="150">
        <f>IFERROR(__xludf.DUMMYFUNCTION("""COMPUTED_VALUE"""),564.0)</f>
        <v>564</v>
      </c>
    </row>
    <row r="66">
      <c r="A66" s="207">
        <f>IFERROR(__xludf.DUMMYFUNCTION("""COMPUTED_VALUE"""),43963.0)</f>
        <v>43963</v>
      </c>
      <c r="B66" s="150">
        <f>IFERROR(__xludf.DUMMYFUNCTION("""COMPUTED_VALUE"""),387.0)</f>
        <v>387</v>
      </c>
      <c r="C66" s="150">
        <f>IFERROR(__xludf.DUMMYFUNCTION("""COMPUTED_VALUE"""),310.0)</f>
        <v>310</v>
      </c>
      <c r="D66" s="150">
        <f>IFERROR(__xludf.DUMMYFUNCTION("""COMPUTED_VALUE"""),14458.0)</f>
        <v>14458</v>
      </c>
      <c r="E66" s="150">
        <f>IFERROR(__xludf.DUMMYFUNCTION("""COMPUTED_VALUE"""),2611.0)</f>
        <v>2611</v>
      </c>
      <c r="F66" s="150">
        <f>IFERROR(__xludf.DUMMYFUNCTION("""COMPUTED_VALUE"""),90042.0)</f>
        <v>90042</v>
      </c>
      <c r="G66" s="150">
        <f>IFERROR(__xludf.DUMMYFUNCTION("""COMPUTED_VALUE"""),2998.0)</f>
        <v>2998</v>
      </c>
      <c r="H66" s="150">
        <f>IFERROR(__xludf.DUMMYFUNCTION("""COMPUTED_VALUE"""),104500.0)</f>
        <v>104500</v>
      </c>
      <c r="I66" s="150">
        <f>IFERROR(__xludf.DUMMYFUNCTION("""COMPUTED_VALUE"""),218.0)</f>
        <v>218</v>
      </c>
      <c r="J66" s="150">
        <f>IFERROR(__xludf.DUMMYFUNCTION("""COMPUTED_VALUE"""),195.0)</f>
        <v>195</v>
      </c>
      <c r="K66" s="150">
        <f>IFERROR(__xludf.DUMMYFUNCTION("""COMPUTED_VALUE"""),12051.0)</f>
        <v>12051</v>
      </c>
      <c r="L66" s="150">
        <f>IFERROR(__xludf.DUMMYFUNCTION("""COMPUTED_VALUE"""),1708.0)</f>
        <v>1708</v>
      </c>
      <c r="M66" s="150">
        <f>IFERROR(__xludf.DUMMYFUNCTION("""COMPUTED_VALUE"""),70648.0)</f>
        <v>70648</v>
      </c>
      <c r="N66" s="150">
        <f>IFERROR(__xludf.DUMMYFUNCTION("""COMPUTED_VALUE"""),82699.0)</f>
        <v>82699</v>
      </c>
      <c r="O66" s="150">
        <f>IFERROR(__xludf.DUMMYFUNCTION("""COMPUTED_VALUE"""),23.0)</f>
        <v>23</v>
      </c>
      <c r="P66" s="150">
        <f>IFERROR(__xludf.DUMMYFUNCTION("""COMPUTED_VALUE"""),1411.0)</f>
        <v>1411</v>
      </c>
      <c r="Q66" s="150">
        <f>IFERROR(__xludf.DUMMYFUNCTION("""COMPUTED_VALUE"""),18.0)</f>
        <v>18</v>
      </c>
      <c r="R66" s="150">
        <f>IFERROR(__xludf.DUMMYFUNCTION("""COMPUTED_VALUE"""),930.0)</f>
        <v>930</v>
      </c>
      <c r="S66" s="150">
        <f>IFERROR(__xludf.DUMMYFUNCTION("""COMPUTED_VALUE"""),4.0)</f>
        <v>4</v>
      </c>
      <c r="T66" s="150">
        <f>IFERROR(__xludf.DUMMYFUNCTION("""COMPUTED_VALUE"""),186.0)</f>
        <v>186</v>
      </c>
      <c r="U66" s="150">
        <f>IFERROR(__xludf.DUMMYFUNCTION("""COMPUTED_VALUE"""),295.0)</f>
        <v>295</v>
      </c>
      <c r="V66" s="150">
        <f>IFERROR(__xludf.DUMMYFUNCTION("""COMPUTED_VALUE"""),291.0)</f>
        <v>291</v>
      </c>
      <c r="W66" s="150">
        <f>IFERROR(__xludf.DUMMYFUNCTION("""COMPUTED_VALUE"""),69.0)</f>
        <v>69</v>
      </c>
      <c r="X66" s="150">
        <f>IFERROR(__xludf.DUMMYFUNCTION("""COMPUTED_VALUE"""),48.0)</f>
        <v>48</v>
      </c>
      <c r="Y66" s="150">
        <f>IFERROR(__xludf.DUMMYFUNCTION("""COMPUTED_VALUE"""),22.0)</f>
        <v>22</v>
      </c>
      <c r="Z66" s="150">
        <f>IFERROR(__xludf.DUMMYFUNCTION("""COMPUTED_VALUE"""),586.0)</f>
        <v>586</v>
      </c>
    </row>
    <row r="67">
      <c r="A67" s="207">
        <f>IFERROR(__xludf.DUMMYFUNCTION("""COMPUTED_VALUE"""),43964.0)</f>
        <v>43964</v>
      </c>
      <c r="B67" s="150">
        <f>IFERROR(__xludf.DUMMYFUNCTION("""COMPUTED_VALUE"""),351.0)</f>
        <v>351</v>
      </c>
      <c r="C67" s="150">
        <f>IFERROR(__xludf.DUMMYFUNCTION("""COMPUTED_VALUE"""),332.0)</f>
        <v>332</v>
      </c>
      <c r="D67" s="150">
        <f>IFERROR(__xludf.DUMMYFUNCTION("""COMPUTED_VALUE"""),14809.0)</f>
        <v>14809</v>
      </c>
      <c r="E67" s="150">
        <f>IFERROR(__xludf.DUMMYFUNCTION("""COMPUTED_VALUE"""),3630.0)</f>
        <v>3630</v>
      </c>
      <c r="F67" s="150">
        <f>IFERROR(__xludf.DUMMYFUNCTION("""COMPUTED_VALUE"""),93672.0)</f>
        <v>93672</v>
      </c>
      <c r="G67" s="150">
        <f>IFERROR(__xludf.DUMMYFUNCTION("""COMPUTED_VALUE"""),3981.0)</f>
        <v>3981</v>
      </c>
      <c r="H67" s="150">
        <f>IFERROR(__xludf.DUMMYFUNCTION("""COMPUTED_VALUE"""),108481.0)</f>
        <v>108481</v>
      </c>
      <c r="I67" s="150">
        <f>IFERROR(__xludf.DUMMYFUNCTION("""COMPUTED_VALUE"""),199.0)</f>
        <v>199</v>
      </c>
      <c r="J67" s="150">
        <f>IFERROR(__xludf.DUMMYFUNCTION("""COMPUTED_VALUE"""),198.0)</f>
        <v>198</v>
      </c>
      <c r="K67" s="150">
        <f>IFERROR(__xludf.DUMMYFUNCTION("""COMPUTED_VALUE"""),12250.0)</f>
        <v>12250</v>
      </c>
      <c r="L67" s="150">
        <f>IFERROR(__xludf.DUMMYFUNCTION("""COMPUTED_VALUE"""),2006.0)</f>
        <v>2006</v>
      </c>
      <c r="M67" s="150">
        <f>IFERROR(__xludf.DUMMYFUNCTION("""COMPUTED_VALUE"""),72654.0)</f>
        <v>72654</v>
      </c>
      <c r="N67" s="150">
        <f>IFERROR(__xludf.DUMMYFUNCTION("""COMPUTED_VALUE"""),84904.0)</f>
        <v>84904</v>
      </c>
      <c r="O67" s="150">
        <f>IFERROR(__xludf.DUMMYFUNCTION("""COMPUTED_VALUE"""),23.0)</f>
        <v>23</v>
      </c>
      <c r="P67" s="150">
        <f>IFERROR(__xludf.DUMMYFUNCTION("""COMPUTED_VALUE"""),1434.0)</f>
        <v>1434</v>
      </c>
      <c r="Q67" s="150">
        <f>IFERROR(__xludf.DUMMYFUNCTION("""COMPUTED_VALUE"""),25.0)</f>
        <v>25</v>
      </c>
      <c r="R67" s="150">
        <f>IFERROR(__xludf.DUMMYFUNCTION("""COMPUTED_VALUE"""),955.0)</f>
        <v>955</v>
      </c>
      <c r="S67" s="150">
        <f>IFERROR(__xludf.DUMMYFUNCTION("""COMPUTED_VALUE"""),1.0)</f>
        <v>1</v>
      </c>
      <c r="T67" s="150">
        <f>IFERROR(__xludf.DUMMYFUNCTION("""COMPUTED_VALUE"""),187.0)</f>
        <v>187</v>
      </c>
      <c r="U67" s="150">
        <f>IFERROR(__xludf.DUMMYFUNCTION("""COMPUTED_VALUE"""),292.0)</f>
        <v>292</v>
      </c>
      <c r="V67" s="150">
        <f>IFERROR(__xludf.DUMMYFUNCTION("""COMPUTED_VALUE"""),294.0)</f>
        <v>294</v>
      </c>
      <c r="W67" s="150">
        <f>IFERROR(__xludf.DUMMYFUNCTION("""COMPUTED_VALUE"""),69.0)</f>
        <v>69</v>
      </c>
      <c r="X67" s="150">
        <f>IFERROR(__xludf.DUMMYFUNCTION("""COMPUTED_VALUE"""),49.0)</f>
        <v>49</v>
      </c>
      <c r="Y67" s="150">
        <f>IFERROR(__xludf.DUMMYFUNCTION("""COMPUTED_VALUE"""),13.0)</f>
        <v>13</v>
      </c>
      <c r="Z67" s="150">
        <f>IFERROR(__xludf.DUMMYFUNCTION("""COMPUTED_VALUE"""),599.0)</f>
        <v>599</v>
      </c>
    </row>
    <row r="68">
      <c r="A68" s="207">
        <f>IFERROR(__xludf.DUMMYFUNCTION("""COMPUTED_VALUE"""),43965.0)</f>
        <v>43965</v>
      </c>
      <c r="B68" s="150">
        <f>IFERROR(__xludf.DUMMYFUNCTION("""COMPUTED_VALUE"""),329.0)</f>
        <v>329</v>
      </c>
      <c r="C68" s="150">
        <f>IFERROR(__xludf.DUMMYFUNCTION("""COMPUTED_VALUE"""),356.0)</f>
        <v>356</v>
      </c>
      <c r="D68" s="150">
        <f>IFERROR(__xludf.DUMMYFUNCTION("""COMPUTED_VALUE"""),15138.0)</f>
        <v>15138</v>
      </c>
      <c r="E68" s="150">
        <f>IFERROR(__xludf.DUMMYFUNCTION("""COMPUTED_VALUE"""),3408.0)</f>
        <v>3408</v>
      </c>
      <c r="F68" s="150">
        <f>IFERROR(__xludf.DUMMYFUNCTION("""COMPUTED_VALUE"""),97080.0)</f>
        <v>97080</v>
      </c>
      <c r="G68" s="150">
        <f>IFERROR(__xludf.DUMMYFUNCTION("""COMPUTED_VALUE"""),3737.0)</f>
        <v>3737</v>
      </c>
      <c r="H68" s="150">
        <f>IFERROR(__xludf.DUMMYFUNCTION("""COMPUTED_VALUE"""),112218.0)</f>
        <v>112218</v>
      </c>
      <c r="I68" s="150">
        <f>IFERROR(__xludf.DUMMYFUNCTION("""COMPUTED_VALUE"""),232.0)</f>
        <v>232</v>
      </c>
      <c r="J68" s="150">
        <f>IFERROR(__xludf.DUMMYFUNCTION("""COMPUTED_VALUE"""),216.0)</f>
        <v>216</v>
      </c>
      <c r="K68" s="150">
        <f>IFERROR(__xludf.DUMMYFUNCTION("""COMPUTED_VALUE"""),12482.0)</f>
        <v>12482</v>
      </c>
      <c r="L68" s="150">
        <f>IFERROR(__xludf.DUMMYFUNCTION("""COMPUTED_VALUE"""),2019.0)</f>
        <v>2019</v>
      </c>
      <c r="M68" s="150">
        <f>IFERROR(__xludf.DUMMYFUNCTION("""COMPUTED_VALUE"""),74673.0)</f>
        <v>74673</v>
      </c>
      <c r="N68" s="150">
        <f>IFERROR(__xludf.DUMMYFUNCTION("""COMPUTED_VALUE"""),87155.0)</f>
        <v>87155</v>
      </c>
      <c r="O68" s="150">
        <f>IFERROR(__xludf.DUMMYFUNCTION("""COMPUTED_VALUE"""),19.0)</f>
        <v>19</v>
      </c>
      <c r="P68" s="150">
        <f>IFERROR(__xludf.DUMMYFUNCTION("""COMPUTED_VALUE"""),1453.0)</f>
        <v>1453</v>
      </c>
      <c r="Q68" s="150">
        <f>IFERROR(__xludf.DUMMYFUNCTION("""COMPUTED_VALUE"""),27.0)</f>
        <v>27</v>
      </c>
      <c r="R68" s="150">
        <f>IFERROR(__xludf.DUMMYFUNCTION("""COMPUTED_VALUE"""),982.0)</f>
        <v>982</v>
      </c>
      <c r="S68" s="150">
        <f>IFERROR(__xludf.DUMMYFUNCTION("""COMPUTED_VALUE"""),3.0)</f>
        <v>3</v>
      </c>
      <c r="T68" s="150">
        <f>IFERROR(__xludf.DUMMYFUNCTION("""COMPUTED_VALUE"""),190.0)</f>
        <v>190</v>
      </c>
      <c r="U68" s="150">
        <f>IFERROR(__xludf.DUMMYFUNCTION("""COMPUTED_VALUE"""),281.0)</f>
        <v>281</v>
      </c>
      <c r="V68" s="150">
        <f>IFERROR(__xludf.DUMMYFUNCTION("""COMPUTED_VALUE"""),289.0)</f>
        <v>289</v>
      </c>
      <c r="W68" s="150">
        <f>IFERROR(__xludf.DUMMYFUNCTION("""COMPUTED_VALUE"""),64.0)</f>
        <v>64</v>
      </c>
      <c r="X68" s="150">
        <f>IFERROR(__xludf.DUMMYFUNCTION("""COMPUTED_VALUE"""),45.0)</f>
        <v>45</v>
      </c>
      <c r="Y68" s="150">
        <f>IFERROR(__xludf.DUMMYFUNCTION("""COMPUTED_VALUE"""),15.0)</f>
        <v>15</v>
      </c>
      <c r="Z68" s="150">
        <f>IFERROR(__xludf.DUMMYFUNCTION("""COMPUTED_VALUE"""),614.0)</f>
        <v>614</v>
      </c>
    </row>
    <row r="69">
      <c r="A69" s="207">
        <f>IFERROR(__xludf.DUMMYFUNCTION("""COMPUTED_VALUE"""),43966.0)</f>
        <v>43966</v>
      </c>
      <c r="B69" s="150">
        <f>IFERROR(__xludf.DUMMYFUNCTION("""COMPUTED_VALUE"""),381.0)</f>
        <v>381</v>
      </c>
      <c r="C69" s="150">
        <f>IFERROR(__xludf.DUMMYFUNCTION("""COMPUTED_VALUE"""),354.0)</f>
        <v>354</v>
      </c>
      <c r="D69" s="150">
        <f>IFERROR(__xludf.DUMMYFUNCTION("""COMPUTED_VALUE"""),15519.0)</f>
        <v>15519</v>
      </c>
      <c r="E69" s="150">
        <f>IFERROR(__xludf.DUMMYFUNCTION("""COMPUTED_VALUE"""),3458.0)</f>
        <v>3458</v>
      </c>
      <c r="F69" s="150">
        <f>IFERROR(__xludf.DUMMYFUNCTION("""COMPUTED_VALUE"""),100538.0)</f>
        <v>100538</v>
      </c>
      <c r="G69" s="150">
        <f>IFERROR(__xludf.DUMMYFUNCTION("""COMPUTED_VALUE"""),3839.0)</f>
        <v>3839</v>
      </c>
      <c r="H69" s="150">
        <f>IFERROR(__xludf.DUMMYFUNCTION("""COMPUTED_VALUE"""),116057.0)</f>
        <v>116057</v>
      </c>
      <c r="I69" s="150">
        <f>IFERROR(__xludf.DUMMYFUNCTION("""COMPUTED_VALUE"""),237.0)</f>
        <v>237</v>
      </c>
      <c r="J69" s="150">
        <f>IFERROR(__xludf.DUMMYFUNCTION("""COMPUTED_VALUE"""),223.0)</f>
        <v>223</v>
      </c>
      <c r="K69" s="150">
        <f>IFERROR(__xludf.DUMMYFUNCTION("""COMPUTED_VALUE"""),12719.0)</f>
        <v>12719</v>
      </c>
      <c r="L69" s="150">
        <f>IFERROR(__xludf.DUMMYFUNCTION("""COMPUTED_VALUE"""),1811.0)</f>
        <v>1811</v>
      </c>
      <c r="M69" s="150">
        <f>IFERROR(__xludf.DUMMYFUNCTION("""COMPUTED_VALUE"""),76484.0)</f>
        <v>76484</v>
      </c>
      <c r="N69" s="150">
        <f>IFERROR(__xludf.DUMMYFUNCTION("""COMPUTED_VALUE"""),89203.0)</f>
        <v>89203</v>
      </c>
      <c r="O69" s="150">
        <f>IFERROR(__xludf.DUMMYFUNCTION("""COMPUTED_VALUE"""),24.0)</f>
        <v>24</v>
      </c>
      <c r="P69" s="150">
        <f>IFERROR(__xludf.DUMMYFUNCTION("""COMPUTED_VALUE"""),1477.0)</f>
        <v>1477</v>
      </c>
      <c r="Q69" s="150">
        <f>IFERROR(__xludf.DUMMYFUNCTION("""COMPUTED_VALUE"""),41.0)</f>
        <v>41</v>
      </c>
      <c r="R69" s="150">
        <f>IFERROR(__xludf.DUMMYFUNCTION("""COMPUTED_VALUE"""),1023.0)</f>
        <v>1023</v>
      </c>
      <c r="S69" s="150">
        <f>IFERROR(__xludf.DUMMYFUNCTION("""COMPUTED_VALUE"""),5.0)</f>
        <v>5</v>
      </c>
      <c r="T69" s="150">
        <f>IFERROR(__xludf.DUMMYFUNCTION("""COMPUTED_VALUE"""),195.0)</f>
        <v>195</v>
      </c>
      <c r="U69" s="150">
        <f>IFERROR(__xludf.DUMMYFUNCTION("""COMPUTED_VALUE"""),259.0)</f>
        <v>259</v>
      </c>
      <c r="V69" s="150">
        <f>IFERROR(__xludf.DUMMYFUNCTION("""COMPUTED_VALUE"""),277.0)</f>
        <v>277</v>
      </c>
      <c r="W69" s="150">
        <f>IFERROR(__xludf.DUMMYFUNCTION("""COMPUTED_VALUE"""),62.0)</f>
        <v>62</v>
      </c>
      <c r="X69" s="150">
        <f>IFERROR(__xludf.DUMMYFUNCTION("""COMPUTED_VALUE"""),45.0)</f>
        <v>45</v>
      </c>
      <c r="Y69" s="150">
        <f>IFERROR(__xludf.DUMMYFUNCTION("""COMPUTED_VALUE"""),14.0)</f>
        <v>14</v>
      </c>
      <c r="Z69" s="150">
        <f>IFERROR(__xludf.DUMMYFUNCTION("""COMPUTED_VALUE"""),628.0)</f>
        <v>628</v>
      </c>
    </row>
    <row r="70">
      <c r="A70" s="207">
        <f>IFERROR(__xludf.DUMMYFUNCTION("""COMPUTED_VALUE"""),43967.0)</f>
        <v>43967</v>
      </c>
      <c r="B70" s="150">
        <f>IFERROR(__xludf.DUMMYFUNCTION("""COMPUTED_VALUE"""),449.0)</f>
        <v>449</v>
      </c>
      <c r="C70" s="150">
        <f>IFERROR(__xludf.DUMMYFUNCTION("""COMPUTED_VALUE"""),386.0)</f>
        <v>386</v>
      </c>
      <c r="D70" s="150">
        <f>IFERROR(__xludf.DUMMYFUNCTION("""COMPUTED_VALUE"""),15968.0)</f>
        <v>15968</v>
      </c>
      <c r="E70" s="150">
        <f>IFERROR(__xludf.DUMMYFUNCTION("""COMPUTED_VALUE"""),4156.0)</f>
        <v>4156</v>
      </c>
      <c r="F70" s="150">
        <f>IFERROR(__xludf.DUMMYFUNCTION("""COMPUTED_VALUE"""),104694.0)</f>
        <v>104694</v>
      </c>
      <c r="G70" s="150">
        <f>IFERROR(__xludf.DUMMYFUNCTION("""COMPUTED_VALUE"""),4605.0)</f>
        <v>4605</v>
      </c>
      <c r="H70" s="150">
        <f>IFERROR(__xludf.DUMMYFUNCTION("""COMPUTED_VALUE"""),120662.0)</f>
        <v>120662</v>
      </c>
      <c r="I70" s="150">
        <f>IFERROR(__xludf.DUMMYFUNCTION("""COMPUTED_VALUE"""),252.0)</f>
        <v>252</v>
      </c>
      <c r="J70" s="150">
        <f>IFERROR(__xludf.DUMMYFUNCTION("""COMPUTED_VALUE"""),240.0)</f>
        <v>240</v>
      </c>
      <c r="K70" s="150">
        <f>IFERROR(__xludf.DUMMYFUNCTION("""COMPUTED_VALUE"""),12971.0)</f>
        <v>12971</v>
      </c>
      <c r="L70" s="150">
        <f>IFERROR(__xludf.DUMMYFUNCTION("""COMPUTED_VALUE"""),1963.0)</f>
        <v>1963</v>
      </c>
      <c r="M70" s="150">
        <f>IFERROR(__xludf.DUMMYFUNCTION("""COMPUTED_VALUE"""),78447.0)</f>
        <v>78447</v>
      </c>
      <c r="N70" s="150">
        <f>IFERROR(__xludf.DUMMYFUNCTION("""COMPUTED_VALUE"""),91418.0)</f>
        <v>91418</v>
      </c>
      <c r="O70" s="150">
        <f>IFERROR(__xludf.DUMMYFUNCTION("""COMPUTED_VALUE"""),25.0)</f>
        <v>25</v>
      </c>
      <c r="P70" s="150">
        <f>IFERROR(__xludf.DUMMYFUNCTION("""COMPUTED_VALUE"""),1502.0)</f>
        <v>1502</v>
      </c>
      <c r="Q70" s="150">
        <f>IFERROR(__xludf.DUMMYFUNCTION("""COMPUTED_VALUE"""),13.0)</f>
        <v>13</v>
      </c>
      <c r="R70" s="150">
        <f>IFERROR(__xludf.DUMMYFUNCTION("""COMPUTED_VALUE"""),1036.0)</f>
        <v>1036</v>
      </c>
      <c r="S70" s="150">
        <f>IFERROR(__xludf.DUMMYFUNCTION("""COMPUTED_VALUE"""),5.0)</f>
        <v>5</v>
      </c>
      <c r="T70" s="150">
        <f>IFERROR(__xludf.DUMMYFUNCTION("""COMPUTED_VALUE"""),200.0)</f>
        <v>200</v>
      </c>
      <c r="U70" s="150">
        <f>IFERROR(__xludf.DUMMYFUNCTION("""COMPUTED_VALUE"""),266.0)</f>
        <v>266</v>
      </c>
      <c r="V70" s="150">
        <f>IFERROR(__xludf.DUMMYFUNCTION("""COMPUTED_VALUE"""),269.0)</f>
        <v>269</v>
      </c>
      <c r="W70" s="150">
        <f>IFERROR(__xludf.DUMMYFUNCTION("""COMPUTED_VALUE"""),61.0)</f>
        <v>61</v>
      </c>
      <c r="X70" s="150">
        <f>IFERROR(__xludf.DUMMYFUNCTION("""COMPUTED_VALUE"""),46.0)</f>
        <v>46</v>
      </c>
      <c r="Y70" s="150">
        <f>IFERROR(__xludf.DUMMYFUNCTION("""COMPUTED_VALUE"""),15.0)</f>
        <v>15</v>
      </c>
      <c r="Z70" s="150">
        <f>IFERROR(__xludf.DUMMYFUNCTION("""COMPUTED_VALUE"""),643.0)</f>
        <v>643</v>
      </c>
    </row>
    <row r="71">
      <c r="A71" s="207">
        <f>IFERROR(__xludf.DUMMYFUNCTION("""COMPUTED_VALUE"""),43968.0)</f>
        <v>43968</v>
      </c>
      <c r="B71" s="150">
        <f>IFERROR(__xludf.DUMMYFUNCTION("""COMPUTED_VALUE"""),240.0)</f>
        <v>240</v>
      </c>
      <c r="C71" s="150">
        <f>IFERROR(__xludf.DUMMYFUNCTION("""COMPUTED_VALUE"""),357.0)</f>
        <v>357</v>
      </c>
      <c r="D71" s="150">
        <f>IFERROR(__xludf.DUMMYFUNCTION("""COMPUTED_VALUE"""),16208.0)</f>
        <v>16208</v>
      </c>
      <c r="E71" s="150">
        <f>IFERROR(__xludf.DUMMYFUNCTION("""COMPUTED_VALUE"""),2768.0)</f>
        <v>2768</v>
      </c>
      <c r="F71" s="150">
        <f>IFERROR(__xludf.DUMMYFUNCTION("""COMPUTED_VALUE"""),107462.0)</f>
        <v>107462</v>
      </c>
      <c r="G71" s="150">
        <f>IFERROR(__xludf.DUMMYFUNCTION("""COMPUTED_VALUE"""),3008.0)</f>
        <v>3008</v>
      </c>
      <c r="H71" s="150">
        <f>IFERROR(__xludf.DUMMYFUNCTION("""COMPUTED_VALUE"""),123670.0)</f>
        <v>123670</v>
      </c>
      <c r="I71" s="150">
        <f>IFERROR(__xludf.DUMMYFUNCTION("""COMPUTED_VALUE"""),129.0)</f>
        <v>129</v>
      </c>
      <c r="J71" s="150">
        <f>IFERROR(__xludf.DUMMYFUNCTION("""COMPUTED_VALUE"""),206.0)</f>
        <v>206</v>
      </c>
      <c r="K71" s="150">
        <f>IFERROR(__xludf.DUMMYFUNCTION("""COMPUTED_VALUE"""),13100.0)</f>
        <v>13100</v>
      </c>
      <c r="L71" s="150">
        <f>IFERROR(__xludf.DUMMYFUNCTION("""COMPUTED_VALUE"""),1559.0)</f>
        <v>1559</v>
      </c>
      <c r="M71" s="150">
        <f>IFERROR(__xludf.DUMMYFUNCTION("""COMPUTED_VALUE"""),80006.0)</f>
        <v>80006</v>
      </c>
      <c r="N71" s="150">
        <f>IFERROR(__xludf.DUMMYFUNCTION("""COMPUTED_VALUE"""),93106.0)</f>
        <v>93106</v>
      </c>
      <c r="O71" s="150">
        <f>IFERROR(__xludf.DUMMYFUNCTION("""COMPUTED_VALUE"""),17.0)</f>
        <v>17</v>
      </c>
      <c r="P71" s="150">
        <f>IFERROR(__xludf.DUMMYFUNCTION("""COMPUTED_VALUE"""),1519.0)</f>
        <v>1519</v>
      </c>
      <c r="Q71" s="150">
        <f>IFERROR(__xludf.DUMMYFUNCTION("""COMPUTED_VALUE"""),8.0)</f>
        <v>8</v>
      </c>
      <c r="R71" s="150">
        <f>IFERROR(__xludf.DUMMYFUNCTION("""COMPUTED_VALUE"""),1044.0)</f>
        <v>1044</v>
      </c>
      <c r="S71" s="150">
        <f>IFERROR(__xludf.DUMMYFUNCTION("""COMPUTED_VALUE"""),5.0)</f>
        <v>5</v>
      </c>
      <c r="T71" s="150">
        <f>IFERROR(__xludf.DUMMYFUNCTION("""COMPUTED_VALUE"""),205.0)</f>
        <v>205</v>
      </c>
      <c r="U71" s="150">
        <f>IFERROR(__xludf.DUMMYFUNCTION("""COMPUTED_VALUE"""),270.0)</f>
        <v>270</v>
      </c>
      <c r="V71" s="150">
        <f>IFERROR(__xludf.DUMMYFUNCTION("""COMPUTED_VALUE"""),265.0)</f>
        <v>265</v>
      </c>
      <c r="W71" s="150">
        <f>IFERROR(__xludf.DUMMYFUNCTION("""COMPUTED_VALUE"""),59.0)</f>
        <v>59</v>
      </c>
      <c r="X71" s="150">
        <f>IFERROR(__xludf.DUMMYFUNCTION("""COMPUTED_VALUE"""),45.0)</f>
        <v>45</v>
      </c>
      <c r="Y71" s="150">
        <f>IFERROR(__xludf.DUMMYFUNCTION("""COMPUTED_VALUE"""),10.0)</f>
        <v>10</v>
      </c>
      <c r="Z71" s="150">
        <f>IFERROR(__xludf.DUMMYFUNCTION("""COMPUTED_VALUE"""),653.0)</f>
        <v>653</v>
      </c>
    </row>
    <row r="72">
      <c r="A72" s="207">
        <f>IFERROR(__xludf.DUMMYFUNCTION("""COMPUTED_VALUE"""),43969.0)</f>
        <v>43969</v>
      </c>
      <c r="B72" s="150">
        <f>IFERROR(__xludf.DUMMYFUNCTION("""COMPUTED_VALUE"""),250.0)</f>
        <v>250</v>
      </c>
      <c r="C72" s="150">
        <f>IFERROR(__xludf.DUMMYFUNCTION("""COMPUTED_VALUE"""),313.0)</f>
        <v>313</v>
      </c>
      <c r="D72" s="150">
        <f>IFERROR(__xludf.DUMMYFUNCTION("""COMPUTED_VALUE"""),16458.0)</f>
        <v>16458</v>
      </c>
      <c r="E72" s="150">
        <f>IFERROR(__xludf.DUMMYFUNCTION("""COMPUTED_VALUE"""),2001.0)</f>
        <v>2001</v>
      </c>
      <c r="F72" s="150">
        <f>IFERROR(__xludf.DUMMYFUNCTION("""COMPUTED_VALUE"""),109463.0)</f>
        <v>109463</v>
      </c>
      <c r="G72" s="150">
        <f>IFERROR(__xludf.DUMMYFUNCTION("""COMPUTED_VALUE"""),2251.0)</f>
        <v>2251</v>
      </c>
      <c r="H72" s="150">
        <f>IFERROR(__xludf.DUMMYFUNCTION("""COMPUTED_VALUE"""),125921.0)</f>
        <v>125921</v>
      </c>
      <c r="I72" s="150">
        <f>IFERROR(__xludf.DUMMYFUNCTION("""COMPUTED_VALUE"""),140.0)</f>
        <v>140</v>
      </c>
      <c r="J72" s="150">
        <f>IFERROR(__xludf.DUMMYFUNCTION("""COMPUTED_VALUE"""),174.0)</f>
        <v>174</v>
      </c>
      <c r="K72" s="150">
        <f>IFERROR(__xludf.DUMMYFUNCTION("""COMPUTED_VALUE"""),13240.0)</f>
        <v>13240</v>
      </c>
      <c r="L72" s="150">
        <f>IFERROR(__xludf.DUMMYFUNCTION("""COMPUTED_VALUE"""),1370.0)</f>
        <v>1370</v>
      </c>
      <c r="M72" s="150">
        <f>IFERROR(__xludf.DUMMYFUNCTION("""COMPUTED_VALUE"""),81376.0)</f>
        <v>81376</v>
      </c>
      <c r="N72" s="150">
        <f>IFERROR(__xludf.DUMMYFUNCTION("""COMPUTED_VALUE"""),94616.0)</f>
        <v>94616</v>
      </c>
      <c r="O72" s="150">
        <f>IFERROR(__xludf.DUMMYFUNCTION("""COMPUTED_VALUE"""),19.0)</f>
        <v>19</v>
      </c>
      <c r="P72" s="150">
        <f>IFERROR(__xludf.DUMMYFUNCTION("""COMPUTED_VALUE"""),1538.0)</f>
        <v>1538</v>
      </c>
      <c r="Q72" s="150">
        <f>IFERROR(__xludf.DUMMYFUNCTION("""COMPUTED_VALUE"""),15.0)</f>
        <v>15</v>
      </c>
      <c r="R72" s="150">
        <f>IFERROR(__xludf.DUMMYFUNCTION("""COMPUTED_VALUE"""),1059.0)</f>
        <v>1059</v>
      </c>
      <c r="S72" s="150">
        <f>IFERROR(__xludf.DUMMYFUNCTION("""COMPUTED_VALUE"""),5.0)</f>
        <v>5</v>
      </c>
      <c r="T72" s="150">
        <f>IFERROR(__xludf.DUMMYFUNCTION("""COMPUTED_VALUE"""),210.0)</f>
        <v>210</v>
      </c>
      <c r="U72" s="150">
        <f>IFERROR(__xludf.DUMMYFUNCTION("""COMPUTED_VALUE"""),269.0)</f>
        <v>269</v>
      </c>
      <c r="V72" s="150">
        <f>IFERROR(__xludf.DUMMYFUNCTION("""COMPUTED_VALUE"""),268.0)</f>
        <v>268</v>
      </c>
      <c r="W72" s="150">
        <f>IFERROR(__xludf.DUMMYFUNCTION("""COMPUTED_VALUE"""),57.0)</f>
        <v>57</v>
      </c>
      <c r="X72" s="150">
        <f>IFERROR(__xludf.DUMMYFUNCTION("""COMPUTED_VALUE"""),40.0)</f>
        <v>40</v>
      </c>
      <c r="Y72" s="150">
        <f>IFERROR(__xludf.DUMMYFUNCTION("""COMPUTED_VALUE"""),18.0)</f>
        <v>18</v>
      </c>
      <c r="Z72" s="150">
        <f>IFERROR(__xludf.DUMMYFUNCTION("""COMPUTED_VALUE"""),671.0)</f>
        <v>671</v>
      </c>
    </row>
    <row r="73">
      <c r="A73" s="207">
        <f>IFERROR(__xludf.DUMMYFUNCTION("""COMPUTED_VALUE"""),43970.0)</f>
        <v>43970</v>
      </c>
      <c r="B73" s="150">
        <f>IFERROR(__xludf.DUMMYFUNCTION("""COMPUTED_VALUE"""),415.0)</f>
        <v>415</v>
      </c>
      <c r="C73" s="150">
        <f>IFERROR(__xludf.DUMMYFUNCTION("""COMPUTED_VALUE"""),302.0)</f>
        <v>302</v>
      </c>
      <c r="D73" s="150">
        <f>IFERROR(__xludf.DUMMYFUNCTION("""COMPUTED_VALUE"""),16873.0)</f>
        <v>16873</v>
      </c>
      <c r="E73" s="150">
        <f>IFERROR(__xludf.DUMMYFUNCTION("""COMPUTED_VALUE"""),3168.0)</f>
        <v>3168</v>
      </c>
      <c r="F73" s="150">
        <f>IFERROR(__xludf.DUMMYFUNCTION("""COMPUTED_VALUE"""),112631.0)</f>
        <v>112631</v>
      </c>
      <c r="G73" s="150">
        <f>IFERROR(__xludf.DUMMYFUNCTION("""COMPUTED_VALUE"""),3583.0)</f>
        <v>3583</v>
      </c>
      <c r="H73" s="150">
        <f>IFERROR(__xludf.DUMMYFUNCTION("""COMPUTED_VALUE"""),129504.0)</f>
        <v>129504</v>
      </c>
      <c r="I73" s="150">
        <f>IFERROR(__xludf.DUMMYFUNCTION("""COMPUTED_VALUE"""),214.0)</f>
        <v>214</v>
      </c>
      <c r="J73" s="150">
        <f>IFERROR(__xludf.DUMMYFUNCTION("""COMPUTED_VALUE"""),161.0)</f>
        <v>161</v>
      </c>
      <c r="K73" s="150">
        <f>IFERROR(__xludf.DUMMYFUNCTION("""COMPUTED_VALUE"""),13454.0)</f>
        <v>13454</v>
      </c>
      <c r="L73" s="150">
        <f>IFERROR(__xludf.DUMMYFUNCTION("""COMPUTED_VALUE"""),1928.0)</f>
        <v>1928</v>
      </c>
      <c r="M73" s="150">
        <f>IFERROR(__xludf.DUMMYFUNCTION("""COMPUTED_VALUE"""),83304.0)</f>
        <v>83304</v>
      </c>
      <c r="N73" s="150">
        <f>IFERROR(__xludf.DUMMYFUNCTION("""COMPUTED_VALUE"""),96758.0)</f>
        <v>96758</v>
      </c>
      <c r="O73" s="150">
        <f>IFERROR(__xludf.DUMMYFUNCTION("""COMPUTED_VALUE"""),23.0)</f>
        <v>23</v>
      </c>
      <c r="P73" s="150">
        <f>IFERROR(__xludf.DUMMYFUNCTION("""COMPUTED_VALUE"""),1561.0)</f>
        <v>1561</v>
      </c>
      <c r="Q73" s="150">
        <f>IFERROR(__xludf.DUMMYFUNCTION("""COMPUTED_VALUE"""),32.0)</f>
        <v>32</v>
      </c>
      <c r="R73" s="150">
        <f>IFERROR(__xludf.DUMMYFUNCTION("""COMPUTED_VALUE"""),1091.0)</f>
        <v>1091</v>
      </c>
      <c r="S73" s="150">
        <f>IFERROR(__xludf.DUMMYFUNCTION("""COMPUTED_VALUE"""),5.0)</f>
        <v>5</v>
      </c>
      <c r="T73" s="150">
        <f>IFERROR(__xludf.DUMMYFUNCTION("""COMPUTED_VALUE"""),215.0)</f>
        <v>215</v>
      </c>
      <c r="U73" s="150">
        <f>IFERROR(__xludf.DUMMYFUNCTION("""COMPUTED_VALUE"""),255.0)</f>
        <v>255</v>
      </c>
      <c r="V73" s="150">
        <f>IFERROR(__xludf.DUMMYFUNCTION("""COMPUTED_VALUE"""),265.0)</f>
        <v>265</v>
      </c>
      <c r="W73" s="150">
        <f>IFERROR(__xludf.DUMMYFUNCTION("""COMPUTED_VALUE"""),56.0)</f>
        <v>56</v>
      </c>
      <c r="X73" s="150">
        <f>IFERROR(__xludf.DUMMYFUNCTION("""COMPUTED_VALUE"""),38.0)</f>
        <v>38</v>
      </c>
      <c r="Y73" s="150">
        <f>IFERROR(__xludf.DUMMYFUNCTION("""COMPUTED_VALUE"""),11.0)</f>
        <v>11</v>
      </c>
      <c r="Z73" s="150">
        <f>IFERROR(__xludf.DUMMYFUNCTION("""COMPUTED_VALUE"""),682.0)</f>
        <v>682</v>
      </c>
    </row>
    <row r="74">
      <c r="A74" s="207">
        <f>IFERROR(__xludf.DUMMYFUNCTION("""COMPUTED_VALUE"""),43971.0)</f>
        <v>43971</v>
      </c>
      <c r="B74" s="150">
        <f>IFERROR(__xludf.DUMMYFUNCTION("""COMPUTED_VALUE"""),326.0)</f>
        <v>326</v>
      </c>
      <c r="C74" s="150">
        <f>IFERROR(__xludf.DUMMYFUNCTION("""COMPUTED_VALUE"""),330.0)</f>
        <v>330</v>
      </c>
      <c r="D74" s="150">
        <f>IFERROR(__xludf.DUMMYFUNCTION("""COMPUTED_VALUE"""),17199.0)</f>
        <v>17199</v>
      </c>
      <c r="E74" s="150">
        <f>IFERROR(__xludf.DUMMYFUNCTION("""COMPUTED_VALUE"""),2771.0)</f>
        <v>2771</v>
      </c>
      <c r="F74" s="150">
        <f>IFERROR(__xludf.DUMMYFUNCTION("""COMPUTED_VALUE"""),115402.0)</f>
        <v>115402</v>
      </c>
      <c r="G74" s="150">
        <f>IFERROR(__xludf.DUMMYFUNCTION("""COMPUTED_VALUE"""),3097.0)</f>
        <v>3097</v>
      </c>
      <c r="H74" s="150">
        <f>IFERROR(__xludf.DUMMYFUNCTION("""COMPUTED_VALUE"""),132601.0)</f>
        <v>132601</v>
      </c>
      <c r="I74" s="150">
        <f>IFERROR(__xludf.DUMMYFUNCTION("""COMPUTED_VALUE"""),188.0)</f>
        <v>188</v>
      </c>
      <c r="J74" s="150">
        <f>IFERROR(__xludf.DUMMYFUNCTION("""COMPUTED_VALUE"""),181.0)</f>
        <v>181</v>
      </c>
      <c r="K74" s="150">
        <f>IFERROR(__xludf.DUMMYFUNCTION("""COMPUTED_VALUE"""),13642.0)</f>
        <v>13642</v>
      </c>
      <c r="L74" s="150">
        <f>IFERROR(__xludf.DUMMYFUNCTION("""COMPUTED_VALUE"""),1516.0)</f>
        <v>1516</v>
      </c>
      <c r="M74" s="150">
        <f>IFERROR(__xludf.DUMMYFUNCTION("""COMPUTED_VALUE"""),84820.0)</f>
        <v>84820</v>
      </c>
      <c r="N74" s="150">
        <f>IFERROR(__xludf.DUMMYFUNCTION("""COMPUTED_VALUE"""),98462.0)</f>
        <v>98462</v>
      </c>
      <c r="O74" s="150">
        <f>IFERROR(__xludf.DUMMYFUNCTION("""COMPUTED_VALUE"""),19.0)</f>
        <v>19</v>
      </c>
      <c r="P74" s="150">
        <f>IFERROR(__xludf.DUMMYFUNCTION("""COMPUTED_VALUE"""),1580.0)</f>
        <v>1580</v>
      </c>
      <c r="Q74" s="150">
        <f>IFERROR(__xludf.DUMMYFUNCTION("""COMPUTED_VALUE"""),23.0)</f>
        <v>23</v>
      </c>
      <c r="R74" s="150">
        <f>IFERROR(__xludf.DUMMYFUNCTION("""COMPUTED_VALUE"""),1114.0)</f>
        <v>1114</v>
      </c>
      <c r="S74" s="150">
        <f>IFERROR(__xludf.DUMMYFUNCTION("""COMPUTED_VALUE"""),7.0)</f>
        <v>7</v>
      </c>
      <c r="T74" s="150">
        <f>IFERROR(__xludf.DUMMYFUNCTION("""COMPUTED_VALUE"""),222.0)</f>
        <v>222</v>
      </c>
      <c r="U74" s="150">
        <f>IFERROR(__xludf.DUMMYFUNCTION("""COMPUTED_VALUE"""),244.0)</f>
        <v>244</v>
      </c>
      <c r="V74" s="150">
        <f>IFERROR(__xludf.DUMMYFUNCTION("""COMPUTED_VALUE"""),256.0)</f>
        <v>256</v>
      </c>
      <c r="W74" s="150">
        <f>IFERROR(__xludf.DUMMYFUNCTION("""COMPUTED_VALUE"""),52.0)</f>
        <v>52</v>
      </c>
      <c r="X74" s="150">
        <f>IFERROR(__xludf.DUMMYFUNCTION("""COMPUTED_VALUE"""),33.0)</f>
        <v>33</v>
      </c>
      <c r="Y74" s="150">
        <f>IFERROR(__xludf.DUMMYFUNCTION("""COMPUTED_VALUE"""),22.0)</f>
        <v>22</v>
      </c>
      <c r="Z74" s="150">
        <f>IFERROR(__xludf.DUMMYFUNCTION("""COMPUTED_VALUE"""),704.0)</f>
        <v>704</v>
      </c>
    </row>
    <row r="75">
      <c r="A75" s="207">
        <f>IFERROR(__xludf.DUMMYFUNCTION("""COMPUTED_VALUE"""),43972.0)</f>
        <v>43972</v>
      </c>
      <c r="B75" s="150">
        <f>IFERROR(__xludf.DUMMYFUNCTION("""COMPUTED_VALUE"""),374.0)</f>
        <v>374</v>
      </c>
      <c r="C75" s="150">
        <f>IFERROR(__xludf.DUMMYFUNCTION("""COMPUTED_VALUE"""),372.0)</f>
        <v>372</v>
      </c>
      <c r="D75" s="150">
        <f>IFERROR(__xludf.DUMMYFUNCTION("""COMPUTED_VALUE"""),17573.0)</f>
        <v>17573</v>
      </c>
      <c r="E75" s="150">
        <f>IFERROR(__xludf.DUMMYFUNCTION("""COMPUTED_VALUE"""),3757.0)</f>
        <v>3757</v>
      </c>
      <c r="F75" s="150">
        <f>IFERROR(__xludf.DUMMYFUNCTION("""COMPUTED_VALUE"""),119159.0)</f>
        <v>119159</v>
      </c>
      <c r="G75" s="150">
        <f>IFERROR(__xludf.DUMMYFUNCTION("""COMPUTED_VALUE"""),4131.0)</f>
        <v>4131</v>
      </c>
      <c r="H75" s="150">
        <f>IFERROR(__xludf.DUMMYFUNCTION("""COMPUTED_VALUE"""),136732.0)</f>
        <v>136732</v>
      </c>
      <c r="I75" s="150">
        <f>IFERROR(__xludf.DUMMYFUNCTION("""COMPUTED_VALUE"""),170.0)</f>
        <v>170</v>
      </c>
      <c r="J75" s="150">
        <f>IFERROR(__xludf.DUMMYFUNCTION("""COMPUTED_VALUE"""),191.0)</f>
        <v>191</v>
      </c>
      <c r="K75" s="150">
        <f>IFERROR(__xludf.DUMMYFUNCTION("""COMPUTED_VALUE"""),13812.0)</f>
        <v>13812</v>
      </c>
      <c r="L75" s="150">
        <f>IFERROR(__xludf.DUMMYFUNCTION("""COMPUTED_VALUE"""),1940.0)</f>
        <v>1940</v>
      </c>
      <c r="M75" s="150">
        <f>IFERROR(__xludf.DUMMYFUNCTION("""COMPUTED_VALUE"""),86760.0)</f>
        <v>86760</v>
      </c>
      <c r="N75" s="150">
        <f>IFERROR(__xludf.DUMMYFUNCTION("""COMPUTED_VALUE"""),100572.0)</f>
        <v>100572</v>
      </c>
      <c r="O75" s="150">
        <f>IFERROR(__xludf.DUMMYFUNCTION("""COMPUTED_VALUE"""),26.0)</f>
        <v>26</v>
      </c>
      <c r="P75" s="150">
        <f>IFERROR(__xludf.DUMMYFUNCTION("""COMPUTED_VALUE"""),1606.0)</f>
        <v>1606</v>
      </c>
      <c r="Q75" s="150">
        <f>IFERROR(__xludf.DUMMYFUNCTION("""COMPUTED_VALUE"""),15.0)</f>
        <v>15</v>
      </c>
      <c r="R75" s="150">
        <f>IFERROR(__xludf.DUMMYFUNCTION("""COMPUTED_VALUE"""),1129.0)</f>
        <v>1129</v>
      </c>
      <c r="S75" s="150">
        <f>IFERROR(__xludf.DUMMYFUNCTION("""COMPUTED_VALUE"""),3.0)</f>
        <v>3</v>
      </c>
      <c r="T75" s="150">
        <f>IFERROR(__xludf.DUMMYFUNCTION("""COMPUTED_VALUE"""),225.0)</f>
        <v>225</v>
      </c>
      <c r="U75" s="150">
        <f>IFERROR(__xludf.DUMMYFUNCTION("""COMPUTED_VALUE"""),252.0)</f>
        <v>252</v>
      </c>
      <c r="V75" s="150">
        <f>IFERROR(__xludf.DUMMYFUNCTION("""COMPUTED_VALUE"""),250.0)</f>
        <v>250</v>
      </c>
      <c r="W75" s="150">
        <f>IFERROR(__xludf.DUMMYFUNCTION("""COMPUTED_VALUE"""),53.0)</f>
        <v>53</v>
      </c>
      <c r="X75" s="150">
        <f>IFERROR(__xludf.DUMMYFUNCTION("""COMPUTED_VALUE"""),29.0)</f>
        <v>29</v>
      </c>
      <c r="Y75" s="150">
        <f>IFERROR(__xludf.DUMMYFUNCTION("""COMPUTED_VALUE"""),20.0)</f>
        <v>20</v>
      </c>
      <c r="Z75" s="150">
        <f>IFERROR(__xludf.DUMMYFUNCTION("""COMPUTED_VALUE"""),724.0)</f>
        <v>724</v>
      </c>
    </row>
    <row r="76">
      <c r="A76" s="207">
        <f>IFERROR(__xludf.DUMMYFUNCTION("""COMPUTED_VALUE"""),43973.0)</f>
        <v>43973</v>
      </c>
      <c r="B76" s="150">
        <f>IFERROR(__xludf.DUMMYFUNCTION("""COMPUTED_VALUE"""),351.0)</f>
        <v>351</v>
      </c>
      <c r="C76" s="150">
        <f>IFERROR(__xludf.DUMMYFUNCTION("""COMPUTED_VALUE"""),350.0)</f>
        <v>350</v>
      </c>
      <c r="D76" s="150">
        <f>IFERROR(__xludf.DUMMYFUNCTION("""COMPUTED_VALUE"""),17924.0)</f>
        <v>17924</v>
      </c>
      <c r="E76" s="150">
        <f>IFERROR(__xludf.DUMMYFUNCTION("""COMPUTED_VALUE"""),3161.0)</f>
        <v>3161</v>
      </c>
      <c r="F76" s="150">
        <f>IFERROR(__xludf.DUMMYFUNCTION("""COMPUTED_VALUE"""),122320.0)</f>
        <v>122320</v>
      </c>
      <c r="G76" s="150">
        <f>IFERROR(__xludf.DUMMYFUNCTION("""COMPUTED_VALUE"""),3512.0)</f>
        <v>3512</v>
      </c>
      <c r="H76" s="150">
        <f>IFERROR(__xludf.DUMMYFUNCTION("""COMPUTED_VALUE"""),140244.0)</f>
        <v>140244</v>
      </c>
      <c r="I76" s="150">
        <f>IFERROR(__xludf.DUMMYFUNCTION("""COMPUTED_VALUE"""),204.0)</f>
        <v>204</v>
      </c>
      <c r="J76" s="150">
        <f>IFERROR(__xludf.DUMMYFUNCTION("""COMPUTED_VALUE"""),187.0)</f>
        <v>187</v>
      </c>
      <c r="K76" s="150">
        <f>IFERROR(__xludf.DUMMYFUNCTION("""COMPUTED_VALUE"""),14016.0)</f>
        <v>14016</v>
      </c>
      <c r="L76" s="150">
        <f>IFERROR(__xludf.DUMMYFUNCTION("""COMPUTED_VALUE"""),1611.0)</f>
        <v>1611</v>
      </c>
      <c r="M76" s="150">
        <f>IFERROR(__xludf.DUMMYFUNCTION("""COMPUTED_VALUE"""),88371.0)</f>
        <v>88371</v>
      </c>
      <c r="N76" s="150">
        <f>IFERROR(__xludf.DUMMYFUNCTION("""COMPUTED_VALUE"""),102387.0)</f>
        <v>102387</v>
      </c>
      <c r="O76" s="150">
        <f>IFERROR(__xludf.DUMMYFUNCTION("""COMPUTED_VALUE"""),20.0)</f>
        <v>20</v>
      </c>
      <c r="P76" s="150">
        <f>IFERROR(__xludf.DUMMYFUNCTION("""COMPUTED_VALUE"""),1626.0)</f>
        <v>1626</v>
      </c>
      <c r="Q76" s="150">
        <f>IFERROR(__xludf.DUMMYFUNCTION("""COMPUTED_VALUE"""),29.0)</f>
        <v>29</v>
      </c>
      <c r="R76" s="150">
        <f>IFERROR(__xludf.DUMMYFUNCTION("""COMPUTED_VALUE"""),1158.0)</f>
        <v>1158</v>
      </c>
      <c r="S76" s="150">
        <f>IFERROR(__xludf.DUMMYFUNCTION("""COMPUTED_VALUE"""),5.0)</f>
        <v>5</v>
      </c>
      <c r="T76" s="150">
        <f>IFERROR(__xludf.DUMMYFUNCTION("""COMPUTED_VALUE"""),230.0)</f>
        <v>230</v>
      </c>
      <c r="U76" s="150">
        <f>IFERROR(__xludf.DUMMYFUNCTION("""COMPUTED_VALUE"""),238.0)</f>
        <v>238</v>
      </c>
      <c r="V76" s="150">
        <f>IFERROR(__xludf.DUMMYFUNCTION("""COMPUTED_VALUE"""),245.0)</f>
        <v>245</v>
      </c>
      <c r="W76" s="150">
        <f>IFERROR(__xludf.DUMMYFUNCTION("""COMPUTED_VALUE"""),52.0)</f>
        <v>52</v>
      </c>
      <c r="X76" s="150">
        <f>IFERROR(__xludf.DUMMYFUNCTION("""COMPUTED_VALUE"""),29.0)</f>
        <v>29</v>
      </c>
      <c r="Y76" s="150">
        <f>IFERROR(__xludf.DUMMYFUNCTION("""COMPUTED_VALUE"""),10.0)</f>
        <v>10</v>
      </c>
      <c r="Z76" s="150">
        <f>IFERROR(__xludf.DUMMYFUNCTION("""COMPUTED_VALUE"""),734.0)</f>
        <v>734</v>
      </c>
    </row>
    <row r="77">
      <c r="A77" s="207">
        <f>IFERROR(__xludf.DUMMYFUNCTION("""COMPUTED_VALUE"""),43974.0)</f>
        <v>43974</v>
      </c>
      <c r="B77" s="150">
        <f>IFERROR(__xludf.DUMMYFUNCTION("""COMPUTED_VALUE"""),253.0)</f>
        <v>253</v>
      </c>
      <c r="C77" s="150">
        <f>IFERROR(__xludf.DUMMYFUNCTION("""COMPUTED_VALUE"""),326.0)</f>
        <v>326</v>
      </c>
      <c r="D77" s="150">
        <f>IFERROR(__xludf.DUMMYFUNCTION("""COMPUTED_VALUE"""),18177.0)</f>
        <v>18177</v>
      </c>
      <c r="E77" s="150">
        <f>IFERROR(__xludf.DUMMYFUNCTION("""COMPUTED_VALUE"""),2742.0)</f>
        <v>2742</v>
      </c>
      <c r="F77" s="150">
        <f>IFERROR(__xludf.DUMMYFUNCTION("""COMPUTED_VALUE"""),125062.0)</f>
        <v>125062</v>
      </c>
      <c r="G77" s="150">
        <f>IFERROR(__xludf.DUMMYFUNCTION("""COMPUTED_VALUE"""),2995.0)</f>
        <v>2995</v>
      </c>
      <c r="H77" s="150">
        <f>IFERROR(__xludf.DUMMYFUNCTION("""COMPUTED_VALUE"""),143239.0)</f>
        <v>143239</v>
      </c>
      <c r="I77" s="150">
        <f>IFERROR(__xludf.DUMMYFUNCTION("""COMPUTED_VALUE"""),108.0)</f>
        <v>108</v>
      </c>
      <c r="J77" s="150">
        <f>IFERROR(__xludf.DUMMYFUNCTION("""COMPUTED_VALUE"""),161.0)</f>
        <v>161</v>
      </c>
      <c r="K77" s="150">
        <f>IFERROR(__xludf.DUMMYFUNCTION("""COMPUTED_VALUE"""),14124.0)</f>
        <v>14124</v>
      </c>
      <c r="L77" s="150">
        <f>IFERROR(__xludf.DUMMYFUNCTION("""COMPUTED_VALUE"""),1272.0)</f>
        <v>1272</v>
      </c>
      <c r="M77" s="150">
        <f>IFERROR(__xludf.DUMMYFUNCTION("""COMPUTED_VALUE"""),89643.0)</f>
        <v>89643</v>
      </c>
      <c r="N77" s="150">
        <f>IFERROR(__xludf.DUMMYFUNCTION("""COMPUTED_VALUE"""),103767.0)</f>
        <v>103767</v>
      </c>
      <c r="O77" s="150">
        <f>IFERROR(__xludf.DUMMYFUNCTION("""COMPUTED_VALUE"""),19.0)</f>
        <v>19</v>
      </c>
      <c r="P77" s="150">
        <f>IFERROR(__xludf.DUMMYFUNCTION("""COMPUTED_VALUE"""),1645.0)</f>
        <v>1645</v>
      </c>
      <c r="Q77" s="150">
        <f>IFERROR(__xludf.DUMMYFUNCTION("""COMPUTED_VALUE"""),11.0)</f>
        <v>11</v>
      </c>
      <c r="R77" s="150">
        <f>IFERROR(__xludf.DUMMYFUNCTION("""COMPUTED_VALUE"""),1169.0)</f>
        <v>1169</v>
      </c>
      <c r="S77" s="150">
        <f>IFERROR(__xludf.DUMMYFUNCTION("""COMPUTED_VALUE"""),3.0)</f>
        <v>3</v>
      </c>
      <c r="T77" s="150">
        <f>IFERROR(__xludf.DUMMYFUNCTION("""COMPUTED_VALUE"""),233.0)</f>
        <v>233</v>
      </c>
      <c r="U77" s="150">
        <f>IFERROR(__xludf.DUMMYFUNCTION("""COMPUTED_VALUE"""),243.0)</f>
        <v>243</v>
      </c>
      <c r="V77" s="150">
        <f>IFERROR(__xludf.DUMMYFUNCTION("""COMPUTED_VALUE"""),244.0)</f>
        <v>244</v>
      </c>
      <c r="W77" s="150">
        <f>IFERROR(__xludf.DUMMYFUNCTION("""COMPUTED_VALUE"""),52.0)</f>
        <v>52</v>
      </c>
      <c r="X77" s="150">
        <f>IFERROR(__xludf.DUMMYFUNCTION("""COMPUTED_VALUE"""),32.0)</f>
        <v>32</v>
      </c>
      <c r="Y77" s="150">
        <f>IFERROR(__xludf.DUMMYFUNCTION("""COMPUTED_VALUE"""),13.0)</f>
        <v>13</v>
      </c>
      <c r="Z77" s="150">
        <f>IFERROR(__xludf.DUMMYFUNCTION("""COMPUTED_VALUE"""),747.0)</f>
        <v>747</v>
      </c>
    </row>
    <row r="78">
      <c r="A78" s="207">
        <f>IFERROR(__xludf.DUMMYFUNCTION("""COMPUTED_VALUE"""),43975.0)</f>
        <v>43975</v>
      </c>
      <c r="B78" s="150">
        <f>IFERROR(__xludf.DUMMYFUNCTION("""COMPUTED_VALUE"""),163.0)</f>
        <v>163</v>
      </c>
      <c r="C78" s="150">
        <f>IFERROR(__xludf.DUMMYFUNCTION("""COMPUTED_VALUE"""),256.0)</f>
        <v>256</v>
      </c>
      <c r="D78" s="150">
        <f>IFERROR(__xludf.DUMMYFUNCTION("""COMPUTED_VALUE"""),18340.0)</f>
        <v>18340</v>
      </c>
      <c r="E78" s="150">
        <f>IFERROR(__xludf.DUMMYFUNCTION("""COMPUTED_VALUE"""),1370.0)</f>
        <v>1370</v>
      </c>
      <c r="F78" s="150">
        <f>IFERROR(__xludf.DUMMYFUNCTION("""COMPUTED_VALUE"""),126432.0)</f>
        <v>126432</v>
      </c>
      <c r="G78" s="150">
        <f>IFERROR(__xludf.DUMMYFUNCTION("""COMPUTED_VALUE"""),1533.0)</f>
        <v>1533</v>
      </c>
      <c r="H78" s="150">
        <f>IFERROR(__xludf.DUMMYFUNCTION("""COMPUTED_VALUE"""),144772.0)</f>
        <v>144772</v>
      </c>
      <c r="I78" s="150">
        <f>IFERROR(__xludf.DUMMYFUNCTION("""COMPUTED_VALUE"""),82.0)</f>
        <v>82</v>
      </c>
      <c r="J78" s="150">
        <f>IFERROR(__xludf.DUMMYFUNCTION("""COMPUTED_VALUE"""),131.0)</f>
        <v>131</v>
      </c>
      <c r="K78" s="150">
        <f>IFERROR(__xludf.DUMMYFUNCTION("""COMPUTED_VALUE"""),14206.0)</f>
        <v>14206</v>
      </c>
      <c r="L78" s="150">
        <f>IFERROR(__xludf.DUMMYFUNCTION("""COMPUTED_VALUE"""),773.0)</f>
        <v>773</v>
      </c>
      <c r="M78" s="150">
        <f>IFERROR(__xludf.DUMMYFUNCTION("""COMPUTED_VALUE"""),90416.0)</f>
        <v>90416</v>
      </c>
      <c r="N78" s="150">
        <f>IFERROR(__xludf.DUMMYFUNCTION("""COMPUTED_VALUE"""),104622.0)</f>
        <v>104622</v>
      </c>
      <c r="O78" s="150">
        <f>IFERROR(__xludf.DUMMYFUNCTION("""COMPUTED_VALUE"""),12.0)</f>
        <v>12</v>
      </c>
      <c r="P78" s="150">
        <f>IFERROR(__xludf.DUMMYFUNCTION("""COMPUTED_VALUE"""),1657.0)</f>
        <v>1657</v>
      </c>
      <c r="Q78" s="150">
        <f>IFERROR(__xludf.DUMMYFUNCTION("""COMPUTED_VALUE"""),14.0)</f>
        <v>14</v>
      </c>
      <c r="R78" s="150">
        <f>IFERROR(__xludf.DUMMYFUNCTION("""COMPUTED_VALUE"""),1183.0)</f>
        <v>1183</v>
      </c>
      <c r="S78" s="150">
        <f>IFERROR(__xludf.DUMMYFUNCTION("""COMPUTED_VALUE"""),2.0)</f>
        <v>2</v>
      </c>
      <c r="T78" s="150">
        <f>IFERROR(__xludf.DUMMYFUNCTION("""COMPUTED_VALUE"""),235.0)</f>
        <v>235</v>
      </c>
      <c r="U78" s="150">
        <f>IFERROR(__xludf.DUMMYFUNCTION("""COMPUTED_VALUE"""),239.0)</f>
        <v>239</v>
      </c>
      <c r="V78" s="150">
        <f>IFERROR(__xludf.DUMMYFUNCTION("""COMPUTED_VALUE"""),240.0)</f>
        <v>240</v>
      </c>
      <c r="W78" s="150">
        <f>IFERROR(__xludf.DUMMYFUNCTION("""COMPUTED_VALUE"""),53.0)</f>
        <v>53</v>
      </c>
      <c r="X78" s="150">
        <f>IFERROR(__xludf.DUMMYFUNCTION("""COMPUTED_VALUE"""),36.0)</f>
        <v>36</v>
      </c>
      <c r="Y78" s="150">
        <f>IFERROR(__xludf.DUMMYFUNCTION("""COMPUTED_VALUE"""),8.0)</f>
        <v>8</v>
      </c>
      <c r="Z78" s="150">
        <f>IFERROR(__xludf.DUMMYFUNCTION("""COMPUTED_VALUE"""),755.0)</f>
        <v>755</v>
      </c>
    </row>
    <row r="79">
      <c r="A79" s="207">
        <f>IFERROR(__xludf.DUMMYFUNCTION("""COMPUTED_VALUE"""),43976.0)</f>
        <v>43976</v>
      </c>
      <c r="B79" s="150">
        <f>IFERROR(__xludf.DUMMYFUNCTION("""COMPUTED_VALUE"""),147.0)</f>
        <v>147</v>
      </c>
      <c r="C79" s="150">
        <f>IFERROR(__xludf.DUMMYFUNCTION("""COMPUTED_VALUE"""),188.0)</f>
        <v>188</v>
      </c>
      <c r="D79" s="150">
        <f>IFERROR(__xludf.DUMMYFUNCTION("""COMPUTED_VALUE"""),18487.0)</f>
        <v>18487</v>
      </c>
      <c r="E79" s="150">
        <f>IFERROR(__xludf.DUMMYFUNCTION("""COMPUTED_VALUE"""),1385.0)</f>
        <v>1385</v>
      </c>
      <c r="F79" s="150">
        <f>IFERROR(__xludf.DUMMYFUNCTION("""COMPUTED_VALUE"""),127817.0)</f>
        <v>127817</v>
      </c>
      <c r="G79" s="150">
        <f>IFERROR(__xludf.DUMMYFUNCTION("""COMPUTED_VALUE"""),1532.0)</f>
        <v>1532</v>
      </c>
      <c r="H79" s="150">
        <f>IFERROR(__xludf.DUMMYFUNCTION("""COMPUTED_VALUE"""),146304.0)</f>
        <v>146304</v>
      </c>
      <c r="I79" s="150">
        <f>IFERROR(__xludf.DUMMYFUNCTION("""COMPUTED_VALUE"""),72.0)</f>
        <v>72</v>
      </c>
      <c r="J79" s="150">
        <f>IFERROR(__xludf.DUMMYFUNCTION("""COMPUTED_VALUE"""),87.0)</f>
        <v>87</v>
      </c>
      <c r="K79" s="150">
        <f>IFERROR(__xludf.DUMMYFUNCTION("""COMPUTED_VALUE"""),14278.0)</f>
        <v>14278</v>
      </c>
      <c r="L79" s="150">
        <f>IFERROR(__xludf.DUMMYFUNCTION("""COMPUTED_VALUE"""),762.0)</f>
        <v>762</v>
      </c>
      <c r="M79" s="150">
        <f>IFERROR(__xludf.DUMMYFUNCTION("""COMPUTED_VALUE"""),91178.0)</f>
        <v>91178</v>
      </c>
      <c r="N79" s="150">
        <f>IFERROR(__xludf.DUMMYFUNCTION("""COMPUTED_VALUE"""),105456.0)</f>
        <v>105456</v>
      </c>
      <c r="O79" s="150">
        <f>IFERROR(__xludf.DUMMYFUNCTION("""COMPUTED_VALUE"""),13.0)</f>
        <v>13</v>
      </c>
      <c r="P79" s="150">
        <f>IFERROR(__xludf.DUMMYFUNCTION("""COMPUTED_VALUE"""),1670.0)</f>
        <v>1670</v>
      </c>
      <c r="Q79" s="150">
        <f>IFERROR(__xludf.DUMMYFUNCTION("""COMPUTED_VALUE"""),14.0)</f>
        <v>14</v>
      </c>
      <c r="R79" s="150">
        <f>IFERROR(__xludf.DUMMYFUNCTION("""COMPUTED_VALUE"""),1197.0)</f>
        <v>1197</v>
      </c>
      <c r="S79" s="150">
        <f>IFERROR(__xludf.DUMMYFUNCTION("""COMPUTED_VALUE"""),0.0)</f>
        <v>0</v>
      </c>
      <c r="T79" s="150">
        <f>IFERROR(__xludf.DUMMYFUNCTION("""COMPUTED_VALUE"""),235.0)</f>
        <v>235</v>
      </c>
      <c r="U79" s="150">
        <f>IFERROR(__xludf.DUMMYFUNCTION("""COMPUTED_VALUE"""),238.0)</f>
        <v>238</v>
      </c>
      <c r="V79" s="150">
        <f>IFERROR(__xludf.DUMMYFUNCTION("""COMPUTED_VALUE"""),240.0)</f>
        <v>240</v>
      </c>
      <c r="W79" s="150">
        <f>IFERROR(__xludf.DUMMYFUNCTION("""COMPUTED_VALUE"""),53.0)</f>
        <v>53</v>
      </c>
      <c r="X79" s="150">
        <f>IFERROR(__xludf.DUMMYFUNCTION("""COMPUTED_VALUE"""),34.0)</f>
        <v>34</v>
      </c>
      <c r="Y79" s="150">
        <f>IFERROR(__xludf.DUMMYFUNCTION("""COMPUTED_VALUE"""),10.0)</f>
        <v>10</v>
      </c>
      <c r="Z79" s="150">
        <f>IFERROR(__xludf.DUMMYFUNCTION("""COMPUTED_VALUE"""),765.0)</f>
        <v>765</v>
      </c>
    </row>
    <row r="80">
      <c r="A80" s="207">
        <f>IFERROR(__xludf.DUMMYFUNCTION("""COMPUTED_VALUE"""),43977.0)</f>
        <v>43977</v>
      </c>
      <c r="B80" s="150">
        <f>IFERROR(__xludf.DUMMYFUNCTION("""COMPUTED_VALUE"""),285.0)</f>
        <v>285</v>
      </c>
      <c r="C80" s="150">
        <f>IFERROR(__xludf.DUMMYFUNCTION("""COMPUTED_VALUE"""),198.0)</f>
        <v>198</v>
      </c>
      <c r="D80" s="150">
        <f>IFERROR(__xludf.DUMMYFUNCTION("""COMPUTED_VALUE"""),18772.0)</f>
        <v>18772</v>
      </c>
      <c r="E80" s="150">
        <f>IFERROR(__xludf.DUMMYFUNCTION("""COMPUTED_VALUE"""),2620.0)</f>
        <v>2620</v>
      </c>
      <c r="F80" s="150">
        <f>IFERROR(__xludf.DUMMYFUNCTION("""COMPUTED_VALUE"""),130437.0)</f>
        <v>130437</v>
      </c>
      <c r="G80" s="150">
        <f>IFERROR(__xludf.DUMMYFUNCTION("""COMPUTED_VALUE"""),2905.0)</f>
        <v>2905</v>
      </c>
      <c r="H80" s="150">
        <f>IFERROR(__xludf.DUMMYFUNCTION("""COMPUTED_VALUE"""),149209.0)</f>
        <v>149209</v>
      </c>
      <c r="I80" s="150">
        <f>IFERROR(__xludf.DUMMYFUNCTION("""COMPUTED_VALUE"""),163.0)</f>
        <v>163</v>
      </c>
      <c r="J80" s="150">
        <f>IFERROR(__xludf.DUMMYFUNCTION("""COMPUTED_VALUE"""),106.0)</f>
        <v>106</v>
      </c>
      <c r="K80" s="150">
        <f>IFERROR(__xludf.DUMMYFUNCTION("""COMPUTED_VALUE"""),14441.0)</f>
        <v>14441</v>
      </c>
      <c r="L80" s="150">
        <f>IFERROR(__xludf.DUMMYFUNCTION("""COMPUTED_VALUE"""),1781.0)</f>
        <v>1781</v>
      </c>
      <c r="M80" s="150">
        <f>IFERROR(__xludf.DUMMYFUNCTION("""COMPUTED_VALUE"""),92959.0)</f>
        <v>92959</v>
      </c>
      <c r="N80" s="150">
        <f>IFERROR(__xludf.DUMMYFUNCTION("""COMPUTED_VALUE"""),107400.0)</f>
        <v>107400</v>
      </c>
      <c r="O80" s="150">
        <f>IFERROR(__xludf.DUMMYFUNCTION("""COMPUTED_VALUE"""),24.0)</f>
        <v>24</v>
      </c>
      <c r="P80" s="150">
        <f>IFERROR(__xludf.DUMMYFUNCTION("""COMPUTED_VALUE"""),1694.0)</f>
        <v>1694</v>
      </c>
      <c r="Q80" s="150">
        <f>IFERROR(__xludf.DUMMYFUNCTION("""COMPUTED_VALUE"""),22.0)</f>
        <v>22</v>
      </c>
      <c r="R80" s="150">
        <f>IFERROR(__xludf.DUMMYFUNCTION("""COMPUTED_VALUE"""),1219.0)</f>
        <v>1219</v>
      </c>
      <c r="S80" s="150">
        <f>IFERROR(__xludf.DUMMYFUNCTION("""COMPUTED_VALUE"""),5.0)</f>
        <v>5</v>
      </c>
      <c r="T80" s="150">
        <f>IFERROR(__xludf.DUMMYFUNCTION("""COMPUTED_VALUE"""),240.0)</f>
        <v>240</v>
      </c>
      <c r="U80" s="150">
        <f>IFERROR(__xludf.DUMMYFUNCTION("""COMPUTED_VALUE"""),235.0)</f>
        <v>235</v>
      </c>
      <c r="V80" s="150">
        <f>IFERROR(__xludf.DUMMYFUNCTION("""COMPUTED_VALUE"""),237.0)</f>
        <v>237</v>
      </c>
      <c r="W80" s="150">
        <f>IFERROR(__xludf.DUMMYFUNCTION("""COMPUTED_VALUE"""),48.0)</f>
        <v>48</v>
      </c>
      <c r="X80" s="150">
        <f>IFERROR(__xludf.DUMMYFUNCTION("""COMPUTED_VALUE"""),33.0)</f>
        <v>33</v>
      </c>
      <c r="Y80" s="150">
        <f>IFERROR(__xludf.DUMMYFUNCTION("""COMPUTED_VALUE"""),15.0)</f>
        <v>15</v>
      </c>
      <c r="Z80" s="150">
        <f>IFERROR(__xludf.DUMMYFUNCTION("""COMPUTED_VALUE"""),780.0)</f>
        <v>780</v>
      </c>
    </row>
    <row r="81">
      <c r="A81" s="207">
        <f>IFERROR(__xludf.DUMMYFUNCTION("""COMPUTED_VALUE"""),43978.0)</f>
        <v>43978</v>
      </c>
      <c r="B81" s="150">
        <f>IFERROR(__xludf.DUMMYFUNCTION("""COMPUTED_VALUE"""),276.0)</f>
        <v>276</v>
      </c>
      <c r="C81" s="150">
        <f>IFERROR(__xludf.DUMMYFUNCTION("""COMPUTED_VALUE"""),236.0)</f>
        <v>236</v>
      </c>
      <c r="D81" s="150">
        <f>IFERROR(__xludf.DUMMYFUNCTION("""COMPUTED_VALUE"""),19048.0)</f>
        <v>19048</v>
      </c>
      <c r="E81" s="150">
        <f>IFERROR(__xludf.DUMMYFUNCTION("""COMPUTED_VALUE"""),2057.0)</f>
        <v>2057</v>
      </c>
      <c r="F81" s="150">
        <f>IFERROR(__xludf.DUMMYFUNCTION("""COMPUTED_VALUE"""),132494.0)</f>
        <v>132494</v>
      </c>
      <c r="G81" s="150">
        <f>IFERROR(__xludf.DUMMYFUNCTION("""COMPUTED_VALUE"""),2333.0)</f>
        <v>2333</v>
      </c>
      <c r="H81" s="150">
        <f>IFERROR(__xludf.DUMMYFUNCTION("""COMPUTED_VALUE"""),151542.0)</f>
        <v>151542</v>
      </c>
      <c r="I81" s="150">
        <f>IFERROR(__xludf.DUMMYFUNCTION("""COMPUTED_VALUE"""),134.0)</f>
        <v>134</v>
      </c>
      <c r="J81" s="150">
        <f>IFERROR(__xludf.DUMMYFUNCTION("""COMPUTED_VALUE"""),123.0)</f>
        <v>123</v>
      </c>
      <c r="K81" s="150">
        <f>IFERROR(__xludf.DUMMYFUNCTION("""COMPUTED_VALUE"""),14575.0)</f>
        <v>14575</v>
      </c>
      <c r="L81" s="150">
        <f>IFERROR(__xludf.DUMMYFUNCTION("""COMPUTED_VALUE"""),1135.0)</f>
        <v>1135</v>
      </c>
      <c r="M81" s="150">
        <f>IFERROR(__xludf.DUMMYFUNCTION("""COMPUTED_VALUE"""),94094.0)</f>
        <v>94094</v>
      </c>
      <c r="N81" s="150">
        <f>IFERROR(__xludf.DUMMYFUNCTION("""COMPUTED_VALUE"""),108669.0)</f>
        <v>108669</v>
      </c>
      <c r="O81" s="150">
        <f>IFERROR(__xludf.DUMMYFUNCTION("""COMPUTED_VALUE"""),20.0)</f>
        <v>20</v>
      </c>
      <c r="P81" s="150">
        <f>IFERROR(__xludf.DUMMYFUNCTION("""COMPUTED_VALUE"""),1714.0)</f>
        <v>1714</v>
      </c>
      <c r="Q81" s="150">
        <f>IFERROR(__xludf.DUMMYFUNCTION("""COMPUTED_VALUE"""),18.0)</f>
        <v>18</v>
      </c>
      <c r="R81" s="150">
        <f>IFERROR(__xludf.DUMMYFUNCTION("""COMPUTED_VALUE"""),1237.0)</f>
        <v>1237</v>
      </c>
      <c r="S81" s="150">
        <f>IFERROR(__xludf.DUMMYFUNCTION("""COMPUTED_VALUE"""),3.0)</f>
        <v>3</v>
      </c>
      <c r="T81" s="150">
        <f>IFERROR(__xludf.DUMMYFUNCTION("""COMPUTED_VALUE"""),243.0)</f>
        <v>243</v>
      </c>
      <c r="U81" s="150">
        <f>IFERROR(__xludf.DUMMYFUNCTION("""COMPUTED_VALUE"""),234.0)</f>
        <v>234</v>
      </c>
      <c r="V81" s="150">
        <f>IFERROR(__xludf.DUMMYFUNCTION("""COMPUTED_VALUE"""),236.0)</f>
        <v>236</v>
      </c>
      <c r="W81" s="150">
        <f>IFERROR(__xludf.DUMMYFUNCTION("""COMPUTED_VALUE"""),50.0)</f>
        <v>50</v>
      </c>
      <c r="X81" s="150">
        <f>IFERROR(__xludf.DUMMYFUNCTION("""COMPUTED_VALUE"""),33.0)</f>
        <v>33</v>
      </c>
      <c r="Y81" s="150">
        <f>IFERROR(__xludf.DUMMYFUNCTION("""COMPUTED_VALUE"""),10.0)</f>
        <v>10</v>
      </c>
      <c r="Z81" s="150">
        <f>IFERROR(__xludf.DUMMYFUNCTION("""COMPUTED_VALUE"""),790.0)</f>
        <v>790</v>
      </c>
    </row>
    <row r="82">
      <c r="A82" s="207">
        <f>IFERROR(__xludf.DUMMYFUNCTION("""COMPUTED_VALUE"""),43979.0)</f>
        <v>43979</v>
      </c>
      <c r="B82" s="150">
        <f>IFERROR(__xludf.DUMMYFUNCTION("""COMPUTED_VALUE"""),348.0)</f>
        <v>348</v>
      </c>
      <c r="C82" s="150">
        <f>IFERROR(__xludf.DUMMYFUNCTION("""COMPUTED_VALUE"""),303.0)</f>
        <v>303</v>
      </c>
      <c r="D82" s="150">
        <f>IFERROR(__xludf.DUMMYFUNCTION("""COMPUTED_VALUE"""),19396.0)</f>
        <v>19396</v>
      </c>
      <c r="E82" s="150">
        <f>IFERROR(__xludf.DUMMYFUNCTION("""COMPUTED_VALUE"""),3359.0)</f>
        <v>3359</v>
      </c>
      <c r="F82" s="150">
        <f>IFERROR(__xludf.DUMMYFUNCTION("""COMPUTED_VALUE"""),135853.0)</f>
        <v>135853</v>
      </c>
      <c r="G82" s="150">
        <f>IFERROR(__xludf.DUMMYFUNCTION("""COMPUTED_VALUE"""),3707.0)</f>
        <v>3707</v>
      </c>
      <c r="H82" s="150">
        <f>IFERROR(__xludf.DUMMYFUNCTION("""COMPUTED_VALUE"""),155249.0)</f>
        <v>155249</v>
      </c>
      <c r="I82" s="150">
        <f>IFERROR(__xludf.DUMMYFUNCTION("""COMPUTED_VALUE"""),134.0)</f>
        <v>134</v>
      </c>
      <c r="J82" s="150">
        <f>IFERROR(__xludf.DUMMYFUNCTION("""COMPUTED_VALUE"""),144.0)</f>
        <v>144</v>
      </c>
      <c r="K82" s="150">
        <f>IFERROR(__xludf.DUMMYFUNCTION("""COMPUTED_VALUE"""),14709.0)</f>
        <v>14709</v>
      </c>
      <c r="L82" s="150">
        <f>IFERROR(__xludf.DUMMYFUNCTION("""COMPUTED_VALUE"""),1120.0)</f>
        <v>1120</v>
      </c>
      <c r="M82" s="150">
        <f>IFERROR(__xludf.DUMMYFUNCTION("""COMPUTED_VALUE"""),95214.0)</f>
        <v>95214</v>
      </c>
      <c r="N82" s="150">
        <f>IFERROR(__xludf.DUMMYFUNCTION("""COMPUTED_VALUE"""),109923.0)</f>
        <v>109923</v>
      </c>
      <c r="O82" s="150">
        <f>IFERROR(__xludf.DUMMYFUNCTION("""COMPUTED_VALUE"""),17.0)</f>
        <v>17</v>
      </c>
      <c r="P82" s="150">
        <f>IFERROR(__xludf.DUMMYFUNCTION("""COMPUTED_VALUE"""),1731.0)</f>
        <v>1731</v>
      </c>
      <c r="Q82" s="150">
        <f>IFERROR(__xludf.DUMMYFUNCTION("""COMPUTED_VALUE"""),29.0)</f>
        <v>29</v>
      </c>
      <c r="R82" s="150">
        <f>IFERROR(__xludf.DUMMYFUNCTION("""COMPUTED_VALUE"""),1266.0)</f>
        <v>1266</v>
      </c>
      <c r="S82" s="150">
        <f>IFERROR(__xludf.DUMMYFUNCTION("""COMPUTED_VALUE"""),4.0)</f>
        <v>4</v>
      </c>
      <c r="T82" s="150">
        <f>IFERROR(__xludf.DUMMYFUNCTION("""COMPUTED_VALUE"""),247.0)</f>
        <v>247</v>
      </c>
      <c r="U82" s="150">
        <f>IFERROR(__xludf.DUMMYFUNCTION("""COMPUTED_VALUE"""),218.0)</f>
        <v>218</v>
      </c>
      <c r="V82" s="150">
        <f>IFERROR(__xludf.DUMMYFUNCTION("""COMPUTED_VALUE"""),229.0)</f>
        <v>229</v>
      </c>
      <c r="W82" s="150">
        <f>IFERROR(__xludf.DUMMYFUNCTION("""COMPUTED_VALUE"""),47.0)</f>
        <v>47</v>
      </c>
      <c r="X82" s="150">
        <f>IFERROR(__xludf.DUMMYFUNCTION("""COMPUTED_VALUE"""),32.0)</f>
        <v>32</v>
      </c>
      <c r="Y82" s="150">
        <f>IFERROR(__xludf.DUMMYFUNCTION("""COMPUTED_VALUE"""),8.0)</f>
        <v>8</v>
      </c>
      <c r="Z82" s="150">
        <f>IFERROR(__xludf.DUMMYFUNCTION("""COMPUTED_VALUE"""),798.0)</f>
        <v>798</v>
      </c>
    </row>
    <row r="83">
      <c r="A83" s="207">
        <f>IFERROR(__xludf.DUMMYFUNCTION("""COMPUTED_VALUE"""),43980.0)</f>
        <v>43980</v>
      </c>
      <c r="B83" s="150">
        <f>IFERROR(__xludf.DUMMYFUNCTION("""COMPUTED_VALUE"""),410.0)</f>
        <v>410</v>
      </c>
      <c r="C83" s="150">
        <f>IFERROR(__xludf.DUMMYFUNCTION("""COMPUTED_VALUE"""),345.0)</f>
        <v>345</v>
      </c>
      <c r="D83" s="150">
        <f>IFERROR(__xludf.DUMMYFUNCTION("""COMPUTED_VALUE"""),19806.0)</f>
        <v>19806</v>
      </c>
      <c r="E83" s="150">
        <f>IFERROR(__xludf.DUMMYFUNCTION("""COMPUTED_VALUE"""),3914.0)</f>
        <v>3914</v>
      </c>
      <c r="F83" s="150">
        <f>IFERROR(__xludf.DUMMYFUNCTION("""COMPUTED_VALUE"""),139767.0)</f>
        <v>139767</v>
      </c>
      <c r="G83" s="150">
        <f>IFERROR(__xludf.DUMMYFUNCTION("""COMPUTED_VALUE"""),4324.0)</f>
        <v>4324</v>
      </c>
      <c r="H83" s="150">
        <f>IFERROR(__xludf.DUMMYFUNCTION("""COMPUTED_VALUE"""),159573.0)</f>
        <v>159573</v>
      </c>
      <c r="I83" s="150">
        <f>IFERROR(__xludf.DUMMYFUNCTION("""COMPUTED_VALUE"""),177.0)</f>
        <v>177</v>
      </c>
      <c r="J83" s="150">
        <f>IFERROR(__xludf.DUMMYFUNCTION("""COMPUTED_VALUE"""),148.0)</f>
        <v>148</v>
      </c>
      <c r="K83" s="150">
        <f>IFERROR(__xludf.DUMMYFUNCTION("""COMPUTED_VALUE"""),14886.0)</f>
        <v>14886</v>
      </c>
      <c r="L83" s="150">
        <f>IFERROR(__xludf.DUMMYFUNCTION("""COMPUTED_VALUE"""),1571.0)</f>
        <v>1571</v>
      </c>
      <c r="M83" s="150">
        <f>IFERROR(__xludf.DUMMYFUNCTION("""COMPUTED_VALUE"""),96785.0)</f>
        <v>96785</v>
      </c>
      <c r="N83" s="150">
        <f>IFERROR(__xludf.DUMMYFUNCTION("""COMPUTED_VALUE"""),111671.0)</f>
        <v>111671</v>
      </c>
      <c r="O83" s="150">
        <f>IFERROR(__xludf.DUMMYFUNCTION("""COMPUTED_VALUE"""),19.0)</f>
        <v>19</v>
      </c>
      <c r="P83" s="150">
        <f>IFERROR(__xludf.DUMMYFUNCTION("""COMPUTED_VALUE"""),1750.0)</f>
        <v>1750</v>
      </c>
      <c r="Q83" s="150">
        <f>IFERROR(__xludf.DUMMYFUNCTION("""COMPUTED_VALUE"""),27.0)</f>
        <v>27</v>
      </c>
      <c r="R83" s="150">
        <f>IFERROR(__xludf.DUMMYFUNCTION("""COMPUTED_VALUE"""),1293.0)</f>
        <v>1293</v>
      </c>
      <c r="S83" s="150">
        <f>IFERROR(__xludf.DUMMYFUNCTION("""COMPUTED_VALUE"""),6.0)</f>
        <v>6</v>
      </c>
      <c r="T83" s="150">
        <f>IFERROR(__xludf.DUMMYFUNCTION("""COMPUTED_VALUE"""),253.0)</f>
        <v>253</v>
      </c>
      <c r="U83" s="150">
        <f>IFERROR(__xludf.DUMMYFUNCTION("""COMPUTED_VALUE"""),204.0)</f>
        <v>204</v>
      </c>
      <c r="V83" s="150">
        <f>IFERROR(__xludf.DUMMYFUNCTION("""COMPUTED_VALUE"""),219.0)</f>
        <v>219</v>
      </c>
      <c r="W83" s="150">
        <f>IFERROR(__xludf.DUMMYFUNCTION("""COMPUTED_VALUE"""),43.0)</f>
        <v>43</v>
      </c>
      <c r="X83" s="150">
        <f>IFERROR(__xludf.DUMMYFUNCTION("""COMPUTED_VALUE"""),31.0)</f>
        <v>31</v>
      </c>
      <c r="Y83" s="150">
        <f>IFERROR(__xludf.DUMMYFUNCTION("""COMPUTED_VALUE"""),12.0)</f>
        <v>12</v>
      </c>
      <c r="Z83" s="150">
        <f>IFERROR(__xludf.DUMMYFUNCTION("""COMPUTED_VALUE"""),810.0)</f>
        <v>810</v>
      </c>
    </row>
    <row r="84">
      <c r="A84" s="207">
        <f>IFERROR(__xludf.DUMMYFUNCTION("""COMPUTED_VALUE"""),43981.0)</f>
        <v>43981</v>
      </c>
      <c r="B84" s="150">
        <f>IFERROR(__xludf.DUMMYFUNCTION("""COMPUTED_VALUE"""),225.0)</f>
        <v>225</v>
      </c>
      <c r="C84" s="150">
        <f>IFERROR(__xludf.DUMMYFUNCTION("""COMPUTED_VALUE"""),328.0)</f>
        <v>328</v>
      </c>
      <c r="D84" s="150">
        <f>IFERROR(__xludf.DUMMYFUNCTION("""COMPUTED_VALUE"""),20031.0)</f>
        <v>20031</v>
      </c>
      <c r="E84" s="150">
        <f>IFERROR(__xludf.DUMMYFUNCTION("""COMPUTED_VALUE"""),3915.0)</f>
        <v>3915</v>
      </c>
      <c r="F84" s="150">
        <f>IFERROR(__xludf.DUMMYFUNCTION("""COMPUTED_VALUE"""),143682.0)</f>
        <v>143682</v>
      </c>
      <c r="G84" s="150">
        <f>IFERROR(__xludf.DUMMYFUNCTION("""COMPUTED_VALUE"""),4140.0)</f>
        <v>4140</v>
      </c>
      <c r="H84" s="150">
        <f>IFERROR(__xludf.DUMMYFUNCTION("""COMPUTED_VALUE"""),163713.0)</f>
        <v>163713</v>
      </c>
      <c r="I84" s="150">
        <f>IFERROR(__xludf.DUMMYFUNCTION("""COMPUTED_VALUE"""),109.0)</f>
        <v>109</v>
      </c>
      <c r="J84" s="150">
        <f>IFERROR(__xludf.DUMMYFUNCTION("""COMPUTED_VALUE"""),140.0)</f>
        <v>140</v>
      </c>
      <c r="K84" s="150">
        <f>IFERROR(__xludf.DUMMYFUNCTION("""COMPUTED_VALUE"""),14995.0)</f>
        <v>14995</v>
      </c>
      <c r="L84" s="150">
        <f>IFERROR(__xludf.DUMMYFUNCTION("""COMPUTED_VALUE"""),1820.0)</f>
        <v>1820</v>
      </c>
      <c r="M84" s="150">
        <f>IFERROR(__xludf.DUMMYFUNCTION("""COMPUTED_VALUE"""),98605.0)</f>
        <v>98605</v>
      </c>
      <c r="N84" s="150">
        <f>IFERROR(__xludf.DUMMYFUNCTION("""COMPUTED_VALUE"""),113600.0)</f>
        <v>113600</v>
      </c>
      <c r="O84" s="150">
        <f>IFERROR(__xludf.DUMMYFUNCTION("""COMPUTED_VALUE"""),15.0)</f>
        <v>15</v>
      </c>
      <c r="P84" s="150">
        <f>IFERROR(__xludf.DUMMYFUNCTION("""COMPUTED_VALUE"""),1765.0)</f>
        <v>1765</v>
      </c>
      <c r="Q84" s="150">
        <f>IFERROR(__xludf.DUMMYFUNCTION("""COMPUTED_VALUE"""),19.0)</f>
        <v>19</v>
      </c>
      <c r="R84" s="150">
        <f>IFERROR(__xludf.DUMMYFUNCTION("""COMPUTED_VALUE"""),1312.0)</f>
        <v>1312</v>
      </c>
      <c r="S84" s="150">
        <f>IFERROR(__xludf.DUMMYFUNCTION("""COMPUTED_VALUE"""),4.0)</f>
        <v>4</v>
      </c>
      <c r="T84" s="150">
        <f>IFERROR(__xludf.DUMMYFUNCTION("""COMPUTED_VALUE"""),257.0)</f>
        <v>257</v>
      </c>
      <c r="U84" s="150">
        <f>IFERROR(__xludf.DUMMYFUNCTION("""COMPUTED_VALUE"""),196.0)</f>
        <v>196</v>
      </c>
      <c r="V84" s="150">
        <f>IFERROR(__xludf.DUMMYFUNCTION("""COMPUTED_VALUE"""),206.0)</f>
        <v>206</v>
      </c>
      <c r="W84" s="150">
        <f>IFERROR(__xludf.DUMMYFUNCTION("""COMPUTED_VALUE"""),40.0)</f>
        <v>40</v>
      </c>
      <c r="X84" s="150">
        <f>IFERROR(__xludf.DUMMYFUNCTION("""COMPUTED_VALUE"""),29.0)</f>
        <v>29</v>
      </c>
      <c r="Y84" s="150">
        <f>IFERROR(__xludf.DUMMYFUNCTION("""COMPUTED_VALUE"""),12.0)</f>
        <v>12</v>
      </c>
      <c r="Z84" s="150">
        <f>IFERROR(__xludf.DUMMYFUNCTION("""COMPUTED_VALUE"""),822.0)</f>
        <v>822</v>
      </c>
    </row>
    <row r="85">
      <c r="A85" s="207">
        <f>IFERROR(__xludf.DUMMYFUNCTION("""COMPUTED_VALUE"""),43982.0)</f>
        <v>43982</v>
      </c>
      <c r="B85" s="150">
        <f>IFERROR(__xludf.DUMMYFUNCTION("""COMPUTED_VALUE"""),155.0)</f>
        <v>155</v>
      </c>
      <c r="C85" s="150">
        <f>IFERROR(__xludf.DUMMYFUNCTION("""COMPUTED_VALUE"""),263.0)</f>
        <v>263</v>
      </c>
      <c r="D85" s="150">
        <f>IFERROR(__xludf.DUMMYFUNCTION("""COMPUTED_VALUE"""),20186.0)</f>
        <v>20186</v>
      </c>
      <c r="E85" s="150">
        <f>IFERROR(__xludf.DUMMYFUNCTION("""COMPUTED_VALUE"""),1688.0)</f>
        <v>1688</v>
      </c>
      <c r="F85" s="150">
        <f>IFERROR(__xludf.DUMMYFUNCTION("""COMPUTED_VALUE"""),145370.0)</f>
        <v>145370</v>
      </c>
      <c r="G85" s="150">
        <f>IFERROR(__xludf.DUMMYFUNCTION("""COMPUTED_VALUE"""),1843.0)</f>
        <v>1843</v>
      </c>
      <c r="H85" s="150">
        <f>IFERROR(__xludf.DUMMYFUNCTION("""COMPUTED_VALUE"""),165556.0)</f>
        <v>165556</v>
      </c>
      <c r="I85" s="150">
        <f>IFERROR(__xludf.DUMMYFUNCTION("""COMPUTED_VALUE"""),78.0)</f>
        <v>78</v>
      </c>
      <c r="J85" s="150">
        <f>IFERROR(__xludf.DUMMYFUNCTION("""COMPUTED_VALUE"""),121.0)</f>
        <v>121</v>
      </c>
      <c r="K85" s="150">
        <f>IFERROR(__xludf.DUMMYFUNCTION("""COMPUTED_VALUE"""),15073.0)</f>
        <v>15073</v>
      </c>
      <c r="L85" s="150">
        <f>IFERROR(__xludf.DUMMYFUNCTION("""COMPUTED_VALUE"""),857.0)</f>
        <v>857</v>
      </c>
      <c r="M85" s="150">
        <f>IFERROR(__xludf.DUMMYFUNCTION("""COMPUTED_VALUE"""),99462.0)</f>
        <v>99462</v>
      </c>
      <c r="N85" s="150">
        <f>IFERROR(__xludf.DUMMYFUNCTION("""COMPUTED_VALUE"""),114535.0)</f>
        <v>114535</v>
      </c>
      <c r="O85" s="150">
        <f>IFERROR(__xludf.DUMMYFUNCTION("""COMPUTED_VALUE"""),11.0)</f>
        <v>11</v>
      </c>
      <c r="P85" s="150">
        <f>IFERROR(__xludf.DUMMYFUNCTION("""COMPUTED_VALUE"""),1776.0)</f>
        <v>1776</v>
      </c>
      <c r="Q85" s="150">
        <f>IFERROR(__xludf.DUMMYFUNCTION("""COMPUTED_VALUE"""),10.0)</f>
        <v>10</v>
      </c>
      <c r="R85" s="150">
        <f>IFERROR(__xludf.DUMMYFUNCTION("""COMPUTED_VALUE"""),1322.0)</f>
        <v>1322</v>
      </c>
      <c r="S85" s="150">
        <f>IFERROR(__xludf.DUMMYFUNCTION("""COMPUTED_VALUE"""),0.0)</f>
        <v>0</v>
      </c>
      <c r="T85" s="150">
        <f>IFERROR(__xludf.DUMMYFUNCTION("""COMPUTED_VALUE"""),257.0)</f>
        <v>257</v>
      </c>
      <c r="U85" s="150">
        <f>IFERROR(__xludf.DUMMYFUNCTION("""COMPUTED_VALUE"""),197.0)</f>
        <v>197</v>
      </c>
      <c r="V85" s="150">
        <f>IFERROR(__xludf.DUMMYFUNCTION("""COMPUTED_VALUE"""),199.0)</f>
        <v>199</v>
      </c>
      <c r="W85" s="150">
        <f>IFERROR(__xludf.DUMMYFUNCTION("""COMPUTED_VALUE"""),43.0)</f>
        <v>43</v>
      </c>
      <c r="X85" s="150">
        <f>IFERROR(__xludf.DUMMYFUNCTION("""COMPUTED_VALUE"""),26.0)</f>
        <v>26</v>
      </c>
      <c r="Y85" s="150">
        <f>IFERROR(__xludf.DUMMYFUNCTION("""COMPUTED_VALUE"""),3.0)</f>
        <v>3</v>
      </c>
      <c r="Z85" s="150">
        <f>IFERROR(__xludf.DUMMYFUNCTION("""COMPUTED_VALUE"""),825.0)</f>
        <v>825</v>
      </c>
    </row>
    <row r="86">
      <c r="A86" s="207">
        <f>IFERROR(__xludf.DUMMYFUNCTION("""COMPUTED_VALUE"""),43983.0)</f>
        <v>43983</v>
      </c>
      <c r="B86" s="150">
        <f>IFERROR(__xludf.DUMMYFUNCTION("""COMPUTED_VALUE"""),212.0)</f>
        <v>212</v>
      </c>
      <c r="C86" s="150">
        <f>IFERROR(__xludf.DUMMYFUNCTION("""COMPUTED_VALUE"""),197.0)</f>
        <v>197</v>
      </c>
      <c r="D86" s="150">
        <f>IFERROR(__xludf.DUMMYFUNCTION("""COMPUTED_VALUE"""),20398.0)</f>
        <v>20398</v>
      </c>
      <c r="E86" s="150">
        <f>IFERROR(__xludf.DUMMYFUNCTION("""COMPUTED_VALUE"""),2792.0)</f>
        <v>2792</v>
      </c>
      <c r="F86" s="150">
        <f>IFERROR(__xludf.DUMMYFUNCTION("""COMPUTED_VALUE"""),148162.0)</f>
        <v>148162</v>
      </c>
      <c r="G86" s="150">
        <f>IFERROR(__xludf.DUMMYFUNCTION("""COMPUTED_VALUE"""),3004.0)</f>
        <v>3004</v>
      </c>
      <c r="H86" s="150">
        <f>IFERROR(__xludf.DUMMYFUNCTION("""COMPUTED_VALUE"""),168560.0)</f>
        <v>168560</v>
      </c>
      <c r="I86" s="150">
        <f>IFERROR(__xludf.DUMMYFUNCTION("""COMPUTED_VALUE"""),99.0)</f>
        <v>99</v>
      </c>
      <c r="J86" s="150">
        <f>IFERROR(__xludf.DUMMYFUNCTION("""COMPUTED_VALUE"""),95.0)</f>
        <v>95</v>
      </c>
      <c r="K86" s="150">
        <f>IFERROR(__xludf.DUMMYFUNCTION("""COMPUTED_VALUE"""),15172.0)</f>
        <v>15172</v>
      </c>
      <c r="L86" s="150">
        <f>IFERROR(__xludf.DUMMYFUNCTION("""COMPUTED_VALUE"""),1385.0)</f>
        <v>1385</v>
      </c>
      <c r="M86" s="150">
        <f>IFERROR(__xludf.DUMMYFUNCTION("""COMPUTED_VALUE"""),100847.0)</f>
        <v>100847</v>
      </c>
      <c r="N86" s="150">
        <f>IFERROR(__xludf.DUMMYFUNCTION("""COMPUTED_VALUE"""),116019.0)</f>
        <v>116019</v>
      </c>
      <c r="O86" s="150">
        <f>IFERROR(__xludf.DUMMYFUNCTION("""COMPUTED_VALUE"""),8.0)</f>
        <v>8</v>
      </c>
      <c r="P86" s="150">
        <f>IFERROR(__xludf.DUMMYFUNCTION("""COMPUTED_VALUE"""),1784.0)</f>
        <v>1784</v>
      </c>
      <c r="Q86" s="150">
        <f>IFERROR(__xludf.DUMMYFUNCTION("""COMPUTED_VALUE"""),14.0)</f>
        <v>14</v>
      </c>
      <c r="R86" s="150">
        <f>IFERROR(__xludf.DUMMYFUNCTION("""COMPUTED_VALUE"""),1336.0)</f>
        <v>1336</v>
      </c>
      <c r="S86" s="150">
        <f>IFERROR(__xludf.DUMMYFUNCTION("""COMPUTED_VALUE"""),1.0)</f>
        <v>1</v>
      </c>
      <c r="T86" s="150">
        <f>IFERROR(__xludf.DUMMYFUNCTION("""COMPUTED_VALUE"""),258.0)</f>
        <v>258</v>
      </c>
      <c r="U86" s="150">
        <f>IFERROR(__xludf.DUMMYFUNCTION("""COMPUTED_VALUE"""),190.0)</f>
        <v>190</v>
      </c>
      <c r="V86" s="150">
        <f>IFERROR(__xludf.DUMMYFUNCTION("""COMPUTED_VALUE"""),194.0)</f>
        <v>194</v>
      </c>
      <c r="W86" s="150">
        <f>IFERROR(__xludf.DUMMYFUNCTION("""COMPUTED_VALUE"""),44.0)</f>
        <v>44</v>
      </c>
      <c r="X86" s="150">
        <f>IFERROR(__xludf.DUMMYFUNCTION("""COMPUTED_VALUE"""),29.0)</f>
        <v>29</v>
      </c>
      <c r="Y86" s="150">
        <f>IFERROR(__xludf.DUMMYFUNCTION("""COMPUTED_VALUE"""),5.0)</f>
        <v>5</v>
      </c>
      <c r="Z86" s="150">
        <f>IFERROR(__xludf.DUMMYFUNCTION("""COMPUTED_VALUE"""),830.0)</f>
        <v>830</v>
      </c>
    </row>
    <row r="87">
      <c r="A87" s="207">
        <f>IFERROR(__xludf.DUMMYFUNCTION("""COMPUTED_VALUE"""),43984.0)</f>
        <v>43984</v>
      </c>
      <c r="B87" s="150">
        <f>IFERROR(__xludf.DUMMYFUNCTION("""COMPUTED_VALUE"""),273.0)</f>
        <v>273</v>
      </c>
      <c r="C87" s="150">
        <f>IFERROR(__xludf.DUMMYFUNCTION("""COMPUTED_VALUE"""),213.0)</f>
        <v>213</v>
      </c>
      <c r="D87" s="150">
        <f>IFERROR(__xludf.DUMMYFUNCTION("""COMPUTED_VALUE"""),20671.0)</f>
        <v>20671</v>
      </c>
      <c r="E87" s="150">
        <f>IFERROR(__xludf.DUMMYFUNCTION("""COMPUTED_VALUE"""),3022.0)</f>
        <v>3022</v>
      </c>
      <c r="F87" s="150">
        <f>IFERROR(__xludf.DUMMYFUNCTION("""COMPUTED_VALUE"""),151184.0)</f>
        <v>151184</v>
      </c>
      <c r="G87" s="150">
        <f>IFERROR(__xludf.DUMMYFUNCTION("""COMPUTED_VALUE"""),3295.0)</f>
        <v>3295</v>
      </c>
      <c r="H87" s="150">
        <f>IFERROR(__xludf.DUMMYFUNCTION("""COMPUTED_VALUE"""),171855.0)</f>
        <v>171855</v>
      </c>
      <c r="I87" s="150">
        <f>IFERROR(__xludf.DUMMYFUNCTION("""COMPUTED_VALUE"""),107.0)</f>
        <v>107</v>
      </c>
      <c r="J87" s="150">
        <f>IFERROR(__xludf.DUMMYFUNCTION("""COMPUTED_VALUE"""),95.0)</f>
        <v>95</v>
      </c>
      <c r="K87" s="150">
        <f>IFERROR(__xludf.DUMMYFUNCTION("""COMPUTED_VALUE"""),15279.0)</f>
        <v>15279</v>
      </c>
      <c r="L87" s="150">
        <f>IFERROR(__xludf.DUMMYFUNCTION("""COMPUTED_VALUE"""),1449.0)</f>
        <v>1449</v>
      </c>
      <c r="M87" s="150">
        <f>IFERROR(__xludf.DUMMYFUNCTION("""COMPUTED_VALUE"""),102296.0)</f>
        <v>102296</v>
      </c>
      <c r="N87" s="150">
        <f>IFERROR(__xludf.DUMMYFUNCTION("""COMPUTED_VALUE"""),117575.0)</f>
        <v>117575</v>
      </c>
      <c r="O87" s="150">
        <f>IFERROR(__xludf.DUMMYFUNCTION("""COMPUTED_VALUE"""),8.0)</f>
        <v>8</v>
      </c>
      <c r="P87" s="150">
        <f>IFERROR(__xludf.DUMMYFUNCTION("""COMPUTED_VALUE"""),1792.0)</f>
        <v>1792</v>
      </c>
      <c r="Q87" s="150">
        <f>IFERROR(__xludf.DUMMYFUNCTION("""COMPUTED_VALUE"""),9.0)</f>
        <v>9</v>
      </c>
      <c r="R87" s="150">
        <f>IFERROR(__xludf.DUMMYFUNCTION("""COMPUTED_VALUE"""),1345.0)</f>
        <v>1345</v>
      </c>
      <c r="S87" s="150">
        <f>IFERROR(__xludf.DUMMYFUNCTION("""COMPUTED_VALUE"""),3.0)</f>
        <v>3</v>
      </c>
      <c r="T87" s="150">
        <f>IFERROR(__xludf.DUMMYFUNCTION("""COMPUTED_VALUE"""),261.0)</f>
        <v>261</v>
      </c>
      <c r="U87" s="150">
        <f>IFERROR(__xludf.DUMMYFUNCTION("""COMPUTED_VALUE"""),186.0)</f>
        <v>186</v>
      </c>
      <c r="V87" s="150">
        <f>IFERROR(__xludf.DUMMYFUNCTION("""COMPUTED_VALUE"""),191.0)</f>
        <v>191</v>
      </c>
      <c r="W87" s="150">
        <f>IFERROR(__xludf.DUMMYFUNCTION("""COMPUTED_VALUE"""),37.0)</f>
        <v>37</v>
      </c>
      <c r="X87" s="150">
        <f>IFERROR(__xludf.DUMMYFUNCTION("""COMPUTED_VALUE"""),25.0)</f>
        <v>25</v>
      </c>
      <c r="Y87" s="150">
        <f>IFERROR(__xludf.DUMMYFUNCTION("""COMPUTED_VALUE"""),10.0)</f>
        <v>10</v>
      </c>
      <c r="Z87" s="150">
        <f>IFERROR(__xludf.DUMMYFUNCTION("""COMPUTED_VALUE"""),840.0)</f>
        <v>840</v>
      </c>
    </row>
    <row r="88">
      <c r="A88" s="207">
        <f>IFERROR(__xludf.DUMMYFUNCTION("""COMPUTED_VALUE"""),43985.0)</f>
        <v>43985</v>
      </c>
      <c r="B88" s="150">
        <f>IFERROR(__xludf.DUMMYFUNCTION("""COMPUTED_VALUE"""),254.0)</f>
        <v>254</v>
      </c>
      <c r="C88" s="150">
        <f>IFERROR(__xludf.DUMMYFUNCTION("""COMPUTED_VALUE"""),246.0)</f>
        <v>246</v>
      </c>
      <c r="D88" s="150">
        <f>IFERROR(__xludf.DUMMYFUNCTION("""COMPUTED_VALUE"""),20925.0)</f>
        <v>20925</v>
      </c>
      <c r="E88" s="150">
        <f>IFERROR(__xludf.DUMMYFUNCTION("""COMPUTED_VALUE"""),3486.0)</f>
        <v>3486</v>
      </c>
      <c r="F88" s="150">
        <f>IFERROR(__xludf.DUMMYFUNCTION("""COMPUTED_VALUE"""),154670.0)</f>
        <v>154670</v>
      </c>
      <c r="G88" s="150">
        <f>IFERROR(__xludf.DUMMYFUNCTION("""COMPUTED_VALUE"""),3740.0)</f>
        <v>3740</v>
      </c>
      <c r="H88" s="150">
        <f>IFERROR(__xludf.DUMMYFUNCTION("""COMPUTED_VALUE"""),175595.0)</f>
        <v>175595</v>
      </c>
      <c r="I88" s="150">
        <f>IFERROR(__xludf.DUMMYFUNCTION("""COMPUTED_VALUE"""),105.0)</f>
        <v>105</v>
      </c>
      <c r="J88" s="150">
        <f>IFERROR(__xludf.DUMMYFUNCTION("""COMPUTED_VALUE"""),104.0)</f>
        <v>104</v>
      </c>
      <c r="K88" s="150">
        <f>IFERROR(__xludf.DUMMYFUNCTION("""COMPUTED_VALUE"""),15384.0)</f>
        <v>15384</v>
      </c>
      <c r="L88" s="150">
        <f>IFERROR(__xludf.DUMMYFUNCTION("""COMPUTED_VALUE"""),1663.0)</f>
        <v>1663</v>
      </c>
      <c r="M88" s="150">
        <f>IFERROR(__xludf.DUMMYFUNCTION("""COMPUTED_VALUE"""),103959.0)</f>
        <v>103959</v>
      </c>
      <c r="N88" s="150">
        <f>IFERROR(__xludf.DUMMYFUNCTION("""COMPUTED_VALUE"""),119343.0)</f>
        <v>119343</v>
      </c>
      <c r="O88" s="150">
        <f>IFERROR(__xludf.DUMMYFUNCTION("""COMPUTED_VALUE"""),14.0)</f>
        <v>14</v>
      </c>
      <c r="P88" s="150">
        <f>IFERROR(__xludf.DUMMYFUNCTION("""COMPUTED_VALUE"""),1806.0)</f>
        <v>1806</v>
      </c>
      <c r="Q88" s="150">
        <f>IFERROR(__xludf.DUMMYFUNCTION("""COMPUTED_VALUE"""),18.0)</f>
        <v>18</v>
      </c>
      <c r="R88" s="150">
        <f>IFERROR(__xludf.DUMMYFUNCTION("""COMPUTED_VALUE"""),1363.0)</f>
        <v>1363</v>
      </c>
      <c r="S88" s="150">
        <f>IFERROR(__xludf.DUMMYFUNCTION("""COMPUTED_VALUE"""),6.0)</f>
        <v>6</v>
      </c>
      <c r="T88" s="150">
        <f>IFERROR(__xludf.DUMMYFUNCTION("""COMPUTED_VALUE"""),267.0)</f>
        <v>267</v>
      </c>
      <c r="U88" s="150">
        <f>IFERROR(__xludf.DUMMYFUNCTION("""COMPUTED_VALUE"""),176.0)</f>
        <v>176</v>
      </c>
      <c r="V88" s="150">
        <f>IFERROR(__xludf.DUMMYFUNCTION("""COMPUTED_VALUE"""),184.0)</f>
        <v>184</v>
      </c>
      <c r="W88" s="150">
        <f>IFERROR(__xludf.DUMMYFUNCTION("""COMPUTED_VALUE"""),34.0)</f>
        <v>34</v>
      </c>
      <c r="X88" s="150">
        <f>IFERROR(__xludf.DUMMYFUNCTION("""COMPUTED_VALUE"""),25.0)</f>
        <v>25</v>
      </c>
      <c r="Y88" s="150">
        <f>IFERROR(__xludf.DUMMYFUNCTION("""COMPUTED_VALUE"""),11.0)</f>
        <v>11</v>
      </c>
      <c r="Z88" s="150">
        <f>IFERROR(__xludf.DUMMYFUNCTION("""COMPUTED_VALUE"""),851.0)</f>
        <v>851</v>
      </c>
    </row>
    <row r="89">
      <c r="A89" s="207">
        <f>IFERROR(__xludf.DUMMYFUNCTION("""COMPUTED_VALUE"""),43986.0)</f>
        <v>43986</v>
      </c>
      <c r="B89" s="150">
        <f>IFERROR(__xludf.DUMMYFUNCTION("""COMPUTED_VALUE"""),276.0)</f>
        <v>276</v>
      </c>
      <c r="C89" s="150">
        <f>IFERROR(__xludf.DUMMYFUNCTION("""COMPUTED_VALUE"""),268.0)</f>
        <v>268</v>
      </c>
      <c r="D89" s="150">
        <f>IFERROR(__xludf.DUMMYFUNCTION("""COMPUTED_VALUE"""),21201.0)</f>
        <v>21201</v>
      </c>
      <c r="E89" s="150">
        <f>IFERROR(__xludf.DUMMYFUNCTION("""COMPUTED_VALUE"""),4471.0)</f>
        <v>4471</v>
      </c>
      <c r="F89" s="150">
        <f>IFERROR(__xludf.DUMMYFUNCTION("""COMPUTED_VALUE"""),159141.0)</f>
        <v>159141</v>
      </c>
      <c r="G89" s="150">
        <f>IFERROR(__xludf.DUMMYFUNCTION("""COMPUTED_VALUE"""),4747.0)</f>
        <v>4747</v>
      </c>
      <c r="H89" s="150">
        <f>IFERROR(__xludf.DUMMYFUNCTION("""COMPUTED_VALUE"""),180342.0)</f>
        <v>180342</v>
      </c>
      <c r="I89" s="150">
        <f>IFERROR(__xludf.DUMMYFUNCTION("""COMPUTED_VALUE"""),111.0)</f>
        <v>111</v>
      </c>
      <c r="J89" s="150">
        <f>IFERROR(__xludf.DUMMYFUNCTION("""COMPUTED_VALUE"""),108.0)</f>
        <v>108</v>
      </c>
      <c r="K89" s="150">
        <f>IFERROR(__xludf.DUMMYFUNCTION("""COMPUTED_VALUE"""),15495.0)</f>
        <v>15495</v>
      </c>
      <c r="L89" s="150">
        <f>IFERROR(__xludf.DUMMYFUNCTION("""COMPUTED_VALUE"""),2039.0)</f>
        <v>2039</v>
      </c>
      <c r="M89" s="150">
        <f>IFERROR(__xludf.DUMMYFUNCTION("""COMPUTED_VALUE"""),105998.0)</f>
        <v>105998</v>
      </c>
      <c r="N89" s="150">
        <f>IFERROR(__xludf.DUMMYFUNCTION("""COMPUTED_VALUE"""),121493.0)</f>
        <v>121493</v>
      </c>
      <c r="O89" s="150">
        <f>IFERROR(__xludf.DUMMYFUNCTION("""COMPUTED_VALUE"""),7.0)</f>
        <v>7</v>
      </c>
      <c r="P89" s="150">
        <f>IFERROR(__xludf.DUMMYFUNCTION("""COMPUTED_VALUE"""),1813.0)</f>
        <v>1813</v>
      </c>
      <c r="Q89" s="150">
        <f>IFERROR(__xludf.DUMMYFUNCTION("""COMPUTED_VALUE"""),25.0)</f>
        <v>25</v>
      </c>
      <c r="R89" s="150">
        <f>IFERROR(__xludf.DUMMYFUNCTION("""COMPUTED_VALUE"""),1388.0)</f>
        <v>1388</v>
      </c>
      <c r="S89" s="150">
        <f>IFERROR(__xludf.DUMMYFUNCTION("""COMPUTED_VALUE"""),3.0)</f>
        <v>3</v>
      </c>
      <c r="T89" s="150">
        <f>IFERROR(__xludf.DUMMYFUNCTION("""COMPUTED_VALUE"""),270.0)</f>
        <v>270</v>
      </c>
      <c r="U89" s="150">
        <f>IFERROR(__xludf.DUMMYFUNCTION("""COMPUTED_VALUE"""),155.0)</f>
        <v>155</v>
      </c>
      <c r="V89" s="150">
        <f>IFERROR(__xludf.DUMMYFUNCTION("""COMPUTED_VALUE"""),172.0)</f>
        <v>172</v>
      </c>
      <c r="W89" s="150">
        <f>IFERROR(__xludf.DUMMYFUNCTION("""COMPUTED_VALUE"""),31.0)</f>
        <v>31</v>
      </c>
      <c r="X89" s="150">
        <f>IFERROR(__xludf.DUMMYFUNCTION("""COMPUTED_VALUE"""),24.0)</f>
        <v>24</v>
      </c>
      <c r="Y89" s="150">
        <f>IFERROR(__xludf.DUMMYFUNCTION("""COMPUTED_VALUE"""),11.0)</f>
        <v>11</v>
      </c>
      <c r="Z89" s="150">
        <f>IFERROR(__xludf.DUMMYFUNCTION("""COMPUTED_VALUE"""),862.0)</f>
        <v>862</v>
      </c>
    </row>
    <row r="90">
      <c r="A90" s="207">
        <f>IFERROR(__xludf.DUMMYFUNCTION("""COMPUTED_VALUE"""),43987.0)</f>
        <v>43987</v>
      </c>
      <c r="B90" s="150">
        <f>IFERROR(__xludf.DUMMYFUNCTION("""COMPUTED_VALUE"""),215.0)</f>
        <v>215</v>
      </c>
      <c r="C90" s="150">
        <f>IFERROR(__xludf.DUMMYFUNCTION("""COMPUTED_VALUE"""),248.0)</f>
        <v>248</v>
      </c>
      <c r="D90" s="150">
        <f>IFERROR(__xludf.DUMMYFUNCTION("""COMPUTED_VALUE"""),21416.0)</f>
        <v>21416</v>
      </c>
      <c r="E90" s="150">
        <f>IFERROR(__xludf.DUMMYFUNCTION("""COMPUTED_VALUE"""),3513.0)</f>
        <v>3513</v>
      </c>
      <c r="F90" s="150">
        <f>IFERROR(__xludf.DUMMYFUNCTION("""COMPUTED_VALUE"""),162654.0)</f>
        <v>162654</v>
      </c>
      <c r="G90" s="150">
        <f>IFERROR(__xludf.DUMMYFUNCTION("""COMPUTED_VALUE"""),3728.0)</f>
        <v>3728</v>
      </c>
      <c r="H90" s="150">
        <f>IFERROR(__xludf.DUMMYFUNCTION("""COMPUTED_VALUE"""),184070.0)</f>
        <v>184070</v>
      </c>
      <c r="I90" s="150">
        <f>IFERROR(__xludf.DUMMYFUNCTION("""COMPUTED_VALUE"""),106.0)</f>
        <v>106</v>
      </c>
      <c r="J90" s="150">
        <f>IFERROR(__xludf.DUMMYFUNCTION("""COMPUTED_VALUE"""),107.0)</f>
        <v>107</v>
      </c>
      <c r="K90" s="150">
        <f>IFERROR(__xludf.DUMMYFUNCTION("""COMPUTED_VALUE"""),15601.0)</f>
        <v>15601</v>
      </c>
      <c r="L90" s="150">
        <f>IFERROR(__xludf.DUMMYFUNCTION("""COMPUTED_VALUE"""),1578.0)</f>
        <v>1578</v>
      </c>
      <c r="M90" s="150">
        <f>IFERROR(__xludf.DUMMYFUNCTION("""COMPUTED_VALUE"""),107576.0)</f>
        <v>107576</v>
      </c>
      <c r="N90" s="150">
        <f>IFERROR(__xludf.DUMMYFUNCTION("""COMPUTED_VALUE"""),123177.0)</f>
        <v>123177</v>
      </c>
      <c r="O90" s="150">
        <f>IFERROR(__xludf.DUMMYFUNCTION("""COMPUTED_VALUE"""),15.0)</f>
        <v>15</v>
      </c>
      <c r="P90" s="150">
        <f>IFERROR(__xludf.DUMMYFUNCTION("""COMPUTED_VALUE"""),1828.0)</f>
        <v>1828</v>
      </c>
      <c r="Q90" s="150">
        <f>IFERROR(__xludf.DUMMYFUNCTION("""COMPUTED_VALUE"""),13.0)</f>
        <v>13</v>
      </c>
      <c r="R90" s="150">
        <f>IFERROR(__xludf.DUMMYFUNCTION("""COMPUTED_VALUE"""),1401.0)</f>
        <v>1401</v>
      </c>
      <c r="S90" s="150">
        <f>IFERROR(__xludf.DUMMYFUNCTION("""COMPUTED_VALUE"""),6.0)</f>
        <v>6</v>
      </c>
      <c r="T90" s="150">
        <f>IFERROR(__xludf.DUMMYFUNCTION("""COMPUTED_VALUE"""),276.0)</f>
        <v>276</v>
      </c>
      <c r="U90" s="150">
        <f>IFERROR(__xludf.DUMMYFUNCTION("""COMPUTED_VALUE"""),151.0)</f>
        <v>151</v>
      </c>
      <c r="V90" s="150">
        <f>IFERROR(__xludf.DUMMYFUNCTION("""COMPUTED_VALUE"""),161.0)</f>
        <v>161</v>
      </c>
      <c r="W90" s="150">
        <f>IFERROR(__xludf.DUMMYFUNCTION("""COMPUTED_VALUE"""),27.0)</f>
        <v>27</v>
      </c>
      <c r="X90" s="150">
        <f>IFERROR(__xludf.DUMMYFUNCTION("""COMPUTED_VALUE"""),21.0)</f>
        <v>21</v>
      </c>
      <c r="Y90" s="150">
        <f>IFERROR(__xludf.DUMMYFUNCTION("""COMPUTED_VALUE"""),11.0)</f>
        <v>11</v>
      </c>
      <c r="Z90" s="150">
        <f>IFERROR(__xludf.DUMMYFUNCTION("""COMPUTED_VALUE"""),873.0)</f>
        <v>873</v>
      </c>
    </row>
    <row r="91">
      <c r="A91" s="207">
        <f>IFERROR(__xludf.DUMMYFUNCTION("""COMPUTED_VALUE"""),43988.0)</f>
        <v>43988</v>
      </c>
      <c r="B91" s="150">
        <f>IFERROR(__xludf.DUMMYFUNCTION("""COMPUTED_VALUE"""),201.0)</f>
        <v>201</v>
      </c>
      <c r="C91" s="150">
        <f>IFERROR(__xludf.DUMMYFUNCTION("""COMPUTED_VALUE"""),231.0)</f>
        <v>231</v>
      </c>
      <c r="D91" s="150">
        <f>IFERROR(__xludf.DUMMYFUNCTION("""COMPUTED_VALUE"""),21617.0)</f>
        <v>21617</v>
      </c>
      <c r="E91" s="150">
        <f>IFERROR(__xludf.DUMMYFUNCTION("""COMPUTED_VALUE"""),2616.0)</f>
        <v>2616</v>
      </c>
      <c r="F91" s="150">
        <f>IFERROR(__xludf.DUMMYFUNCTION("""COMPUTED_VALUE"""),165270.0)</f>
        <v>165270</v>
      </c>
      <c r="G91" s="150">
        <f>IFERROR(__xludf.DUMMYFUNCTION("""COMPUTED_VALUE"""),2817.0)</f>
        <v>2817</v>
      </c>
      <c r="H91" s="150">
        <f>IFERROR(__xludf.DUMMYFUNCTION("""COMPUTED_VALUE"""),186887.0)</f>
        <v>186887</v>
      </c>
      <c r="I91" s="150">
        <f>IFERROR(__xludf.DUMMYFUNCTION("""COMPUTED_VALUE"""),69.0)</f>
        <v>69</v>
      </c>
      <c r="J91" s="150">
        <f>IFERROR(__xludf.DUMMYFUNCTION("""COMPUTED_VALUE"""),95.0)</f>
        <v>95</v>
      </c>
      <c r="K91" s="150">
        <f>IFERROR(__xludf.DUMMYFUNCTION("""COMPUTED_VALUE"""),15670.0)</f>
        <v>15670</v>
      </c>
      <c r="L91" s="150">
        <f>IFERROR(__xludf.DUMMYFUNCTION("""COMPUTED_VALUE"""),1136.0)</f>
        <v>1136</v>
      </c>
      <c r="M91" s="150">
        <f>IFERROR(__xludf.DUMMYFUNCTION("""COMPUTED_VALUE"""),108712.0)</f>
        <v>108712</v>
      </c>
      <c r="N91" s="150">
        <f>IFERROR(__xludf.DUMMYFUNCTION("""COMPUTED_VALUE"""),124382.0)</f>
        <v>124382</v>
      </c>
      <c r="O91" s="150">
        <f>IFERROR(__xludf.DUMMYFUNCTION("""COMPUTED_VALUE"""),10.0)</f>
        <v>10</v>
      </c>
      <c r="P91" s="150">
        <f>IFERROR(__xludf.DUMMYFUNCTION("""COMPUTED_VALUE"""),1838.0)</f>
        <v>1838</v>
      </c>
      <c r="Q91" s="150">
        <f>IFERROR(__xludf.DUMMYFUNCTION("""COMPUTED_VALUE"""),7.0)</f>
        <v>7</v>
      </c>
      <c r="R91" s="150">
        <f>IFERROR(__xludf.DUMMYFUNCTION("""COMPUTED_VALUE"""),1408.0)</f>
        <v>1408</v>
      </c>
      <c r="S91" s="150">
        <f>IFERROR(__xludf.DUMMYFUNCTION("""COMPUTED_VALUE"""),2.0)</f>
        <v>2</v>
      </c>
      <c r="T91" s="150">
        <f>IFERROR(__xludf.DUMMYFUNCTION("""COMPUTED_VALUE"""),278.0)</f>
        <v>278</v>
      </c>
      <c r="U91" s="150">
        <f>IFERROR(__xludf.DUMMYFUNCTION("""COMPUTED_VALUE"""),152.0)</f>
        <v>152</v>
      </c>
      <c r="V91" s="150">
        <f>IFERROR(__xludf.DUMMYFUNCTION("""COMPUTED_VALUE"""),153.0)</f>
        <v>153</v>
      </c>
      <c r="W91" s="150">
        <f>IFERROR(__xludf.DUMMYFUNCTION("""COMPUTED_VALUE"""),29.0)</f>
        <v>29</v>
      </c>
      <c r="X91" s="150">
        <f>IFERROR(__xludf.DUMMYFUNCTION("""COMPUTED_VALUE"""),19.0)</f>
        <v>19</v>
      </c>
      <c r="Y91" s="150">
        <f>IFERROR(__xludf.DUMMYFUNCTION("""COMPUTED_VALUE"""),6.0)</f>
        <v>6</v>
      </c>
      <c r="Z91" s="150">
        <f>IFERROR(__xludf.DUMMYFUNCTION("""COMPUTED_VALUE"""),879.0)</f>
        <v>879</v>
      </c>
    </row>
    <row r="92">
      <c r="A92" s="207">
        <f>IFERROR(__xludf.DUMMYFUNCTION("""COMPUTED_VALUE"""),43989.0)</f>
        <v>43989</v>
      </c>
      <c r="B92" s="150">
        <f>IFERROR(__xludf.DUMMYFUNCTION("""COMPUTED_VALUE"""),83.0)</f>
        <v>83</v>
      </c>
      <c r="C92" s="150">
        <f>IFERROR(__xludf.DUMMYFUNCTION("""COMPUTED_VALUE"""),166.0)</f>
        <v>166</v>
      </c>
      <c r="D92" s="150">
        <f>IFERROR(__xludf.DUMMYFUNCTION("""COMPUTED_VALUE"""),21700.0)</f>
        <v>21700</v>
      </c>
      <c r="E92" s="150">
        <f>IFERROR(__xludf.DUMMYFUNCTION("""COMPUTED_VALUE"""),1625.0)</f>
        <v>1625</v>
      </c>
      <c r="F92" s="150">
        <f>IFERROR(__xludf.DUMMYFUNCTION("""COMPUTED_VALUE"""),166895.0)</f>
        <v>166895</v>
      </c>
      <c r="G92" s="150">
        <f>IFERROR(__xludf.DUMMYFUNCTION("""COMPUTED_VALUE"""),1708.0)</f>
        <v>1708</v>
      </c>
      <c r="H92" s="150">
        <f>IFERROR(__xludf.DUMMYFUNCTION("""COMPUTED_VALUE"""),188595.0)</f>
        <v>188595</v>
      </c>
      <c r="I92" s="150">
        <f>IFERROR(__xludf.DUMMYFUNCTION("""COMPUTED_VALUE"""),50.0)</f>
        <v>50</v>
      </c>
      <c r="J92" s="150">
        <f>IFERROR(__xludf.DUMMYFUNCTION("""COMPUTED_VALUE"""),75.0)</f>
        <v>75</v>
      </c>
      <c r="K92" s="150">
        <f>IFERROR(__xludf.DUMMYFUNCTION("""COMPUTED_VALUE"""),15720.0)</f>
        <v>15720</v>
      </c>
      <c r="L92" s="150">
        <f>IFERROR(__xludf.DUMMYFUNCTION("""COMPUTED_VALUE"""),782.0)</f>
        <v>782</v>
      </c>
      <c r="M92" s="150">
        <f>IFERROR(__xludf.DUMMYFUNCTION("""COMPUTED_VALUE"""),109494.0)</f>
        <v>109494</v>
      </c>
      <c r="N92" s="150">
        <f>IFERROR(__xludf.DUMMYFUNCTION("""COMPUTED_VALUE"""),125214.0)</f>
        <v>125214</v>
      </c>
      <c r="O92" s="150">
        <f>IFERROR(__xludf.DUMMYFUNCTION("""COMPUTED_VALUE"""),11.0)</f>
        <v>11</v>
      </c>
      <c r="P92" s="150">
        <f>IFERROR(__xludf.DUMMYFUNCTION("""COMPUTED_VALUE"""),1849.0)</f>
        <v>1849</v>
      </c>
      <c r="Q92" s="150">
        <f>IFERROR(__xludf.DUMMYFUNCTION("""COMPUTED_VALUE"""),7.0)</f>
        <v>7</v>
      </c>
      <c r="R92" s="150">
        <f>IFERROR(__xludf.DUMMYFUNCTION("""COMPUTED_VALUE"""),1415.0)</f>
        <v>1415</v>
      </c>
      <c r="S92" s="150">
        <f>IFERROR(__xludf.DUMMYFUNCTION("""COMPUTED_VALUE"""),1.0)</f>
        <v>1</v>
      </c>
      <c r="T92" s="150">
        <f>IFERROR(__xludf.DUMMYFUNCTION("""COMPUTED_VALUE"""),279.0)</f>
        <v>279</v>
      </c>
      <c r="U92" s="150">
        <f>IFERROR(__xludf.DUMMYFUNCTION("""COMPUTED_VALUE"""),155.0)</f>
        <v>155</v>
      </c>
      <c r="V92" s="150">
        <f>IFERROR(__xludf.DUMMYFUNCTION("""COMPUTED_VALUE"""),153.0)</f>
        <v>153</v>
      </c>
      <c r="W92" s="150">
        <f>IFERROR(__xludf.DUMMYFUNCTION("""COMPUTED_VALUE"""),25.0)</f>
        <v>25</v>
      </c>
      <c r="X92" s="150">
        <f>IFERROR(__xludf.DUMMYFUNCTION("""COMPUTED_VALUE"""),17.0)</f>
        <v>17</v>
      </c>
      <c r="Y92" s="150">
        <f>IFERROR(__xludf.DUMMYFUNCTION("""COMPUTED_VALUE"""),4.0)</f>
        <v>4</v>
      </c>
      <c r="Z92" s="150">
        <f>IFERROR(__xludf.DUMMYFUNCTION("""COMPUTED_VALUE"""),883.0)</f>
        <v>883</v>
      </c>
    </row>
    <row r="93">
      <c r="A93" s="207">
        <f>IFERROR(__xludf.DUMMYFUNCTION("""COMPUTED_VALUE"""),43990.0)</f>
        <v>43990</v>
      </c>
      <c r="B93" s="208">
        <f>IFERROR(__xludf.DUMMYFUNCTION("""COMPUTED_VALUE"""),119.0)</f>
        <v>119</v>
      </c>
      <c r="C93" s="208">
        <f>IFERROR(__xludf.DUMMYFUNCTION("""COMPUTED_VALUE"""),134.0)</f>
        <v>134</v>
      </c>
      <c r="D93" s="208">
        <f>IFERROR(__xludf.DUMMYFUNCTION("""COMPUTED_VALUE"""),21819.0)</f>
        <v>21819</v>
      </c>
      <c r="E93" s="208">
        <f>IFERROR(__xludf.DUMMYFUNCTION("""COMPUTED_VALUE"""),1849.0)</f>
        <v>1849</v>
      </c>
      <c r="F93" s="150">
        <f>IFERROR(__xludf.DUMMYFUNCTION("""COMPUTED_VALUE"""),168744.0)</f>
        <v>168744</v>
      </c>
      <c r="G93" s="150">
        <f>IFERROR(__xludf.DUMMYFUNCTION("""COMPUTED_VALUE"""),1968.0)</f>
        <v>1968</v>
      </c>
      <c r="H93" s="150">
        <f>IFERROR(__xludf.DUMMYFUNCTION("""COMPUTED_VALUE"""),190563.0)</f>
        <v>190563</v>
      </c>
      <c r="I93" s="208">
        <f>IFERROR(__xludf.DUMMYFUNCTION("""COMPUTED_VALUE"""),44.0)</f>
        <v>44</v>
      </c>
      <c r="J93" s="208">
        <f>IFERROR(__xludf.DUMMYFUNCTION("""COMPUTED_VALUE"""),54.0)</f>
        <v>54</v>
      </c>
      <c r="K93" s="208">
        <f>IFERROR(__xludf.DUMMYFUNCTION("""COMPUTED_VALUE"""),15764.0)</f>
        <v>15764</v>
      </c>
      <c r="L93" s="208">
        <f>IFERROR(__xludf.DUMMYFUNCTION("""COMPUTED_VALUE"""),962.0)</f>
        <v>962</v>
      </c>
      <c r="M93" s="208">
        <f>IFERROR(__xludf.DUMMYFUNCTION("""COMPUTED_VALUE"""),110456.0)</f>
        <v>110456</v>
      </c>
      <c r="N93" s="208">
        <f>IFERROR(__xludf.DUMMYFUNCTION("""COMPUTED_VALUE"""),126220.0)</f>
        <v>126220</v>
      </c>
      <c r="O93" s="208">
        <f>IFERROR(__xludf.DUMMYFUNCTION("""COMPUTED_VALUE"""),15.0)</f>
        <v>15</v>
      </c>
      <c r="P93" s="208">
        <f>IFERROR(__xludf.DUMMYFUNCTION("""COMPUTED_VALUE"""),1864.0)</f>
        <v>1864</v>
      </c>
      <c r="Q93" s="208">
        <f>IFERROR(__xludf.DUMMYFUNCTION("""COMPUTED_VALUE"""),12.0)</f>
        <v>12</v>
      </c>
      <c r="R93" s="208">
        <f>IFERROR(__xludf.DUMMYFUNCTION("""COMPUTED_VALUE"""),1427.0)</f>
        <v>1427</v>
      </c>
      <c r="S93" s="208">
        <f>IFERROR(__xludf.DUMMYFUNCTION("""COMPUTED_VALUE"""),2.0)</f>
        <v>2</v>
      </c>
      <c r="T93" s="208">
        <f>IFERROR(__xludf.DUMMYFUNCTION("""COMPUTED_VALUE"""),281.0)</f>
        <v>281</v>
      </c>
      <c r="U93" s="208">
        <f>IFERROR(__xludf.DUMMYFUNCTION("""COMPUTED_VALUE"""),156.0)</f>
        <v>156</v>
      </c>
      <c r="V93" s="208">
        <f>IFERROR(__xludf.DUMMYFUNCTION("""COMPUTED_VALUE"""),154.0)</f>
        <v>154</v>
      </c>
      <c r="W93" s="208">
        <f>IFERROR(__xludf.DUMMYFUNCTION("""COMPUTED_VALUE"""),27.0)</f>
        <v>27</v>
      </c>
      <c r="X93" s="208">
        <f>IFERROR(__xludf.DUMMYFUNCTION("""COMPUTED_VALUE"""),18.0)</f>
        <v>18</v>
      </c>
      <c r="Y93" s="208">
        <f>IFERROR(__xludf.DUMMYFUNCTION("""COMPUTED_VALUE"""),4.0)</f>
        <v>4</v>
      </c>
      <c r="Z93" s="208">
        <f>IFERROR(__xludf.DUMMYFUNCTION("""COMPUTED_VALUE"""),887.0)</f>
        <v>887</v>
      </c>
    </row>
    <row r="94">
      <c r="A94" s="207">
        <f>IFERROR(__xludf.DUMMYFUNCTION("""COMPUTED_VALUE"""),43991.0)</f>
        <v>43991</v>
      </c>
      <c r="B94" s="208">
        <f>IFERROR(__xludf.DUMMYFUNCTION("""COMPUTED_VALUE"""),223.0)</f>
        <v>223</v>
      </c>
      <c r="C94" s="208">
        <f>IFERROR(__xludf.DUMMYFUNCTION("""COMPUTED_VALUE"""),142.0)</f>
        <v>142</v>
      </c>
      <c r="D94" s="208">
        <f>IFERROR(__xludf.DUMMYFUNCTION("""COMPUTED_VALUE"""),22042.0)</f>
        <v>22042</v>
      </c>
      <c r="E94" s="208">
        <f>IFERROR(__xludf.DUMMYFUNCTION("""COMPUTED_VALUE"""),2673.0)</f>
        <v>2673</v>
      </c>
      <c r="F94" s="150">
        <f>IFERROR(__xludf.DUMMYFUNCTION("""COMPUTED_VALUE"""),171417.0)</f>
        <v>171417</v>
      </c>
      <c r="G94" s="150">
        <f>IFERROR(__xludf.DUMMYFUNCTION("""COMPUTED_VALUE"""),2896.0)</f>
        <v>2896</v>
      </c>
      <c r="H94" s="150">
        <f>IFERROR(__xludf.DUMMYFUNCTION("""COMPUTED_VALUE"""),193459.0)</f>
        <v>193459</v>
      </c>
      <c r="I94" s="208">
        <f>IFERROR(__xludf.DUMMYFUNCTION("""COMPUTED_VALUE"""),67.0)</f>
        <v>67</v>
      </c>
      <c r="J94" s="208">
        <f>IFERROR(__xludf.DUMMYFUNCTION("""COMPUTED_VALUE"""),54.0)</f>
        <v>54</v>
      </c>
      <c r="K94" s="208">
        <f>IFERROR(__xludf.DUMMYFUNCTION("""COMPUTED_VALUE"""),15831.0)</f>
        <v>15831</v>
      </c>
      <c r="L94" s="208">
        <f>IFERROR(__xludf.DUMMYFUNCTION("""COMPUTED_VALUE"""),1258.0)</f>
        <v>1258</v>
      </c>
      <c r="M94" s="208">
        <f>IFERROR(__xludf.DUMMYFUNCTION("""COMPUTED_VALUE"""),111714.0)</f>
        <v>111714</v>
      </c>
      <c r="N94" s="208">
        <f>IFERROR(__xludf.DUMMYFUNCTION("""COMPUTED_VALUE"""),127545.0)</f>
        <v>127545</v>
      </c>
      <c r="O94" s="208">
        <f>IFERROR(__xludf.DUMMYFUNCTION("""COMPUTED_VALUE"""),10.0)</f>
        <v>10</v>
      </c>
      <c r="P94" s="208">
        <f>IFERROR(__xludf.DUMMYFUNCTION("""COMPUTED_VALUE"""),1874.0)</f>
        <v>1874</v>
      </c>
      <c r="Q94" s="208">
        <f>IFERROR(__xludf.DUMMYFUNCTION("""COMPUTED_VALUE"""),18.0)</f>
        <v>18</v>
      </c>
      <c r="R94" s="208">
        <f>IFERROR(__xludf.DUMMYFUNCTION("""COMPUTED_VALUE"""),1445.0)</f>
        <v>1445</v>
      </c>
      <c r="S94" s="208">
        <f>IFERROR(__xludf.DUMMYFUNCTION("""COMPUTED_VALUE"""),0.0)</f>
        <v>0</v>
      </c>
      <c r="T94" s="208">
        <f>IFERROR(__xludf.DUMMYFUNCTION("""COMPUTED_VALUE"""),281.0)</f>
        <v>281</v>
      </c>
      <c r="U94" s="208">
        <f>IFERROR(__xludf.DUMMYFUNCTION("""COMPUTED_VALUE"""),148.0)</f>
        <v>148</v>
      </c>
      <c r="V94" s="208">
        <f>IFERROR(__xludf.DUMMYFUNCTION("""COMPUTED_VALUE"""),153.0)</f>
        <v>153</v>
      </c>
      <c r="W94" s="208">
        <f>IFERROR(__xludf.DUMMYFUNCTION("""COMPUTED_VALUE"""),28.0)</f>
        <v>28</v>
      </c>
      <c r="X94" s="208">
        <f>IFERROR(__xludf.DUMMYFUNCTION("""COMPUTED_VALUE"""),21.0)</f>
        <v>21</v>
      </c>
      <c r="Y94" s="208">
        <f>IFERROR(__xludf.DUMMYFUNCTION("""COMPUTED_VALUE"""),1.0)</f>
        <v>1</v>
      </c>
      <c r="Z94" s="208">
        <f>IFERROR(__xludf.DUMMYFUNCTION("""COMPUTED_VALUE"""),888.0)</f>
        <v>888</v>
      </c>
    </row>
    <row r="95">
      <c r="A95" s="207">
        <f>IFERROR(__xludf.DUMMYFUNCTION("""COMPUTED_VALUE"""),43992.0)</f>
        <v>43992</v>
      </c>
      <c r="B95" s="208">
        <f>IFERROR(__xludf.DUMMYFUNCTION("""COMPUTED_VALUE"""),209.0)</f>
        <v>209</v>
      </c>
      <c r="C95" s="208">
        <f>IFERROR(__xludf.DUMMYFUNCTION("""COMPUTED_VALUE"""),184.0)</f>
        <v>184</v>
      </c>
      <c r="D95" s="208">
        <f>IFERROR(__xludf.DUMMYFUNCTION("""COMPUTED_VALUE"""),22251.0)</f>
        <v>22251</v>
      </c>
      <c r="E95" s="208">
        <f>IFERROR(__xludf.DUMMYFUNCTION("""COMPUTED_VALUE"""),2987.0)</f>
        <v>2987</v>
      </c>
      <c r="F95" s="150">
        <f>IFERROR(__xludf.DUMMYFUNCTION("""COMPUTED_VALUE"""),174404.0)</f>
        <v>174404</v>
      </c>
      <c r="G95" s="150">
        <f>IFERROR(__xludf.DUMMYFUNCTION("""COMPUTED_VALUE"""),3196.0)</f>
        <v>3196</v>
      </c>
      <c r="H95" s="150">
        <f>IFERROR(__xludf.DUMMYFUNCTION("""COMPUTED_VALUE"""),196655.0)</f>
        <v>196655</v>
      </c>
      <c r="I95" s="208">
        <f>IFERROR(__xludf.DUMMYFUNCTION("""COMPUTED_VALUE"""),105.0)</f>
        <v>105</v>
      </c>
      <c r="J95" s="208">
        <f>IFERROR(__xludf.DUMMYFUNCTION("""COMPUTED_VALUE"""),72.0)</f>
        <v>72</v>
      </c>
      <c r="K95" s="208">
        <f>IFERROR(__xludf.DUMMYFUNCTION("""COMPUTED_VALUE"""),15936.0)</f>
        <v>15936</v>
      </c>
      <c r="L95" s="208">
        <f>IFERROR(__xludf.DUMMYFUNCTION("""COMPUTED_VALUE"""),1468.0)</f>
        <v>1468</v>
      </c>
      <c r="M95" s="208">
        <f>IFERROR(__xludf.DUMMYFUNCTION("""COMPUTED_VALUE"""),113182.0)</f>
        <v>113182</v>
      </c>
      <c r="N95" s="208">
        <f>IFERROR(__xludf.DUMMYFUNCTION("""COMPUTED_VALUE"""),129118.0)</f>
        <v>129118</v>
      </c>
      <c r="O95" s="208">
        <f>IFERROR(__xludf.DUMMYFUNCTION("""COMPUTED_VALUE"""),13.0)</f>
        <v>13</v>
      </c>
      <c r="P95" s="208">
        <f>IFERROR(__xludf.DUMMYFUNCTION("""COMPUTED_VALUE"""),1887.0)</f>
        <v>1887</v>
      </c>
      <c r="Q95" s="208">
        <f>IFERROR(__xludf.DUMMYFUNCTION("""COMPUTED_VALUE"""),12.0)</f>
        <v>12</v>
      </c>
      <c r="R95" s="208">
        <f>IFERROR(__xludf.DUMMYFUNCTION("""COMPUTED_VALUE"""),1457.0)</f>
        <v>1457</v>
      </c>
      <c r="S95" s="208">
        <f>IFERROR(__xludf.DUMMYFUNCTION("""COMPUTED_VALUE"""),2.0)</f>
        <v>2</v>
      </c>
      <c r="T95" s="208">
        <f>IFERROR(__xludf.DUMMYFUNCTION("""COMPUTED_VALUE"""),283.0)</f>
        <v>283</v>
      </c>
      <c r="U95" s="208">
        <f>IFERROR(__xludf.DUMMYFUNCTION("""COMPUTED_VALUE"""),147.0)</f>
        <v>147</v>
      </c>
      <c r="V95" s="208">
        <f>IFERROR(__xludf.DUMMYFUNCTION("""COMPUTED_VALUE"""),150.0)</f>
        <v>150</v>
      </c>
      <c r="W95" s="208">
        <f>IFERROR(__xludf.DUMMYFUNCTION("""COMPUTED_VALUE"""),24.0)</f>
        <v>24</v>
      </c>
      <c r="X95" s="208">
        <f>IFERROR(__xludf.DUMMYFUNCTION("""COMPUTED_VALUE"""),17.0)</f>
        <v>17</v>
      </c>
      <c r="Y95" s="208">
        <f>IFERROR(__xludf.DUMMYFUNCTION("""COMPUTED_VALUE"""),4.0)</f>
        <v>4</v>
      </c>
      <c r="Z95" s="208">
        <f>IFERROR(__xludf.DUMMYFUNCTION("""COMPUTED_VALUE"""),892.0)</f>
        <v>892</v>
      </c>
    </row>
    <row r="96">
      <c r="A96" s="207">
        <f>IFERROR(__xludf.DUMMYFUNCTION("""COMPUTED_VALUE"""),43993.0)</f>
        <v>43993</v>
      </c>
      <c r="B96" s="208">
        <f>IFERROR(__xludf.DUMMYFUNCTION("""COMPUTED_VALUE"""),195.0)</f>
        <v>195</v>
      </c>
      <c r="C96" s="208">
        <f>IFERROR(__xludf.DUMMYFUNCTION("""COMPUTED_VALUE"""),209.0)</f>
        <v>209</v>
      </c>
      <c r="D96" s="208">
        <f>IFERROR(__xludf.DUMMYFUNCTION("""COMPUTED_VALUE"""),22446.0)</f>
        <v>22446</v>
      </c>
      <c r="E96" s="208">
        <f>IFERROR(__xludf.DUMMYFUNCTION("""COMPUTED_VALUE"""),3513.0)</f>
        <v>3513</v>
      </c>
      <c r="F96" s="150">
        <f>IFERROR(__xludf.DUMMYFUNCTION("""COMPUTED_VALUE"""),177917.0)</f>
        <v>177917</v>
      </c>
      <c r="G96" s="150">
        <f>IFERROR(__xludf.DUMMYFUNCTION("""COMPUTED_VALUE"""),3708.0)</f>
        <v>3708</v>
      </c>
      <c r="H96" s="150">
        <f>IFERROR(__xludf.DUMMYFUNCTION("""COMPUTED_VALUE"""),200363.0)</f>
        <v>200363</v>
      </c>
      <c r="I96" s="208">
        <f>IFERROR(__xludf.DUMMYFUNCTION("""COMPUTED_VALUE"""),88.0)</f>
        <v>88</v>
      </c>
      <c r="J96" s="208">
        <f>IFERROR(__xludf.DUMMYFUNCTION("""COMPUTED_VALUE"""),87.0)</f>
        <v>87</v>
      </c>
      <c r="K96" s="208">
        <f>IFERROR(__xludf.DUMMYFUNCTION("""COMPUTED_VALUE"""),16024.0)</f>
        <v>16024</v>
      </c>
      <c r="L96" s="208">
        <f>IFERROR(__xludf.DUMMYFUNCTION("""COMPUTED_VALUE"""),1535.0)</f>
        <v>1535</v>
      </c>
      <c r="M96" s="208">
        <f>IFERROR(__xludf.DUMMYFUNCTION("""COMPUTED_VALUE"""),114717.0)</f>
        <v>114717</v>
      </c>
      <c r="N96" s="208">
        <f>IFERROR(__xludf.DUMMYFUNCTION("""COMPUTED_VALUE"""),130741.0)</f>
        <v>130741</v>
      </c>
      <c r="O96" s="208">
        <f>IFERROR(__xludf.DUMMYFUNCTION("""COMPUTED_VALUE"""),7.0)</f>
        <v>7</v>
      </c>
      <c r="P96" s="208">
        <f>IFERROR(__xludf.DUMMYFUNCTION("""COMPUTED_VALUE"""),1894.0)</f>
        <v>1894</v>
      </c>
      <c r="Q96" s="208">
        <f>IFERROR(__xludf.DUMMYFUNCTION("""COMPUTED_VALUE"""),15.0)</f>
        <v>15</v>
      </c>
      <c r="R96" s="208">
        <f>IFERROR(__xludf.DUMMYFUNCTION("""COMPUTED_VALUE"""),1472.0)</f>
        <v>1472</v>
      </c>
      <c r="S96" s="208">
        <f>IFERROR(__xludf.DUMMYFUNCTION("""COMPUTED_VALUE"""),1.0)</f>
        <v>1</v>
      </c>
      <c r="T96" s="208">
        <f>IFERROR(__xludf.DUMMYFUNCTION("""COMPUTED_VALUE"""),284.0)</f>
        <v>284</v>
      </c>
      <c r="U96" s="208">
        <f>IFERROR(__xludf.DUMMYFUNCTION("""COMPUTED_VALUE"""),138.0)</f>
        <v>138</v>
      </c>
      <c r="V96" s="208">
        <f>IFERROR(__xludf.DUMMYFUNCTION("""COMPUTED_VALUE"""),144.0)</f>
        <v>144</v>
      </c>
      <c r="W96" s="208">
        <f>IFERROR(__xludf.DUMMYFUNCTION("""COMPUTED_VALUE"""),25.0)</f>
        <v>25</v>
      </c>
      <c r="X96" s="208">
        <f>IFERROR(__xludf.DUMMYFUNCTION("""COMPUTED_VALUE"""),16.0)</f>
        <v>16</v>
      </c>
      <c r="Y96" s="208">
        <f>IFERROR(__xludf.DUMMYFUNCTION("""COMPUTED_VALUE"""),6.0)</f>
        <v>6</v>
      </c>
      <c r="Z96" s="208">
        <f>IFERROR(__xludf.DUMMYFUNCTION("""COMPUTED_VALUE"""),898.0)</f>
        <v>898</v>
      </c>
    </row>
    <row r="97">
      <c r="A97" s="207">
        <f>IFERROR(__xludf.DUMMYFUNCTION("""COMPUTED_VALUE"""),43994.0)</f>
        <v>43994</v>
      </c>
      <c r="B97" s="208">
        <f>IFERROR(__xludf.DUMMYFUNCTION("""COMPUTED_VALUE"""),209.0)</f>
        <v>209</v>
      </c>
      <c r="C97" s="208">
        <f>IFERROR(__xludf.DUMMYFUNCTION("""COMPUTED_VALUE"""),204.0)</f>
        <v>204</v>
      </c>
      <c r="D97" s="208">
        <f>IFERROR(__xludf.DUMMYFUNCTION("""COMPUTED_VALUE"""),22655.0)</f>
        <v>22655</v>
      </c>
      <c r="E97" s="208">
        <f>IFERROR(__xludf.DUMMYFUNCTION("""COMPUTED_VALUE"""),4601.0)</f>
        <v>4601</v>
      </c>
      <c r="F97" s="150">
        <f>IFERROR(__xludf.DUMMYFUNCTION("""COMPUTED_VALUE"""),182518.0)</f>
        <v>182518</v>
      </c>
      <c r="G97" s="150">
        <f>IFERROR(__xludf.DUMMYFUNCTION("""COMPUTED_VALUE"""),4810.0)</f>
        <v>4810</v>
      </c>
      <c r="H97" s="150">
        <f>IFERROR(__xludf.DUMMYFUNCTION("""COMPUTED_VALUE"""),205173.0)</f>
        <v>205173</v>
      </c>
      <c r="I97" s="208">
        <f>IFERROR(__xludf.DUMMYFUNCTION("""COMPUTED_VALUE"""),82.0)</f>
        <v>82</v>
      </c>
      <c r="J97" s="208">
        <f>IFERROR(__xludf.DUMMYFUNCTION("""COMPUTED_VALUE"""),92.0)</f>
        <v>92</v>
      </c>
      <c r="K97" s="208">
        <f>IFERROR(__xludf.DUMMYFUNCTION("""COMPUTED_VALUE"""),16106.0)</f>
        <v>16106</v>
      </c>
      <c r="L97" s="208">
        <f>IFERROR(__xludf.DUMMYFUNCTION("""COMPUTED_VALUE"""),2185.0)</f>
        <v>2185</v>
      </c>
      <c r="M97" s="208">
        <f>IFERROR(__xludf.DUMMYFUNCTION("""COMPUTED_VALUE"""),116902.0)</f>
        <v>116902</v>
      </c>
      <c r="N97" s="208">
        <f>IFERROR(__xludf.DUMMYFUNCTION("""COMPUTED_VALUE"""),133008.0)</f>
        <v>133008</v>
      </c>
      <c r="O97" s="208">
        <f>IFERROR(__xludf.DUMMYFUNCTION("""COMPUTED_VALUE"""),9.0)</f>
        <v>9</v>
      </c>
      <c r="P97" s="208">
        <f>IFERROR(__xludf.DUMMYFUNCTION("""COMPUTED_VALUE"""),1903.0)</f>
        <v>1903</v>
      </c>
      <c r="Q97" s="208">
        <f>IFERROR(__xludf.DUMMYFUNCTION("""COMPUTED_VALUE"""),15.0)</f>
        <v>15</v>
      </c>
      <c r="R97" s="208">
        <f>IFERROR(__xludf.DUMMYFUNCTION("""COMPUTED_VALUE"""),1487.0)</f>
        <v>1487</v>
      </c>
      <c r="S97" s="208">
        <f>IFERROR(__xludf.DUMMYFUNCTION("""COMPUTED_VALUE"""),1.0)</f>
        <v>1</v>
      </c>
      <c r="T97" s="208">
        <f>IFERROR(__xludf.DUMMYFUNCTION("""COMPUTED_VALUE"""),285.0)</f>
        <v>285</v>
      </c>
      <c r="U97" s="208">
        <f>IFERROR(__xludf.DUMMYFUNCTION("""COMPUTED_VALUE"""),131.0)</f>
        <v>131</v>
      </c>
      <c r="V97" s="208">
        <f>IFERROR(__xludf.DUMMYFUNCTION("""COMPUTED_VALUE"""),139.0)</f>
        <v>139</v>
      </c>
      <c r="W97" s="208">
        <f>IFERROR(__xludf.DUMMYFUNCTION("""COMPUTED_VALUE"""),24.0)</f>
        <v>24</v>
      </c>
      <c r="X97" s="208">
        <f>IFERROR(__xludf.DUMMYFUNCTION("""COMPUTED_VALUE"""),16.0)</f>
        <v>16</v>
      </c>
      <c r="Y97" s="208">
        <f>IFERROR(__xludf.DUMMYFUNCTION("""COMPUTED_VALUE"""),2.0)</f>
        <v>2</v>
      </c>
      <c r="Z97" s="208">
        <f>IFERROR(__xludf.DUMMYFUNCTION("""COMPUTED_VALUE"""),900.0)</f>
        <v>900</v>
      </c>
    </row>
    <row r="98">
      <c r="A98" s="207">
        <f>IFERROR(__xludf.DUMMYFUNCTION("""COMPUTED_VALUE"""),43995.0)</f>
        <v>43995</v>
      </c>
      <c r="B98" s="208">
        <f>IFERROR(__xludf.DUMMYFUNCTION("""COMPUTED_VALUE"""),113.0)</f>
        <v>113</v>
      </c>
      <c r="C98" s="208">
        <f>IFERROR(__xludf.DUMMYFUNCTION("""COMPUTED_VALUE"""),172.0)</f>
        <v>172</v>
      </c>
      <c r="D98" s="208">
        <f>IFERROR(__xludf.DUMMYFUNCTION("""COMPUTED_VALUE"""),22768.0)</f>
        <v>22768</v>
      </c>
      <c r="E98" s="208">
        <f>IFERROR(__xludf.DUMMYFUNCTION("""COMPUTED_VALUE"""),3036.0)</f>
        <v>3036</v>
      </c>
      <c r="F98" s="150">
        <f>IFERROR(__xludf.DUMMYFUNCTION("""COMPUTED_VALUE"""),185554.0)</f>
        <v>185554</v>
      </c>
      <c r="G98" s="150">
        <f>IFERROR(__xludf.DUMMYFUNCTION("""COMPUTED_VALUE"""),3149.0)</f>
        <v>3149</v>
      </c>
      <c r="H98" s="150">
        <f>IFERROR(__xludf.DUMMYFUNCTION("""COMPUTED_VALUE"""),208322.0)</f>
        <v>208322</v>
      </c>
      <c r="I98" s="208">
        <f>IFERROR(__xludf.DUMMYFUNCTION("""COMPUTED_VALUE"""),50.0)</f>
        <v>50</v>
      </c>
      <c r="J98" s="208">
        <f>IFERROR(__xludf.DUMMYFUNCTION("""COMPUTED_VALUE"""),73.0)</f>
        <v>73</v>
      </c>
      <c r="K98" s="208">
        <f>IFERROR(__xludf.DUMMYFUNCTION("""COMPUTED_VALUE"""),16156.0)</f>
        <v>16156</v>
      </c>
      <c r="L98" s="208">
        <f>IFERROR(__xludf.DUMMYFUNCTION("""COMPUTED_VALUE"""),1373.0)</f>
        <v>1373</v>
      </c>
      <c r="M98" s="208">
        <f>IFERROR(__xludf.DUMMYFUNCTION("""COMPUTED_VALUE"""),118275.0)</f>
        <v>118275</v>
      </c>
      <c r="N98" s="208">
        <f>IFERROR(__xludf.DUMMYFUNCTION("""COMPUTED_VALUE"""),134431.0)</f>
        <v>134431</v>
      </c>
      <c r="O98" s="208">
        <f>IFERROR(__xludf.DUMMYFUNCTION("""COMPUTED_VALUE"""),6.0)</f>
        <v>6</v>
      </c>
      <c r="P98" s="208">
        <f>IFERROR(__xludf.DUMMYFUNCTION("""COMPUTED_VALUE"""),1909.0)</f>
        <v>1909</v>
      </c>
      <c r="Q98" s="208">
        <f>IFERROR(__xludf.DUMMYFUNCTION("""COMPUTED_VALUE"""),4.0)</f>
        <v>4</v>
      </c>
      <c r="R98" s="208">
        <f>IFERROR(__xludf.DUMMYFUNCTION("""COMPUTED_VALUE"""),1491.0)</f>
        <v>1491</v>
      </c>
      <c r="S98" s="208">
        <f>IFERROR(__xludf.DUMMYFUNCTION("""COMPUTED_VALUE"""),0.0)</f>
        <v>0</v>
      </c>
      <c r="T98" s="208">
        <f>IFERROR(__xludf.DUMMYFUNCTION("""COMPUTED_VALUE"""),285.0)</f>
        <v>285</v>
      </c>
      <c r="U98" s="208">
        <f>IFERROR(__xludf.DUMMYFUNCTION("""COMPUTED_VALUE"""),133.0)</f>
        <v>133</v>
      </c>
      <c r="V98" s="208">
        <f>IFERROR(__xludf.DUMMYFUNCTION("""COMPUTED_VALUE"""),134.0)</f>
        <v>134</v>
      </c>
      <c r="W98" s="208">
        <f>IFERROR(__xludf.DUMMYFUNCTION("""COMPUTED_VALUE"""),20.0)</f>
        <v>20</v>
      </c>
      <c r="X98" s="208">
        <f>IFERROR(__xludf.DUMMYFUNCTION("""COMPUTED_VALUE"""),15.0)</f>
        <v>15</v>
      </c>
      <c r="Y98" s="208">
        <f>IFERROR(__xludf.DUMMYFUNCTION("""COMPUTED_VALUE"""),3.0)</f>
        <v>3</v>
      </c>
      <c r="Z98" s="208">
        <f>IFERROR(__xludf.DUMMYFUNCTION("""COMPUTED_VALUE"""),903.0)</f>
        <v>903</v>
      </c>
    </row>
    <row r="99">
      <c r="A99" s="207">
        <f>IFERROR(__xludf.DUMMYFUNCTION("""COMPUTED_VALUE"""),43996.0)</f>
        <v>43996</v>
      </c>
      <c r="B99" s="208">
        <f>IFERROR(__xludf.DUMMYFUNCTION("""COMPUTED_VALUE"""),81.0)</f>
        <v>81</v>
      </c>
      <c r="C99" s="208">
        <f>IFERROR(__xludf.DUMMYFUNCTION("""COMPUTED_VALUE"""),134.0)</f>
        <v>134</v>
      </c>
      <c r="D99" s="208">
        <f>IFERROR(__xludf.DUMMYFUNCTION("""COMPUTED_VALUE"""),22849.0)</f>
        <v>22849</v>
      </c>
      <c r="E99" s="208">
        <f>IFERROR(__xludf.DUMMYFUNCTION("""COMPUTED_VALUE"""),2046.0)</f>
        <v>2046</v>
      </c>
      <c r="F99" s="150">
        <f>IFERROR(__xludf.DUMMYFUNCTION("""COMPUTED_VALUE"""),187600.0)</f>
        <v>187600</v>
      </c>
      <c r="G99" s="150">
        <f>IFERROR(__xludf.DUMMYFUNCTION("""COMPUTED_VALUE"""),2127.0)</f>
        <v>2127</v>
      </c>
      <c r="H99" s="150">
        <f>IFERROR(__xludf.DUMMYFUNCTION("""COMPUTED_VALUE"""),210449.0)</f>
        <v>210449</v>
      </c>
      <c r="I99" s="208">
        <f>IFERROR(__xludf.DUMMYFUNCTION("""COMPUTED_VALUE"""),33.0)</f>
        <v>33</v>
      </c>
      <c r="J99" s="208">
        <f>IFERROR(__xludf.DUMMYFUNCTION("""COMPUTED_VALUE"""),55.0)</f>
        <v>55</v>
      </c>
      <c r="K99" s="208">
        <f>IFERROR(__xludf.DUMMYFUNCTION("""COMPUTED_VALUE"""),16189.0)</f>
        <v>16189</v>
      </c>
      <c r="L99" s="208">
        <f>IFERROR(__xludf.DUMMYFUNCTION("""COMPUTED_VALUE"""),968.0)</f>
        <v>968</v>
      </c>
      <c r="M99" s="208">
        <f>IFERROR(__xludf.DUMMYFUNCTION("""COMPUTED_VALUE"""),119243.0)</f>
        <v>119243</v>
      </c>
      <c r="N99" s="208">
        <f>IFERROR(__xludf.DUMMYFUNCTION("""COMPUTED_VALUE"""),135432.0)</f>
        <v>135432</v>
      </c>
      <c r="O99" s="208">
        <f>IFERROR(__xludf.DUMMYFUNCTION("""COMPUTED_VALUE"""),7.0)</f>
        <v>7</v>
      </c>
      <c r="P99" s="208">
        <f>IFERROR(__xludf.DUMMYFUNCTION("""COMPUTED_VALUE"""),1916.0)</f>
        <v>1916</v>
      </c>
      <c r="Q99" s="208">
        <f>IFERROR(__xludf.DUMMYFUNCTION("""COMPUTED_VALUE"""),8.0)</f>
        <v>8</v>
      </c>
      <c r="R99" s="208">
        <f>IFERROR(__xludf.DUMMYFUNCTION("""COMPUTED_VALUE"""),1499.0)</f>
        <v>1499</v>
      </c>
      <c r="S99" s="208">
        <f>IFERROR(__xludf.DUMMYFUNCTION("""COMPUTED_VALUE"""),1.0)</f>
        <v>1</v>
      </c>
      <c r="T99" s="208">
        <f>IFERROR(__xludf.DUMMYFUNCTION("""COMPUTED_VALUE"""),286.0)</f>
        <v>286</v>
      </c>
      <c r="U99" s="208">
        <f>IFERROR(__xludf.DUMMYFUNCTION("""COMPUTED_VALUE"""),131.0)</f>
        <v>131</v>
      </c>
      <c r="V99" s="208">
        <f>IFERROR(__xludf.DUMMYFUNCTION("""COMPUTED_VALUE"""),132.0)</f>
        <v>132</v>
      </c>
      <c r="W99" s="208">
        <f>IFERROR(__xludf.DUMMYFUNCTION("""COMPUTED_VALUE"""),20.0)</f>
        <v>20</v>
      </c>
      <c r="X99" s="208">
        <f>IFERROR(__xludf.DUMMYFUNCTION("""COMPUTED_VALUE"""),14.0)</f>
        <v>14</v>
      </c>
      <c r="Y99" s="208">
        <f>IFERROR(__xludf.DUMMYFUNCTION("""COMPUTED_VALUE"""),3.0)</f>
        <v>3</v>
      </c>
      <c r="Z99" s="208">
        <f>IFERROR(__xludf.DUMMYFUNCTION("""COMPUTED_VALUE"""),906.0)</f>
        <v>906</v>
      </c>
    </row>
    <row r="100">
      <c r="A100" s="207">
        <f>IFERROR(__xludf.DUMMYFUNCTION("""COMPUTED_VALUE"""),43997.0)</f>
        <v>43997</v>
      </c>
      <c r="B100" s="208">
        <f>IFERROR(__xludf.DUMMYFUNCTION("""COMPUTED_VALUE"""),188.0)</f>
        <v>188</v>
      </c>
      <c r="C100" s="208">
        <f>IFERROR(__xludf.DUMMYFUNCTION("""COMPUTED_VALUE"""),127.0)</f>
        <v>127</v>
      </c>
      <c r="D100" s="208">
        <f>IFERROR(__xludf.DUMMYFUNCTION("""COMPUTED_VALUE"""),23037.0)</f>
        <v>23037</v>
      </c>
      <c r="E100" s="208">
        <f>IFERROR(__xludf.DUMMYFUNCTION("""COMPUTED_VALUE"""),3108.0)</f>
        <v>3108</v>
      </c>
      <c r="F100" s="150">
        <f>IFERROR(__xludf.DUMMYFUNCTION("""COMPUTED_VALUE"""),190708.0)</f>
        <v>190708</v>
      </c>
      <c r="G100" s="150">
        <f>IFERROR(__xludf.DUMMYFUNCTION("""COMPUTED_VALUE"""),3296.0)</f>
        <v>3296</v>
      </c>
      <c r="H100" s="150">
        <f>IFERROR(__xludf.DUMMYFUNCTION("""COMPUTED_VALUE"""),213745.0)</f>
        <v>213745</v>
      </c>
      <c r="I100" s="208">
        <f>IFERROR(__xludf.DUMMYFUNCTION("""COMPUTED_VALUE"""),78.0)</f>
        <v>78</v>
      </c>
      <c r="J100" s="208">
        <f>IFERROR(__xludf.DUMMYFUNCTION("""COMPUTED_VALUE"""),54.0)</f>
        <v>54</v>
      </c>
      <c r="K100" s="208">
        <f>IFERROR(__xludf.DUMMYFUNCTION("""COMPUTED_VALUE"""),16267.0)</f>
        <v>16267</v>
      </c>
      <c r="L100" s="208">
        <f>IFERROR(__xludf.DUMMYFUNCTION("""COMPUTED_VALUE"""),1791.0)</f>
        <v>1791</v>
      </c>
      <c r="M100" s="208">
        <f>IFERROR(__xludf.DUMMYFUNCTION("""COMPUTED_VALUE"""),121034.0)</f>
        <v>121034</v>
      </c>
      <c r="N100" s="208">
        <f>IFERROR(__xludf.DUMMYFUNCTION("""COMPUTED_VALUE"""),137301.0)</f>
        <v>137301</v>
      </c>
      <c r="O100" s="208">
        <f>IFERROR(__xludf.DUMMYFUNCTION("""COMPUTED_VALUE"""),14.0)</f>
        <v>14</v>
      </c>
      <c r="P100" s="208">
        <f>IFERROR(__xludf.DUMMYFUNCTION("""COMPUTED_VALUE"""),1930.0)</f>
        <v>1930</v>
      </c>
      <c r="Q100" s="208">
        <f>IFERROR(__xludf.DUMMYFUNCTION("""COMPUTED_VALUE"""),14.0)</f>
        <v>14</v>
      </c>
      <c r="R100" s="208">
        <f>IFERROR(__xludf.DUMMYFUNCTION("""COMPUTED_VALUE"""),1513.0)</f>
        <v>1513</v>
      </c>
      <c r="S100" s="208">
        <f>IFERROR(__xludf.DUMMYFUNCTION("""COMPUTED_VALUE"""),0.0)</f>
        <v>0</v>
      </c>
      <c r="T100" s="208">
        <f>IFERROR(__xludf.DUMMYFUNCTION("""COMPUTED_VALUE"""),286.0)</f>
        <v>286</v>
      </c>
      <c r="U100" s="208">
        <f>IFERROR(__xludf.DUMMYFUNCTION("""COMPUTED_VALUE"""),131.0)</f>
        <v>131</v>
      </c>
      <c r="V100" s="208">
        <f>IFERROR(__xludf.DUMMYFUNCTION("""COMPUTED_VALUE"""),132.0)</f>
        <v>132</v>
      </c>
      <c r="W100" s="208">
        <f>IFERROR(__xludf.DUMMYFUNCTION("""COMPUTED_VALUE"""),20.0)</f>
        <v>20</v>
      </c>
      <c r="X100" s="208">
        <f>IFERROR(__xludf.DUMMYFUNCTION("""COMPUTED_VALUE"""),16.0)</f>
        <v>16</v>
      </c>
      <c r="Y100" s="208">
        <f>IFERROR(__xludf.DUMMYFUNCTION("""COMPUTED_VALUE"""),5.0)</f>
        <v>5</v>
      </c>
      <c r="Z100" s="208">
        <f>IFERROR(__xludf.DUMMYFUNCTION("""COMPUTED_VALUE"""),911.0)</f>
        <v>911</v>
      </c>
    </row>
    <row r="101">
      <c r="A101" s="207">
        <f>IFERROR(__xludf.DUMMYFUNCTION("""COMPUTED_VALUE"""),43998.0)</f>
        <v>43998</v>
      </c>
      <c r="B101" s="208">
        <f>IFERROR(__xludf.DUMMYFUNCTION("""COMPUTED_VALUE"""),110.0)</f>
        <v>110</v>
      </c>
      <c r="C101" s="208">
        <f>IFERROR(__xludf.DUMMYFUNCTION("""COMPUTED_VALUE"""),126.0)</f>
        <v>126</v>
      </c>
      <c r="D101" s="208">
        <f>IFERROR(__xludf.DUMMYFUNCTION("""COMPUTED_VALUE"""),23147.0)</f>
        <v>23147</v>
      </c>
      <c r="E101" s="208">
        <f>IFERROR(__xludf.DUMMYFUNCTION("""COMPUTED_VALUE"""),3017.0)</f>
        <v>3017</v>
      </c>
      <c r="F101" s="150">
        <f>IFERROR(__xludf.DUMMYFUNCTION("""COMPUTED_VALUE"""),193725.0)</f>
        <v>193725</v>
      </c>
      <c r="G101" s="150">
        <f>IFERROR(__xludf.DUMMYFUNCTION("""COMPUTED_VALUE"""),3127.0)</f>
        <v>3127</v>
      </c>
      <c r="H101" s="150">
        <f>IFERROR(__xludf.DUMMYFUNCTION("""COMPUTED_VALUE"""),216872.0)</f>
        <v>216872</v>
      </c>
      <c r="I101" s="208">
        <f>IFERROR(__xludf.DUMMYFUNCTION("""COMPUTED_VALUE"""),52.0)</f>
        <v>52</v>
      </c>
      <c r="J101" s="208">
        <f>IFERROR(__xludf.DUMMYFUNCTION("""COMPUTED_VALUE"""),54.0)</f>
        <v>54</v>
      </c>
      <c r="K101" s="208">
        <f>IFERROR(__xludf.DUMMYFUNCTION("""COMPUTED_VALUE"""),16319.0)</f>
        <v>16319</v>
      </c>
      <c r="L101" s="208">
        <f>IFERROR(__xludf.DUMMYFUNCTION("""COMPUTED_VALUE"""),1578.0)</f>
        <v>1578</v>
      </c>
      <c r="M101" s="208">
        <f>IFERROR(__xludf.DUMMYFUNCTION("""COMPUTED_VALUE"""),122612.0)</f>
        <v>122612</v>
      </c>
      <c r="N101" s="208">
        <f>IFERROR(__xludf.DUMMYFUNCTION("""COMPUTED_VALUE"""),138931.0)</f>
        <v>138931</v>
      </c>
      <c r="O101" s="208">
        <f>IFERROR(__xludf.DUMMYFUNCTION("""COMPUTED_VALUE"""),10.0)</f>
        <v>10</v>
      </c>
      <c r="P101" s="208">
        <f>IFERROR(__xludf.DUMMYFUNCTION("""COMPUTED_VALUE"""),1940.0)</f>
        <v>1940</v>
      </c>
      <c r="Q101" s="208">
        <f>IFERROR(__xludf.DUMMYFUNCTION("""COMPUTED_VALUE"""),9.0)</f>
        <v>9</v>
      </c>
      <c r="R101" s="208">
        <f>IFERROR(__xludf.DUMMYFUNCTION("""COMPUTED_VALUE"""),1522.0)</f>
        <v>1522</v>
      </c>
      <c r="S101" s="208">
        <f>IFERROR(__xludf.DUMMYFUNCTION("""COMPUTED_VALUE"""),1.0)</f>
        <v>1</v>
      </c>
      <c r="T101" s="208">
        <f>IFERROR(__xludf.DUMMYFUNCTION("""COMPUTED_VALUE"""),287.0)</f>
        <v>287</v>
      </c>
      <c r="U101" s="208">
        <f>IFERROR(__xludf.DUMMYFUNCTION("""COMPUTED_VALUE"""),131.0)</f>
        <v>131</v>
      </c>
      <c r="V101" s="208">
        <f>IFERROR(__xludf.DUMMYFUNCTION("""COMPUTED_VALUE"""),131.0)</f>
        <v>131</v>
      </c>
      <c r="W101" s="208">
        <f>IFERROR(__xludf.DUMMYFUNCTION("""COMPUTED_VALUE"""),22.0)</f>
        <v>22</v>
      </c>
      <c r="X101" s="208">
        <f>IFERROR(__xludf.DUMMYFUNCTION("""COMPUTED_VALUE"""),16.0)</f>
        <v>16</v>
      </c>
      <c r="Y101" s="208">
        <f>IFERROR(__xludf.DUMMYFUNCTION("""COMPUTED_VALUE"""),8.0)</f>
        <v>8</v>
      </c>
      <c r="Z101" s="208">
        <f>IFERROR(__xludf.DUMMYFUNCTION("""COMPUTED_VALUE"""),919.0)</f>
        <v>919</v>
      </c>
    </row>
    <row r="102">
      <c r="A102" s="207">
        <f>IFERROR(__xludf.DUMMYFUNCTION("""COMPUTED_VALUE"""),43999.0)</f>
        <v>43999</v>
      </c>
      <c r="B102" s="208">
        <f>IFERROR(__xludf.DUMMYFUNCTION("""COMPUTED_VALUE"""),127.0)</f>
        <v>127</v>
      </c>
      <c r="C102" s="208">
        <f>IFERROR(__xludf.DUMMYFUNCTION("""COMPUTED_VALUE"""),142.0)</f>
        <v>142</v>
      </c>
      <c r="D102" s="208">
        <f>IFERROR(__xludf.DUMMYFUNCTION("""COMPUTED_VALUE"""),23274.0)</f>
        <v>23274</v>
      </c>
      <c r="E102" s="208">
        <f>IFERROR(__xludf.DUMMYFUNCTION("""COMPUTED_VALUE"""),2835.0)</f>
        <v>2835</v>
      </c>
      <c r="F102" s="150">
        <f>IFERROR(__xludf.DUMMYFUNCTION("""COMPUTED_VALUE"""),196560.0)</f>
        <v>196560</v>
      </c>
      <c r="G102" s="150">
        <f>IFERROR(__xludf.DUMMYFUNCTION("""COMPUTED_VALUE"""),2962.0)</f>
        <v>2962</v>
      </c>
      <c r="H102" s="150">
        <f>IFERROR(__xludf.DUMMYFUNCTION("""COMPUTED_VALUE"""),219834.0)</f>
        <v>219834</v>
      </c>
      <c r="I102" s="208">
        <f>IFERROR(__xludf.DUMMYFUNCTION("""COMPUTED_VALUE"""),53.0)</f>
        <v>53</v>
      </c>
      <c r="J102" s="208">
        <f>IFERROR(__xludf.DUMMYFUNCTION("""COMPUTED_VALUE"""),61.0)</f>
        <v>61</v>
      </c>
      <c r="K102" s="208">
        <f>IFERROR(__xludf.DUMMYFUNCTION("""COMPUTED_VALUE"""),16372.0)</f>
        <v>16372</v>
      </c>
      <c r="L102" s="208">
        <f>IFERROR(__xludf.DUMMYFUNCTION("""COMPUTED_VALUE"""),1320.0)</f>
        <v>1320</v>
      </c>
      <c r="M102" s="208">
        <f>IFERROR(__xludf.DUMMYFUNCTION("""COMPUTED_VALUE"""),123932.0)</f>
        <v>123932</v>
      </c>
      <c r="N102" s="208">
        <f>IFERROR(__xludf.DUMMYFUNCTION("""COMPUTED_VALUE"""),140304.0)</f>
        <v>140304</v>
      </c>
      <c r="O102" s="208">
        <f>IFERROR(__xludf.DUMMYFUNCTION("""COMPUTED_VALUE"""),15.0)</f>
        <v>15</v>
      </c>
      <c r="P102" s="208">
        <f>IFERROR(__xludf.DUMMYFUNCTION("""COMPUTED_VALUE"""),1955.0)</f>
        <v>1955</v>
      </c>
      <c r="Q102" s="208">
        <f>IFERROR(__xludf.DUMMYFUNCTION("""COMPUTED_VALUE"""),20.0)</f>
        <v>20</v>
      </c>
      <c r="R102" s="208">
        <f>IFERROR(__xludf.DUMMYFUNCTION("""COMPUTED_VALUE"""),1542.0)</f>
        <v>1542</v>
      </c>
      <c r="S102" s="208">
        <f>IFERROR(__xludf.DUMMYFUNCTION("""COMPUTED_VALUE"""),4.0)</f>
        <v>4</v>
      </c>
      <c r="T102" s="208">
        <f>IFERROR(__xludf.DUMMYFUNCTION("""COMPUTED_VALUE"""),291.0)</f>
        <v>291</v>
      </c>
      <c r="U102" s="208">
        <f>IFERROR(__xludf.DUMMYFUNCTION("""COMPUTED_VALUE"""),122.0)</f>
        <v>122</v>
      </c>
      <c r="V102" s="208">
        <f>IFERROR(__xludf.DUMMYFUNCTION("""COMPUTED_VALUE"""),128.0)</f>
        <v>128</v>
      </c>
      <c r="W102" s="208">
        <f>IFERROR(__xludf.DUMMYFUNCTION("""COMPUTED_VALUE"""),18.0)</f>
        <v>18</v>
      </c>
      <c r="X102" s="208">
        <f>IFERROR(__xludf.DUMMYFUNCTION("""COMPUTED_VALUE"""),14.0)</f>
        <v>14</v>
      </c>
      <c r="Y102" s="208">
        <f>IFERROR(__xludf.DUMMYFUNCTION("""COMPUTED_VALUE"""),6.0)</f>
        <v>6</v>
      </c>
      <c r="Z102" s="208">
        <f>IFERROR(__xludf.DUMMYFUNCTION("""COMPUTED_VALUE"""),925.0)</f>
        <v>925</v>
      </c>
    </row>
    <row r="103">
      <c r="A103" s="207">
        <f>IFERROR(__xludf.DUMMYFUNCTION("""COMPUTED_VALUE"""),44000.0)</f>
        <v>44000</v>
      </c>
      <c r="B103" s="208">
        <f>IFERROR(__xludf.DUMMYFUNCTION("""COMPUTED_VALUE"""),149.0)</f>
        <v>149</v>
      </c>
      <c r="C103" s="208">
        <f>IFERROR(__xludf.DUMMYFUNCTION("""COMPUTED_VALUE"""),129.0)</f>
        <v>129</v>
      </c>
      <c r="D103" s="208">
        <f>IFERROR(__xludf.DUMMYFUNCTION("""COMPUTED_VALUE"""),23423.0)</f>
        <v>23423</v>
      </c>
      <c r="E103" s="208">
        <f>IFERROR(__xludf.DUMMYFUNCTION("""COMPUTED_VALUE"""),3047.0)</f>
        <v>3047</v>
      </c>
      <c r="F103" s="150">
        <f>IFERROR(__xludf.DUMMYFUNCTION("""COMPUTED_VALUE"""),199607.0)</f>
        <v>199607</v>
      </c>
      <c r="G103" s="150">
        <f>IFERROR(__xludf.DUMMYFUNCTION("""COMPUTED_VALUE"""),3196.0)</f>
        <v>3196</v>
      </c>
      <c r="H103" s="150">
        <f>IFERROR(__xludf.DUMMYFUNCTION("""COMPUTED_VALUE"""),223030.0)</f>
        <v>223030</v>
      </c>
      <c r="I103" s="208">
        <f>IFERROR(__xludf.DUMMYFUNCTION("""COMPUTED_VALUE"""),70.0)</f>
        <v>70</v>
      </c>
      <c r="J103" s="208">
        <f>IFERROR(__xludf.DUMMYFUNCTION("""COMPUTED_VALUE"""),58.0)</f>
        <v>58</v>
      </c>
      <c r="K103" s="208">
        <f>IFERROR(__xludf.DUMMYFUNCTION("""COMPUTED_VALUE"""),16442.0)</f>
        <v>16442</v>
      </c>
      <c r="L103" s="208">
        <f>IFERROR(__xludf.DUMMYFUNCTION("""COMPUTED_VALUE"""),1315.0)</f>
        <v>1315</v>
      </c>
      <c r="M103" s="208">
        <f>IFERROR(__xludf.DUMMYFUNCTION("""COMPUTED_VALUE"""),125247.0)</f>
        <v>125247</v>
      </c>
      <c r="N103" s="208">
        <f>IFERROR(__xludf.DUMMYFUNCTION("""COMPUTED_VALUE"""),141689.0)</f>
        <v>141689</v>
      </c>
      <c r="O103" s="208">
        <f>IFERROR(__xludf.DUMMYFUNCTION("""COMPUTED_VALUE"""),9.0)</f>
        <v>9</v>
      </c>
      <c r="P103" s="208">
        <f>IFERROR(__xludf.DUMMYFUNCTION("""COMPUTED_VALUE"""),1964.0)</f>
        <v>1964</v>
      </c>
      <c r="Q103" s="208">
        <f>IFERROR(__xludf.DUMMYFUNCTION("""COMPUTED_VALUE"""),13.0)</f>
        <v>13</v>
      </c>
      <c r="R103" s="208">
        <f>IFERROR(__xludf.DUMMYFUNCTION("""COMPUTED_VALUE"""),1555.0)</f>
        <v>1555</v>
      </c>
      <c r="S103" s="208">
        <f>IFERROR(__xludf.DUMMYFUNCTION("""COMPUTED_VALUE"""),1.0)</f>
        <v>1</v>
      </c>
      <c r="T103" s="208">
        <f>IFERROR(__xludf.DUMMYFUNCTION("""COMPUTED_VALUE"""),292.0)</f>
        <v>292</v>
      </c>
      <c r="U103" s="208">
        <f>IFERROR(__xludf.DUMMYFUNCTION("""COMPUTED_VALUE"""),117.0)</f>
        <v>117</v>
      </c>
      <c r="V103" s="208">
        <f>IFERROR(__xludf.DUMMYFUNCTION("""COMPUTED_VALUE"""),123.0)</f>
        <v>123</v>
      </c>
      <c r="W103" s="208">
        <f>IFERROR(__xludf.DUMMYFUNCTION("""COMPUTED_VALUE"""),19.0)</f>
        <v>19</v>
      </c>
      <c r="X103" s="208">
        <f>IFERROR(__xludf.DUMMYFUNCTION("""COMPUTED_VALUE"""),16.0)</f>
        <v>16</v>
      </c>
      <c r="Y103" s="208">
        <f>IFERROR(__xludf.DUMMYFUNCTION("""COMPUTED_VALUE"""),7.0)</f>
        <v>7</v>
      </c>
      <c r="Z103" s="208">
        <f>IFERROR(__xludf.DUMMYFUNCTION("""COMPUTED_VALUE"""),932.0)</f>
        <v>932</v>
      </c>
    </row>
    <row r="104">
      <c r="A104" s="207">
        <f>IFERROR(__xludf.DUMMYFUNCTION("""COMPUTED_VALUE"""),44001.0)</f>
        <v>44001</v>
      </c>
      <c r="B104" s="208">
        <f>IFERROR(__xludf.DUMMYFUNCTION("""COMPUTED_VALUE"""),141.0)</f>
        <v>141</v>
      </c>
      <c r="C104" s="208">
        <f>IFERROR(__xludf.DUMMYFUNCTION("""COMPUTED_VALUE"""),139.0)</f>
        <v>139</v>
      </c>
      <c r="D104" s="208">
        <f>IFERROR(__xludf.DUMMYFUNCTION("""COMPUTED_VALUE"""),23564.0)</f>
        <v>23564</v>
      </c>
      <c r="E104" s="208">
        <f>IFERROR(__xludf.DUMMYFUNCTION("""COMPUTED_VALUE"""),3769.0)</f>
        <v>3769</v>
      </c>
      <c r="F104" s="150">
        <f>IFERROR(__xludf.DUMMYFUNCTION("""COMPUTED_VALUE"""),203376.0)</f>
        <v>203376</v>
      </c>
      <c r="G104" s="150">
        <f>IFERROR(__xludf.DUMMYFUNCTION("""COMPUTED_VALUE"""),3910.0)</f>
        <v>3910</v>
      </c>
      <c r="H104" s="150">
        <f>IFERROR(__xludf.DUMMYFUNCTION("""COMPUTED_VALUE"""),226940.0)</f>
        <v>226940</v>
      </c>
      <c r="I104" s="208">
        <f>IFERROR(__xludf.DUMMYFUNCTION("""COMPUTED_VALUE"""),59.0)</f>
        <v>59</v>
      </c>
      <c r="J104" s="208">
        <f>IFERROR(__xludf.DUMMYFUNCTION("""COMPUTED_VALUE"""),61.0)</f>
        <v>61</v>
      </c>
      <c r="K104" s="208">
        <f>IFERROR(__xludf.DUMMYFUNCTION("""COMPUTED_VALUE"""),16501.0)</f>
        <v>16501</v>
      </c>
      <c r="L104" s="208">
        <f>IFERROR(__xludf.DUMMYFUNCTION("""COMPUTED_VALUE"""),1372.0)</f>
        <v>1372</v>
      </c>
      <c r="M104" s="208">
        <f>IFERROR(__xludf.DUMMYFUNCTION("""COMPUTED_VALUE"""),126619.0)</f>
        <v>126619</v>
      </c>
      <c r="N104" s="208">
        <f>IFERROR(__xludf.DUMMYFUNCTION("""COMPUTED_VALUE"""),143120.0)</f>
        <v>143120</v>
      </c>
      <c r="O104" s="208">
        <f>IFERROR(__xludf.DUMMYFUNCTION("""COMPUTED_VALUE"""),12.0)</f>
        <v>12</v>
      </c>
      <c r="P104" s="208">
        <f>IFERROR(__xludf.DUMMYFUNCTION("""COMPUTED_VALUE"""),1976.0)</f>
        <v>1976</v>
      </c>
      <c r="Q104" s="208">
        <f>IFERROR(__xludf.DUMMYFUNCTION("""COMPUTED_VALUE"""),11.0)</f>
        <v>11</v>
      </c>
      <c r="R104" s="208">
        <f>IFERROR(__xludf.DUMMYFUNCTION("""COMPUTED_VALUE"""),1566.0)</f>
        <v>1566</v>
      </c>
      <c r="S104" s="208">
        <f>IFERROR(__xludf.DUMMYFUNCTION("""COMPUTED_VALUE"""),1.0)</f>
        <v>1</v>
      </c>
      <c r="T104" s="208">
        <f>IFERROR(__xludf.DUMMYFUNCTION("""COMPUTED_VALUE"""),293.0)</f>
        <v>293</v>
      </c>
      <c r="U104" s="208">
        <f>IFERROR(__xludf.DUMMYFUNCTION("""COMPUTED_VALUE"""),117.0)</f>
        <v>117</v>
      </c>
      <c r="V104" s="208">
        <f>IFERROR(__xludf.DUMMYFUNCTION("""COMPUTED_VALUE"""),119.0)</f>
        <v>119</v>
      </c>
      <c r="W104" s="208">
        <f>IFERROR(__xludf.DUMMYFUNCTION("""COMPUTED_VALUE"""),20.0)</f>
        <v>20</v>
      </c>
      <c r="X104" s="208">
        <f>IFERROR(__xludf.DUMMYFUNCTION("""COMPUTED_VALUE"""),17.0)</f>
        <v>17</v>
      </c>
      <c r="Y104" s="208">
        <f>IFERROR(__xludf.DUMMYFUNCTION("""COMPUTED_VALUE"""),3.0)</f>
        <v>3</v>
      </c>
      <c r="Z104" s="208">
        <f>IFERROR(__xludf.DUMMYFUNCTION("""COMPUTED_VALUE"""),935.0)</f>
        <v>935</v>
      </c>
    </row>
    <row r="105">
      <c r="A105" s="207">
        <f>IFERROR(__xludf.DUMMYFUNCTION("""COMPUTED_VALUE"""),44002.0)</f>
        <v>44002</v>
      </c>
      <c r="B105" s="208">
        <f>IFERROR(__xludf.DUMMYFUNCTION("""COMPUTED_VALUE"""),84.0)</f>
        <v>84</v>
      </c>
      <c r="C105" s="208">
        <f>IFERROR(__xludf.DUMMYFUNCTION("""COMPUTED_VALUE"""),125.0)</f>
        <v>125</v>
      </c>
      <c r="D105" s="208">
        <f>IFERROR(__xludf.DUMMYFUNCTION("""COMPUTED_VALUE"""),23648.0)</f>
        <v>23648</v>
      </c>
      <c r="E105" s="208">
        <f>IFERROR(__xludf.DUMMYFUNCTION("""COMPUTED_VALUE"""),1891.0)</f>
        <v>1891</v>
      </c>
      <c r="F105" s="150">
        <f>IFERROR(__xludf.DUMMYFUNCTION("""COMPUTED_VALUE"""),205267.0)</f>
        <v>205267</v>
      </c>
      <c r="G105" s="150">
        <f>IFERROR(__xludf.DUMMYFUNCTION("""COMPUTED_VALUE"""),1975.0)</f>
        <v>1975</v>
      </c>
      <c r="H105" s="150">
        <f>IFERROR(__xludf.DUMMYFUNCTION("""COMPUTED_VALUE"""),228915.0)</f>
        <v>228915</v>
      </c>
      <c r="I105" s="208">
        <f>IFERROR(__xludf.DUMMYFUNCTION("""COMPUTED_VALUE"""),36.0)</f>
        <v>36</v>
      </c>
      <c r="J105" s="208">
        <f>IFERROR(__xludf.DUMMYFUNCTION("""COMPUTED_VALUE"""),55.0)</f>
        <v>55</v>
      </c>
      <c r="K105" s="208">
        <f>IFERROR(__xludf.DUMMYFUNCTION("""COMPUTED_VALUE"""),16537.0)</f>
        <v>16537</v>
      </c>
      <c r="L105" s="208">
        <f>IFERROR(__xludf.DUMMYFUNCTION("""COMPUTED_VALUE"""),813.0)</f>
        <v>813</v>
      </c>
      <c r="M105" s="208">
        <f>IFERROR(__xludf.DUMMYFUNCTION("""COMPUTED_VALUE"""),127432.0)</f>
        <v>127432</v>
      </c>
      <c r="N105" s="208">
        <f>IFERROR(__xludf.DUMMYFUNCTION("""COMPUTED_VALUE"""),143969.0)</f>
        <v>143969</v>
      </c>
      <c r="O105" s="208">
        <f>IFERROR(__xludf.DUMMYFUNCTION("""COMPUTED_VALUE"""),9.0)</f>
        <v>9</v>
      </c>
      <c r="P105" s="208">
        <f>IFERROR(__xludf.DUMMYFUNCTION("""COMPUTED_VALUE"""),1985.0)</f>
        <v>1985</v>
      </c>
      <c r="Q105" s="208">
        <f>IFERROR(__xludf.DUMMYFUNCTION("""COMPUTED_VALUE"""),12.0)</f>
        <v>12</v>
      </c>
      <c r="R105" s="208">
        <f>IFERROR(__xludf.DUMMYFUNCTION("""COMPUTED_VALUE"""),1578.0)</f>
        <v>1578</v>
      </c>
      <c r="S105" s="208">
        <f>IFERROR(__xludf.DUMMYFUNCTION("""COMPUTED_VALUE"""),0.0)</f>
        <v>0</v>
      </c>
      <c r="T105" s="208">
        <f>IFERROR(__xludf.DUMMYFUNCTION("""COMPUTED_VALUE"""),293.0)</f>
        <v>293</v>
      </c>
      <c r="U105" s="208">
        <f>IFERROR(__xludf.DUMMYFUNCTION("""COMPUTED_VALUE"""),114.0)</f>
        <v>114</v>
      </c>
      <c r="V105" s="208">
        <f>IFERROR(__xludf.DUMMYFUNCTION("""COMPUTED_VALUE"""),116.0)</f>
        <v>116</v>
      </c>
      <c r="W105" s="208">
        <f>IFERROR(__xludf.DUMMYFUNCTION("""COMPUTED_VALUE"""),20.0)</f>
        <v>20</v>
      </c>
      <c r="X105" s="208">
        <f>IFERROR(__xludf.DUMMYFUNCTION("""COMPUTED_VALUE"""),18.0)</f>
        <v>18</v>
      </c>
      <c r="Y105" s="208">
        <f>IFERROR(__xludf.DUMMYFUNCTION("""COMPUTED_VALUE"""),4.0)</f>
        <v>4</v>
      </c>
      <c r="Z105" s="208">
        <f>IFERROR(__xludf.DUMMYFUNCTION("""COMPUTED_VALUE"""),939.0)</f>
        <v>939</v>
      </c>
    </row>
    <row r="106">
      <c r="A106" s="207">
        <f>IFERROR(__xludf.DUMMYFUNCTION("""COMPUTED_VALUE"""),44003.0)</f>
        <v>44003</v>
      </c>
      <c r="B106" s="208">
        <f>IFERROR(__xludf.DUMMYFUNCTION("""COMPUTED_VALUE"""),37.0)</f>
        <v>37</v>
      </c>
      <c r="C106" s="208">
        <f>IFERROR(__xludf.DUMMYFUNCTION("""COMPUTED_VALUE"""),87.0)</f>
        <v>87</v>
      </c>
      <c r="D106" s="208">
        <f>IFERROR(__xludf.DUMMYFUNCTION("""COMPUTED_VALUE"""),23685.0)</f>
        <v>23685</v>
      </c>
      <c r="E106" s="208">
        <f>IFERROR(__xludf.DUMMYFUNCTION("""COMPUTED_VALUE"""),1064.0)</f>
        <v>1064</v>
      </c>
      <c r="F106" s="150">
        <f>IFERROR(__xludf.DUMMYFUNCTION("""COMPUTED_VALUE"""),206331.0)</f>
        <v>206331</v>
      </c>
      <c r="G106" s="150">
        <f>IFERROR(__xludf.DUMMYFUNCTION("""COMPUTED_VALUE"""),1101.0)</f>
        <v>1101</v>
      </c>
      <c r="H106" s="150">
        <f>IFERROR(__xludf.DUMMYFUNCTION("""COMPUTED_VALUE"""),230016.0)</f>
        <v>230016</v>
      </c>
      <c r="I106" s="208">
        <f>IFERROR(__xludf.DUMMYFUNCTION("""COMPUTED_VALUE"""),28.0)</f>
        <v>28</v>
      </c>
      <c r="J106" s="208">
        <f>IFERROR(__xludf.DUMMYFUNCTION("""COMPUTED_VALUE"""),41.0)</f>
        <v>41</v>
      </c>
      <c r="K106" s="208">
        <f>IFERROR(__xludf.DUMMYFUNCTION("""COMPUTED_VALUE"""),16565.0)</f>
        <v>16565</v>
      </c>
      <c r="L106" s="208">
        <f>IFERROR(__xludf.DUMMYFUNCTION("""COMPUTED_VALUE"""),692.0)</f>
        <v>692</v>
      </c>
      <c r="M106" s="208">
        <f>IFERROR(__xludf.DUMMYFUNCTION("""COMPUTED_VALUE"""),128124.0)</f>
        <v>128124</v>
      </c>
      <c r="N106" s="208">
        <f>IFERROR(__xludf.DUMMYFUNCTION("""COMPUTED_VALUE"""),144689.0)</f>
        <v>144689</v>
      </c>
      <c r="O106" s="208">
        <f>IFERROR(__xludf.DUMMYFUNCTION("""COMPUTED_VALUE"""),8.0)</f>
        <v>8</v>
      </c>
      <c r="P106" s="208">
        <f>IFERROR(__xludf.DUMMYFUNCTION("""COMPUTED_VALUE"""),1993.0)</f>
        <v>1993</v>
      </c>
      <c r="Q106" s="208">
        <f>IFERROR(__xludf.DUMMYFUNCTION("""COMPUTED_VALUE"""),5.0)</f>
        <v>5</v>
      </c>
      <c r="R106" s="208">
        <f>IFERROR(__xludf.DUMMYFUNCTION("""COMPUTED_VALUE"""),1583.0)</f>
        <v>1583</v>
      </c>
      <c r="S106" s="208">
        <f>IFERROR(__xludf.DUMMYFUNCTION("""COMPUTED_VALUE"""),0.0)</f>
        <v>0</v>
      </c>
      <c r="T106" s="208">
        <f>IFERROR(__xludf.DUMMYFUNCTION("""COMPUTED_VALUE"""),293.0)</f>
        <v>293</v>
      </c>
      <c r="U106" s="208">
        <f>IFERROR(__xludf.DUMMYFUNCTION("""COMPUTED_VALUE"""),117.0)</f>
        <v>117</v>
      </c>
      <c r="V106" s="208">
        <f>IFERROR(__xludf.DUMMYFUNCTION("""COMPUTED_VALUE"""),116.0)</f>
        <v>116</v>
      </c>
      <c r="W106" s="208">
        <f>IFERROR(__xludf.DUMMYFUNCTION("""COMPUTED_VALUE"""),20.0)</f>
        <v>20</v>
      </c>
      <c r="X106" s="208">
        <f>IFERROR(__xludf.DUMMYFUNCTION("""COMPUTED_VALUE"""),18.0)</f>
        <v>18</v>
      </c>
      <c r="Y106" s="208">
        <f>IFERROR(__xludf.DUMMYFUNCTION("""COMPUTED_VALUE"""),2.0)</f>
        <v>2</v>
      </c>
      <c r="Z106" s="208">
        <f>IFERROR(__xludf.DUMMYFUNCTION("""COMPUTED_VALUE"""),941.0)</f>
        <v>941</v>
      </c>
    </row>
    <row r="107">
      <c r="A107" s="207">
        <f>IFERROR(__xludf.DUMMYFUNCTION("""COMPUTED_VALUE"""),44004.0)</f>
        <v>44004</v>
      </c>
      <c r="B107" s="208">
        <f>IFERROR(__xludf.DUMMYFUNCTION("""COMPUTED_VALUE"""),138.0)</f>
        <v>138</v>
      </c>
      <c r="C107" s="208">
        <f>IFERROR(__xludf.DUMMYFUNCTION("""COMPUTED_VALUE"""),86.0)</f>
        <v>86</v>
      </c>
      <c r="D107" s="208">
        <f>IFERROR(__xludf.DUMMYFUNCTION("""COMPUTED_VALUE"""),23823.0)</f>
        <v>23823</v>
      </c>
      <c r="E107" s="208">
        <f>IFERROR(__xludf.DUMMYFUNCTION("""COMPUTED_VALUE"""),3730.0)</f>
        <v>3730</v>
      </c>
      <c r="F107" s="150">
        <f>IFERROR(__xludf.DUMMYFUNCTION("""COMPUTED_VALUE"""),210061.0)</f>
        <v>210061</v>
      </c>
      <c r="G107" s="150">
        <f>IFERROR(__xludf.DUMMYFUNCTION("""COMPUTED_VALUE"""),3868.0)</f>
        <v>3868</v>
      </c>
      <c r="H107" s="150">
        <f>IFERROR(__xludf.DUMMYFUNCTION("""COMPUTED_VALUE"""),233884.0)</f>
        <v>233884</v>
      </c>
      <c r="I107" s="208">
        <f>IFERROR(__xludf.DUMMYFUNCTION("""COMPUTED_VALUE"""),69.0)</f>
        <v>69</v>
      </c>
      <c r="J107" s="208">
        <f>IFERROR(__xludf.DUMMYFUNCTION("""COMPUTED_VALUE"""),44.0)</f>
        <v>44</v>
      </c>
      <c r="K107" s="208">
        <f>IFERROR(__xludf.DUMMYFUNCTION("""COMPUTED_VALUE"""),16634.0)</f>
        <v>16634</v>
      </c>
      <c r="L107" s="208">
        <f>IFERROR(__xludf.DUMMYFUNCTION("""COMPUTED_VALUE"""),1708.0)</f>
        <v>1708</v>
      </c>
      <c r="M107" s="208">
        <f>IFERROR(__xludf.DUMMYFUNCTION("""COMPUTED_VALUE"""),129832.0)</f>
        <v>129832</v>
      </c>
      <c r="N107" s="208">
        <f>IFERROR(__xludf.DUMMYFUNCTION("""COMPUTED_VALUE"""),146466.0)</f>
        <v>146466</v>
      </c>
      <c r="O107" s="208">
        <f>IFERROR(__xludf.DUMMYFUNCTION("""COMPUTED_VALUE"""),12.0)</f>
        <v>12</v>
      </c>
      <c r="P107" s="208">
        <f>IFERROR(__xludf.DUMMYFUNCTION("""COMPUTED_VALUE"""),2005.0)</f>
        <v>2005</v>
      </c>
      <c r="Q107" s="208">
        <f>IFERROR(__xludf.DUMMYFUNCTION("""COMPUTED_VALUE"""),16.0)</f>
        <v>16</v>
      </c>
      <c r="R107" s="208">
        <f>IFERROR(__xludf.DUMMYFUNCTION("""COMPUTED_VALUE"""),1599.0)</f>
        <v>1599</v>
      </c>
      <c r="S107" s="208">
        <f>IFERROR(__xludf.DUMMYFUNCTION("""COMPUTED_VALUE"""),0.0)</f>
        <v>0</v>
      </c>
      <c r="T107" s="208">
        <f>IFERROR(__xludf.DUMMYFUNCTION("""COMPUTED_VALUE"""),293.0)</f>
        <v>293</v>
      </c>
      <c r="U107" s="208">
        <f>IFERROR(__xludf.DUMMYFUNCTION("""COMPUTED_VALUE"""),113.0)</f>
        <v>113</v>
      </c>
      <c r="V107" s="208">
        <f>IFERROR(__xludf.DUMMYFUNCTION("""COMPUTED_VALUE"""),115.0)</f>
        <v>115</v>
      </c>
      <c r="W107" s="208">
        <f>IFERROR(__xludf.DUMMYFUNCTION("""COMPUTED_VALUE"""),19.0)</f>
        <v>19</v>
      </c>
      <c r="X107" s="208">
        <f>IFERROR(__xludf.DUMMYFUNCTION("""COMPUTED_VALUE"""),18.0)</f>
        <v>18</v>
      </c>
      <c r="Y107" s="208">
        <f>IFERROR(__xludf.DUMMYFUNCTION("""COMPUTED_VALUE"""),1.0)</f>
        <v>1</v>
      </c>
      <c r="Z107" s="208">
        <f>IFERROR(__xludf.DUMMYFUNCTION("""COMPUTED_VALUE"""),942.0)</f>
        <v>942</v>
      </c>
    </row>
    <row r="108">
      <c r="A108" s="207">
        <f>IFERROR(__xludf.DUMMYFUNCTION("""COMPUTED_VALUE"""),44005.0)</f>
        <v>44005</v>
      </c>
      <c r="B108" s="208">
        <f>IFERROR(__xludf.DUMMYFUNCTION("""COMPUTED_VALUE"""),163.0)</f>
        <v>163</v>
      </c>
      <c r="C108" s="208">
        <f>IFERROR(__xludf.DUMMYFUNCTION("""COMPUTED_VALUE"""),113.0)</f>
        <v>113</v>
      </c>
      <c r="D108" s="208">
        <f>IFERROR(__xludf.DUMMYFUNCTION("""COMPUTED_VALUE"""),23986.0)</f>
        <v>23986</v>
      </c>
      <c r="E108" s="208">
        <f>IFERROR(__xludf.DUMMYFUNCTION("""COMPUTED_VALUE"""),3831.0)</f>
        <v>3831</v>
      </c>
      <c r="F108" s="150">
        <f>IFERROR(__xludf.DUMMYFUNCTION("""COMPUTED_VALUE"""),213892.0)</f>
        <v>213892</v>
      </c>
      <c r="G108" s="150">
        <f>IFERROR(__xludf.DUMMYFUNCTION("""COMPUTED_VALUE"""),3994.0)</f>
        <v>3994</v>
      </c>
      <c r="H108" s="150">
        <f>IFERROR(__xludf.DUMMYFUNCTION("""COMPUTED_VALUE"""),237878.0)</f>
        <v>237878</v>
      </c>
      <c r="I108" s="208">
        <f>IFERROR(__xludf.DUMMYFUNCTION("""COMPUTED_VALUE"""),83.0)</f>
        <v>83</v>
      </c>
      <c r="J108" s="208">
        <f>IFERROR(__xludf.DUMMYFUNCTION("""COMPUTED_VALUE"""),60.0)</f>
        <v>60</v>
      </c>
      <c r="K108" s="208">
        <f>IFERROR(__xludf.DUMMYFUNCTION("""COMPUTED_VALUE"""),16717.0)</f>
        <v>16717</v>
      </c>
      <c r="L108" s="208">
        <f>IFERROR(__xludf.DUMMYFUNCTION("""COMPUTED_VALUE"""),1782.0)</f>
        <v>1782</v>
      </c>
      <c r="M108" s="208">
        <f>IFERROR(__xludf.DUMMYFUNCTION("""COMPUTED_VALUE"""),131614.0)</f>
        <v>131614</v>
      </c>
      <c r="N108" s="208">
        <f>IFERROR(__xludf.DUMMYFUNCTION("""COMPUTED_VALUE"""),148331.0)</f>
        <v>148331</v>
      </c>
      <c r="O108" s="208">
        <f>IFERROR(__xludf.DUMMYFUNCTION("""COMPUTED_VALUE"""),3.0)</f>
        <v>3</v>
      </c>
      <c r="P108" s="208">
        <f>IFERROR(__xludf.DUMMYFUNCTION("""COMPUTED_VALUE"""),2008.0)</f>
        <v>2008</v>
      </c>
      <c r="Q108" s="208">
        <f>IFERROR(__xludf.DUMMYFUNCTION("""COMPUTED_VALUE"""),13.0)</f>
        <v>13</v>
      </c>
      <c r="R108" s="208">
        <f>IFERROR(__xludf.DUMMYFUNCTION("""COMPUTED_VALUE"""),1612.0)</f>
        <v>1612</v>
      </c>
      <c r="S108" s="208">
        <f>IFERROR(__xludf.DUMMYFUNCTION("""COMPUTED_VALUE"""),3.0)</f>
        <v>3</v>
      </c>
      <c r="T108" s="208">
        <f>IFERROR(__xludf.DUMMYFUNCTION("""COMPUTED_VALUE"""),296.0)</f>
        <v>296</v>
      </c>
      <c r="U108" s="208">
        <f>IFERROR(__xludf.DUMMYFUNCTION("""COMPUTED_VALUE"""),100.0)</f>
        <v>100</v>
      </c>
      <c r="V108" s="208">
        <f>IFERROR(__xludf.DUMMYFUNCTION("""COMPUTED_VALUE"""),110.0)</f>
        <v>110</v>
      </c>
      <c r="W108" s="208">
        <f>IFERROR(__xludf.DUMMYFUNCTION("""COMPUTED_VALUE"""),18.0)</f>
        <v>18</v>
      </c>
      <c r="X108" s="208">
        <f>IFERROR(__xludf.DUMMYFUNCTION("""COMPUTED_VALUE"""),18.0)</f>
        <v>18</v>
      </c>
      <c r="Y108" s="208">
        <f>IFERROR(__xludf.DUMMYFUNCTION("""COMPUTED_VALUE"""),7.0)</f>
        <v>7</v>
      </c>
      <c r="Z108" s="208">
        <f>IFERROR(__xludf.DUMMYFUNCTION("""COMPUTED_VALUE"""),949.0)</f>
        <v>949</v>
      </c>
    </row>
    <row r="109">
      <c r="A109" s="207">
        <f>IFERROR(__xludf.DUMMYFUNCTION("""COMPUTED_VALUE"""),44006.0)</f>
        <v>44006</v>
      </c>
      <c r="B109" s="208">
        <f>IFERROR(__xludf.DUMMYFUNCTION("""COMPUTED_VALUE"""),120.0)</f>
        <v>120</v>
      </c>
      <c r="C109" s="208">
        <f>IFERROR(__xludf.DUMMYFUNCTION("""COMPUTED_VALUE"""),140.0)</f>
        <v>140</v>
      </c>
      <c r="D109" s="208">
        <f>IFERROR(__xludf.DUMMYFUNCTION("""COMPUTED_VALUE"""),24106.0)</f>
        <v>24106</v>
      </c>
      <c r="E109" s="208">
        <f>IFERROR(__xludf.DUMMYFUNCTION("""COMPUTED_VALUE"""),3502.0)</f>
        <v>3502</v>
      </c>
      <c r="F109" s="150">
        <f>IFERROR(__xludf.DUMMYFUNCTION("""COMPUTED_VALUE"""),217394.0)</f>
        <v>217394</v>
      </c>
      <c r="G109" s="150">
        <f>IFERROR(__xludf.DUMMYFUNCTION("""COMPUTED_VALUE"""),3622.0)</f>
        <v>3622</v>
      </c>
      <c r="H109" s="150">
        <f>IFERROR(__xludf.DUMMYFUNCTION("""COMPUTED_VALUE"""),241500.0)</f>
        <v>241500</v>
      </c>
      <c r="I109" s="208">
        <f>IFERROR(__xludf.DUMMYFUNCTION("""COMPUTED_VALUE"""),46.0)</f>
        <v>46</v>
      </c>
      <c r="J109" s="208">
        <f>IFERROR(__xludf.DUMMYFUNCTION("""COMPUTED_VALUE"""),66.0)</f>
        <v>66</v>
      </c>
      <c r="K109" s="208">
        <f>IFERROR(__xludf.DUMMYFUNCTION("""COMPUTED_VALUE"""),16763.0)</f>
        <v>16763</v>
      </c>
      <c r="L109" s="208">
        <f>IFERROR(__xludf.DUMMYFUNCTION("""COMPUTED_VALUE"""),1687.0)</f>
        <v>1687</v>
      </c>
      <c r="M109" s="208">
        <f>IFERROR(__xludf.DUMMYFUNCTION("""COMPUTED_VALUE"""),133301.0)</f>
        <v>133301</v>
      </c>
      <c r="N109" s="208">
        <f>IFERROR(__xludf.DUMMYFUNCTION("""COMPUTED_VALUE"""),150064.0)</f>
        <v>150064</v>
      </c>
      <c r="O109" s="208">
        <f>IFERROR(__xludf.DUMMYFUNCTION("""COMPUTED_VALUE"""),9.0)</f>
        <v>9</v>
      </c>
      <c r="P109" s="208">
        <f>IFERROR(__xludf.DUMMYFUNCTION("""COMPUTED_VALUE"""),2017.0)</f>
        <v>2017</v>
      </c>
      <c r="Q109" s="208">
        <f>IFERROR(__xludf.DUMMYFUNCTION("""COMPUTED_VALUE"""),10.0)</f>
        <v>10</v>
      </c>
      <c r="R109" s="208">
        <f>IFERROR(__xludf.DUMMYFUNCTION("""COMPUTED_VALUE"""),1622.0)</f>
        <v>1622</v>
      </c>
      <c r="S109" s="208">
        <f>IFERROR(__xludf.DUMMYFUNCTION("""COMPUTED_VALUE"""),1.0)</f>
        <v>1</v>
      </c>
      <c r="T109" s="208">
        <f>IFERROR(__xludf.DUMMYFUNCTION("""COMPUTED_VALUE"""),297.0)</f>
        <v>297</v>
      </c>
      <c r="U109" s="208">
        <f>IFERROR(__xludf.DUMMYFUNCTION("""COMPUTED_VALUE"""),98.0)</f>
        <v>98</v>
      </c>
      <c r="V109" s="208">
        <f>IFERROR(__xludf.DUMMYFUNCTION("""COMPUTED_VALUE"""),104.0)</f>
        <v>104</v>
      </c>
      <c r="W109" s="208">
        <f>IFERROR(__xludf.DUMMYFUNCTION("""COMPUTED_VALUE"""),18.0)</f>
        <v>18</v>
      </c>
      <c r="X109" s="208">
        <f>IFERROR(__xludf.DUMMYFUNCTION("""COMPUTED_VALUE"""),18.0)</f>
        <v>18</v>
      </c>
      <c r="Y109" s="208">
        <f>IFERROR(__xludf.DUMMYFUNCTION("""COMPUTED_VALUE"""),5.0)</f>
        <v>5</v>
      </c>
      <c r="Z109" s="208">
        <f>IFERROR(__xludf.DUMMYFUNCTION("""COMPUTED_VALUE"""),954.0)</f>
        <v>954</v>
      </c>
    </row>
    <row r="110">
      <c r="A110" s="207">
        <f>IFERROR(__xludf.DUMMYFUNCTION("""COMPUTED_VALUE"""),44007.0)</f>
        <v>44007</v>
      </c>
      <c r="B110" s="208">
        <f>IFERROR(__xludf.DUMMYFUNCTION("""COMPUTED_VALUE"""),103.0)</f>
        <v>103</v>
      </c>
      <c r="C110" s="208">
        <f>IFERROR(__xludf.DUMMYFUNCTION("""COMPUTED_VALUE"""),129.0)</f>
        <v>129</v>
      </c>
      <c r="D110" s="208">
        <f>IFERROR(__xludf.DUMMYFUNCTION("""COMPUTED_VALUE"""),24209.0)</f>
        <v>24209</v>
      </c>
      <c r="E110" s="208">
        <f>IFERROR(__xludf.DUMMYFUNCTION("""COMPUTED_VALUE"""),2883.0)</f>
        <v>2883</v>
      </c>
      <c r="F110" s="150">
        <f>IFERROR(__xludf.DUMMYFUNCTION("""COMPUTED_VALUE"""),220277.0)</f>
        <v>220277</v>
      </c>
      <c r="G110" s="150">
        <f>IFERROR(__xludf.DUMMYFUNCTION("""COMPUTED_VALUE"""),2986.0)</f>
        <v>2986</v>
      </c>
      <c r="H110" s="150">
        <f>IFERROR(__xludf.DUMMYFUNCTION("""COMPUTED_VALUE"""),244486.0)</f>
        <v>244486</v>
      </c>
      <c r="I110" s="208">
        <f>IFERROR(__xludf.DUMMYFUNCTION("""COMPUTED_VALUE"""),54.0)</f>
        <v>54</v>
      </c>
      <c r="J110" s="208">
        <f>IFERROR(__xludf.DUMMYFUNCTION("""COMPUTED_VALUE"""),61.0)</f>
        <v>61</v>
      </c>
      <c r="K110" s="208">
        <f>IFERROR(__xludf.DUMMYFUNCTION("""COMPUTED_VALUE"""),16817.0)</f>
        <v>16817</v>
      </c>
      <c r="L110" s="208">
        <f>IFERROR(__xludf.DUMMYFUNCTION("""COMPUTED_VALUE"""),1512.0)</f>
        <v>1512</v>
      </c>
      <c r="M110" s="208">
        <f>IFERROR(__xludf.DUMMYFUNCTION("""COMPUTED_VALUE"""),134813.0)</f>
        <v>134813</v>
      </c>
      <c r="N110" s="208">
        <f>IFERROR(__xludf.DUMMYFUNCTION("""COMPUTED_VALUE"""),151630.0)</f>
        <v>151630</v>
      </c>
      <c r="O110" s="208">
        <f>IFERROR(__xludf.DUMMYFUNCTION("""COMPUTED_VALUE"""),6.0)</f>
        <v>6</v>
      </c>
      <c r="P110" s="208">
        <f>IFERROR(__xludf.DUMMYFUNCTION("""COMPUTED_VALUE"""),2023.0)</f>
        <v>2023</v>
      </c>
      <c r="Q110" s="208">
        <f>IFERROR(__xludf.DUMMYFUNCTION("""COMPUTED_VALUE"""),14.0)</f>
        <v>14</v>
      </c>
      <c r="R110" s="208">
        <f>IFERROR(__xludf.DUMMYFUNCTION("""COMPUTED_VALUE"""),1636.0)</f>
        <v>1636</v>
      </c>
      <c r="S110" s="208">
        <f>IFERROR(__xludf.DUMMYFUNCTION("""COMPUTED_VALUE"""),1.0)</f>
        <v>1</v>
      </c>
      <c r="T110" s="208">
        <f>IFERROR(__xludf.DUMMYFUNCTION("""COMPUTED_VALUE"""),298.0)</f>
        <v>298</v>
      </c>
      <c r="U110" s="208">
        <f>IFERROR(__xludf.DUMMYFUNCTION("""COMPUTED_VALUE"""),89.0)</f>
        <v>89</v>
      </c>
      <c r="V110" s="208">
        <f>IFERROR(__xludf.DUMMYFUNCTION("""COMPUTED_VALUE"""),96.0)</f>
        <v>96</v>
      </c>
      <c r="W110" s="208">
        <f>IFERROR(__xludf.DUMMYFUNCTION("""COMPUTED_VALUE"""),17.0)</f>
        <v>17</v>
      </c>
      <c r="X110" s="208">
        <f>IFERROR(__xludf.DUMMYFUNCTION("""COMPUTED_VALUE"""),17.0)</f>
        <v>17</v>
      </c>
      <c r="Y110" s="208">
        <f>IFERROR(__xludf.DUMMYFUNCTION("""COMPUTED_VALUE"""),1.0)</f>
        <v>1</v>
      </c>
      <c r="Z110" s="208">
        <f>IFERROR(__xludf.DUMMYFUNCTION("""COMPUTED_VALUE"""),955.0)</f>
        <v>955</v>
      </c>
    </row>
    <row r="111">
      <c r="A111" s="207">
        <f>IFERROR(__xludf.DUMMYFUNCTION("""COMPUTED_VALUE"""),44008.0)</f>
        <v>44008</v>
      </c>
      <c r="B111" s="208">
        <f>IFERROR(__xludf.DUMMYFUNCTION("""COMPUTED_VALUE"""),94.0)</f>
        <v>94</v>
      </c>
      <c r="C111" s="208">
        <f>IFERROR(__xludf.DUMMYFUNCTION("""COMPUTED_VALUE"""),106.0)</f>
        <v>106</v>
      </c>
      <c r="D111" s="208">
        <f>IFERROR(__xludf.DUMMYFUNCTION("""COMPUTED_VALUE"""),24303.0)</f>
        <v>24303</v>
      </c>
      <c r="E111" s="208">
        <f>IFERROR(__xludf.DUMMYFUNCTION("""COMPUTED_VALUE"""),2488.0)</f>
        <v>2488</v>
      </c>
      <c r="F111" s="150">
        <f>IFERROR(__xludf.DUMMYFUNCTION("""COMPUTED_VALUE"""),222765.0)</f>
        <v>222765</v>
      </c>
      <c r="G111" s="150">
        <f>IFERROR(__xludf.DUMMYFUNCTION("""COMPUTED_VALUE"""),2582.0)</f>
        <v>2582</v>
      </c>
      <c r="H111" s="150">
        <f>IFERROR(__xludf.DUMMYFUNCTION("""COMPUTED_VALUE"""),247068.0)</f>
        <v>247068</v>
      </c>
      <c r="I111" s="208">
        <f>IFERROR(__xludf.DUMMYFUNCTION("""COMPUTED_VALUE"""),63.0)</f>
        <v>63</v>
      </c>
      <c r="J111" s="208">
        <f>IFERROR(__xludf.DUMMYFUNCTION("""COMPUTED_VALUE"""),54.0)</f>
        <v>54</v>
      </c>
      <c r="K111" s="208">
        <f>IFERROR(__xludf.DUMMYFUNCTION("""COMPUTED_VALUE"""),16880.0)</f>
        <v>16880</v>
      </c>
      <c r="L111" s="208">
        <f>IFERROR(__xludf.DUMMYFUNCTION("""COMPUTED_VALUE"""),1332.0)</f>
        <v>1332</v>
      </c>
      <c r="M111" s="208">
        <f>IFERROR(__xludf.DUMMYFUNCTION("""COMPUTED_VALUE"""),136145.0)</f>
        <v>136145</v>
      </c>
      <c r="N111" s="208">
        <f>IFERROR(__xludf.DUMMYFUNCTION("""COMPUTED_VALUE"""),153025.0)</f>
        <v>153025</v>
      </c>
      <c r="O111" s="208">
        <f>IFERROR(__xludf.DUMMYFUNCTION("""COMPUTED_VALUE"""),2.0)</f>
        <v>2</v>
      </c>
      <c r="P111" s="208">
        <f>IFERROR(__xludf.DUMMYFUNCTION("""COMPUTED_VALUE"""),2025.0)</f>
        <v>2025</v>
      </c>
      <c r="Q111" s="208">
        <f>IFERROR(__xludf.DUMMYFUNCTION("""COMPUTED_VALUE"""),10.0)</f>
        <v>10</v>
      </c>
      <c r="R111" s="208">
        <f>IFERROR(__xludf.DUMMYFUNCTION("""COMPUTED_VALUE"""),1646.0)</f>
        <v>1646</v>
      </c>
      <c r="S111" s="208">
        <f>IFERROR(__xludf.DUMMYFUNCTION("""COMPUTED_VALUE"""),0.0)</f>
        <v>0</v>
      </c>
      <c r="T111" s="208">
        <f>IFERROR(__xludf.DUMMYFUNCTION("""COMPUTED_VALUE"""),298.0)</f>
        <v>298</v>
      </c>
      <c r="U111" s="208">
        <f>IFERROR(__xludf.DUMMYFUNCTION("""COMPUTED_VALUE"""),81.0)</f>
        <v>81</v>
      </c>
      <c r="V111" s="208">
        <f>IFERROR(__xludf.DUMMYFUNCTION("""COMPUTED_VALUE"""),89.0)</f>
        <v>89</v>
      </c>
      <c r="W111" s="208">
        <f>IFERROR(__xludf.DUMMYFUNCTION("""COMPUTED_VALUE"""),18.0)</f>
        <v>18</v>
      </c>
      <c r="X111" s="208">
        <f>IFERROR(__xludf.DUMMYFUNCTION("""COMPUTED_VALUE"""),18.0)</f>
        <v>18</v>
      </c>
      <c r="Y111" s="208">
        <f>IFERROR(__xludf.DUMMYFUNCTION("""COMPUTED_VALUE"""),1.0)</f>
        <v>1</v>
      </c>
      <c r="Z111" s="208">
        <f>IFERROR(__xludf.DUMMYFUNCTION("""COMPUTED_VALUE"""),956.0)</f>
        <v>956</v>
      </c>
    </row>
    <row r="112">
      <c r="A112" s="207">
        <f>IFERROR(__xludf.DUMMYFUNCTION("""COMPUTED_VALUE"""),44009.0)</f>
        <v>44009</v>
      </c>
      <c r="B112" s="208">
        <f>IFERROR(__xludf.DUMMYFUNCTION("""COMPUTED_VALUE"""),84.0)</f>
        <v>84</v>
      </c>
      <c r="C112" s="208">
        <f>IFERROR(__xludf.DUMMYFUNCTION("""COMPUTED_VALUE"""),94.0)</f>
        <v>94</v>
      </c>
      <c r="D112" s="208">
        <f>IFERROR(__xludf.DUMMYFUNCTION("""COMPUTED_VALUE"""),24387.0)</f>
        <v>24387</v>
      </c>
      <c r="E112" s="208">
        <f>IFERROR(__xludf.DUMMYFUNCTION("""COMPUTED_VALUE"""),3214.0)</f>
        <v>3214</v>
      </c>
      <c r="F112" s="150">
        <f>IFERROR(__xludf.DUMMYFUNCTION("""COMPUTED_VALUE"""),225979.0)</f>
        <v>225979</v>
      </c>
      <c r="G112" s="150">
        <f>IFERROR(__xludf.DUMMYFUNCTION("""COMPUTED_VALUE"""),3298.0)</f>
        <v>3298</v>
      </c>
      <c r="H112" s="150">
        <f>IFERROR(__xludf.DUMMYFUNCTION("""COMPUTED_VALUE"""),250366.0)</f>
        <v>250366</v>
      </c>
      <c r="I112" s="208">
        <f>IFERROR(__xludf.DUMMYFUNCTION("""COMPUTED_VALUE"""),37.0)</f>
        <v>37</v>
      </c>
      <c r="J112" s="208">
        <f>IFERROR(__xludf.DUMMYFUNCTION("""COMPUTED_VALUE"""),51.0)</f>
        <v>51</v>
      </c>
      <c r="K112" s="208">
        <f>IFERROR(__xludf.DUMMYFUNCTION("""COMPUTED_VALUE"""),16917.0)</f>
        <v>16917</v>
      </c>
      <c r="L112" s="208">
        <f>IFERROR(__xludf.DUMMYFUNCTION("""COMPUTED_VALUE"""),1221.0)</f>
        <v>1221</v>
      </c>
      <c r="M112" s="208">
        <f>IFERROR(__xludf.DUMMYFUNCTION("""COMPUTED_VALUE"""),137366.0)</f>
        <v>137366</v>
      </c>
      <c r="N112" s="208">
        <f>IFERROR(__xludf.DUMMYFUNCTION("""COMPUTED_VALUE"""),154283.0)</f>
        <v>154283</v>
      </c>
      <c r="O112" s="208">
        <f>IFERROR(__xludf.DUMMYFUNCTION("""COMPUTED_VALUE"""),5.0)</f>
        <v>5</v>
      </c>
      <c r="P112" s="208">
        <f>IFERROR(__xludf.DUMMYFUNCTION("""COMPUTED_VALUE"""),2030.0)</f>
        <v>2030</v>
      </c>
      <c r="Q112" s="208">
        <f>IFERROR(__xludf.DUMMYFUNCTION("""COMPUTED_VALUE"""),3.0)</f>
        <v>3</v>
      </c>
      <c r="R112" s="208">
        <f>IFERROR(__xludf.DUMMYFUNCTION("""COMPUTED_VALUE"""),1649.0)</f>
        <v>1649</v>
      </c>
      <c r="S112" s="208">
        <f>IFERROR(__xludf.DUMMYFUNCTION("""COMPUTED_VALUE"""),1.0)</f>
        <v>1</v>
      </c>
      <c r="T112" s="208">
        <f>IFERROR(__xludf.DUMMYFUNCTION("""COMPUTED_VALUE"""),299.0)</f>
        <v>299</v>
      </c>
      <c r="U112" s="208">
        <f>IFERROR(__xludf.DUMMYFUNCTION("""COMPUTED_VALUE"""),82.0)</f>
        <v>82</v>
      </c>
      <c r="V112" s="208">
        <f>IFERROR(__xludf.DUMMYFUNCTION("""COMPUTED_VALUE"""),84.0)</f>
        <v>84</v>
      </c>
      <c r="W112" s="208">
        <f>IFERROR(__xludf.DUMMYFUNCTION("""COMPUTED_VALUE"""),17.0)</f>
        <v>17</v>
      </c>
      <c r="X112" s="208">
        <f>IFERROR(__xludf.DUMMYFUNCTION("""COMPUTED_VALUE"""),17.0)</f>
        <v>17</v>
      </c>
      <c r="Y112" s="208">
        <f>IFERROR(__xludf.DUMMYFUNCTION("""COMPUTED_VALUE"""),5.0)</f>
        <v>5</v>
      </c>
      <c r="Z112" s="208">
        <f>IFERROR(__xludf.DUMMYFUNCTION("""COMPUTED_VALUE"""),961.0)</f>
        <v>961</v>
      </c>
    </row>
    <row r="113">
      <c r="A113" s="207">
        <f>IFERROR(__xludf.DUMMYFUNCTION("""COMPUTED_VALUE"""),44010.0)</f>
        <v>44010</v>
      </c>
      <c r="B113" s="208">
        <f>IFERROR(__xludf.DUMMYFUNCTION("""COMPUTED_VALUE"""),39.0)</f>
        <v>39</v>
      </c>
      <c r="C113" s="208">
        <f>IFERROR(__xludf.DUMMYFUNCTION("""COMPUTED_VALUE"""),72.0)</f>
        <v>72</v>
      </c>
      <c r="D113" s="208">
        <f>IFERROR(__xludf.DUMMYFUNCTION("""COMPUTED_VALUE"""),24426.0)</f>
        <v>24426</v>
      </c>
      <c r="E113" s="208">
        <f>IFERROR(__xludf.DUMMYFUNCTION("""COMPUTED_VALUE"""),1469.0)</f>
        <v>1469</v>
      </c>
      <c r="F113" s="150">
        <f>IFERROR(__xludf.DUMMYFUNCTION("""COMPUTED_VALUE"""),227448.0)</f>
        <v>227448</v>
      </c>
      <c r="G113" s="150">
        <f>IFERROR(__xludf.DUMMYFUNCTION("""COMPUTED_VALUE"""),1508.0)</f>
        <v>1508</v>
      </c>
      <c r="H113" s="150">
        <f>IFERROR(__xludf.DUMMYFUNCTION("""COMPUTED_VALUE"""),251874.0)</f>
        <v>251874</v>
      </c>
      <c r="I113" s="208">
        <f>IFERROR(__xludf.DUMMYFUNCTION("""COMPUTED_VALUE"""),19.0)</f>
        <v>19</v>
      </c>
      <c r="J113" s="208">
        <f>IFERROR(__xludf.DUMMYFUNCTION("""COMPUTED_VALUE"""),40.0)</f>
        <v>40</v>
      </c>
      <c r="K113" s="208">
        <f>IFERROR(__xludf.DUMMYFUNCTION("""COMPUTED_VALUE"""),16936.0)</f>
        <v>16936</v>
      </c>
      <c r="L113" s="208">
        <f>IFERROR(__xludf.DUMMYFUNCTION("""COMPUTED_VALUE"""),596.0)</f>
        <v>596</v>
      </c>
      <c r="M113" s="208">
        <f>IFERROR(__xludf.DUMMYFUNCTION("""COMPUTED_VALUE"""),137962.0)</f>
        <v>137962</v>
      </c>
      <c r="N113" s="208">
        <f>IFERROR(__xludf.DUMMYFUNCTION("""COMPUTED_VALUE"""),154898.0)</f>
        <v>154898</v>
      </c>
      <c r="O113" s="208">
        <f>IFERROR(__xludf.DUMMYFUNCTION("""COMPUTED_VALUE"""),4.0)</f>
        <v>4</v>
      </c>
      <c r="P113" s="208">
        <f>IFERROR(__xludf.DUMMYFUNCTION("""COMPUTED_VALUE"""),2034.0)</f>
        <v>2034</v>
      </c>
      <c r="Q113" s="208">
        <f>IFERROR(__xludf.DUMMYFUNCTION("""COMPUTED_VALUE"""),4.0)</f>
        <v>4</v>
      </c>
      <c r="R113" s="208">
        <f>IFERROR(__xludf.DUMMYFUNCTION("""COMPUTED_VALUE"""),1653.0)</f>
        <v>1653</v>
      </c>
      <c r="S113" s="208">
        <f>IFERROR(__xludf.DUMMYFUNCTION("""COMPUTED_VALUE"""),4.0)</f>
        <v>4</v>
      </c>
      <c r="T113" s="208">
        <f>IFERROR(__xludf.DUMMYFUNCTION("""COMPUTED_VALUE"""),303.0)</f>
        <v>303</v>
      </c>
      <c r="U113" s="208">
        <f>IFERROR(__xludf.DUMMYFUNCTION("""COMPUTED_VALUE"""),78.0)</f>
        <v>78</v>
      </c>
      <c r="V113" s="208">
        <f>IFERROR(__xludf.DUMMYFUNCTION("""COMPUTED_VALUE"""),80.0)</f>
        <v>80</v>
      </c>
      <c r="W113" s="208">
        <f>IFERROR(__xludf.DUMMYFUNCTION("""COMPUTED_VALUE"""),15.0)</f>
        <v>15</v>
      </c>
      <c r="X113" s="208">
        <f>IFERROR(__xludf.DUMMYFUNCTION("""COMPUTED_VALUE"""),14.0)</f>
        <v>14</v>
      </c>
      <c r="Y113" s="208">
        <f>IFERROR(__xludf.DUMMYFUNCTION("""COMPUTED_VALUE"""),6.0)</f>
        <v>6</v>
      </c>
      <c r="Z113" s="208">
        <f>IFERROR(__xludf.DUMMYFUNCTION("""COMPUTED_VALUE"""),967.0)</f>
        <v>967</v>
      </c>
    </row>
    <row r="114">
      <c r="A114" s="207">
        <f>IFERROR(__xludf.DUMMYFUNCTION("""COMPUTED_VALUE"""),44011.0)</f>
        <v>44011</v>
      </c>
      <c r="B114" s="208">
        <f>IFERROR(__xludf.DUMMYFUNCTION("""COMPUTED_VALUE"""),85.0)</f>
        <v>85</v>
      </c>
      <c r="C114" s="208">
        <f>IFERROR(__xludf.DUMMYFUNCTION("""COMPUTED_VALUE"""),69.0)</f>
        <v>69</v>
      </c>
      <c r="D114" s="208">
        <f>IFERROR(__xludf.DUMMYFUNCTION("""COMPUTED_VALUE"""),24511.0)</f>
        <v>24511</v>
      </c>
      <c r="E114" s="208">
        <f>IFERROR(__xludf.DUMMYFUNCTION("""COMPUTED_VALUE"""),3697.0)</f>
        <v>3697</v>
      </c>
      <c r="F114" s="150">
        <f>IFERROR(__xludf.DUMMYFUNCTION("""COMPUTED_VALUE"""),231145.0)</f>
        <v>231145</v>
      </c>
      <c r="G114" s="150">
        <f>IFERROR(__xludf.DUMMYFUNCTION("""COMPUTED_VALUE"""),3782.0)</f>
        <v>3782</v>
      </c>
      <c r="H114" s="150">
        <f>IFERROR(__xludf.DUMMYFUNCTION("""COMPUTED_VALUE"""),255656.0)</f>
        <v>255656</v>
      </c>
      <c r="I114" s="208">
        <f>IFERROR(__xludf.DUMMYFUNCTION("""COMPUTED_VALUE"""),39.0)</f>
        <v>39</v>
      </c>
      <c r="J114" s="208">
        <f>IFERROR(__xludf.DUMMYFUNCTION("""COMPUTED_VALUE"""),32.0)</f>
        <v>32</v>
      </c>
      <c r="K114" s="208">
        <f>IFERROR(__xludf.DUMMYFUNCTION("""COMPUTED_VALUE"""),16975.0)</f>
        <v>16975</v>
      </c>
      <c r="L114" s="208">
        <f>IFERROR(__xludf.DUMMYFUNCTION("""COMPUTED_VALUE"""),1354.0)</f>
        <v>1354</v>
      </c>
      <c r="M114" s="208">
        <f>IFERROR(__xludf.DUMMYFUNCTION("""COMPUTED_VALUE"""),139316.0)</f>
        <v>139316</v>
      </c>
      <c r="N114" s="208">
        <f>IFERROR(__xludf.DUMMYFUNCTION("""COMPUTED_VALUE"""),156291.0)</f>
        <v>156291</v>
      </c>
      <c r="O114" s="208">
        <f>IFERROR(__xludf.DUMMYFUNCTION("""COMPUTED_VALUE"""),4.0)</f>
        <v>4</v>
      </c>
      <c r="P114" s="208">
        <f>IFERROR(__xludf.DUMMYFUNCTION("""COMPUTED_VALUE"""),2038.0)</f>
        <v>2038</v>
      </c>
      <c r="Q114" s="208">
        <f>IFERROR(__xludf.DUMMYFUNCTION("""COMPUTED_VALUE"""),5.0)</f>
        <v>5</v>
      </c>
      <c r="R114" s="208">
        <f>IFERROR(__xludf.DUMMYFUNCTION("""COMPUTED_VALUE"""),1658.0)</f>
        <v>1658</v>
      </c>
      <c r="S114" s="208">
        <f>IFERROR(__xludf.DUMMYFUNCTION("""COMPUTED_VALUE"""),0.0)</f>
        <v>0</v>
      </c>
      <c r="T114" s="208">
        <f>IFERROR(__xludf.DUMMYFUNCTION("""COMPUTED_VALUE"""),303.0)</f>
        <v>303</v>
      </c>
      <c r="U114" s="208">
        <f>IFERROR(__xludf.DUMMYFUNCTION("""COMPUTED_VALUE"""),77.0)</f>
        <v>77</v>
      </c>
      <c r="V114" s="208">
        <f>IFERROR(__xludf.DUMMYFUNCTION("""COMPUTED_VALUE"""),79.0)</f>
        <v>79</v>
      </c>
      <c r="W114" s="208">
        <f>IFERROR(__xludf.DUMMYFUNCTION("""COMPUTED_VALUE"""),14.0)</f>
        <v>14</v>
      </c>
      <c r="X114" s="208">
        <f>IFERROR(__xludf.DUMMYFUNCTION("""COMPUTED_VALUE"""),14.0)</f>
        <v>14</v>
      </c>
      <c r="Y114" s="208">
        <f>IFERROR(__xludf.DUMMYFUNCTION("""COMPUTED_VALUE"""),1.0)</f>
        <v>1</v>
      </c>
      <c r="Z114" s="208">
        <f>IFERROR(__xludf.DUMMYFUNCTION("""COMPUTED_VALUE"""),968.0)</f>
        <v>968</v>
      </c>
    </row>
    <row r="115">
      <c r="A115" s="207">
        <f>IFERROR(__xludf.DUMMYFUNCTION("""COMPUTED_VALUE"""),44012.0)</f>
        <v>44012</v>
      </c>
      <c r="B115" s="208">
        <f>IFERROR(__xludf.DUMMYFUNCTION("""COMPUTED_VALUE"""),57.0)</f>
        <v>57</v>
      </c>
      <c r="C115" s="208">
        <f>IFERROR(__xludf.DUMMYFUNCTION("""COMPUTED_VALUE"""),60.0)</f>
        <v>60</v>
      </c>
      <c r="D115" s="208">
        <f>IFERROR(__xludf.DUMMYFUNCTION("""COMPUTED_VALUE"""),24568.0)</f>
        <v>24568</v>
      </c>
      <c r="E115" s="208">
        <f>IFERROR(__xludf.DUMMYFUNCTION("""COMPUTED_VALUE"""),1956.0)</f>
        <v>1956</v>
      </c>
      <c r="F115" s="150">
        <f>IFERROR(__xludf.DUMMYFUNCTION("""COMPUTED_VALUE"""),233101.0)</f>
        <v>233101</v>
      </c>
      <c r="G115" s="150">
        <f>IFERROR(__xludf.DUMMYFUNCTION("""COMPUTED_VALUE"""),2013.0)</f>
        <v>2013</v>
      </c>
      <c r="H115" s="150">
        <f>IFERROR(__xludf.DUMMYFUNCTION("""COMPUTED_VALUE"""),257669.0)</f>
        <v>257669</v>
      </c>
      <c r="I115" s="208">
        <f>IFERROR(__xludf.DUMMYFUNCTION("""COMPUTED_VALUE"""),33.0)</f>
        <v>33</v>
      </c>
      <c r="J115" s="208">
        <f>IFERROR(__xludf.DUMMYFUNCTION("""COMPUTED_VALUE"""),30.0)</f>
        <v>30</v>
      </c>
      <c r="K115" s="208">
        <f>IFERROR(__xludf.DUMMYFUNCTION("""COMPUTED_VALUE"""),17008.0)</f>
        <v>17008</v>
      </c>
      <c r="L115" s="208">
        <f>IFERROR(__xludf.DUMMYFUNCTION("""COMPUTED_VALUE"""),995.0)</f>
        <v>995</v>
      </c>
      <c r="M115" s="208">
        <f>IFERROR(__xludf.DUMMYFUNCTION("""COMPUTED_VALUE"""),140311.0)</f>
        <v>140311</v>
      </c>
      <c r="N115" s="208">
        <f>IFERROR(__xludf.DUMMYFUNCTION("""COMPUTED_VALUE"""),157319.0)</f>
        <v>157319</v>
      </c>
      <c r="O115" s="208">
        <f>IFERROR(__xludf.DUMMYFUNCTION("""COMPUTED_VALUE"""),1.0)</f>
        <v>1</v>
      </c>
      <c r="P115" s="208">
        <f>IFERROR(__xludf.DUMMYFUNCTION("""COMPUTED_VALUE"""),2039.0)</f>
        <v>2039</v>
      </c>
      <c r="Q115" s="208">
        <f>IFERROR(__xludf.DUMMYFUNCTION("""COMPUTED_VALUE"""),5.0)</f>
        <v>5</v>
      </c>
      <c r="R115" s="208">
        <f>IFERROR(__xludf.DUMMYFUNCTION("""COMPUTED_VALUE"""),1663.0)</f>
        <v>1663</v>
      </c>
      <c r="S115" s="208">
        <f>IFERROR(__xludf.DUMMYFUNCTION("""COMPUTED_VALUE"""),1.0)</f>
        <v>1</v>
      </c>
      <c r="T115" s="208">
        <f>IFERROR(__xludf.DUMMYFUNCTION("""COMPUTED_VALUE"""),304.0)</f>
        <v>304</v>
      </c>
      <c r="U115" s="208">
        <f>IFERROR(__xludf.DUMMYFUNCTION("""COMPUTED_VALUE"""),72.0)</f>
        <v>72</v>
      </c>
      <c r="V115" s="208">
        <f>IFERROR(__xludf.DUMMYFUNCTION("""COMPUTED_VALUE"""),76.0)</f>
        <v>76</v>
      </c>
      <c r="W115" s="208">
        <f>IFERROR(__xludf.DUMMYFUNCTION("""COMPUTED_VALUE"""),12.0)</f>
        <v>12</v>
      </c>
      <c r="X115" s="208">
        <f>IFERROR(__xludf.DUMMYFUNCTION("""COMPUTED_VALUE"""),11.0)</f>
        <v>11</v>
      </c>
      <c r="Y115" s="208">
        <f>IFERROR(__xludf.DUMMYFUNCTION("""COMPUTED_VALUE"""),4.0)</f>
        <v>4</v>
      </c>
      <c r="Z115" s="208">
        <f>IFERROR(__xludf.DUMMYFUNCTION("""COMPUTED_VALUE"""),972.0)</f>
        <v>972</v>
      </c>
    </row>
    <row r="116">
      <c r="A116" s="207">
        <f>IFERROR(__xludf.DUMMYFUNCTION("""COMPUTED_VALUE"""),44013.0)</f>
        <v>44013</v>
      </c>
      <c r="B116" s="208">
        <f>IFERROR(__xludf.DUMMYFUNCTION("""COMPUTED_VALUE"""),144.0)</f>
        <v>144</v>
      </c>
      <c r="C116" s="208">
        <f>IFERROR(__xludf.DUMMYFUNCTION("""COMPUTED_VALUE"""),95.0)</f>
        <v>95</v>
      </c>
      <c r="D116" s="208">
        <f>IFERROR(__xludf.DUMMYFUNCTION("""COMPUTED_VALUE"""),24712.0)</f>
        <v>24712</v>
      </c>
      <c r="E116" s="208">
        <f>IFERROR(__xludf.DUMMYFUNCTION("""COMPUTED_VALUE"""),4098.0)</f>
        <v>4098</v>
      </c>
      <c r="F116" s="150">
        <f>IFERROR(__xludf.DUMMYFUNCTION("""COMPUTED_VALUE"""),237199.0)</f>
        <v>237199</v>
      </c>
      <c r="G116" s="150">
        <f>IFERROR(__xludf.DUMMYFUNCTION("""COMPUTED_VALUE"""),4242.0)</f>
        <v>4242</v>
      </c>
      <c r="H116" s="150">
        <f>IFERROR(__xludf.DUMMYFUNCTION("""COMPUTED_VALUE"""),261911.0)</f>
        <v>261911</v>
      </c>
      <c r="I116" s="208">
        <f>IFERROR(__xludf.DUMMYFUNCTION("""COMPUTED_VALUE"""),80.0)</f>
        <v>80</v>
      </c>
      <c r="J116" s="208">
        <f>IFERROR(__xludf.DUMMYFUNCTION("""COMPUTED_VALUE"""),51.0)</f>
        <v>51</v>
      </c>
      <c r="K116" s="208">
        <f>IFERROR(__xludf.DUMMYFUNCTION("""COMPUTED_VALUE"""),17088.0)</f>
        <v>17088</v>
      </c>
      <c r="L116" s="208">
        <f>IFERROR(__xludf.DUMMYFUNCTION("""COMPUTED_VALUE"""),1936.0)</f>
        <v>1936</v>
      </c>
      <c r="M116" s="208">
        <f>IFERROR(__xludf.DUMMYFUNCTION("""COMPUTED_VALUE"""),142247.0)</f>
        <v>142247</v>
      </c>
      <c r="N116" s="208">
        <f>IFERROR(__xludf.DUMMYFUNCTION("""COMPUTED_VALUE"""),159335.0)</f>
        <v>159335</v>
      </c>
      <c r="O116" s="208">
        <f>IFERROR(__xludf.DUMMYFUNCTION("""COMPUTED_VALUE"""),7.0)</f>
        <v>7</v>
      </c>
      <c r="P116" s="208">
        <f>IFERROR(__xludf.DUMMYFUNCTION("""COMPUTED_VALUE"""),2046.0)</f>
        <v>2046</v>
      </c>
      <c r="Q116" s="208">
        <f>IFERROR(__xludf.DUMMYFUNCTION("""COMPUTED_VALUE"""),9.0)</f>
        <v>9</v>
      </c>
      <c r="R116" s="208">
        <f>IFERROR(__xludf.DUMMYFUNCTION("""COMPUTED_VALUE"""),1672.0)</f>
        <v>1672</v>
      </c>
      <c r="S116" s="208">
        <f>IFERROR(__xludf.DUMMYFUNCTION("""COMPUTED_VALUE"""),0.0)</f>
        <v>0</v>
      </c>
      <c r="T116" s="208">
        <f>IFERROR(__xludf.DUMMYFUNCTION("""COMPUTED_VALUE"""),304.0)</f>
        <v>304</v>
      </c>
      <c r="U116" s="208">
        <f>IFERROR(__xludf.DUMMYFUNCTION("""COMPUTED_VALUE"""),70.0)</f>
        <v>70</v>
      </c>
      <c r="V116" s="208">
        <f>IFERROR(__xludf.DUMMYFUNCTION("""COMPUTED_VALUE"""),73.0)</f>
        <v>73</v>
      </c>
      <c r="W116" s="208">
        <f>IFERROR(__xludf.DUMMYFUNCTION("""COMPUTED_VALUE"""),11.0)</f>
        <v>11</v>
      </c>
      <c r="X116" s="208">
        <f>IFERROR(__xludf.DUMMYFUNCTION("""COMPUTED_VALUE"""),11.0)</f>
        <v>11</v>
      </c>
      <c r="Y116" s="208">
        <f>IFERROR(__xludf.DUMMYFUNCTION("""COMPUTED_VALUE"""),1.0)</f>
        <v>1</v>
      </c>
      <c r="Z116" s="208">
        <f>IFERROR(__xludf.DUMMYFUNCTION("""COMPUTED_VALUE"""),973.0)</f>
        <v>973</v>
      </c>
    </row>
    <row r="117">
      <c r="A117" s="207">
        <f>IFERROR(__xludf.DUMMYFUNCTION("""COMPUTED_VALUE"""),44014.0)</f>
        <v>44014</v>
      </c>
      <c r="B117" s="208">
        <f>IFERROR(__xludf.DUMMYFUNCTION("""COMPUTED_VALUE"""),103.0)</f>
        <v>103</v>
      </c>
      <c r="C117" s="208">
        <f>IFERROR(__xludf.DUMMYFUNCTION("""COMPUTED_VALUE"""),101.0)</f>
        <v>101</v>
      </c>
      <c r="D117" s="208">
        <f>IFERROR(__xludf.DUMMYFUNCTION("""COMPUTED_VALUE"""),24815.0)</f>
        <v>24815</v>
      </c>
      <c r="E117" s="208">
        <f>IFERROR(__xludf.DUMMYFUNCTION("""COMPUTED_VALUE"""),2803.0)</f>
        <v>2803</v>
      </c>
      <c r="F117" s="150">
        <f>IFERROR(__xludf.DUMMYFUNCTION("""COMPUTED_VALUE"""),240002.0)</f>
        <v>240002</v>
      </c>
      <c r="G117" s="150">
        <f>IFERROR(__xludf.DUMMYFUNCTION("""COMPUTED_VALUE"""),2906.0)</f>
        <v>2906</v>
      </c>
      <c r="H117" s="150">
        <f>IFERROR(__xludf.DUMMYFUNCTION("""COMPUTED_VALUE"""),264817.0)</f>
        <v>264817</v>
      </c>
      <c r="I117" s="208">
        <f>IFERROR(__xludf.DUMMYFUNCTION("""COMPUTED_VALUE"""),57.0)</f>
        <v>57</v>
      </c>
      <c r="J117" s="208">
        <f>IFERROR(__xludf.DUMMYFUNCTION("""COMPUTED_VALUE"""),57.0)</f>
        <v>57</v>
      </c>
      <c r="K117" s="208">
        <f>IFERROR(__xludf.DUMMYFUNCTION("""COMPUTED_VALUE"""),17145.0)</f>
        <v>17145</v>
      </c>
      <c r="L117" s="208">
        <f>IFERROR(__xludf.DUMMYFUNCTION("""COMPUTED_VALUE"""),1089.0)</f>
        <v>1089</v>
      </c>
      <c r="M117" s="208">
        <f>IFERROR(__xludf.DUMMYFUNCTION("""COMPUTED_VALUE"""),143336.0)</f>
        <v>143336</v>
      </c>
      <c r="N117" s="208">
        <f>IFERROR(__xludf.DUMMYFUNCTION("""COMPUTED_VALUE"""),160481.0)</f>
        <v>160481</v>
      </c>
      <c r="O117" s="208">
        <f>IFERROR(__xludf.DUMMYFUNCTION("""COMPUTED_VALUE"""),5.0)</f>
        <v>5</v>
      </c>
      <c r="P117" s="208">
        <f>IFERROR(__xludf.DUMMYFUNCTION("""COMPUTED_VALUE"""),2051.0)</f>
        <v>2051</v>
      </c>
      <c r="Q117" s="208">
        <f>IFERROR(__xludf.DUMMYFUNCTION("""COMPUTED_VALUE"""),5.0)</f>
        <v>5</v>
      </c>
      <c r="R117" s="208">
        <f>IFERROR(__xludf.DUMMYFUNCTION("""COMPUTED_VALUE"""),1677.0)</f>
        <v>1677</v>
      </c>
      <c r="S117" s="208">
        <f>IFERROR(__xludf.DUMMYFUNCTION("""COMPUTED_VALUE"""),1.0)</f>
        <v>1</v>
      </c>
      <c r="T117" s="208">
        <f>IFERROR(__xludf.DUMMYFUNCTION("""COMPUTED_VALUE"""),305.0)</f>
        <v>305</v>
      </c>
      <c r="U117" s="208">
        <f>IFERROR(__xludf.DUMMYFUNCTION("""COMPUTED_VALUE"""),69.0)</f>
        <v>69</v>
      </c>
      <c r="V117" s="208">
        <f>IFERROR(__xludf.DUMMYFUNCTION("""COMPUTED_VALUE"""),70.0)</f>
        <v>70</v>
      </c>
      <c r="W117" s="208">
        <f>IFERROR(__xludf.DUMMYFUNCTION("""COMPUTED_VALUE"""),10.0)</f>
        <v>10</v>
      </c>
      <c r="X117" s="208">
        <f>IFERROR(__xludf.DUMMYFUNCTION("""COMPUTED_VALUE"""),10.0)</f>
        <v>10</v>
      </c>
      <c r="Y117" s="208">
        <f>IFERROR(__xludf.DUMMYFUNCTION("""COMPUTED_VALUE"""),2.0)</f>
        <v>2</v>
      </c>
      <c r="Z117" s="208">
        <f>IFERROR(__xludf.DUMMYFUNCTION("""COMPUTED_VALUE"""),975.0)</f>
        <v>975</v>
      </c>
    </row>
    <row r="118">
      <c r="A118" s="207">
        <f>IFERROR(__xludf.DUMMYFUNCTION("""COMPUTED_VALUE"""),44015.0)</f>
        <v>44015</v>
      </c>
      <c r="B118" s="208">
        <f>IFERROR(__xludf.DUMMYFUNCTION("""COMPUTED_VALUE"""),50.0)</f>
        <v>50</v>
      </c>
      <c r="C118" s="208">
        <f>IFERROR(__xludf.DUMMYFUNCTION("""COMPUTED_VALUE"""),99.0)</f>
        <v>99</v>
      </c>
      <c r="D118" s="208">
        <f>IFERROR(__xludf.DUMMYFUNCTION("""COMPUTED_VALUE"""),24865.0)</f>
        <v>24865</v>
      </c>
      <c r="E118" s="208">
        <f>IFERROR(__xludf.DUMMYFUNCTION("""COMPUTED_VALUE"""),2076.0)</f>
        <v>2076</v>
      </c>
      <c r="F118" s="150">
        <f>IFERROR(__xludf.DUMMYFUNCTION("""COMPUTED_VALUE"""),242078.0)</f>
        <v>242078</v>
      </c>
      <c r="G118" s="150">
        <f>IFERROR(__xludf.DUMMYFUNCTION("""COMPUTED_VALUE"""),2126.0)</f>
        <v>2126</v>
      </c>
      <c r="H118" s="150">
        <f>IFERROR(__xludf.DUMMYFUNCTION("""COMPUTED_VALUE"""),266943.0)</f>
        <v>266943</v>
      </c>
      <c r="I118" s="208">
        <f>IFERROR(__xludf.DUMMYFUNCTION("""COMPUTED_VALUE"""),26.0)</f>
        <v>26</v>
      </c>
      <c r="J118" s="208">
        <f>IFERROR(__xludf.DUMMYFUNCTION("""COMPUTED_VALUE"""),54.0)</f>
        <v>54</v>
      </c>
      <c r="K118" s="208">
        <f>IFERROR(__xludf.DUMMYFUNCTION("""COMPUTED_VALUE"""),17171.0)</f>
        <v>17171</v>
      </c>
      <c r="L118" s="208">
        <f>IFERROR(__xludf.DUMMYFUNCTION("""COMPUTED_VALUE"""),779.0)</f>
        <v>779</v>
      </c>
      <c r="M118" s="208">
        <f>IFERROR(__xludf.DUMMYFUNCTION("""COMPUTED_VALUE"""),144115.0)</f>
        <v>144115</v>
      </c>
      <c r="N118" s="208">
        <f>IFERROR(__xludf.DUMMYFUNCTION("""COMPUTED_VALUE"""),161286.0)</f>
        <v>161286</v>
      </c>
      <c r="O118" s="208">
        <f>IFERROR(__xludf.DUMMYFUNCTION("""COMPUTED_VALUE"""),9.0)</f>
        <v>9</v>
      </c>
      <c r="P118" s="208">
        <f>IFERROR(__xludf.DUMMYFUNCTION("""COMPUTED_VALUE"""),2060.0)</f>
        <v>2060</v>
      </c>
      <c r="Q118" s="208">
        <f>IFERROR(__xludf.DUMMYFUNCTION("""COMPUTED_VALUE"""),6.0)</f>
        <v>6</v>
      </c>
      <c r="R118" s="208">
        <f>IFERROR(__xludf.DUMMYFUNCTION("""COMPUTED_VALUE"""),1683.0)</f>
        <v>1683</v>
      </c>
      <c r="S118" s="208">
        <f>IFERROR(__xludf.DUMMYFUNCTION("""COMPUTED_VALUE"""),0.0)</f>
        <v>0</v>
      </c>
      <c r="T118" s="208">
        <f>IFERROR(__xludf.DUMMYFUNCTION("""COMPUTED_VALUE"""),305.0)</f>
        <v>305</v>
      </c>
      <c r="U118" s="208">
        <f>IFERROR(__xludf.DUMMYFUNCTION("""COMPUTED_VALUE"""),72.0)</f>
        <v>72</v>
      </c>
      <c r="V118" s="208">
        <f>IFERROR(__xludf.DUMMYFUNCTION("""COMPUTED_VALUE"""),70.0)</f>
        <v>70</v>
      </c>
      <c r="W118" s="208">
        <f>IFERROR(__xludf.DUMMYFUNCTION("""COMPUTED_VALUE"""),9.0)</f>
        <v>9</v>
      </c>
      <c r="X118" s="208">
        <f>IFERROR(__xludf.DUMMYFUNCTION("""COMPUTED_VALUE"""),9.0)</f>
        <v>9</v>
      </c>
      <c r="Y118" s="208">
        <f>IFERROR(__xludf.DUMMYFUNCTION("""COMPUTED_VALUE"""),3.0)</f>
        <v>3</v>
      </c>
      <c r="Z118" s="208">
        <f>IFERROR(__xludf.DUMMYFUNCTION("""COMPUTED_VALUE"""),978.0)</f>
        <v>978</v>
      </c>
    </row>
    <row r="119">
      <c r="A119" s="207">
        <f>IFERROR(__xludf.DUMMYFUNCTION("""COMPUTED_VALUE"""),44016.0)</f>
        <v>44016</v>
      </c>
      <c r="B119" s="208">
        <f>IFERROR(__xludf.DUMMYFUNCTION("""COMPUTED_VALUE"""),57.0)</f>
        <v>57</v>
      </c>
      <c r="C119" s="208">
        <f>IFERROR(__xludf.DUMMYFUNCTION("""COMPUTED_VALUE"""),70.0)</f>
        <v>70</v>
      </c>
      <c r="D119" s="208">
        <f>IFERROR(__xludf.DUMMYFUNCTION("""COMPUTED_VALUE"""),24922.0)</f>
        <v>24922</v>
      </c>
      <c r="E119" s="208">
        <f>IFERROR(__xludf.DUMMYFUNCTION("""COMPUTED_VALUE"""),2345.0)</f>
        <v>2345</v>
      </c>
      <c r="F119" s="150">
        <f>IFERROR(__xludf.DUMMYFUNCTION("""COMPUTED_VALUE"""),244423.0)</f>
        <v>244423</v>
      </c>
      <c r="G119" s="150">
        <f>IFERROR(__xludf.DUMMYFUNCTION("""COMPUTED_VALUE"""),2402.0)</f>
        <v>2402</v>
      </c>
      <c r="H119" s="150">
        <f>IFERROR(__xludf.DUMMYFUNCTION("""COMPUTED_VALUE"""),269345.0)</f>
        <v>269345</v>
      </c>
      <c r="I119" s="208">
        <f>IFERROR(__xludf.DUMMYFUNCTION("""COMPUTED_VALUE"""),34.0)</f>
        <v>34</v>
      </c>
      <c r="J119" s="208">
        <f>IFERROR(__xludf.DUMMYFUNCTION("""COMPUTED_VALUE"""),39.0)</f>
        <v>39</v>
      </c>
      <c r="K119" s="208">
        <f>IFERROR(__xludf.DUMMYFUNCTION("""COMPUTED_VALUE"""),17205.0)</f>
        <v>17205</v>
      </c>
      <c r="L119" s="208">
        <f>IFERROR(__xludf.DUMMYFUNCTION("""COMPUTED_VALUE"""),1010.0)</f>
        <v>1010</v>
      </c>
      <c r="M119" s="208">
        <f>IFERROR(__xludf.DUMMYFUNCTION("""COMPUTED_VALUE"""),145125.0)</f>
        <v>145125</v>
      </c>
      <c r="N119" s="208">
        <f>IFERROR(__xludf.DUMMYFUNCTION("""COMPUTED_VALUE"""),162330.0)</f>
        <v>162330</v>
      </c>
      <c r="O119" s="208">
        <f>IFERROR(__xludf.DUMMYFUNCTION("""COMPUTED_VALUE"""),2.0)</f>
        <v>2</v>
      </c>
      <c r="P119" s="208">
        <f>IFERROR(__xludf.DUMMYFUNCTION("""COMPUTED_VALUE"""),2062.0)</f>
        <v>2062</v>
      </c>
      <c r="Q119" s="208">
        <f>IFERROR(__xludf.DUMMYFUNCTION("""COMPUTED_VALUE"""),4.0)</f>
        <v>4</v>
      </c>
      <c r="R119" s="208">
        <f>IFERROR(__xludf.DUMMYFUNCTION("""COMPUTED_VALUE"""),1687.0)</f>
        <v>1687</v>
      </c>
      <c r="S119" s="208">
        <f>IFERROR(__xludf.DUMMYFUNCTION("""COMPUTED_VALUE"""),1.0)</f>
        <v>1</v>
      </c>
      <c r="T119" s="208">
        <f>IFERROR(__xludf.DUMMYFUNCTION("""COMPUTED_VALUE"""),306.0)</f>
        <v>306</v>
      </c>
      <c r="U119" s="208">
        <f>IFERROR(__xludf.DUMMYFUNCTION("""COMPUTED_VALUE"""),69.0)</f>
        <v>69</v>
      </c>
      <c r="V119" s="208">
        <f>IFERROR(__xludf.DUMMYFUNCTION("""COMPUTED_VALUE"""),70.0)</f>
        <v>70</v>
      </c>
      <c r="W119" s="208">
        <f>IFERROR(__xludf.DUMMYFUNCTION("""COMPUTED_VALUE"""),10.0)</f>
        <v>10</v>
      </c>
      <c r="X119" s="208">
        <f>IFERROR(__xludf.DUMMYFUNCTION("""COMPUTED_VALUE"""),9.0)</f>
        <v>9</v>
      </c>
      <c r="Y119" s="208">
        <f>IFERROR(__xludf.DUMMYFUNCTION("""COMPUTED_VALUE"""),2.0)</f>
        <v>2</v>
      </c>
      <c r="Z119" s="208">
        <f>IFERROR(__xludf.DUMMYFUNCTION("""COMPUTED_VALUE"""),980.0)</f>
        <v>980</v>
      </c>
    </row>
    <row r="120">
      <c r="A120" s="207">
        <f>IFERROR(__xludf.DUMMYFUNCTION("""COMPUTED_VALUE"""),44017.0)</f>
        <v>44017</v>
      </c>
      <c r="B120" s="208">
        <f>IFERROR(__xludf.DUMMYFUNCTION("""COMPUTED_VALUE"""),49.0)</f>
        <v>49</v>
      </c>
      <c r="C120" s="208">
        <f>IFERROR(__xludf.DUMMYFUNCTION("""COMPUTED_VALUE"""),52.0)</f>
        <v>52</v>
      </c>
      <c r="D120" s="208">
        <f>IFERROR(__xludf.DUMMYFUNCTION("""COMPUTED_VALUE"""),24971.0)</f>
        <v>24971</v>
      </c>
      <c r="E120" s="208">
        <f>IFERROR(__xludf.DUMMYFUNCTION("""COMPUTED_VALUE"""),2932.0)</f>
        <v>2932</v>
      </c>
      <c r="F120" s="150">
        <f>IFERROR(__xludf.DUMMYFUNCTION("""COMPUTED_VALUE"""),247355.0)</f>
        <v>247355</v>
      </c>
      <c r="G120" s="150">
        <f>IFERROR(__xludf.DUMMYFUNCTION("""COMPUTED_VALUE"""),2981.0)</f>
        <v>2981</v>
      </c>
      <c r="H120" s="150">
        <f>IFERROR(__xludf.DUMMYFUNCTION("""COMPUTED_VALUE"""),272326.0)</f>
        <v>272326</v>
      </c>
      <c r="I120" s="208">
        <f>IFERROR(__xludf.DUMMYFUNCTION("""COMPUTED_VALUE"""),26.0)</f>
        <v>26</v>
      </c>
      <c r="J120" s="208">
        <f>IFERROR(__xludf.DUMMYFUNCTION("""COMPUTED_VALUE"""),29.0)</f>
        <v>29</v>
      </c>
      <c r="K120" s="208">
        <f>IFERROR(__xludf.DUMMYFUNCTION("""COMPUTED_VALUE"""),17231.0)</f>
        <v>17231</v>
      </c>
      <c r="L120" s="208">
        <f>IFERROR(__xludf.DUMMYFUNCTION("""COMPUTED_VALUE"""),1446.0)</f>
        <v>1446</v>
      </c>
      <c r="M120" s="208">
        <f>IFERROR(__xludf.DUMMYFUNCTION("""COMPUTED_VALUE"""),146571.0)</f>
        <v>146571</v>
      </c>
      <c r="N120" s="208">
        <f>IFERROR(__xludf.DUMMYFUNCTION("""COMPUTED_VALUE"""),163802.0)</f>
        <v>163802</v>
      </c>
      <c r="O120" s="208">
        <f>IFERROR(__xludf.DUMMYFUNCTION("""COMPUTED_VALUE"""),1.0)</f>
        <v>1</v>
      </c>
      <c r="P120" s="208">
        <f>IFERROR(__xludf.DUMMYFUNCTION("""COMPUTED_VALUE"""),2063.0)</f>
        <v>2063</v>
      </c>
      <c r="Q120" s="208">
        <f>IFERROR(__xludf.DUMMYFUNCTION("""COMPUTED_VALUE"""),2.0)</f>
        <v>2</v>
      </c>
      <c r="R120" s="208">
        <f>IFERROR(__xludf.DUMMYFUNCTION("""COMPUTED_VALUE"""),1689.0)</f>
        <v>1689</v>
      </c>
      <c r="S120" s="208">
        <f>IFERROR(__xludf.DUMMYFUNCTION("""COMPUTED_VALUE"""),1.0)</f>
        <v>1</v>
      </c>
      <c r="T120" s="208">
        <f>IFERROR(__xludf.DUMMYFUNCTION("""COMPUTED_VALUE"""),307.0)</f>
        <v>307</v>
      </c>
      <c r="U120" s="208">
        <f>IFERROR(__xludf.DUMMYFUNCTION("""COMPUTED_VALUE"""),67.0)</f>
        <v>67</v>
      </c>
      <c r="V120" s="208">
        <f>IFERROR(__xludf.DUMMYFUNCTION("""COMPUTED_VALUE"""),69.0)</f>
        <v>69</v>
      </c>
      <c r="W120" s="208">
        <f>IFERROR(__xludf.DUMMYFUNCTION("""COMPUTED_VALUE"""),8.0)</f>
        <v>8</v>
      </c>
      <c r="X120" s="208">
        <f>IFERROR(__xludf.DUMMYFUNCTION("""COMPUTED_VALUE"""),8.0)</f>
        <v>8</v>
      </c>
      <c r="Y120" s="208">
        <f>IFERROR(__xludf.DUMMYFUNCTION("""COMPUTED_VALUE"""),2.0)</f>
        <v>2</v>
      </c>
      <c r="Z120" s="208">
        <f>IFERROR(__xludf.DUMMYFUNCTION("""COMPUTED_VALUE"""),982.0)</f>
        <v>982</v>
      </c>
    </row>
    <row r="121">
      <c r="A121" s="207">
        <f>IFERROR(__xludf.DUMMYFUNCTION("""COMPUTED_VALUE"""),44018.0)</f>
        <v>44018</v>
      </c>
      <c r="B121" s="208">
        <f>IFERROR(__xludf.DUMMYFUNCTION("""COMPUTED_VALUE"""),101.0)</f>
        <v>101</v>
      </c>
      <c r="C121" s="208">
        <f>IFERROR(__xludf.DUMMYFUNCTION("""COMPUTED_VALUE"""),69.0)</f>
        <v>69</v>
      </c>
      <c r="D121" s="208">
        <f>IFERROR(__xludf.DUMMYFUNCTION("""COMPUTED_VALUE"""),25072.0)</f>
        <v>25072</v>
      </c>
      <c r="E121" s="208">
        <f>IFERROR(__xludf.DUMMYFUNCTION("""COMPUTED_VALUE"""),2811.0)</f>
        <v>2811</v>
      </c>
      <c r="F121" s="150">
        <f>IFERROR(__xludf.DUMMYFUNCTION("""COMPUTED_VALUE"""),250166.0)</f>
        <v>250166</v>
      </c>
      <c r="G121" s="150">
        <f>IFERROR(__xludf.DUMMYFUNCTION("""COMPUTED_VALUE"""),2912.0)</f>
        <v>2912</v>
      </c>
      <c r="H121" s="150">
        <f>IFERROR(__xludf.DUMMYFUNCTION("""COMPUTED_VALUE"""),275238.0)</f>
        <v>275238</v>
      </c>
      <c r="I121" s="208">
        <f>IFERROR(__xludf.DUMMYFUNCTION("""COMPUTED_VALUE"""),58.0)</f>
        <v>58</v>
      </c>
      <c r="J121" s="208">
        <f>IFERROR(__xludf.DUMMYFUNCTION("""COMPUTED_VALUE"""),39.0)</f>
        <v>39</v>
      </c>
      <c r="K121" s="208">
        <f>IFERROR(__xludf.DUMMYFUNCTION("""COMPUTED_VALUE"""),17289.0)</f>
        <v>17289</v>
      </c>
      <c r="L121" s="208">
        <f>IFERROR(__xludf.DUMMYFUNCTION("""COMPUTED_VALUE"""),1552.0)</f>
        <v>1552</v>
      </c>
      <c r="M121" s="208">
        <f>IFERROR(__xludf.DUMMYFUNCTION("""COMPUTED_VALUE"""),148123.0)</f>
        <v>148123</v>
      </c>
      <c r="N121" s="208">
        <f>IFERROR(__xludf.DUMMYFUNCTION("""COMPUTED_VALUE"""),165412.0)</f>
        <v>165412</v>
      </c>
      <c r="O121" s="208">
        <f>IFERROR(__xludf.DUMMYFUNCTION("""COMPUTED_VALUE"""),6.0)</f>
        <v>6</v>
      </c>
      <c r="P121" s="208">
        <f>IFERROR(__xludf.DUMMYFUNCTION("""COMPUTED_VALUE"""),2069.0)</f>
        <v>2069</v>
      </c>
      <c r="Q121" s="208">
        <f>IFERROR(__xludf.DUMMYFUNCTION("""COMPUTED_VALUE"""),6.0)</f>
        <v>6</v>
      </c>
      <c r="R121" s="208">
        <f>IFERROR(__xludf.DUMMYFUNCTION("""COMPUTED_VALUE"""),1695.0)</f>
        <v>1695</v>
      </c>
      <c r="S121" s="208">
        <f>IFERROR(__xludf.DUMMYFUNCTION("""COMPUTED_VALUE"""),0.0)</f>
        <v>0</v>
      </c>
      <c r="T121" s="208">
        <f>IFERROR(__xludf.DUMMYFUNCTION("""COMPUTED_VALUE"""),307.0)</f>
        <v>307</v>
      </c>
      <c r="U121" s="208">
        <f>IFERROR(__xludf.DUMMYFUNCTION("""COMPUTED_VALUE"""),67.0)</f>
        <v>67</v>
      </c>
      <c r="V121" s="208">
        <f>IFERROR(__xludf.DUMMYFUNCTION("""COMPUTED_VALUE"""),68.0)</f>
        <v>68</v>
      </c>
      <c r="W121" s="208">
        <f>IFERROR(__xludf.DUMMYFUNCTION("""COMPUTED_VALUE"""),9.0)</f>
        <v>9</v>
      </c>
      <c r="X121" s="208">
        <f>IFERROR(__xludf.DUMMYFUNCTION("""COMPUTED_VALUE"""),9.0)</f>
        <v>9</v>
      </c>
      <c r="Y121" s="208">
        <f>IFERROR(__xludf.DUMMYFUNCTION("""COMPUTED_VALUE"""),4.0)</f>
        <v>4</v>
      </c>
      <c r="Z121" s="208">
        <f>IFERROR(__xludf.DUMMYFUNCTION("""COMPUTED_VALUE"""),986.0)</f>
        <v>986</v>
      </c>
    </row>
    <row r="122">
      <c r="A122" s="207">
        <f>IFERROR(__xludf.DUMMYFUNCTION("""COMPUTED_VALUE"""),44019.0)</f>
        <v>44019</v>
      </c>
      <c r="B122" s="208">
        <f>IFERROR(__xludf.DUMMYFUNCTION("""COMPUTED_VALUE"""),81.0)</f>
        <v>81</v>
      </c>
      <c r="C122" s="208">
        <f>IFERROR(__xludf.DUMMYFUNCTION("""COMPUTED_VALUE"""),77.0)</f>
        <v>77</v>
      </c>
      <c r="D122" s="208">
        <f>IFERROR(__xludf.DUMMYFUNCTION("""COMPUTED_VALUE"""),25153.0)</f>
        <v>25153</v>
      </c>
      <c r="E122" s="208">
        <f>IFERROR(__xludf.DUMMYFUNCTION("""COMPUTED_VALUE"""),3457.0)</f>
        <v>3457</v>
      </c>
      <c r="F122" s="150">
        <f>IFERROR(__xludf.DUMMYFUNCTION("""COMPUTED_VALUE"""),253623.0)</f>
        <v>253623</v>
      </c>
      <c r="G122" s="150">
        <f>IFERROR(__xludf.DUMMYFUNCTION("""COMPUTED_VALUE"""),3538.0)</f>
        <v>3538</v>
      </c>
      <c r="H122" s="150">
        <f>IFERROR(__xludf.DUMMYFUNCTION("""COMPUTED_VALUE"""),278776.0)</f>
        <v>278776</v>
      </c>
      <c r="I122" s="208">
        <f>IFERROR(__xludf.DUMMYFUNCTION("""COMPUTED_VALUE"""),48.0)</f>
        <v>48</v>
      </c>
      <c r="J122" s="208">
        <f>IFERROR(__xludf.DUMMYFUNCTION("""COMPUTED_VALUE"""),44.0)</f>
        <v>44</v>
      </c>
      <c r="K122" s="208">
        <f>IFERROR(__xludf.DUMMYFUNCTION("""COMPUTED_VALUE"""),17337.0)</f>
        <v>17337</v>
      </c>
      <c r="L122" s="208">
        <f>IFERROR(__xludf.DUMMYFUNCTION("""COMPUTED_VALUE"""),1536.0)</f>
        <v>1536</v>
      </c>
      <c r="M122" s="208">
        <f>IFERROR(__xludf.DUMMYFUNCTION("""COMPUTED_VALUE"""),149659.0)</f>
        <v>149659</v>
      </c>
      <c r="N122" s="208">
        <f>IFERROR(__xludf.DUMMYFUNCTION("""COMPUTED_VALUE"""),166996.0)</f>
        <v>166996</v>
      </c>
      <c r="O122" s="208">
        <f>IFERROR(__xludf.DUMMYFUNCTION("""COMPUTED_VALUE"""),5.0)</f>
        <v>5</v>
      </c>
      <c r="P122" s="208">
        <f>IFERROR(__xludf.DUMMYFUNCTION("""COMPUTED_VALUE"""),2074.0)</f>
        <v>2074</v>
      </c>
      <c r="Q122" s="208">
        <f>IFERROR(__xludf.DUMMYFUNCTION("""COMPUTED_VALUE"""),7.0)</f>
        <v>7</v>
      </c>
      <c r="R122" s="208">
        <f>IFERROR(__xludf.DUMMYFUNCTION("""COMPUTED_VALUE"""),1702.0)</f>
        <v>1702</v>
      </c>
      <c r="S122" s="208">
        <f>IFERROR(__xludf.DUMMYFUNCTION("""COMPUTED_VALUE"""),0.0)</f>
        <v>0</v>
      </c>
      <c r="T122" s="208">
        <f>IFERROR(__xludf.DUMMYFUNCTION("""COMPUTED_VALUE"""),307.0)</f>
        <v>307</v>
      </c>
      <c r="U122" s="208">
        <f>IFERROR(__xludf.DUMMYFUNCTION("""COMPUTED_VALUE"""),65.0)</f>
        <v>65</v>
      </c>
      <c r="V122" s="208">
        <f>IFERROR(__xludf.DUMMYFUNCTION("""COMPUTED_VALUE"""),66.0)</f>
        <v>66</v>
      </c>
      <c r="W122" s="208">
        <f>IFERROR(__xludf.DUMMYFUNCTION("""COMPUTED_VALUE"""),8.0)</f>
        <v>8</v>
      </c>
      <c r="X122" s="208">
        <f>IFERROR(__xludf.DUMMYFUNCTION("""COMPUTED_VALUE"""),8.0)</f>
        <v>8</v>
      </c>
      <c r="Y122" s="208">
        <f>IFERROR(__xludf.DUMMYFUNCTION("""COMPUTED_VALUE"""),2.0)</f>
        <v>2</v>
      </c>
      <c r="Z122" s="208">
        <f>IFERROR(__xludf.DUMMYFUNCTION("""COMPUTED_VALUE"""),988.0)</f>
        <v>988</v>
      </c>
    </row>
    <row r="123">
      <c r="A123" s="207">
        <f>IFERROR(__xludf.DUMMYFUNCTION("""COMPUTED_VALUE"""),44020.0)</f>
        <v>44020</v>
      </c>
      <c r="B123" s="208">
        <f>IFERROR(__xludf.DUMMYFUNCTION("""COMPUTED_VALUE"""),105.0)</f>
        <v>105</v>
      </c>
      <c r="C123" s="208">
        <f>IFERROR(__xludf.DUMMYFUNCTION("""COMPUTED_VALUE"""),96.0)</f>
        <v>96</v>
      </c>
      <c r="D123" s="208">
        <f>IFERROR(__xludf.DUMMYFUNCTION("""COMPUTED_VALUE"""),25258.0)</f>
        <v>25258</v>
      </c>
      <c r="E123" s="208">
        <f>IFERROR(__xludf.DUMMYFUNCTION("""COMPUTED_VALUE"""),3403.0)</f>
        <v>3403</v>
      </c>
      <c r="F123" s="150">
        <f>IFERROR(__xludf.DUMMYFUNCTION("""COMPUTED_VALUE"""),257026.0)</f>
        <v>257026</v>
      </c>
      <c r="G123" s="150">
        <f>IFERROR(__xludf.DUMMYFUNCTION("""COMPUTED_VALUE"""),3508.0)</f>
        <v>3508</v>
      </c>
      <c r="H123" s="150">
        <f>IFERROR(__xludf.DUMMYFUNCTION("""COMPUTED_VALUE"""),282284.0)</f>
        <v>282284</v>
      </c>
      <c r="I123" s="208">
        <f>IFERROR(__xludf.DUMMYFUNCTION("""COMPUTED_VALUE"""),65.0)</f>
        <v>65</v>
      </c>
      <c r="J123" s="208">
        <f>IFERROR(__xludf.DUMMYFUNCTION("""COMPUTED_VALUE"""),57.0)</f>
        <v>57</v>
      </c>
      <c r="K123" s="208">
        <f>IFERROR(__xludf.DUMMYFUNCTION("""COMPUTED_VALUE"""),17402.0)</f>
        <v>17402</v>
      </c>
      <c r="L123" s="208">
        <f>IFERROR(__xludf.DUMMYFUNCTION("""COMPUTED_VALUE"""),1426.0)</f>
        <v>1426</v>
      </c>
      <c r="M123" s="208">
        <f>IFERROR(__xludf.DUMMYFUNCTION("""COMPUTED_VALUE"""),151085.0)</f>
        <v>151085</v>
      </c>
      <c r="N123" s="208">
        <f>IFERROR(__xludf.DUMMYFUNCTION("""COMPUTED_VALUE"""),168487.0)</f>
        <v>168487</v>
      </c>
      <c r="O123" s="208">
        <f>IFERROR(__xludf.DUMMYFUNCTION("""COMPUTED_VALUE"""),4.0)</f>
        <v>4</v>
      </c>
      <c r="P123" s="208">
        <f>IFERROR(__xludf.DUMMYFUNCTION("""COMPUTED_VALUE"""),2078.0)</f>
        <v>2078</v>
      </c>
      <c r="Q123" s="208">
        <f>IFERROR(__xludf.DUMMYFUNCTION("""COMPUTED_VALUE"""),2.0)</f>
        <v>2</v>
      </c>
      <c r="R123" s="208">
        <f>IFERROR(__xludf.DUMMYFUNCTION("""COMPUTED_VALUE"""),1704.0)</f>
        <v>1704</v>
      </c>
      <c r="S123" s="208">
        <f>IFERROR(__xludf.DUMMYFUNCTION("""COMPUTED_VALUE"""),0.0)</f>
        <v>0</v>
      </c>
      <c r="T123" s="208">
        <f>IFERROR(__xludf.DUMMYFUNCTION("""COMPUTED_VALUE"""),307.0)</f>
        <v>307</v>
      </c>
      <c r="U123" s="208">
        <f>IFERROR(__xludf.DUMMYFUNCTION("""COMPUTED_VALUE"""),67.0)</f>
        <v>67</v>
      </c>
      <c r="V123" s="208">
        <f>IFERROR(__xludf.DUMMYFUNCTION("""COMPUTED_VALUE"""),66.0)</f>
        <v>66</v>
      </c>
      <c r="W123" s="208">
        <f>IFERROR(__xludf.DUMMYFUNCTION("""COMPUTED_VALUE"""),9.0)</f>
        <v>9</v>
      </c>
      <c r="X123" s="208">
        <f>IFERROR(__xludf.DUMMYFUNCTION("""COMPUTED_VALUE"""),8.0)</f>
        <v>8</v>
      </c>
      <c r="Y123" s="208">
        <f>IFERROR(__xludf.DUMMYFUNCTION("""COMPUTED_VALUE"""),0.0)</f>
        <v>0</v>
      </c>
      <c r="Z123" s="208">
        <f>IFERROR(__xludf.DUMMYFUNCTION("""COMPUTED_VALUE"""),988.0)</f>
        <v>988</v>
      </c>
    </row>
    <row r="124">
      <c r="A124" s="207">
        <f>IFERROR(__xludf.DUMMYFUNCTION("""COMPUTED_VALUE"""),44021.0)</f>
        <v>44021</v>
      </c>
      <c r="B124" s="208">
        <f>IFERROR(__xludf.DUMMYFUNCTION("""COMPUTED_VALUE"""),94.0)</f>
        <v>94</v>
      </c>
      <c r="C124" s="208">
        <f>IFERROR(__xludf.DUMMYFUNCTION("""COMPUTED_VALUE"""),93.0)</f>
        <v>93</v>
      </c>
      <c r="D124" s="208">
        <f>IFERROR(__xludf.DUMMYFUNCTION("""COMPUTED_VALUE"""),25352.0)</f>
        <v>25352</v>
      </c>
      <c r="E124" s="208">
        <f>IFERROR(__xludf.DUMMYFUNCTION("""COMPUTED_VALUE"""),3712.0)</f>
        <v>3712</v>
      </c>
      <c r="F124" s="150">
        <f>IFERROR(__xludf.DUMMYFUNCTION("""COMPUTED_VALUE"""),260738.0)</f>
        <v>260738</v>
      </c>
      <c r="G124" s="150">
        <f>IFERROR(__xludf.DUMMYFUNCTION("""COMPUTED_VALUE"""),3806.0)</f>
        <v>3806</v>
      </c>
      <c r="H124" s="150">
        <f>IFERROR(__xludf.DUMMYFUNCTION("""COMPUTED_VALUE"""),286090.0)</f>
        <v>286090</v>
      </c>
      <c r="I124" s="208">
        <f>IFERROR(__xludf.DUMMYFUNCTION("""COMPUTED_VALUE"""),51.0)</f>
        <v>51</v>
      </c>
      <c r="J124" s="208">
        <f>IFERROR(__xludf.DUMMYFUNCTION("""COMPUTED_VALUE"""),55.0)</f>
        <v>55</v>
      </c>
      <c r="K124" s="208">
        <f>IFERROR(__xludf.DUMMYFUNCTION("""COMPUTED_VALUE"""),17453.0)</f>
        <v>17453</v>
      </c>
      <c r="L124" s="208">
        <f>IFERROR(__xludf.DUMMYFUNCTION("""COMPUTED_VALUE"""),1630.0)</f>
        <v>1630</v>
      </c>
      <c r="M124" s="208">
        <f>IFERROR(__xludf.DUMMYFUNCTION("""COMPUTED_VALUE"""),152715.0)</f>
        <v>152715</v>
      </c>
      <c r="N124" s="208">
        <f>IFERROR(__xludf.DUMMYFUNCTION("""COMPUTED_VALUE"""),170168.0)</f>
        <v>170168</v>
      </c>
      <c r="O124" s="208">
        <f>IFERROR(__xludf.DUMMYFUNCTION("""COMPUTED_VALUE"""),9.0)</f>
        <v>9</v>
      </c>
      <c r="P124" s="208">
        <f>IFERROR(__xludf.DUMMYFUNCTION("""COMPUTED_VALUE"""),2087.0)</f>
        <v>2087</v>
      </c>
      <c r="Q124" s="208">
        <f>IFERROR(__xludf.DUMMYFUNCTION("""COMPUTED_VALUE"""),3.0)</f>
        <v>3</v>
      </c>
      <c r="R124" s="208">
        <f>IFERROR(__xludf.DUMMYFUNCTION("""COMPUTED_VALUE"""),1707.0)</f>
        <v>1707</v>
      </c>
      <c r="S124" s="208">
        <f>IFERROR(__xludf.DUMMYFUNCTION("""COMPUTED_VALUE"""),0.0)</f>
        <v>0</v>
      </c>
      <c r="T124" s="208">
        <f>IFERROR(__xludf.DUMMYFUNCTION("""COMPUTED_VALUE"""),307.0)</f>
        <v>307</v>
      </c>
      <c r="U124" s="208">
        <f>IFERROR(__xludf.DUMMYFUNCTION("""COMPUTED_VALUE"""),73.0)</f>
        <v>73</v>
      </c>
      <c r="V124" s="208">
        <f>IFERROR(__xludf.DUMMYFUNCTION("""COMPUTED_VALUE"""),68.0)</f>
        <v>68</v>
      </c>
      <c r="W124" s="208">
        <f>IFERROR(__xludf.DUMMYFUNCTION("""COMPUTED_VALUE"""),9.0)</f>
        <v>9</v>
      </c>
      <c r="X124" s="208">
        <f>IFERROR(__xludf.DUMMYFUNCTION("""COMPUTED_VALUE"""),8.0)</f>
        <v>8</v>
      </c>
      <c r="Y124" s="208">
        <f>IFERROR(__xludf.DUMMYFUNCTION("""COMPUTED_VALUE"""),0.0)</f>
        <v>0</v>
      </c>
      <c r="Z124" s="208">
        <f>IFERROR(__xludf.DUMMYFUNCTION("""COMPUTED_VALUE"""),988.0)</f>
        <v>988</v>
      </c>
    </row>
    <row r="125">
      <c r="A125" s="207">
        <f>IFERROR(__xludf.DUMMYFUNCTION("""COMPUTED_VALUE"""),44022.0)</f>
        <v>44022</v>
      </c>
      <c r="B125" s="208">
        <f>IFERROR(__xludf.DUMMYFUNCTION("""COMPUTED_VALUE"""),131.0)</f>
        <v>131</v>
      </c>
      <c r="C125" s="208">
        <f>IFERROR(__xludf.DUMMYFUNCTION("""COMPUTED_VALUE"""),110.0)</f>
        <v>110</v>
      </c>
      <c r="D125" s="208">
        <f>IFERROR(__xludf.DUMMYFUNCTION("""COMPUTED_VALUE"""),25483.0)</f>
        <v>25483</v>
      </c>
      <c r="E125" s="208">
        <f>IFERROR(__xludf.DUMMYFUNCTION("""COMPUTED_VALUE"""),4431.0)</f>
        <v>4431</v>
      </c>
      <c r="F125" s="150">
        <f>IFERROR(__xludf.DUMMYFUNCTION("""COMPUTED_VALUE"""),265169.0)</f>
        <v>265169</v>
      </c>
      <c r="G125" s="150">
        <f>IFERROR(__xludf.DUMMYFUNCTION("""COMPUTED_VALUE"""),4562.0)</f>
        <v>4562</v>
      </c>
      <c r="H125" s="150">
        <f>IFERROR(__xludf.DUMMYFUNCTION("""COMPUTED_VALUE"""),290652.0)</f>
        <v>290652</v>
      </c>
      <c r="I125" s="208">
        <f>IFERROR(__xludf.DUMMYFUNCTION("""COMPUTED_VALUE"""),80.0)</f>
        <v>80</v>
      </c>
      <c r="J125" s="208">
        <f>IFERROR(__xludf.DUMMYFUNCTION("""COMPUTED_VALUE"""),65.0)</f>
        <v>65</v>
      </c>
      <c r="K125" s="208">
        <f>IFERROR(__xludf.DUMMYFUNCTION("""COMPUTED_VALUE"""),17533.0)</f>
        <v>17533</v>
      </c>
      <c r="L125" s="208">
        <f>IFERROR(__xludf.DUMMYFUNCTION("""COMPUTED_VALUE"""),2080.0)</f>
        <v>2080</v>
      </c>
      <c r="M125" s="208">
        <f>IFERROR(__xludf.DUMMYFUNCTION("""COMPUTED_VALUE"""),154795.0)</f>
        <v>154795</v>
      </c>
      <c r="N125" s="208">
        <f>IFERROR(__xludf.DUMMYFUNCTION("""COMPUTED_VALUE"""),172328.0)</f>
        <v>172328</v>
      </c>
      <c r="O125" s="208">
        <f>IFERROR(__xludf.DUMMYFUNCTION("""COMPUTED_VALUE"""),6.0)</f>
        <v>6</v>
      </c>
      <c r="P125" s="208">
        <f>IFERROR(__xludf.DUMMYFUNCTION("""COMPUTED_VALUE"""),2093.0)</f>
        <v>2093</v>
      </c>
      <c r="Q125" s="208">
        <f>IFERROR(__xludf.DUMMYFUNCTION("""COMPUTED_VALUE"""),3.0)</f>
        <v>3</v>
      </c>
      <c r="R125" s="208">
        <f>IFERROR(__xludf.DUMMYFUNCTION("""COMPUTED_VALUE"""),1710.0)</f>
        <v>1710</v>
      </c>
      <c r="S125" s="208">
        <f>IFERROR(__xludf.DUMMYFUNCTION("""COMPUTED_VALUE"""),2.0)</f>
        <v>2</v>
      </c>
      <c r="T125" s="208">
        <f>IFERROR(__xludf.DUMMYFUNCTION("""COMPUTED_VALUE"""),309.0)</f>
        <v>309</v>
      </c>
      <c r="U125" s="208">
        <f>IFERROR(__xludf.DUMMYFUNCTION("""COMPUTED_VALUE"""),74.0)</f>
        <v>74</v>
      </c>
      <c r="V125" s="208">
        <f>IFERROR(__xludf.DUMMYFUNCTION("""COMPUTED_VALUE"""),71.0)</f>
        <v>71</v>
      </c>
      <c r="W125" s="208">
        <f>IFERROR(__xludf.DUMMYFUNCTION("""COMPUTED_VALUE"""),7.0)</f>
        <v>7</v>
      </c>
      <c r="X125" s="208">
        <f>IFERROR(__xludf.DUMMYFUNCTION("""COMPUTED_VALUE"""),7.0)</f>
        <v>7</v>
      </c>
      <c r="Y125" s="208">
        <f>IFERROR(__xludf.DUMMYFUNCTION("""COMPUTED_VALUE"""),3.0)</f>
        <v>3</v>
      </c>
      <c r="Z125" s="208">
        <f>IFERROR(__xludf.DUMMYFUNCTION("""COMPUTED_VALUE"""),991.0)</f>
        <v>991</v>
      </c>
    </row>
    <row r="126">
      <c r="A126" s="207">
        <f>IFERROR(__xludf.DUMMYFUNCTION("""COMPUTED_VALUE"""),44023.0)</f>
        <v>44023</v>
      </c>
      <c r="B126" s="208">
        <f>IFERROR(__xludf.DUMMYFUNCTION("""COMPUTED_VALUE"""),63.0)</f>
        <v>63</v>
      </c>
      <c r="C126" s="208">
        <f>IFERROR(__xludf.DUMMYFUNCTION("""COMPUTED_VALUE"""),96.0)</f>
        <v>96</v>
      </c>
      <c r="D126" s="208">
        <f>IFERROR(__xludf.DUMMYFUNCTION("""COMPUTED_VALUE"""),25546.0)</f>
        <v>25546</v>
      </c>
      <c r="E126" s="208">
        <f>IFERROR(__xludf.DUMMYFUNCTION("""COMPUTED_VALUE"""),2932.0)</f>
        <v>2932</v>
      </c>
      <c r="F126" s="150">
        <f>IFERROR(__xludf.DUMMYFUNCTION("""COMPUTED_VALUE"""),268101.0)</f>
        <v>268101</v>
      </c>
      <c r="G126" s="150">
        <f>IFERROR(__xludf.DUMMYFUNCTION("""COMPUTED_VALUE"""),2995.0)</f>
        <v>2995</v>
      </c>
      <c r="H126" s="150">
        <f>IFERROR(__xludf.DUMMYFUNCTION("""COMPUTED_VALUE"""),293647.0)</f>
        <v>293647</v>
      </c>
      <c r="I126" s="208">
        <f>IFERROR(__xludf.DUMMYFUNCTION("""COMPUTED_VALUE"""),34.0)</f>
        <v>34</v>
      </c>
      <c r="J126" s="208">
        <f>IFERROR(__xludf.DUMMYFUNCTION("""COMPUTED_VALUE"""),55.0)</f>
        <v>55</v>
      </c>
      <c r="K126" s="208">
        <f>IFERROR(__xludf.DUMMYFUNCTION("""COMPUTED_VALUE"""),17567.0)</f>
        <v>17567</v>
      </c>
      <c r="L126" s="208">
        <f>IFERROR(__xludf.DUMMYFUNCTION("""COMPUTED_VALUE"""),1318.0)</f>
        <v>1318</v>
      </c>
      <c r="M126" s="208">
        <f>IFERROR(__xludf.DUMMYFUNCTION("""COMPUTED_VALUE"""),156113.0)</f>
        <v>156113</v>
      </c>
      <c r="N126" s="208">
        <f>IFERROR(__xludf.DUMMYFUNCTION("""COMPUTED_VALUE"""),173680.0)</f>
        <v>173680</v>
      </c>
      <c r="O126" s="208">
        <f>IFERROR(__xludf.DUMMYFUNCTION("""COMPUTED_VALUE"""),6.0)</f>
        <v>6</v>
      </c>
      <c r="P126" s="208">
        <f>IFERROR(__xludf.DUMMYFUNCTION("""COMPUTED_VALUE"""),2099.0)</f>
        <v>2099</v>
      </c>
      <c r="Q126" s="208">
        <f>IFERROR(__xludf.DUMMYFUNCTION("""COMPUTED_VALUE"""),3.0)</f>
        <v>3</v>
      </c>
      <c r="R126" s="208">
        <f>IFERROR(__xludf.DUMMYFUNCTION("""COMPUTED_VALUE"""),1713.0)</f>
        <v>1713</v>
      </c>
      <c r="S126" s="208">
        <f>IFERROR(__xludf.DUMMYFUNCTION("""COMPUTED_VALUE"""),1.0)</f>
        <v>1</v>
      </c>
      <c r="T126" s="208">
        <f>IFERROR(__xludf.DUMMYFUNCTION("""COMPUTED_VALUE"""),310.0)</f>
        <v>310</v>
      </c>
      <c r="U126" s="208">
        <f>IFERROR(__xludf.DUMMYFUNCTION("""COMPUTED_VALUE"""),76.0)</f>
        <v>76</v>
      </c>
      <c r="V126" s="208">
        <f>IFERROR(__xludf.DUMMYFUNCTION("""COMPUTED_VALUE"""),74.0)</f>
        <v>74</v>
      </c>
      <c r="W126" s="208">
        <f>IFERROR(__xludf.DUMMYFUNCTION("""COMPUTED_VALUE"""),6.0)</f>
        <v>6</v>
      </c>
      <c r="X126" s="208">
        <f>IFERROR(__xludf.DUMMYFUNCTION("""COMPUTED_VALUE"""),6.0)</f>
        <v>6</v>
      </c>
      <c r="Y126" s="208">
        <f>IFERROR(__xludf.DUMMYFUNCTION("""COMPUTED_VALUE"""),3.0)</f>
        <v>3</v>
      </c>
      <c r="Z126" s="208">
        <f>IFERROR(__xludf.DUMMYFUNCTION("""COMPUTED_VALUE"""),994.0)</f>
        <v>994</v>
      </c>
    </row>
    <row r="127">
      <c r="A127" s="207">
        <f>IFERROR(__xludf.DUMMYFUNCTION("""COMPUTED_VALUE"""),44024.0)</f>
        <v>44024</v>
      </c>
      <c r="B127" s="208">
        <f>IFERROR(__xludf.DUMMYFUNCTION("""COMPUTED_VALUE"""),47.0)</f>
        <v>47</v>
      </c>
      <c r="C127" s="208">
        <f>IFERROR(__xludf.DUMMYFUNCTION("""COMPUTED_VALUE"""),80.0)</f>
        <v>80</v>
      </c>
      <c r="D127" s="208">
        <f>IFERROR(__xludf.DUMMYFUNCTION("""COMPUTED_VALUE"""),25593.0)</f>
        <v>25593</v>
      </c>
      <c r="E127" s="208">
        <f>IFERROR(__xludf.DUMMYFUNCTION("""COMPUTED_VALUE"""),1836.0)</f>
        <v>1836</v>
      </c>
      <c r="F127" s="150">
        <f>IFERROR(__xludf.DUMMYFUNCTION("""COMPUTED_VALUE"""),269937.0)</f>
        <v>269937</v>
      </c>
      <c r="G127" s="150">
        <f>IFERROR(__xludf.DUMMYFUNCTION("""COMPUTED_VALUE"""),1883.0)</f>
        <v>1883</v>
      </c>
      <c r="H127" s="150">
        <f>IFERROR(__xludf.DUMMYFUNCTION("""COMPUTED_VALUE"""),295530.0)</f>
        <v>295530</v>
      </c>
      <c r="I127" s="208">
        <f>IFERROR(__xludf.DUMMYFUNCTION("""COMPUTED_VALUE"""),34.0)</f>
        <v>34</v>
      </c>
      <c r="J127" s="208">
        <f>IFERROR(__xludf.DUMMYFUNCTION("""COMPUTED_VALUE"""),49.0)</f>
        <v>49</v>
      </c>
      <c r="K127" s="208">
        <f>IFERROR(__xludf.DUMMYFUNCTION("""COMPUTED_VALUE"""),17601.0)</f>
        <v>17601</v>
      </c>
      <c r="L127" s="208">
        <f>IFERROR(__xludf.DUMMYFUNCTION("""COMPUTED_VALUE"""),943.0)</f>
        <v>943</v>
      </c>
      <c r="M127" s="208">
        <f>IFERROR(__xludf.DUMMYFUNCTION("""COMPUTED_VALUE"""),157056.0)</f>
        <v>157056</v>
      </c>
      <c r="N127" s="208">
        <f>IFERROR(__xludf.DUMMYFUNCTION("""COMPUTED_VALUE"""),174657.0)</f>
        <v>174657</v>
      </c>
      <c r="O127" s="208">
        <f>IFERROR(__xludf.DUMMYFUNCTION("""COMPUTED_VALUE"""),1.0)</f>
        <v>1</v>
      </c>
      <c r="P127" s="208">
        <f>IFERROR(__xludf.DUMMYFUNCTION("""COMPUTED_VALUE"""),2100.0)</f>
        <v>2100</v>
      </c>
      <c r="Q127" s="208">
        <f>IFERROR(__xludf.DUMMYFUNCTION("""COMPUTED_VALUE"""),3.0)</f>
        <v>3</v>
      </c>
      <c r="R127" s="208">
        <f>IFERROR(__xludf.DUMMYFUNCTION("""COMPUTED_VALUE"""),1716.0)</f>
        <v>1716</v>
      </c>
      <c r="S127" s="208">
        <f>IFERROR(__xludf.DUMMYFUNCTION("""COMPUTED_VALUE"""),1.0)</f>
        <v>1</v>
      </c>
      <c r="T127" s="208">
        <f>IFERROR(__xludf.DUMMYFUNCTION("""COMPUTED_VALUE"""),311.0)</f>
        <v>311</v>
      </c>
      <c r="U127" s="208">
        <f>IFERROR(__xludf.DUMMYFUNCTION("""COMPUTED_VALUE"""),73.0)</f>
        <v>73</v>
      </c>
      <c r="V127" s="208">
        <f>IFERROR(__xludf.DUMMYFUNCTION("""COMPUTED_VALUE"""),74.0)</f>
        <v>74</v>
      </c>
      <c r="W127" s="208">
        <f>IFERROR(__xludf.DUMMYFUNCTION("""COMPUTED_VALUE"""),6.0)</f>
        <v>6</v>
      </c>
      <c r="X127" s="208">
        <f>IFERROR(__xludf.DUMMYFUNCTION("""COMPUTED_VALUE"""),5.0)</f>
        <v>5</v>
      </c>
      <c r="Y127" s="208">
        <f>IFERROR(__xludf.DUMMYFUNCTION("""COMPUTED_VALUE"""),3.0)</f>
        <v>3</v>
      </c>
      <c r="Z127" s="208">
        <f>IFERROR(__xludf.DUMMYFUNCTION("""COMPUTED_VALUE"""),997.0)</f>
        <v>997</v>
      </c>
    </row>
    <row r="128">
      <c r="A128" s="207">
        <f>IFERROR(__xludf.DUMMYFUNCTION("""COMPUTED_VALUE"""),44025.0)</f>
        <v>44025</v>
      </c>
      <c r="B128" s="208">
        <f>IFERROR(__xludf.DUMMYFUNCTION("""COMPUTED_VALUE"""),84.0)</f>
        <v>84</v>
      </c>
      <c r="C128" s="208">
        <f>IFERROR(__xludf.DUMMYFUNCTION("""COMPUTED_VALUE"""),65.0)</f>
        <v>65</v>
      </c>
      <c r="D128" s="208">
        <f>IFERROR(__xludf.DUMMYFUNCTION("""COMPUTED_VALUE"""),25677.0)</f>
        <v>25677</v>
      </c>
      <c r="E128" s="208">
        <f>IFERROR(__xludf.DUMMYFUNCTION("""COMPUTED_VALUE"""),3157.0)</f>
        <v>3157</v>
      </c>
      <c r="F128" s="150">
        <f>IFERROR(__xludf.DUMMYFUNCTION("""COMPUTED_VALUE"""),273094.0)</f>
        <v>273094</v>
      </c>
      <c r="G128" s="150">
        <f>IFERROR(__xludf.DUMMYFUNCTION("""COMPUTED_VALUE"""),3241.0)</f>
        <v>3241</v>
      </c>
      <c r="H128" s="150">
        <f>IFERROR(__xludf.DUMMYFUNCTION("""COMPUTED_VALUE"""),298771.0)</f>
        <v>298771</v>
      </c>
      <c r="I128" s="208">
        <f>IFERROR(__xludf.DUMMYFUNCTION("""COMPUTED_VALUE"""),61.0)</f>
        <v>61</v>
      </c>
      <c r="J128" s="208">
        <f>IFERROR(__xludf.DUMMYFUNCTION("""COMPUTED_VALUE"""),43.0)</f>
        <v>43</v>
      </c>
      <c r="K128" s="208">
        <f>IFERROR(__xludf.DUMMYFUNCTION("""COMPUTED_VALUE"""),17662.0)</f>
        <v>17662</v>
      </c>
      <c r="L128" s="208">
        <f>IFERROR(__xludf.DUMMYFUNCTION("""COMPUTED_VALUE"""),1474.0)</f>
        <v>1474</v>
      </c>
      <c r="M128" s="208">
        <f>IFERROR(__xludf.DUMMYFUNCTION("""COMPUTED_VALUE"""),158530.0)</f>
        <v>158530</v>
      </c>
      <c r="N128" s="208">
        <f>IFERROR(__xludf.DUMMYFUNCTION("""COMPUTED_VALUE"""),176192.0)</f>
        <v>176192</v>
      </c>
      <c r="O128" s="208">
        <f>IFERROR(__xludf.DUMMYFUNCTION("""COMPUTED_VALUE"""),8.0)</f>
        <v>8</v>
      </c>
      <c r="P128" s="208">
        <f>IFERROR(__xludf.DUMMYFUNCTION("""COMPUTED_VALUE"""),2108.0)</f>
        <v>2108</v>
      </c>
      <c r="Q128" s="208">
        <f>IFERROR(__xludf.DUMMYFUNCTION("""COMPUTED_VALUE"""),10.0)</f>
        <v>10</v>
      </c>
      <c r="R128" s="208">
        <f>IFERROR(__xludf.DUMMYFUNCTION("""COMPUTED_VALUE"""),1726.0)</f>
        <v>1726</v>
      </c>
      <c r="S128" s="208">
        <f>IFERROR(__xludf.DUMMYFUNCTION("""COMPUTED_VALUE"""),0.0)</f>
        <v>0</v>
      </c>
      <c r="T128" s="208">
        <f>IFERROR(__xludf.DUMMYFUNCTION("""COMPUTED_VALUE"""),311.0)</f>
        <v>311</v>
      </c>
      <c r="U128" s="208">
        <f>IFERROR(__xludf.DUMMYFUNCTION("""COMPUTED_VALUE"""),71.0)</f>
        <v>71</v>
      </c>
      <c r="V128" s="208">
        <f>IFERROR(__xludf.DUMMYFUNCTION("""COMPUTED_VALUE"""),73.0)</f>
        <v>73</v>
      </c>
      <c r="W128" s="208">
        <f>IFERROR(__xludf.DUMMYFUNCTION("""COMPUTED_VALUE"""),6.0)</f>
        <v>6</v>
      </c>
      <c r="X128" s="208">
        <f>IFERROR(__xludf.DUMMYFUNCTION("""COMPUTED_VALUE"""),5.0)</f>
        <v>5</v>
      </c>
      <c r="Y128" s="208">
        <f>IFERROR(__xludf.DUMMYFUNCTION("""COMPUTED_VALUE"""),1.0)</f>
        <v>1</v>
      </c>
      <c r="Z128" s="208">
        <f>IFERROR(__xludf.DUMMYFUNCTION("""COMPUTED_VALUE"""),998.0)</f>
        <v>998</v>
      </c>
    </row>
    <row r="129">
      <c r="A129" s="207">
        <f>IFERROR(__xludf.DUMMYFUNCTION("""COMPUTED_VALUE"""),44026.0)</f>
        <v>44026</v>
      </c>
      <c r="B129" s="208">
        <f>IFERROR(__xludf.DUMMYFUNCTION("""COMPUTED_VALUE"""),73.0)</f>
        <v>73</v>
      </c>
      <c r="C129" s="208">
        <f>IFERROR(__xludf.DUMMYFUNCTION("""COMPUTED_VALUE"""),68.0)</f>
        <v>68</v>
      </c>
      <c r="D129" s="208">
        <f>IFERROR(__xludf.DUMMYFUNCTION("""COMPUTED_VALUE"""),25750.0)</f>
        <v>25750</v>
      </c>
      <c r="E129" s="208">
        <f>IFERROR(__xludf.DUMMYFUNCTION("""COMPUTED_VALUE"""),3289.0)</f>
        <v>3289</v>
      </c>
      <c r="F129" s="150">
        <f>IFERROR(__xludf.DUMMYFUNCTION("""COMPUTED_VALUE"""),276383.0)</f>
        <v>276383</v>
      </c>
      <c r="G129" s="150">
        <f>IFERROR(__xludf.DUMMYFUNCTION("""COMPUTED_VALUE"""),3362.0)</f>
        <v>3362</v>
      </c>
      <c r="H129" s="150">
        <f>IFERROR(__xludf.DUMMYFUNCTION("""COMPUTED_VALUE"""),302133.0)</f>
        <v>302133</v>
      </c>
      <c r="I129" s="208">
        <f>IFERROR(__xludf.DUMMYFUNCTION("""COMPUTED_VALUE"""),49.0)</f>
        <v>49</v>
      </c>
      <c r="J129" s="208">
        <f>IFERROR(__xludf.DUMMYFUNCTION("""COMPUTED_VALUE"""),48.0)</f>
        <v>48</v>
      </c>
      <c r="K129" s="208">
        <f>IFERROR(__xludf.DUMMYFUNCTION("""COMPUTED_VALUE"""),17711.0)</f>
        <v>17711</v>
      </c>
      <c r="L129" s="208">
        <f>IFERROR(__xludf.DUMMYFUNCTION("""COMPUTED_VALUE"""),1373.0)</f>
        <v>1373</v>
      </c>
      <c r="M129" s="208">
        <f>IFERROR(__xludf.DUMMYFUNCTION("""COMPUTED_VALUE"""),159903.0)</f>
        <v>159903</v>
      </c>
      <c r="N129" s="208">
        <f>IFERROR(__xludf.DUMMYFUNCTION("""COMPUTED_VALUE"""),177614.0)</f>
        <v>177614</v>
      </c>
      <c r="O129" s="208">
        <f>IFERROR(__xludf.DUMMYFUNCTION("""COMPUTED_VALUE"""),7.0)</f>
        <v>7</v>
      </c>
      <c r="P129" s="208">
        <f>IFERROR(__xludf.DUMMYFUNCTION("""COMPUTED_VALUE"""),2115.0)</f>
        <v>2115</v>
      </c>
      <c r="Q129" s="208">
        <f>IFERROR(__xludf.DUMMYFUNCTION("""COMPUTED_VALUE"""),4.0)</f>
        <v>4</v>
      </c>
      <c r="R129" s="208">
        <f>IFERROR(__xludf.DUMMYFUNCTION("""COMPUTED_VALUE"""),1730.0)</f>
        <v>1730</v>
      </c>
      <c r="S129" s="208">
        <f>IFERROR(__xludf.DUMMYFUNCTION("""COMPUTED_VALUE"""),0.0)</f>
        <v>0</v>
      </c>
      <c r="T129" s="208">
        <f>IFERROR(__xludf.DUMMYFUNCTION("""COMPUTED_VALUE"""),311.0)</f>
        <v>311</v>
      </c>
      <c r="U129" s="208">
        <f>IFERROR(__xludf.DUMMYFUNCTION("""COMPUTED_VALUE"""),74.0)</f>
        <v>74</v>
      </c>
      <c r="V129" s="208">
        <f>IFERROR(__xludf.DUMMYFUNCTION("""COMPUTED_VALUE"""),73.0)</f>
        <v>73</v>
      </c>
      <c r="W129" s="208">
        <f>IFERROR(__xludf.DUMMYFUNCTION("""COMPUTED_VALUE"""),5.0)</f>
        <v>5</v>
      </c>
      <c r="X129" s="208">
        <f>IFERROR(__xludf.DUMMYFUNCTION("""COMPUTED_VALUE"""),5.0)</f>
        <v>5</v>
      </c>
      <c r="Y129" s="208">
        <f>IFERROR(__xludf.DUMMYFUNCTION("""COMPUTED_VALUE"""),1.0)</f>
        <v>1</v>
      </c>
      <c r="Z129" s="208">
        <f>IFERROR(__xludf.DUMMYFUNCTION("""COMPUTED_VALUE"""),999.0)</f>
        <v>999</v>
      </c>
    </row>
    <row r="130">
      <c r="A130" s="207">
        <f>IFERROR(__xludf.DUMMYFUNCTION("""COMPUTED_VALUE"""),44027.0)</f>
        <v>44027</v>
      </c>
      <c r="B130" s="208">
        <f>IFERROR(__xludf.DUMMYFUNCTION("""COMPUTED_VALUE"""),130.0)</f>
        <v>130</v>
      </c>
      <c r="C130" s="208">
        <f>IFERROR(__xludf.DUMMYFUNCTION("""COMPUTED_VALUE"""),96.0)</f>
        <v>96</v>
      </c>
      <c r="D130" s="208">
        <f>IFERROR(__xludf.DUMMYFUNCTION("""COMPUTED_VALUE"""),25880.0)</f>
        <v>25880</v>
      </c>
      <c r="E130" s="208">
        <f>IFERROR(__xludf.DUMMYFUNCTION("""COMPUTED_VALUE"""),4168.0)</f>
        <v>4168</v>
      </c>
      <c r="F130" s="150">
        <f>IFERROR(__xludf.DUMMYFUNCTION("""COMPUTED_VALUE"""),280551.0)</f>
        <v>280551</v>
      </c>
      <c r="G130" s="150">
        <f>IFERROR(__xludf.DUMMYFUNCTION("""COMPUTED_VALUE"""),4298.0)</f>
        <v>4298</v>
      </c>
      <c r="H130" s="150">
        <f>IFERROR(__xludf.DUMMYFUNCTION("""COMPUTED_VALUE"""),306431.0)</f>
        <v>306431</v>
      </c>
      <c r="I130" s="208">
        <f>IFERROR(__xludf.DUMMYFUNCTION("""COMPUTED_VALUE"""),100.0)</f>
        <v>100</v>
      </c>
      <c r="J130" s="208">
        <f>IFERROR(__xludf.DUMMYFUNCTION("""COMPUTED_VALUE"""),70.0)</f>
        <v>70</v>
      </c>
      <c r="K130" s="208">
        <f>IFERROR(__xludf.DUMMYFUNCTION("""COMPUTED_VALUE"""),17811.0)</f>
        <v>17811</v>
      </c>
      <c r="L130" s="208">
        <f>IFERROR(__xludf.DUMMYFUNCTION("""COMPUTED_VALUE"""),1750.0)</f>
        <v>1750</v>
      </c>
      <c r="M130" s="208">
        <f>IFERROR(__xludf.DUMMYFUNCTION("""COMPUTED_VALUE"""),161653.0)</f>
        <v>161653</v>
      </c>
      <c r="N130" s="208">
        <f>IFERROR(__xludf.DUMMYFUNCTION("""COMPUTED_VALUE"""),179464.0)</f>
        <v>179464</v>
      </c>
      <c r="O130" s="208">
        <f>IFERROR(__xludf.DUMMYFUNCTION("""COMPUTED_VALUE"""),5.0)</f>
        <v>5</v>
      </c>
      <c r="P130" s="208">
        <f>IFERROR(__xludf.DUMMYFUNCTION("""COMPUTED_VALUE"""),2120.0)</f>
        <v>2120</v>
      </c>
      <c r="Q130" s="208">
        <f>IFERROR(__xludf.DUMMYFUNCTION("""COMPUTED_VALUE"""),7.0)</f>
        <v>7</v>
      </c>
      <c r="R130" s="208">
        <f>IFERROR(__xludf.DUMMYFUNCTION("""COMPUTED_VALUE"""),1737.0)</f>
        <v>1737</v>
      </c>
      <c r="S130" s="208">
        <f>IFERROR(__xludf.DUMMYFUNCTION("""COMPUTED_VALUE"""),0.0)</f>
        <v>0</v>
      </c>
      <c r="T130" s="208">
        <f>IFERROR(__xludf.DUMMYFUNCTION("""COMPUTED_VALUE"""),311.0)</f>
        <v>311</v>
      </c>
      <c r="U130" s="208">
        <f>IFERROR(__xludf.DUMMYFUNCTION("""COMPUTED_VALUE"""),72.0)</f>
        <v>72</v>
      </c>
      <c r="V130" s="208">
        <f>IFERROR(__xludf.DUMMYFUNCTION("""COMPUTED_VALUE"""),72.0)</f>
        <v>72</v>
      </c>
      <c r="W130" s="208">
        <f>IFERROR(__xludf.DUMMYFUNCTION("""COMPUTED_VALUE"""),5.0)</f>
        <v>5</v>
      </c>
      <c r="X130" s="208">
        <f>IFERROR(__xludf.DUMMYFUNCTION("""COMPUTED_VALUE"""),4.0)</f>
        <v>4</v>
      </c>
      <c r="Y130" s="208">
        <f>IFERROR(__xludf.DUMMYFUNCTION("""COMPUTED_VALUE"""),0.0)</f>
        <v>0</v>
      </c>
      <c r="Z130" s="208">
        <f>IFERROR(__xludf.DUMMYFUNCTION("""COMPUTED_VALUE"""),999.0)</f>
        <v>999</v>
      </c>
    </row>
    <row r="131">
      <c r="A131" s="207">
        <f>IFERROR(__xludf.DUMMYFUNCTION("""COMPUTED_VALUE"""),44028.0)</f>
        <v>44028</v>
      </c>
      <c r="B131" s="208">
        <f>IFERROR(__xludf.DUMMYFUNCTION("""COMPUTED_VALUE"""),102.0)</f>
        <v>102</v>
      </c>
      <c r="C131" s="208">
        <f>IFERROR(__xludf.DUMMYFUNCTION("""COMPUTED_VALUE"""),102.0)</f>
        <v>102</v>
      </c>
      <c r="D131" s="208">
        <f>IFERROR(__xludf.DUMMYFUNCTION("""COMPUTED_VALUE"""),25982.0)</f>
        <v>25982</v>
      </c>
      <c r="E131" s="208">
        <f>IFERROR(__xludf.DUMMYFUNCTION("""COMPUTED_VALUE"""),3733.0)</f>
        <v>3733</v>
      </c>
      <c r="F131" s="150">
        <f>IFERROR(__xludf.DUMMYFUNCTION("""COMPUTED_VALUE"""),284284.0)</f>
        <v>284284</v>
      </c>
      <c r="G131" s="150">
        <f>IFERROR(__xludf.DUMMYFUNCTION("""COMPUTED_VALUE"""),3835.0)</f>
        <v>3835</v>
      </c>
      <c r="H131" s="150">
        <f>IFERROR(__xludf.DUMMYFUNCTION("""COMPUTED_VALUE"""),310266.0)</f>
        <v>310266</v>
      </c>
      <c r="I131" s="208">
        <f>IFERROR(__xludf.DUMMYFUNCTION("""COMPUTED_VALUE"""),78.0)</f>
        <v>78</v>
      </c>
      <c r="J131" s="208">
        <f>IFERROR(__xludf.DUMMYFUNCTION("""COMPUTED_VALUE"""),76.0)</f>
        <v>76</v>
      </c>
      <c r="K131" s="208">
        <f>IFERROR(__xludf.DUMMYFUNCTION("""COMPUTED_VALUE"""),17889.0)</f>
        <v>17889</v>
      </c>
      <c r="L131" s="208">
        <f>IFERROR(__xludf.DUMMYFUNCTION("""COMPUTED_VALUE"""),1618.0)</f>
        <v>1618</v>
      </c>
      <c r="M131" s="208">
        <f>IFERROR(__xludf.DUMMYFUNCTION("""COMPUTED_VALUE"""),163271.0)</f>
        <v>163271</v>
      </c>
      <c r="N131" s="208">
        <f>IFERROR(__xludf.DUMMYFUNCTION("""COMPUTED_VALUE"""),181160.0)</f>
        <v>181160</v>
      </c>
      <c r="O131" s="208">
        <f>IFERROR(__xludf.DUMMYFUNCTION("""COMPUTED_VALUE"""),6.0)</f>
        <v>6</v>
      </c>
      <c r="P131" s="208">
        <f>IFERROR(__xludf.DUMMYFUNCTION("""COMPUTED_VALUE"""),2126.0)</f>
        <v>2126</v>
      </c>
      <c r="Q131" s="208">
        <f>IFERROR(__xludf.DUMMYFUNCTION("""COMPUTED_VALUE"""),9.0)</f>
        <v>9</v>
      </c>
      <c r="R131" s="208">
        <f>IFERROR(__xludf.DUMMYFUNCTION("""COMPUTED_VALUE"""),1746.0)</f>
        <v>1746</v>
      </c>
      <c r="S131" s="208">
        <f>IFERROR(__xludf.DUMMYFUNCTION("""COMPUTED_VALUE"""),0.0)</f>
        <v>0</v>
      </c>
      <c r="T131" s="208">
        <f>IFERROR(__xludf.DUMMYFUNCTION("""COMPUTED_VALUE"""),311.0)</f>
        <v>311</v>
      </c>
      <c r="U131" s="208">
        <f>IFERROR(__xludf.DUMMYFUNCTION("""COMPUTED_VALUE"""),69.0)</f>
        <v>69</v>
      </c>
      <c r="V131" s="208">
        <f>IFERROR(__xludf.DUMMYFUNCTION("""COMPUTED_VALUE"""),72.0)</f>
        <v>72</v>
      </c>
      <c r="W131" s="208">
        <f>IFERROR(__xludf.DUMMYFUNCTION("""COMPUTED_VALUE"""),6.0)</f>
        <v>6</v>
      </c>
      <c r="X131" s="208">
        <f>IFERROR(__xludf.DUMMYFUNCTION("""COMPUTED_VALUE"""),5.0)</f>
        <v>5</v>
      </c>
      <c r="Y131" s="208">
        <f>IFERROR(__xludf.DUMMYFUNCTION("""COMPUTED_VALUE"""),1.0)</f>
        <v>1</v>
      </c>
      <c r="Z131" s="208">
        <f>IFERROR(__xludf.DUMMYFUNCTION("""COMPUTED_VALUE"""),1000.0)</f>
        <v>1000</v>
      </c>
    </row>
    <row r="132">
      <c r="A132" s="207">
        <f>IFERROR(__xludf.DUMMYFUNCTION("""COMPUTED_VALUE"""),44029.0)</f>
        <v>44029</v>
      </c>
      <c r="B132" s="208">
        <f>IFERROR(__xludf.DUMMYFUNCTION("""COMPUTED_VALUE"""),156.0)</f>
        <v>156</v>
      </c>
      <c r="C132" s="208">
        <f>IFERROR(__xludf.DUMMYFUNCTION("""COMPUTED_VALUE"""),129.0)</f>
        <v>129</v>
      </c>
      <c r="D132" s="208">
        <f>IFERROR(__xludf.DUMMYFUNCTION("""COMPUTED_VALUE"""),26138.0)</f>
        <v>26138</v>
      </c>
      <c r="E132" s="208">
        <f>IFERROR(__xludf.DUMMYFUNCTION("""COMPUTED_VALUE"""),4235.0)</f>
        <v>4235</v>
      </c>
      <c r="F132" s="150">
        <f>IFERROR(__xludf.DUMMYFUNCTION("""COMPUTED_VALUE"""),288519.0)</f>
        <v>288519</v>
      </c>
      <c r="G132" s="150">
        <f>IFERROR(__xludf.DUMMYFUNCTION("""COMPUTED_VALUE"""),4391.0)</f>
        <v>4391</v>
      </c>
      <c r="H132" s="150">
        <f>IFERROR(__xludf.DUMMYFUNCTION("""COMPUTED_VALUE"""),314657.0)</f>
        <v>314657</v>
      </c>
      <c r="I132" s="208">
        <f>IFERROR(__xludf.DUMMYFUNCTION("""COMPUTED_VALUE"""),81.0)</f>
        <v>81</v>
      </c>
      <c r="J132" s="208">
        <f>IFERROR(__xludf.DUMMYFUNCTION("""COMPUTED_VALUE"""),86.0)</f>
        <v>86</v>
      </c>
      <c r="K132" s="208">
        <f>IFERROR(__xludf.DUMMYFUNCTION("""COMPUTED_VALUE"""),17970.0)</f>
        <v>17970</v>
      </c>
      <c r="L132" s="208">
        <f>IFERROR(__xludf.DUMMYFUNCTION("""COMPUTED_VALUE"""),1849.0)</f>
        <v>1849</v>
      </c>
      <c r="M132" s="208">
        <f>IFERROR(__xludf.DUMMYFUNCTION("""COMPUTED_VALUE"""),165120.0)</f>
        <v>165120</v>
      </c>
      <c r="N132" s="208">
        <f>IFERROR(__xludf.DUMMYFUNCTION("""COMPUTED_VALUE"""),183090.0)</f>
        <v>183090</v>
      </c>
      <c r="O132" s="208">
        <f>IFERROR(__xludf.DUMMYFUNCTION("""COMPUTED_VALUE"""),14.0)</f>
        <v>14</v>
      </c>
      <c r="P132" s="208">
        <f>IFERROR(__xludf.DUMMYFUNCTION("""COMPUTED_VALUE"""),2140.0)</f>
        <v>2140</v>
      </c>
      <c r="Q132" s="208">
        <f>IFERROR(__xludf.DUMMYFUNCTION("""COMPUTED_VALUE"""),3.0)</f>
        <v>3</v>
      </c>
      <c r="R132" s="208">
        <f>IFERROR(__xludf.DUMMYFUNCTION("""COMPUTED_VALUE"""),1749.0)</f>
        <v>1749</v>
      </c>
      <c r="S132" s="208">
        <f>IFERROR(__xludf.DUMMYFUNCTION("""COMPUTED_VALUE"""),1.0)</f>
        <v>1</v>
      </c>
      <c r="T132" s="208">
        <f>IFERROR(__xludf.DUMMYFUNCTION("""COMPUTED_VALUE"""),312.0)</f>
        <v>312</v>
      </c>
      <c r="U132" s="208">
        <f>IFERROR(__xludf.DUMMYFUNCTION("""COMPUTED_VALUE"""),79.0)</f>
        <v>79</v>
      </c>
      <c r="V132" s="208">
        <f>IFERROR(__xludf.DUMMYFUNCTION("""COMPUTED_VALUE"""),73.0)</f>
        <v>73</v>
      </c>
      <c r="W132" s="208">
        <f>IFERROR(__xludf.DUMMYFUNCTION("""COMPUTED_VALUE"""),5.0)</f>
        <v>5</v>
      </c>
      <c r="X132" s="208">
        <f>IFERROR(__xludf.DUMMYFUNCTION("""COMPUTED_VALUE"""),5.0)</f>
        <v>5</v>
      </c>
      <c r="Y132" s="208">
        <f>IFERROR(__xludf.DUMMYFUNCTION("""COMPUTED_VALUE"""),2.0)</f>
        <v>2</v>
      </c>
      <c r="Z132" s="208">
        <f>IFERROR(__xludf.DUMMYFUNCTION("""COMPUTED_VALUE"""),1002.0)</f>
        <v>1002</v>
      </c>
    </row>
    <row r="133">
      <c r="A133" s="207">
        <f>IFERROR(__xludf.DUMMYFUNCTION("""COMPUTED_VALUE"""),44030.0)</f>
        <v>44030</v>
      </c>
      <c r="B133" s="208">
        <f>IFERROR(__xludf.DUMMYFUNCTION("""COMPUTED_VALUE"""),85.0)</f>
        <v>85</v>
      </c>
      <c r="C133" s="208">
        <f>IFERROR(__xludf.DUMMYFUNCTION("""COMPUTED_VALUE"""),114.0)</f>
        <v>114</v>
      </c>
      <c r="D133" s="208">
        <f>IFERROR(__xludf.DUMMYFUNCTION("""COMPUTED_VALUE"""),26223.0)</f>
        <v>26223</v>
      </c>
      <c r="E133" s="208">
        <f>IFERROR(__xludf.DUMMYFUNCTION("""COMPUTED_VALUE"""),3267.0)</f>
        <v>3267</v>
      </c>
      <c r="F133" s="150">
        <f>IFERROR(__xludf.DUMMYFUNCTION("""COMPUTED_VALUE"""),291786.0)</f>
        <v>291786</v>
      </c>
      <c r="G133" s="150">
        <f>IFERROR(__xludf.DUMMYFUNCTION("""COMPUTED_VALUE"""),3352.0)</f>
        <v>3352</v>
      </c>
      <c r="H133" s="150">
        <f>IFERROR(__xludf.DUMMYFUNCTION("""COMPUTED_VALUE"""),318009.0)</f>
        <v>318009</v>
      </c>
      <c r="I133" s="208">
        <f>IFERROR(__xludf.DUMMYFUNCTION("""COMPUTED_VALUE"""),69.0)</f>
        <v>69</v>
      </c>
      <c r="J133" s="208">
        <f>IFERROR(__xludf.DUMMYFUNCTION("""COMPUTED_VALUE"""),76.0)</f>
        <v>76</v>
      </c>
      <c r="K133" s="208">
        <f>IFERROR(__xludf.DUMMYFUNCTION("""COMPUTED_VALUE"""),18039.0)</f>
        <v>18039</v>
      </c>
      <c r="L133" s="208">
        <f>IFERROR(__xludf.DUMMYFUNCTION("""COMPUTED_VALUE"""),1401.0)</f>
        <v>1401</v>
      </c>
      <c r="M133" s="208">
        <f>IFERROR(__xludf.DUMMYFUNCTION("""COMPUTED_VALUE"""),166521.0)</f>
        <v>166521</v>
      </c>
      <c r="N133" s="208">
        <f>IFERROR(__xludf.DUMMYFUNCTION("""COMPUTED_VALUE"""),184560.0)</f>
        <v>184560</v>
      </c>
      <c r="O133" s="208">
        <f>IFERROR(__xludf.DUMMYFUNCTION("""COMPUTED_VALUE"""),5.0)</f>
        <v>5</v>
      </c>
      <c r="P133" s="208">
        <f>IFERROR(__xludf.DUMMYFUNCTION("""COMPUTED_VALUE"""),2145.0)</f>
        <v>2145</v>
      </c>
      <c r="Q133" s="208">
        <f>IFERROR(__xludf.DUMMYFUNCTION("""COMPUTED_VALUE"""),9.0)</f>
        <v>9</v>
      </c>
      <c r="R133" s="208">
        <f>IFERROR(__xludf.DUMMYFUNCTION("""COMPUTED_VALUE"""),1758.0)</f>
        <v>1758</v>
      </c>
      <c r="S133" s="208">
        <f>IFERROR(__xludf.DUMMYFUNCTION("""COMPUTED_VALUE"""),1.0)</f>
        <v>1</v>
      </c>
      <c r="T133" s="208">
        <f>IFERROR(__xludf.DUMMYFUNCTION("""COMPUTED_VALUE"""),313.0)</f>
        <v>313</v>
      </c>
      <c r="U133" s="208">
        <f>IFERROR(__xludf.DUMMYFUNCTION("""COMPUTED_VALUE"""),74.0)</f>
        <v>74</v>
      </c>
      <c r="V133" s="208">
        <f>IFERROR(__xludf.DUMMYFUNCTION("""COMPUTED_VALUE"""),74.0)</f>
        <v>74</v>
      </c>
      <c r="W133" s="208">
        <f>IFERROR(__xludf.DUMMYFUNCTION("""COMPUTED_VALUE"""),5.0)</f>
        <v>5</v>
      </c>
      <c r="X133" s="208">
        <f>IFERROR(__xludf.DUMMYFUNCTION("""COMPUTED_VALUE"""),4.0)</f>
        <v>4</v>
      </c>
      <c r="Y133" s="208">
        <f>IFERROR(__xludf.DUMMYFUNCTION("""COMPUTED_VALUE"""),4.0)</f>
        <v>4</v>
      </c>
      <c r="Z133" s="208">
        <f>IFERROR(__xludf.DUMMYFUNCTION("""COMPUTED_VALUE"""),1006.0)</f>
        <v>1006</v>
      </c>
    </row>
    <row r="134">
      <c r="A134" s="207">
        <f>IFERROR(__xludf.DUMMYFUNCTION("""COMPUTED_VALUE"""),44031.0)</f>
        <v>44031</v>
      </c>
      <c r="B134" s="208">
        <f>IFERROR(__xludf.DUMMYFUNCTION("""COMPUTED_VALUE"""),82.0)</f>
        <v>82</v>
      </c>
      <c r="C134" s="208">
        <f>IFERROR(__xludf.DUMMYFUNCTION("""COMPUTED_VALUE"""),108.0)</f>
        <v>108</v>
      </c>
      <c r="D134" s="208">
        <f>IFERROR(__xludf.DUMMYFUNCTION("""COMPUTED_VALUE"""),26305.0)</f>
        <v>26305</v>
      </c>
      <c r="E134" s="208">
        <f>IFERROR(__xludf.DUMMYFUNCTION("""COMPUTED_VALUE"""),2693.0)</f>
        <v>2693</v>
      </c>
      <c r="F134" s="150">
        <f>IFERROR(__xludf.DUMMYFUNCTION("""COMPUTED_VALUE"""),294479.0)</f>
        <v>294479</v>
      </c>
      <c r="G134" s="150">
        <f>IFERROR(__xludf.DUMMYFUNCTION("""COMPUTED_VALUE"""),2775.0)</f>
        <v>2775</v>
      </c>
      <c r="H134" s="150">
        <f>IFERROR(__xludf.DUMMYFUNCTION("""COMPUTED_VALUE"""),320784.0)</f>
        <v>320784</v>
      </c>
      <c r="I134" s="208">
        <f>IFERROR(__xludf.DUMMYFUNCTION("""COMPUTED_VALUE"""),59.0)</f>
        <v>59</v>
      </c>
      <c r="J134" s="208">
        <f>IFERROR(__xludf.DUMMYFUNCTION("""COMPUTED_VALUE"""),70.0)</f>
        <v>70</v>
      </c>
      <c r="K134" s="208">
        <f>IFERROR(__xludf.DUMMYFUNCTION("""COMPUTED_VALUE"""),18098.0)</f>
        <v>18098</v>
      </c>
      <c r="L134" s="208">
        <f>IFERROR(__xludf.DUMMYFUNCTION("""COMPUTED_VALUE"""),1149.0)</f>
        <v>1149</v>
      </c>
      <c r="M134" s="208">
        <f>IFERROR(__xludf.DUMMYFUNCTION("""COMPUTED_VALUE"""),167670.0)</f>
        <v>167670</v>
      </c>
      <c r="N134" s="208">
        <f>IFERROR(__xludf.DUMMYFUNCTION("""COMPUTED_VALUE"""),185768.0)</f>
        <v>185768</v>
      </c>
      <c r="O134" s="208">
        <f>IFERROR(__xludf.DUMMYFUNCTION("""COMPUTED_VALUE"""),7.0)</f>
        <v>7</v>
      </c>
      <c r="P134" s="208">
        <f>IFERROR(__xludf.DUMMYFUNCTION("""COMPUTED_VALUE"""),2152.0)</f>
        <v>2152</v>
      </c>
      <c r="Q134" s="208">
        <f>IFERROR(__xludf.DUMMYFUNCTION("""COMPUTED_VALUE"""),3.0)</f>
        <v>3</v>
      </c>
      <c r="R134" s="208">
        <f>IFERROR(__xludf.DUMMYFUNCTION("""COMPUTED_VALUE"""),1761.0)</f>
        <v>1761</v>
      </c>
      <c r="S134" s="208">
        <f>IFERROR(__xludf.DUMMYFUNCTION("""COMPUTED_VALUE"""),0.0)</f>
        <v>0</v>
      </c>
      <c r="T134" s="208">
        <f>IFERROR(__xludf.DUMMYFUNCTION("""COMPUTED_VALUE"""),313.0)</f>
        <v>313</v>
      </c>
      <c r="U134" s="208">
        <f>IFERROR(__xludf.DUMMYFUNCTION("""COMPUTED_VALUE"""),78.0)</f>
        <v>78</v>
      </c>
      <c r="V134" s="208">
        <f>IFERROR(__xludf.DUMMYFUNCTION("""COMPUTED_VALUE"""),77.0)</f>
        <v>77</v>
      </c>
      <c r="W134" s="208">
        <f>IFERROR(__xludf.DUMMYFUNCTION("""COMPUTED_VALUE"""),6.0)</f>
        <v>6</v>
      </c>
      <c r="X134" s="208">
        <f>IFERROR(__xludf.DUMMYFUNCTION("""COMPUTED_VALUE"""),4.0)</f>
        <v>4</v>
      </c>
      <c r="Y134" s="208">
        <f>IFERROR(__xludf.DUMMYFUNCTION("""COMPUTED_VALUE"""),2.0)</f>
        <v>2</v>
      </c>
      <c r="Z134" s="208">
        <f>IFERROR(__xludf.DUMMYFUNCTION("""COMPUTED_VALUE"""),1008.0)</f>
        <v>1008</v>
      </c>
    </row>
    <row r="135">
      <c r="A135" s="207">
        <f>IFERROR(__xludf.DUMMYFUNCTION("""COMPUTED_VALUE"""),44032.0)</f>
        <v>44032</v>
      </c>
      <c r="B135" s="208">
        <f>IFERROR(__xludf.DUMMYFUNCTION("""COMPUTED_VALUE"""),71.0)</f>
        <v>71</v>
      </c>
      <c r="C135" s="208">
        <f>IFERROR(__xludf.DUMMYFUNCTION("""COMPUTED_VALUE"""),79.0)</f>
        <v>79</v>
      </c>
      <c r="D135" s="208">
        <f>IFERROR(__xludf.DUMMYFUNCTION("""COMPUTED_VALUE"""),26376.0)</f>
        <v>26376</v>
      </c>
      <c r="E135" s="208">
        <f>IFERROR(__xludf.DUMMYFUNCTION("""COMPUTED_VALUE"""),2664.0)</f>
        <v>2664</v>
      </c>
      <c r="F135" s="150">
        <f>IFERROR(__xludf.DUMMYFUNCTION("""COMPUTED_VALUE"""),297143.0)</f>
        <v>297143</v>
      </c>
      <c r="G135" s="150">
        <f>IFERROR(__xludf.DUMMYFUNCTION("""COMPUTED_VALUE"""),2735.0)</f>
        <v>2735</v>
      </c>
      <c r="H135" s="150">
        <f>IFERROR(__xludf.DUMMYFUNCTION("""COMPUTED_VALUE"""),323519.0)</f>
        <v>323519</v>
      </c>
      <c r="I135" s="208">
        <f>IFERROR(__xludf.DUMMYFUNCTION("""COMPUTED_VALUE"""),69.0)</f>
        <v>69</v>
      </c>
      <c r="J135" s="208">
        <f>IFERROR(__xludf.DUMMYFUNCTION("""COMPUTED_VALUE"""),66.0)</f>
        <v>66</v>
      </c>
      <c r="K135" s="208">
        <f>IFERROR(__xludf.DUMMYFUNCTION("""COMPUTED_VALUE"""),18167.0)</f>
        <v>18167</v>
      </c>
      <c r="L135" s="208">
        <f>IFERROR(__xludf.DUMMYFUNCTION("""COMPUTED_VALUE"""),1466.0)</f>
        <v>1466</v>
      </c>
      <c r="M135" s="208">
        <f>IFERROR(__xludf.DUMMYFUNCTION("""COMPUTED_VALUE"""),169136.0)</f>
        <v>169136</v>
      </c>
      <c r="N135" s="208">
        <f>IFERROR(__xludf.DUMMYFUNCTION("""COMPUTED_VALUE"""),187303.0)</f>
        <v>187303</v>
      </c>
      <c r="O135" s="208">
        <f>IFERROR(__xludf.DUMMYFUNCTION("""COMPUTED_VALUE"""),9.0)</f>
        <v>9</v>
      </c>
      <c r="P135" s="208">
        <f>IFERROR(__xludf.DUMMYFUNCTION("""COMPUTED_VALUE"""),2161.0)</f>
        <v>2161</v>
      </c>
      <c r="Q135" s="208">
        <f>IFERROR(__xludf.DUMMYFUNCTION("""COMPUTED_VALUE"""),7.0)</f>
        <v>7</v>
      </c>
      <c r="R135" s="208">
        <f>IFERROR(__xludf.DUMMYFUNCTION("""COMPUTED_VALUE"""),1768.0)</f>
        <v>1768</v>
      </c>
      <c r="S135" s="208">
        <f>IFERROR(__xludf.DUMMYFUNCTION("""COMPUTED_VALUE"""),0.0)</f>
        <v>0</v>
      </c>
      <c r="T135" s="208">
        <f>IFERROR(__xludf.DUMMYFUNCTION("""COMPUTED_VALUE"""),313.0)</f>
        <v>313</v>
      </c>
      <c r="U135" s="208">
        <f>IFERROR(__xludf.DUMMYFUNCTION("""COMPUTED_VALUE"""),80.0)</f>
        <v>80</v>
      </c>
      <c r="V135" s="208">
        <f>IFERROR(__xludf.DUMMYFUNCTION("""COMPUTED_VALUE"""),77.0)</f>
        <v>77</v>
      </c>
      <c r="W135" s="208">
        <f>IFERROR(__xludf.DUMMYFUNCTION("""COMPUTED_VALUE"""),7.0)</f>
        <v>7</v>
      </c>
      <c r="X135" s="208">
        <f>IFERROR(__xludf.DUMMYFUNCTION("""COMPUTED_VALUE"""),5.0)</f>
        <v>5</v>
      </c>
      <c r="Y135" s="208">
        <f>IFERROR(__xludf.DUMMYFUNCTION("""COMPUTED_VALUE"""),2.0)</f>
        <v>2</v>
      </c>
      <c r="Z135" s="208">
        <f>IFERROR(__xludf.DUMMYFUNCTION("""COMPUTED_VALUE"""),1010.0)</f>
        <v>1010</v>
      </c>
    </row>
    <row r="136">
      <c r="A136" s="207">
        <f>IFERROR(__xludf.DUMMYFUNCTION("""COMPUTED_VALUE"""),44033.0)</f>
        <v>44033</v>
      </c>
      <c r="B136" s="208">
        <f>IFERROR(__xludf.DUMMYFUNCTION("""COMPUTED_VALUE"""),130.0)</f>
        <v>130</v>
      </c>
      <c r="C136" s="208">
        <f>IFERROR(__xludf.DUMMYFUNCTION("""COMPUTED_VALUE"""),94.0)</f>
        <v>94</v>
      </c>
      <c r="D136" s="208">
        <f>IFERROR(__xludf.DUMMYFUNCTION("""COMPUTED_VALUE"""),26506.0)</f>
        <v>26506</v>
      </c>
      <c r="E136" s="208">
        <f>IFERROR(__xludf.DUMMYFUNCTION("""COMPUTED_VALUE"""),4298.0)</f>
        <v>4298</v>
      </c>
      <c r="F136" s="150">
        <f>IFERROR(__xludf.DUMMYFUNCTION("""COMPUTED_VALUE"""),301441.0)</f>
        <v>301441</v>
      </c>
      <c r="G136" s="150">
        <f>IFERROR(__xludf.DUMMYFUNCTION("""COMPUTED_VALUE"""),4428.0)</f>
        <v>4428</v>
      </c>
      <c r="H136" s="150">
        <f>IFERROR(__xludf.DUMMYFUNCTION("""COMPUTED_VALUE"""),327947.0)</f>
        <v>327947</v>
      </c>
      <c r="I136" s="208">
        <f>IFERROR(__xludf.DUMMYFUNCTION("""COMPUTED_VALUE"""),109.0)</f>
        <v>109</v>
      </c>
      <c r="J136" s="208">
        <f>IFERROR(__xludf.DUMMYFUNCTION("""COMPUTED_VALUE"""),79.0)</f>
        <v>79</v>
      </c>
      <c r="K136" s="208">
        <f>IFERROR(__xludf.DUMMYFUNCTION("""COMPUTED_VALUE"""),18276.0)</f>
        <v>18276</v>
      </c>
      <c r="L136" s="208">
        <f>IFERROR(__xludf.DUMMYFUNCTION("""COMPUTED_VALUE"""),1920.0)</f>
        <v>1920</v>
      </c>
      <c r="M136" s="208">
        <f>IFERROR(__xludf.DUMMYFUNCTION("""COMPUTED_VALUE"""),171056.0)</f>
        <v>171056</v>
      </c>
      <c r="N136" s="208">
        <f>IFERROR(__xludf.DUMMYFUNCTION("""COMPUTED_VALUE"""),189332.0)</f>
        <v>189332</v>
      </c>
      <c r="O136" s="208">
        <f>IFERROR(__xludf.DUMMYFUNCTION("""COMPUTED_VALUE"""),9.0)</f>
        <v>9</v>
      </c>
      <c r="P136" s="208">
        <f>IFERROR(__xludf.DUMMYFUNCTION("""COMPUTED_VALUE"""),2170.0)</f>
        <v>2170</v>
      </c>
      <c r="Q136" s="208">
        <f>IFERROR(__xludf.DUMMYFUNCTION("""COMPUTED_VALUE"""),11.0)</f>
        <v>11</v>
      </c>
      <c r="R136" s="208">
        <f>IFERROR(__xludf.DUMMYFUNCTION("""COMPUTED_VALUE"""),1779.0)</f>
        <v>1779</v>
      </c>
      <c r="S136" s="208">
        <f>IFERROR(__xludf.DUMMYFUNCTION("""COMPUTED_VALUE"""),0.0)</f>
        <v>0</v>
      </c>
      <c r="T136" s="208">
        <f>IFERROR(__xludf.DUMMYFUNCTION("""COMPUTED_VALUE"""),313.0)</f>
        <v>313</v>
      </c>
      <c r="U136" s="208">
        <f>IFERROR(__xludf.DUMMYFUNCTION("""COMPUTED_VALUE"""),78.0)</f>
        <v>78</v>
      </c>
      <c r="V136" s="208">
        <f>IFERROR(__xludf.DUMMYFUNCTION("""COMPUTED_VALUE"""),79.0)</f>
        <v>79</v>
      </c>
      <c r="W136" s="208">
        <f>IFERROR(__xludf.DUMMYFUNCTION("""COMPUTED_VALUE"""),9.0)</f>
        <v>9</v>
      </c>
      <c r="X136" s="208">
        <f>IFERROR(__xludf.DUMMYFUNCTION("""COMPUTED_VALUE"""),6.0)</f>
        <v>6</v>
      </c>
      <c r="Y136" s="208">
        <f>IFERROR(__xludf.DUMMYFUNCTION("""COMPUTED_VALUE"""),1.0)</f>
        <v>1</v>
      </c>
      <c r="Z136" s="208">
        <f>IFERROR(__xludf.DUMMYFUNCTION("""COMPUTED_VALUE"""),1011.0)</f>
        <v>1011</v>
      </c>
    </row>
    <row r="137">
      <c r="A137" s="207">
        <f>IFERROR(__xludf.DUMMYFUNCTION("""COMPUTED_VALUE"""),44034.0)</f>
        <v>44034</v>
      </c>
      <c r="B137" s="208">
        <f>IFERROR(__xludf.DUMMYFUNCTION("""COMPUTED_VALUE"""),130.0)</f>
        <v>130</v>
      </c>
      <c r="C137" s="208">
        <f>IFERROR(__xludf.DUMMYFUNCTION("""COMPUTED_VALUE"""),110.0)</f>
        <v>110</v>
      </c>
      <c r="D137" s="208">
        <f>IFERROR(__xludf.DUMMYFUNCTION("""COMPUTED_VALUE"""),26636.0)</f>
        <v>26636</v>
      </c>
      <c r="E137" s="208">
        <f>IFERROR(__xludf.DUMMYFUNCTION("""COMPUTED_VALUE"""),3926.0)</f>
        <v>3926</v>
      </c>
      <c r="F137" s="150">
        <f>IFERROR(__xludf.DUMMYFUNCTION("""COMPUTED_VALUE"""),305367.0)</f>
        <v>305367</v>
      </c>
      <c r="G137" s="150">
        <f>IFERROR(__xludf.DUMMYFUNCTION("""COMPUTED_VALUE"""),4056.0)</f>
        <v>4056</v>
      </c>
      <c r="H137" s="150">
        <f>IFERROR(__xludf.DUMMYFUNCTION("""COMPUTED_VALUE"""),332003.0)</f>
        <v>332003</v>
      </c>
      <c r="I137" s="208">
        <f>IFERROR(__xludf.DUMMYFUNCTION("""COMPUTED_VALUE"""),87.0)</f>
        <v>87</v>
      </c>
      <c r="J137" s="208">
        <f>IFERROR(__xludf.DUMMYFUNCTION("""COMPUTED_VALUE"""),88.0)</f>
        <v>88</v>
      </c>
      <c r="K137" s="208">
        <f>IFERROR(__xludf.DUMMYFUNCTION("""COMPUTED_VALUE"""),18363.0)</f>
        <v>18363</v>
      </c>
      <c r="L137" s="208">
        <f>IFERROR(__xludf.DUMMYFUNCTION("""COMPUTED_VALUE"""),1683.0)</f>
        <v>1683</v>
      </c>
      <c r="M137" s="208">
        <f>IFERROR(__xludf.DUMMYFUNCTION("""COMPUTED_VALUE"""),172739.0)</f>
        <v>172739</v>
      </c>
      <c r="N137" s="208">
        <f>IFERROR(__xludf.DUMMYFUNCTION("""COMPUTED_VALUE"""),191102.0)</f>
        <v>191102</v>
      </c>
      <c r="O137" s="208">
        <f>IFERROR(__xludf.DUMMYFUNCTION("""COMPUTED_VALUE"""),11.0)</f>
        <v>11</v>
      </c>
      <c r="P137" s="208">
        <f>IFERROR(__xludf.DUMMYFUNCTION("""COMPUTED_VALUE"""),2181.0)</f>
        <v>2181</v>
      </c>
      <c r="Q137" s="208">
        <f>IFERROR(__xludf.DUMMYFUNCTION("""COMPUTED_VALUE"""),11.0)</f>
        <v>11</v>
      </c>
      <c r="R137" s="208">
        <f>IFERROR(__xludf.DUMMYFUNCTION("""COMPUTED_VALUE"""),1790.0)</f>
        <v>1790</v>
      </c>
      <c r="S137" s="208">
        <f>IFERROR(__xludf.DUMMYFUNCTION("""COMPUTED_VALUE"""),1.0)</f>
        <v>1</v>
      </c>
      <c r="T137" s="208">
        <f>IFERROR(__xludf.DUMMYFUNCTION("""COMPUTED_VALUE"""),314.0)</f>
        <v>314</v>
      </c>
      <c r="U137" s="208">
        <f>IFERROR(__xludf.DUMMYFUNCTION("""COMPUTED_VALUE"""),77.0)</f>
        <v>77</v>
      </c>
      <c r="V137" s="208">
        <f>IFERROR(__xludf.DUMMYFUNCTION("""COMPUTED_VALUE"""),78.0)</f>
        <v>78</v>
      </c>
      <c r="W137" s="208">
        <f>IFERROR(__xludf.DUMMYFUNCTION("""COMPUTED_VALUE"""),7.0)</f>
        <v>7</v>
      </c>
      <c r="X137" s="208">
        <f>IFERROR(__xludf.DUMMYFUNCTION("""COMPUTED_VALUE"""),6.0)</f>
        <v>6</v>
      </c>
      <c r="Y137" s="208">
        <f>IFERROR(__xludf.DUMMYFUNCTION("""COMPUTED_VALUE"""),1.0)</f>
        <v>1</v>
      </c>
      <c r="Z137" s="208">
        <f>IFERROR(__xludf.DUMMYFUNCTION("""COMPUTED_VALUE"""),1012.0)</f>
        <v>1012</v>
      </c>
    </row>
    <row r="138">
      <c r="A138" s="207">
        <f>IFERROR(__xludf.DUMMYFUNCTION("""COMPUTED_VALUE"""),44035.0)</f>
        <v>44035</v>
      </c>
      <c r="B138" s="208">
        <f>IFERROR(__xludf.DUMMYFUNCTION("""COMPUTED_VALUE"""),141.0)</f>
        <v>141</v>
      </c>
      <c r="C138" s="208">
        <f>IFERROR(__xludf.DUMMYFUNCTION("""COMPUTED_VALUE"""),134.0)</f>
        <v>134</v>
      </c>
      <c r="D138" s="208">
        <f>IFERROR(__xludf.DUMMYFUNCTION("""COMPUTED_VALUE"""),26777.0)</f>
        <v>26777</v>
      </c>
      <c r="E138" s="208">
        <f>IFERROR(__xludf.DUMMYFUNCTION("""COMPUTED_VALUE"""),4376.0)</f>
        <v>4376</v>
      </c>
      <c r="F138" s="150">
        <f>IFERROR(__xludf.DUMMYFUNCTION("""COMPUTED_VALUE"""),309743.0)</f>
        <v>309743</v>
      </c>
      <c r="G138" s="150">
        <f>IFERROR(__xludf.DUMMYFUNCTION("""COMPUTED_VALUE"""),4517.0)</f>
        <v>4517</v>
      </c>
      <c r="H138" s="150">
        <f>IFERROR(__xludf.DUMMYFUNCTION("""COMPUTED_VALUE"""),336520.0)</f>
        <v>336520</v>
      </c>
      <c r="I138" s="208">
        <f>IFERROR(__xludf.DUMMYFUNCTION("""COMPUTED_VALUE"""),116.0)</f>
        <v>116</v>
      </c>
      <c r="J138" s="208">
        <f>IFERROR(__xludf.DUMMYFUNCTION("""COMPUTED_VALUE"""),104.0)</f>
        <v>104</v>
      </c>
      <c r="K138" s="208">
        <f>IFERROR(__xludf.DUMMYFUNCTION("""COMPUTED_VALUE"""),18479.0)</f>
        <v>18479</v>
      </c>
      <c r="L138" s="208">
        <f>IFERROR(__xludf.DUMMYFUNCTION("""COMPUTED_VALUE"""),1970.0)</f>
        <v>1970</v>
      </c>
      <c r="M138" s="208">
        <f>IFERROR(__xludf.DUMMYFUNCTION("""COMPUTED_VALUE"""),174709.0)</f>
        <v>174709</v>
      </c>
      <c r="N138" s="208">
        <f>IFERROR(__xludf.DUMMYFUNCTION("""COMPUTED_VALUE"""),193188.0)</f>
        <v>193188</v>
      </c>
      <c r="O138" s="208">
        <f>IFERROR(__xludf.DUMMYFUNCTION("""COMPUTED_VALUE"""),8.0)</f>
        <v>8</v>
      </c>
      <c r="P138" s="208">
        <f>IFERROR(__xludf.DUMMYFUNCTION("""COMPUTED_VALUE"""),2189.0)</f>
        <v>2189</v>
      </c>
      <c r="Q138" s="208">
        <f>IFERROR(__xludf.DUMMYFUNCTION("""COMPUTED_VALUE"""),6.0)</f>
        <v>6</v>
      </c>
      <c r="R138" s="208">
        <f>IFERROR(__xludf.DUMMYFUNCTION("""COMPUTED_VALUE"""),1796.0)</f>
        <v>1796</v>
      </c>
      <c r="S138" s="208">
        <f>IFERROR(__xludf.DUMMYFUNCTION("""COMPUTED_VALUE"""),0.0)</f>
        <v>0</v>
      </c>
      <c r="T138" s="208">
        <f>IFERROR(__xludf.DUMMYFUNCTION("""COMPUTED_VALUE"""),314.0)</f>
        <v>314</v>
      </c>
      <c r="U138" s="208">
        <f>IFERROR(__xludf.DUMMYFUNCTION("""COMPUTED_VALUE"""),79.0)</f>
        <v>79</v>
      </c>
      <c r="V138" s="208">
        <f>IFERROR(__xludf.DUMMYFUNCTION("""COMPUTED_VALUE"""),78.0)</f>
        <v>78</v>
      </c>
      <c r="W138" s="208">
        <f>IFERROR(__xludf.DUMMYFUNCTION("""COMPUTED_VALUE"""),8.0)</f>
        <v>8</v>
      </c>
      <c r="X138" s="208">
        <f>IFERROR(__xludf.DUMMYFUNCTION("""COMPUTED_VALUE"""),7.0)</f>
        <v>7</v>
      </c>
      <c r="Y138" s="208">
        <f>IFERROR(__xludf.DUMMYFUNCTION("""COMPUTED_VALUE"""),0.0)</f>
        <v>0</v>
      </c>
      <c r="Z138" s="208">
        <f>IFERROR(__xludf.DUMMYFUNCTION("""COMPUTED_VALUE"""),1012.0)</f>
        <v>1012</v>
      </c>
    </row>
    <row r="139">
      <c r="A139" s="207">
        <f>IFERROR(__xludf.DUMMYFUNCTION("""COMPUTED_VALUE"""),44036.0)</f>
        <v>44036</v>
      </c>
      <c r="B139" s="208">
        <f>IFERROR(__xludf.DUMMYFUNCTION("""COMPUTED_VALUE"""),172.0)</f>
        <v>172</v>
      </c>
      <c r="C139" s="208">
        <f>IFERROR(__xludf.DUMMYFUNCTION("""COMPUTED_VALUE"""),148.0)</f>
        <v>148</v>
      </c>
      <c r="D139" s="208">
        <f>IFERROR(__xludf.DUMMYFUNCTION("""COMPUTED_VALUE"""),26949.0)</f>
        <v>26949</v>
      </c>
      <c r="E139" s="208">
        <f>IFERROR(__xludf.DUMMYFUNCTION("""COMPUTED_VALUE"""),5959.0)</f>
        <v>5959</v>
      </c>
      <c r="F139" s="150">
        <f>IFERROR(__xludf.DUMMYFUNCTION("""COMPUTED_VALUE"""),315702.0)</f>
        <v>315702</v>
      </c>
      <c r="G139" s="150">
        <f>IFERROR(__xludf.DUMMYFUNCTION("""COMPUTED_VALUE"""),6131.0)</f>
        <v>6131</v>
      </c>
      <c r="H139" s="150">
        <f>IFERROR(__xludf.DUMMYFUNCTION("""COMPUTED_VALUE"""),342651.0)</f>
        <v>342651</v>
      </c>
      <c r="I139" s="208">
        <f>IFERROR(__xludf.DUMMYFUNCTION("""COMPUTED_VALUE"""),123.0)</f>
        <v>123</v>
      </c>
      <c r="J139" s="208">
        <f>IFERROR(__xludf.DUMMYFUNCTION("""COMPUTED_VALUE"""),109.0)</f>
        <v>109</v>
      </c>
      <c r="K139" s="208">
        <f>IFERROR(__xludf.DUMMYFUNCTION("""COMPUTED_VALUE"""),18602.0)</f>
        <v>18602</v>
      </c>
      <c r="L139" s="208">
        <f>IFERROR(__xludf.DUMMYFUNCTION("""COMPUTED_VALUE"""),2323.0)</f>
        <v>2323</v>
      </c>
      <c r="M139" s="208">
        <f>IFERROR(__xludf.DUMMYFUNCTION("""COMPUTED_VALUE"""),177032.0)</f>
        <v>177032</v>
      </c>
      <c r="N139" s="208">
        <f>IFERROR(__xludf.DUMMYFUNCTION("""COMPUTED_VALUE"""),195634.0)</f>
        <v>195634</v>
      </c>
      <c r="O139" s="208">
        <f>IFERROR(__xludf.DUMMYFUNCTION("""COMPUTED_VALUE"""),14.0)</f>
        <v>14</v>
      </c>
      <c r="P139" s="208">
        <f>IFERROR(__xludf.DUMMYFUNCTION("""COMPUTED_VALUE"""),2203.0)</f>
        <v>2203</v>
      </c>
      <c r="Q139" s="208">
        <f>IFERROR(__xludf.DUMMYFUNCTION("""COMPUTED_VALUE"""),14.0)</f>
        <v>14</v>
      </c>
      <c r="R139" s="208">
        <f>IFERROR(__xludf.DUMMYFUNCTION("""COMPUTED_VALUE"""),1810.0)</f>
        <v>1810</v>
      </c>
      <c r="S139" s="208">
        <f>IFERROR(__xludf.DUMMYFUNCTION("""COMPUTED_VALUE"""),0.0)</f>
        <v>0</v>
      </c>
      <c r="T139" s="208">
        <f>IFERROR(__xludf.DUMMYFUNCTION("""COMPUTED_VALUE"""),314.0)</f>
        <v>314</v>
      </c>
      <c r="U139" s="208">
        <f>IFERROR(__xludf.DUMMYFUNCTION("""COMPUTED_VALUE"""),79.0)</f>
        <v>79</v>
      </c>
      <c r="V139" s="208">
        <f>IFERROR(__xludf.DUMMYFUNCTION("""COMPUTED_VALUE"""),78.0)</f>
        <v>78</v>
      </c>
      <c r="W139" s="208">
        <f>IFERROR(__xludf.DUMMYFUNCTION("""COMPUTED_VALUE"""),9.0)</f>
        <v>9</v>
      </c>
      <c r="X139" s="208">
        <f>IFERROR(__xludf.DUMMYFUNCTION("""COMPUTED_VALUE"""),7.0)</f>
        <v>7</v>
      </c>
      <c r="Y139" s="208">
        <f>IFERROR(__xludf.DUMMYFUNCTION("""COMPUTED_VALUE"""),0.0)</f>
        <v>0</v>
      </c>
      <c r="Z139" s="208">
        <f>IFERROR(__xludf.DUMMYFUNCTION("""COMPUTED_VALUE"""),1012.0)</f>
        <v>1012</v>
      </c>
    </row>
    <row r="140">
      <c r="A140" s="207">
        <f>IFERROR(__xludf.DUMMYFUNCTION("""COMPUTED_VALUE"""),44037.0)</f>
        <v>44037</v>
      </c>
      <c r="B140" s="208">
        <f>IFERROR(__xludf.DUMMYFUNCTION("""COMPUTED_VALUE"""),134.0)</f>
        <v>134</v>
      </c>
      <c r="C140" s="208">
        <f>IFERROR(__xludf.DUMMYFUNCTION("""COMPUTED_VALUE"""),149.0)</f>
        <v>149</v>
      </c>
      <c r="D140" s="208">
        <f>IFERROR(__xludf.DUMMYFUNCTION("""COMPUTED_VALUE"""),27083.0)</f>
        <v>27083</v>
      </c>
      <c r="E140" s="208">
        <f>IFERROR(__xludf.DUMMYFUNCTION("""COMPUTED_VALUE"""),4398.0)</f>
        <v>4398</v>
      </c>
      <c r="F140" s="150">
        <f>IFERROR(__xludf.DUMMYFUNCTION("""COMPUTED_VALUE"""),320100.0)</f>
        <v>320100</v>
      </c>
      <c r="G140" s="150">
        <f>IFERROR(__xludf.DUMMYFUNCTION("""COMPUTED_VALUE"""),4532.0)</f>
        <v>4532</v>
      </c>
      <c r="H140" s="150">
        <f>IFERROR(__xludf.DUMMYFUNCTION("""COMPUTED_VALUE"""),347183.0)</f>
        <v>347183</v>
      </c>
      <c r="I140" s="208">
        <f>IFERROR(__xludf.DUMMYFUNCTION("""COMPUTED_VALUE"""),107.0)</f>
        <v>107</v>
      </c>
      <c r="J140" s="208">
        <f>IFERROR(__xludf.DUMMYFUNCTION("""COMPUTED_VALUE"""),115.0)</f>
        <v>115</v>
      </c>
      <c r="K140" s="208">
        <f>IFERROR(__xludf.DUMMYFUNCTION("""COMPUTED_VALUE"""),18709.0)</f>
        <v>18709</v>
      </c>
      <c r="L140" s="208">
        <f>IFERROR(__xludf.DUMMYFUNCTION("""COMPUTED_VALUE"""),2100.0)</f>
        <v>2100</v>
      </c>
      <c r="M140" s="208">
        <f>IFERROR(__xludf.DUMMYFUNCTION("""COMPUTED_VALUE"""),179132.0)</f>
        <v>179132</v>
      </c>
      <c r="N140" s="208">
        <f>IFERROR(__xludf.DUMMYFUNCTION("""COMPUTED_VALUE"""),197841.0)</f>
        <v>197841</v>
      </c>
      <c r="O140" s="208">
        <f>IFERROR(__xludf.DUMMYFUNCTION("""COMPUTED_VALUE"""),7.0)</f>
        <v>7</v>
      </c>
      <c r="P140" s="208">
        <f>IFERROR(__xludf.DUMMYFUNCTION("""COMPUTED_VALUE"""),2210.0)</f>
        <v>2210</v>
      </c>
      <c r="Q140" s="208">
        <f>IFERROR(__xludf.DUMMYFUNCTION("""COMPUTED_VALUE"""),7.0)</f>
        <v>7</v>
      </c>
      <c r="R140" s="208">
        <f>IFERROR(__xludf.DUMMYFUNCTION("""COMPUTED_VALUE"""),1817.0)</f>
        <v>1817</v>
      </c>
      <c r="S140" s="208">
        <f>IFERROR(__xludf.DUMMYFUNCTION("""COMPUTED_VALUE"""),0.0)</f>
        <v>0</v>
      </c>
      <c r="T140" s="208">
        <f>IFERROR(__xludf.DUMMYFUNCTION("""COMPUTED_VALUE"""),314.0)</f>
        <v>314</v>
      </c>
      <c r="U140" s="208">
        <f>IFERROR(__xludf.DUMMYFUNCTION("""COMPUTED_VALUE"""),79.0)</f>
        <v>79</v>
      </c>
      <c r="V140" s="208">
        <f>IFERROR(__xludf.DUMMYFUNCTION("""COMPUTED_VALUE"""),79.0)</f>
        <v>79</v>
      </c>
      <c r="W140" s="208">
        <f>IFERROR(__xludf.DUMMYFUNCTION("""COMPUTED_VALUE"""),10.0)</f>
        <v>10</v>
      </c>
      <c r="X140" s="208">
        <f>IFERROR(__xludf.DUMMYFUNCTION("""COMPUTED_VALUE"""),8.0)</f>
        <v>8</v>
      </c>
      <c r="Y140" s="208">
        <f>IFERROR(__xludf.DUMMYFUNCTION("""COMPUTED_VALUE"""),2.0)</f>
        <v>2</v>
      </c>
      <c r="Z140" s="208">
        <f>IFERROR(__xludf.DUMMYFUNCTION("""COMPUTED_VALUE"""),1014.0)</f>
        <v>1014</v>
      </c>
    </row>
    <row r="141">
      <c r="A141" s="207">
        <f>IFERROR(__xludf.DUMMYFUNCTION("""COMPUTED_VALUE"""),44038.0)</f>
        <v>44038</v>
      </c>
      <c r="B141" s="208">
        <f>IFERROR(__xludf.DUMMYFUNCTION("""COMPUTED_VALUE"""),62.0)</f>
        <v>62</v>
      </c>
      <c r="C141" s="208">
        <f>IFERROR(__xludf.DUMMYFUNCTION("""COMPUTED_VALUE"""),123.0)</f>
        <v>123</v>
      </c>
      <c r="D141" s="208">
        <f>IFERROR(__xludf.DUMMYFUNCTION("""COMPUTED_VALUE"""),27145.0)</f>
        <v>27145</v>
      </c>
      <c r="E141" s="208">
        <f>IFERROR(__xludf.DUMMYFUNCTION("""COMPUTED_VALUE"""),3027.0)</f>
        <v>3027</v>
      </c>
      <c r="F141" s="150">
        <f>IFERROR(__xludf.DUMMYFUNCTION("""COMPUTED_VALUE"""),323127.0)</f>
        <v>323127</v>
      </c>
      <c r="G141" s="150">
        <f>IFERROR(__xludf.DUMMYFUNCTION("""COMPUTED_VALUE"""),3089.0)</f>
        <v>3089</v>
      </c>
      <c r="H141" s="150">
        <f>IFERROR(__xludf.DUMMYFUNCTION("""COMPUTED_VALUE"""),350272.0)</f>
        <v>350272</v>
      </c>
      <c r="I141" s="208">
        <f>IFERROR(__xludf.DUMMYFUNCTION("""COMPUTED_VALUE"""),54.0)</f>
        <v>54</v>
      </c>
      <c r="J141" s="208">
        <f>IFERROR(__xludf.DUMMYFUNCTION("""COMPUTED_VALUE"""),95.0)</f>
        <v>95</v>
      </c>
      <c r="K141" s="208">
        <f>IFERROR(__xludf.DUMMYFUNCTION("""COMPUTED_VALUE"""),18763.0)</f>
        <v>18763</v>
      </c>
      <c r="L141" s="208">
        <f>IFERROR(__xludf.DUMMYFUNCTION("""COMPUTED_VALUE"""),1340.0)</f>
        <v>1340</v>
      </c>
      <c r="M141" s="208">
        <f>IFERROR(__xludf.DUMMYFUNCTION("""COMPUTED_VALUE"""),180472.0)</f>
        <v>180472</v>
      </c>
      <c r="N141" s="208">
        <f>IFERROR(__xludf.DUMMYFUNCTION("""COMPUTED_VALUE"""),199235.0)</f>
        <v>199235</v>
      </c>
      <c r="O141" s="208">
        <f>IFERROR(__xludf.DUMMYFUNCTION("""COMPUTED_VALUE"""),8.0)</f>
        <v>8</v>
      </c>
      <c r="P141" s="208">
        <f>IFERROR(__xludf.DUMMYFUNCTION("""COMPUTED_VALUE"""),2218.0)</f>
        <v>2218</v>
      </c>
      <c r="Q141" s="208">
        <f>IFERROR(__xludf.DUMMYFUNCTION("""COMPUTED_VALUE"""),9.0)</f>
        <v>9</v>
      </c>
      <c r="R141" s="208">
        <f>IFERROR(__xludf.DUMMYFUNCTION("""COMPUTED_VALUE"""),1826.0)</f>
        <v>1826</v>
      </c>
      <c r="S141" s="208">
        <f>IFERROR(__xludf.DUMMYFUNCTION("""COMPUTED_VALUE"""),0.0)</f>
        <v>0</v>
      </c>
      <c r="T141" s="208">
        <f>IFERROR(__xludf.DUMMYFUNCTION("""COMPUTED_VALUE"""),314.0)</f>
        <v>314</v>
      </c>
      <c r="U141" s="208">
        <f>IFERROR(__xludf.DUMMYFUNCTION("""COMPUTED_VALUE"""),78.0)</f>
        <v>78</v>
      </c>
      <c r="V141" s="208">
        <f>IFERROR(__xludf.DUMMYFUNCTION("""COMPUTED_VALUE"""),79.0)</f>
        <v>79</v>
      </c>
      <c r="W141" s="208">
        <f>IFERROR(__xludf.DUMMYFUNCTION("""COMPUTED_VALUE"""),11.0)</f>
        <v>11</v>
      </c>
      <c r="X141" s="208">
        <f>IFERROR(__xludf.DUMMYFUNCTION("""COMPUTED_VALUE"""),7.0)</f>
        <v>7</v>
      </c>
      <c r="Y141" s="208">
        <f>IFERROR(__xludf.DUMMYFUNCTION("""COMPUTED_VALUE"""),1.0)</f>
        <v>1</v>
      </c>
      <c r="Z141" s="208">
        <f>IFERROR(__xludf.DUMMYFUNCTION("""COMPUTED_VALUE"""),1015.0)</f>
        <v>1015</v>
      </c>
    </row>
    <row r="142">
      <c r="A142" s="207">
        <f>IFERROR(__xludf.DUMMYFUNCTION("""COMPUTED_VALUE"""),44039.0)</f>
        <v>44039</v>
      </c>
      <c r="B142" s="208">
        <f>IFERROR(__xludf.DUMMYFUNCTION("""COMPUTED_VALUE"""),186.0)</f>
        <v>186</v>
      </c>
      <c r="C142" s="208">
        <f>IFERROR(__xludf.DUMMYFUNCTION("""COMPUTED_VALUE"""),127.0)</f>
        <v>127</v>
      </c>
      <c r="D142" s="208">
        <f>IFERROR(__xludf.DUMMYFUNCTION("""COMPUTED_VALUE"""),27331.0)</f>
        <v>27331</v>
      </c>
      <c r="E142" s="208">
        <f>IFERROR(__xludf.DUMMYFUNCTION("""COMPUTED_VALUE"""),4163.0)</f>
        <v>4163</v>
      </c>
      <c r="F142" s="150">
        <f>IFERROR(__xludf.DUMMYFUNCTION("""COMPUTED_VALUE"""),327290.0)</f>
        <v>327290</v>
      </c>
      <c r="G142" s="150">
        <f>IFERROR(__xludf.DUMMYFUNCTION("""COMPUTED_VALUE"""),4349.0)</f>
        <v>4349</v>
      </c>
      <c r="H142" s="150">
        <f>IFERROR(__xludf.DUMMYFUNCTION("""COMPUTED_VALUE"""),354621.0)</f>
        <v>354621</v>
      </c>
      <c r="I142" s="208">
        <f>IFERROR(__xludf.DUMMYFUNCTION("""COMPUTED_VALUE"""),141.0)</f>
        <v>141</v>
      </c>
      <c r="J142" s="208">
        <f>IFERROR(__xludf.DUMMYFUNCTION("""COMPUTED_VALUE"""),101.0)</f>
        <v>101</v>
      </c>
      <c r="K142" s="208">
        <f>IFERROR(__xludf.DUMMYFUNCTION("""COMPUTED_VALUE"""),18904.0)</f>
        <v>18904</v>
      </c>
      <c r="L142" s="208">
        <f>IFERROR(__xludf.DUMMYFUNCTION("""COMPUTED_VALUE"""),2334.0)</f>
        <v>2334</v>
      </c>
      <c r="M142" s="208">
        <f>IFERROR(__xludf.DUMMYFUNCTION("""COMPUTED_VALUE"""),182806.0)</f>
        <v>182806</v>
      </c>
      <c r="N142" s="208">
        <f>IFERROR(__xludf.DUMMYFUNCTION("""COMPUTED_VALUE"""),201710.0)</f>
        <v>201710</v>
      </c>
      <c r="O142" s="208">
        <f>IFERROR(__xludf.DUMMYFUNCTION("""COMPUTED_VALUE"""),12.0)</f>
        <v>12</v>
      </c>
      <c r="P142" s="208">
        <f>IFERROR(__xludf.DUMMYFUNCTION("""COMPUTED_VALUE"""),2230.0)</f>
        <v>2230</v>
      </c>
      <c r="Q142" s="208">
        <f>IFERROR(__xludf.DUMMYFUNCTION("""COMPUTED_VALUE"""),7.0)</f>
        <v>7</v>
      </c>
      <c r="R142" s="208">
        <f>IFERROR(__xludf.DUMMYFUNCTION("""COMPUTED_VALUE"""),1833.0)</f>
        <v>1833</v>
      </c>
      <c r="S142" s="208">
        <f>IFERROR(__xludf.DUMMYFUNCTION("""COMPUTED_VALUE"""),0.0)</f>
        <v>0</v>
      </c>
      <c r="T142" s="208">
        <f>IFERROR(__xludf.DUMMYFUNCTION("""COMPUTED_VALUE"""),314.0)</f>
        <v>314</v>
      </c>
      <c r="U142" s="208">
        <f>IFERROR(__xludf.DUMMYFUNCTION("""COMPUTED_VALUE"""),83.0)</f>
        <v>83</v>
      </c>
      <c r="V142" s="208">
        <f>IFERROR(__xludf.DUMMYFUNCTION("""COMPUTED_VALUE"""),80.0)</f>
        <v>80</v>
      </c>
      <c r="W142" s="208">
        <f>IFERROR(__xludf.DUMMYFUNCTION("""COMPUTED_VALUE"""),13.0)</f>
        <v>13</v>
      </c>
      <c r="X142" s="208">
        <f>IFERROR(__xludf.DUMMYFUNCTION("""COMPUTED_VALUE"""),8.0)</f>
        <v>8</v>
      </c>
      <c r="Y142" s="208">
        <f>IFERROR(__xludf.DUMMYFUNCTION("""COMPUTED_VALUE"""),1.0)</f>
        <v>1</v>
      </c>
      <c r="Z142" s="208">
        <f>IFERROR(__xludf.DUMMYFUNCTION("""COMPUTED_VALUE"""),1016.0)</f>
        <v>1016</v>
      </c>
    </row>
    <row r="143">
      <c r="A143" s="207">
        <f>IFERROR(__xludf.DUMMYFUNCTION("""COMPUTED_VALUE"""),44040.0)</f>
        <v>44040</v>
      </c>
      <c r="B143" s="208">
        <f>IFERROR(__xludf.DUMMYFUNCTION("""COMPUTED_VALUE"""),105.0)</f>
        <v>105</v>
      </c>
      <c r="C143" s="208">
        <f>IFERROR(__xludf.DUMMYFUNCTION("""COMPUTED_VALUE"""),118.0)</f>
        <v>118</v>
      </c>
      <c r="D143" s="208">
        <f>IFERROR(__xludf.DUMMYFUNCTION("""COMPUTED_VALUE"""),27436.0)</f>
        <v>27436</v>
      </c>
      <c r="E143" s="208">
        <f>IFERROR(__xludf.DUMMYFUNCTION("""COMPUTED_VALUE"""),3831.0)</f>
        <v>3831</v>
      </c>
      <c r="F143" s="150">
        <f>IFERROR(__xludf.DUMMYFUNCTION("""COMPUTED_VALUE"""),331121.0)</f>
        <v>331121</v>
      </c>
      <c r="G143" s="150">
        <f>IFERROR(__xludf.DUMMYFUNCTION("""COMPUTED_VALUE"""),3936.0)</f>
        <v>3936</v>
      </c>
      <c r="H143" s="150">
        <f>IFERROR(__xludf.DUMMYFUNCTION("""COMPUTED_VALUE"""),358557.0)</f>
        <v>358557</v>
      </c>
      <c r="I143" s="208">
        <f>IFERROR(__xludf.DUMMYFUNCTION("""COMPUTED_VALUE"""),94.0)</f>
        <v>94</v>
      </c>
      <c r="J143" s="208">
        <f>IFERROR(__xludf.DUMMYFUNCTION("""COMPUTED_VALUE"""),96.0)</f>
        <v>96</v>
      </c>
      <c r="K143" s="208">
        <f>IFERROR(__xludf.DUMMYFUNCTION("""COMPUTED_VALUE"""),18998.0)</f>
        <v>18998</v>
      </c>
      <c r="L143" s="208">
        <f>IFERROR(__xludf.DUMMYFUNCTION("""COMPUTED_VALUE"""),1632.0)</f>
        <v>1632</v>
      </c>
      <c r="M143" s="208">
        <f>IFERROR(__xludf.DUMMYFUNCTION("""COMPUTED_VALUE"""),184438.0)</f>
        <v>184438</v>
      </c>
      <c r="N143" s="208">
        <f>IFERROR(__xludf.DUMMYFUNCTION("""COMPUTED_VALUE"""),203436.0)</f>
        <v>203436</v>
      </c>
      <c r="O143" s="208">
        <f>IFERROR(__xludf.DUMMYFUNCTION("""COMPUTED_VALUE"""),5.0)</f>
        <v>5</v>
      </c>
      <c r="P143" s="208">
        <f>IFERROR(__xludf.DUMMYFUNCTION("""COMPUTED_VALUE"""),2235.0)</f>
        <v>2235</v>
      </c>
      <c r="Q143" s="208">
        <f>IFERROR(__xludf.DUMMYFUNCTION("""COMPUTED_VALUE"""),5.0)</f>
        <v>5</v>
      </c>
      <c r="R143" s="208">
        <f>IFERROR(__xludf.DUMMYFUNCTION("""COMPUTED_VALUE"""),1838.0)</f>
        <v>1838</v>
      </c>
      <c r="S143" s="208">
        <f>IFERROR(__xludf.DUMMYFUNCTION("""COMPUTED_VALUE"""),0.0)</f>
        <v>0</v>
      </c>
      <c r="T143" s="208">
        <f>IFERROR(__xludf.DUMMYFUNCTION("""COMPUTED_VALUE"""),314.0)</f>
        <v>314</v>
      </c>
      <c r="U143" s="208">
        <f>IFERROR(__xludf.DUMMYFUNCTION("""COMPUTED_VALUE"""),83.0)</f>
        <v>83</v>
      </c>
      <c r="V143" s="208">
        <f>IFERROR(__xludf.DUMMYFUNCTION("""COMPUTED_VALUE"""),81.0)</f>
        <v>81</v>
      </c>
      <c r="W143" s="208">
        <f>IFERROR(__xludf.DUMMYFUNCTION("""COMPUTED_VALUE"""),14.0)</f>
        <v>14</v>
      </c>
      <c r="X143" s="208">
        <f>IFERROR(__xludf.DUMMYFUNCTION("""COMPUTED_VALUE"""),7.0)</f>
        <v>7</v>
      </c>
      <c r="Y143" s="208">
        <f>IFERROR(__xludf.DUMMYFUNCTION("""COMPUTED_VALUE"""),1.0)</f>
        <v>1</v>
      </c>
      <c r="Z143" s="208">
        <f>IFERROR(__xludf.DUMMYFUNCTION("""COMPUTED_VALUE"""),1017.0)</f>
        <v>1017</v>
      </c>
    </row>
    <row r="144">
      <c r="A144" s="207">
        <f>IFERROR(__xludf.DUMMYFUNCTION("""COMPUTED_VALUE"""),44041.0)</f>
        <v>44041</v>
      </c>
      <c r="B144" s="208">
        <f>IFERROR(__xludf.DUMMYFUNCTION("""COMPUTED_VALUE"""),191.0)</f>
        <v>191</v>
      </c>
      <c r="C144" s="208">
        <f>IFERROR(__xludf.DUMMYFUNCTION("""COMPUTED_VALUE"""),161.0)</f>
        <v>161</v>
      </c>
      <c r="D144" s="208">
        <f>IFERROR(__xludf.DUMMYFUNCTION("""COMPUTED_VALUE"""),27627.0)</f>
        <v>27627</v>
      </c>
      <c r="E144" s="208">
        <f>IFERROR(__xludf.DUMMYFUNCTION("""COMPUTED_VALUE"""),5123.0)</f>
        <v>5123</v>
      </c>
      <c r="F144" s="150">
        <f>IFERROR(__xludf.DUMMYFUNCTION("""COMPUTED_VALUE"""),336244.0)</f>
        <v>336244</v>
      </c>
      <c r="G144" s="150">
        <f>IFERROR(__xludf.DUMMYFUNCTION("""COMPUTED_VALUE"""),5314.0)</f>
        <v>5314</v>
      </c>
      <c r="H144" s="150">
        <f>IFERROR(__xludf.DUMMYFUNCTION("""COMPUTED_VALUE"""),363871.0)</f>
        <v>363871</v>
      </c>
      <c r="I144" s="208">
        <f>IFERROR(__xludf.DUMMYFUNCTION("""COMPUTED_VALUE"""),157.0)</f>
        <v>157</v>
      </c>
      <c r="J144" s="208">
        <f>IFERROR(__xludf.DUMMYFUNCTION("""COMPUTED_VALUE"""),131.0)</f>
        <v>131</v>
      </c>
      <c r="K144" s="208">
        <f>IFERROR(__xludf.DUMMYFUNCTION("""COMPUTED_VALUE"""),19155.0)</f>
        <v>19155</v>
      </c>
      <c r="L144" s="208">
        <f>IFERROR(__xludf.DUMMYFUNCTION("""COMPUTED_VALUE"""),2324.0)</f>
        <v>2324</v>
      </c>
      <c r="M144" s="208">
        <f>IFERROR(__xludf.DUMMYFUNCTION("""COMPUTED_VALUE"""),186762.0)</f>
        <v>186762</v>
      </c>
      <c r="N144" s="208">
        <f>IFERROR(__xludf.DUMMYFUNCTION("""COMPUTED_VALUE"""),205917.0)</f>
        <v>205917</v>
      </c>
      <c r="O144" s="208">
        <f>IFERROR(__xludf.DUMMYFUNCTION("""COMPUTED_VALUE"""),11.0)</f>
        <v>11</v>
      </c>
      <c r="P144" s="208">
        <f>IFERROR(__xludf.DUMMYFUNCTION("""COMPUTED_VALUE"""),2246.0)</f>
        <v>2246</v>
      </c>
      <c r="Q144" s="208">
        <f>IFERROR(__xludf.DUMMYFUNCTION("""COMPUTED_VALUE"""),12.0)</f>
        <v>12</v>
      </c>
      <c r="R144" s="208">
        <f>IFERROR(__xludf.DUMMYFUNCTION("""COMPUTED_VALUE"""),1850.0)</f>
        <v>1850</v>
      </c>
      <c r="S144" s="208">
        <f>IFERROR(__xludf.DUMMYFUNCTION("""COMPUTED_VALUE"""),0.0)</f>
        <v>0</v>
      </c>
      <c r="T144" s="208">
        <f>IFERROR(__xludf.DUMMYFUNCTION("""COMPUTED_VALUE"""),314.0)</f>
        <v>314</v>
      </c>
      <c r="U144" s="208">
        <f>IFERROR(__xludf.DUMMYFUNCTION("""COMPUTED_VALUE"""),82.0)</f>
        <v>82</v>
      </c>
      <c r="V144" s="208">
        <f>IFERROR(__xludf.DUMMYFUNCTION("""COMPUTED_VALUE"""),83.0)</f>
        <v>83</v>
      </c>
      <c r="W144" s="208">
        <f>IFERROR(__xludf.DUMMYFUNCTION("""COMPUTED_VALUE"""),15.0)</f>
        <v>15</v>
      </c>
      <c r="X144" s="208">
        <f>IFERROR(__xludf.DUMMYFUNCTION("""COMPUTED_VALUE"""),7.0)</f>
        <v>7</v>
      </c>
      <c r="Y144" s="208">
        <f>IFERROR(__xludf.DUMMYFUNCTION("""COMPUTED_VALUE"""),0.0)</f>
        <v>0</v>
      </c>
      <c r="Z144" s="208">
        <f>IFERROR(__xludf.DUMMYFUNCTION("""COMPUTED_VALUE"""),1017.0)</f>
        <v>1017</v>
      </c>
    </row>
    <row r="145">
      <c r="A145" s="207">
        <f>IFERROR(__xludf.DUMMYFUNCTION("""COMPUTED_VALUE"""),44042.0)</f>
        <v>44042</v>
      </c>
      <c r="B145" s="208">
        <f>IFERROR(__xludf.DUMMYFUNCTION("""COMPUTED_VALUE"""),121.0)</f>
        <v>121</v>
      </c>
      <c r="C145" s="208">
        <f>IFERROR(__xludf.DUMMYFUNCTION("""COMPUTED_VALUE"""),139.0)</f>
        <v>139</v>
      </c>
      <c r="D145" s="208">
        <f>IFERROR(__xludf.DUMMYFUNCTION("""COMPUTED_VALUE"""),27748.0)</f>
        <v>27748</v>
      </c>
      <c r="E145" s="208">
        <f>IFERROR(__xludf.DUMMYFUNCTION("""COMPUTED_VALUE"""),4344.0)</f>
        <v>4344</v>
      </c>
      <c r="F145" s="150">
        <f>IFERROR(__xludf.DUMMYFUNCTION("""COMPUTED_VALUE"""),340588.0)</f>
        <v>340588</v>
      </c>
      <c r="G145" s="150">
        <f>IFERROR(__xludf.DUMMYFUNCTION("""COMPUTED_VALUE"""),4465.0)</f>
        <v>4465</v>
      </c>
      <c r="H145" s="150">
        <f>IFERROR(__xludf.DUMMYFUNCTION("""COMPUTED_VALUE"""),368336.0)</f>
        <v>368336</v>
      </c>
      <c r="I145" s="208">
        <f>IFERROR(__xludf.DUMMYFUNCTION("""COMPUTED_VALUE"""),96.0)</f>
        <v>96</v>
      </c>
      <c r="J145" s="208">
        <f>IFERROR(__xludf.DUMMYFUNCTION("""COMPUTED_VALUE"""),116.0)</f>
        <v>116</v>
      </c>
      <c r="K145" s="208">
        <f>IFERROR(__xludf.DUMMYFUNCTION("""COMPUTED_VALUE"""),19251.0)</f>
        <v>19251</v>
      </c>
      <c r="L145" s="208">
        <f>IFERROR(__xludf.DUMMYFUNCTION("""COMPUTED_VALUE"""),1651.0)</f>
        <v>1651</v>
      </c>
      <c r="M145" s="208">
        <f>IFERROR(__xludf.DUMMYFUNCTION("""COMPUTED_VALUE"""),188413.0)</f>
        <v>188413</v>
      </c>
      <c r="N145" s="208">
        <f>IFERROR(__xludf.DUMMYFUNCTION("""COMPUTED_VALUE"""),207664.0)</f>
        <v>207664</v>
      </c>
      <c r="O145" s="208">
        <f>IFERROR(__xludf.DUMMYFUNCTION("""COMPUTED_VALUE"""),6.0)</f>
        <v>6</v>
      </c>
      <c r="P145" s="208">
        <f>IFERROR(__xludf.DUMMYFUNCTION("""COMPUTED_VALUE"""),2252.0)</f>
        <v>2252</v>
      </c>
      <c r="Q145" s="208">
        <f>IFERROR(__xludf.DUMMYFUNCTION("""COMPUTED_VALUE"""),2.0)</f>
        <v>2</v>
      </c>
      <c r="R145" s="208">
        <f>IFERROR(__xludf.DUMMYFUNCTION("""COMPUTED_VALUE"""),1852.0)</f>
        <v>1852</v>
      </c>
      <c r="S145" s="208">
        <f>IFERROR(__xludf.DUMMYFUNCTION("""COMPUTED_VALUE"""),1.0)</f>
        <v>1</v>
      </c>
      <c r="T145" s="208">
        <f>IFERROR(__xludf.DUMMYFUNCTION("""COMPUTED_VALUE"""),315.0)</f>
        <v>315</v>
      </c>
      <c r="U145" s="208">
        <f>IFERROR(__xludf.DUMMYFUNCTION("""COMPUTED_VALUE"""),85.0)</f>
        <v>85</v>
      </c>
      <c r="V145" s="208">
        <f>IFERROR(__xludf.DUMMYFUNCTION("""COMPUTED_VALUE"""),83.0)</f>
        <v>83</v>
      </c>
      <c r="W145" s="208">
        <f>IFERROR(__xludf.DUMMYFUNCTION("""COMPUTED_VALUE"""),15.0)</f>
        <v>15</v>
      </c>
      <c r="X145" s="208">
        <f>IFERROR(__xludf.DUMMYFUNCTION("""COMPUTED_VALUE"""),6.0)</f>
        <v>6</v>
      </c>
      <c r="Y145" s="208">
        <f>IFERROR(__xludf.DUMMYFUNCTION("""COMPUTED_VALUE"""),1.0)</f>
        <v>1</v>
      </c>
      <c r="Z145" s="208">
        <f>IFERROR(__xludf.DUMMYFUNCTION("""COMPUTED_VALUE"""),1018.0)</f>
        <v>1018</v>
      </c>
    </row>
    <row r="146">
      <c r="A146" s="207">
        <f>IFERROR(__xludf.DUMMYFUNCTION("""COMPUTED_VALUE"""),44043.0)</f>
        <v>44043</v>
      </c>
      <c r="B146" s="208">
        <f>IFERROR(__xludf.DUMMYFUNCTION("""COMPUTED_VALUE"""),131.0)</f>
        <v>131</v>
      </c>
      <c r="C146" s="208">
        <f>IFERROR(__xludf.DUMMYFUNCTION("""COMPUTED_VALUE"""),148.0)</f>
        <v>148</v>
      </c>
      <c r="D146" s="208">
        <f>IFERROR(__xludf.DUMMYFUNCTION("""COMPUTED_VALUE"""),27879.0)</f>
        <v>27879</v>
      </c>
      <c r="E146" s="208">
        <f>IFERROR(__xludf.DUMMYFUNCTION("""COMPUTED_VALUE"""),5508.0)</f>
        <v>5508</v>
      </c>
      <c r="F146" s="150">
        <f>IFERROR(__xludf.DUMMYFUNCTION("""COMPUTED_VALUE"""),346096.0)</f>
        <v>346096</v>
      </c>
      <c r="G146" s="150">
        <f>IFERROR(__xludf.DUMMYFUNCTION("""COMPUTED_VALUE"""),5639.0)</f>
        <v>5639</v>
      </c>
      <c r="H146" s="150">
        <f>IFERROR(__xludf.DUMMYFUNCTION("""COMPUTED_VALUE"""),373975.0)</f>
        <v>373975</v>
      </c>
      <c r="I146" s="208">
        <f>IFERROR(__xludf.DUMMYFUNCTION("""COMPUTED_VALUE"""),90.0)</f>
        <v>90</v>
      </c>
      <c r="J146" s="208">
        <f>IFERROR(__xludf.DUMMYFUNCTION("""COMPUTED_VALUE"""),114.0)</f>
        <v>114</v>
      </c>
      <c r="K146" s="208">
        <f>IFERROR(__xludf.DUMMYFUNCTION("""COMPUTED_VALUE"""),19341.0)</f>
        <v>19341</v>
      </c>
      <c r="L146" s="208">
        <f>IFERROR(__xludf.DUMMYFUNCTION("""COMPUTED_VALUE"""),1858.0)</f>
        <v>1858</v>
      </c>
      <c r="M146" s="208">
        <f>IFERROR(__xludf.DUMMYFUNCTION("""COMPUTED_VALUE"""),190271.0)</f>
        <v>190271</v>
      </c>
      <c r="N146" s="208">
        <f>IFERROR(__xludf.DUMMYFUNCTION("""COMPUTED_VALUE"""),209612.0)</f>
        <v>209612</v>
      </c>
      <c r="O146" s="208">
        <f>IFERROR(__xludf.DUMMYFUNCTION("""COMPUTED_VALUE"""),8.0)</f>
        <v>8</v>
      </c>
      <c r="P146" s="208">
        <f>IFERROR(__xludf.DUMMYFUNCTION("""COMPUTED_VALUE"""),2260.0)</f>
        <v>2260</v>
      </c>
      <c r="Q146" s="208">
        <f>IFERROR(__xludf.DUMMYFUNCTION("""COMPUTED_VALUE"""),10.0)</f>
        <v>10</v>
      </c>
      <c r="R146" s="208">
        <f>IFERROR(__xludf.DUMMYFUNCTION("""COMPUTED_VALUE"""),1862.0)</f>
        <v>1862</v>
      </c>
      <c r="S146" s="208">
        <f>IFERROR(__xludf.DUMMYFUNCTION("""COMPUTED_VALUE"""),0.0)</f>
        <v>0</v>
      </c>
      <c r="T146" s="208">
        <f>IFERROR(__xludf.DUMMYFUNCTION("""COMPUTED_VALUE"""),315.0)</f>
        <v>315</v>
      </c>
      <c r="U146" s="208">
        <f>IFERROR(__xludf.DUMMYFUNCTION("""COMPUTED_VALUE"""),83.0)</f>
        <v>83</v>
      </c>
      <c r="V146" s="208">
        <f>IFERROR(__xludf.DUMMYFUNCTION("""COMPUTED_VALUE"""),83.0)</f>
        <v>83</v>
      </c>
      <c r="W146" s="208">
        <f>IFERROR(__xludf.DUMMYFUNCTION("""COMPUTED_VALUE"""),15.0)</f>
        <v>15</v>
      </c>
      <c r="X146" s="208">
        <f>IFERROR(__xludf.DUMMYFUNCTION("""COMPUTED_VALUE"""),7.0)</f>
        <v>7</v>
      </c>
      <c r="Y146" s="208">
        <f>IFERROR(__xludf.DUMMYFUNCTION("""COMPUTED_VALUE"""),1.0)</f>
        <v>1</v>
      </c>
      <c r="Z146" s="208">
        <f>IFERROR(__xludf.DUMMYFUNCTION("""COMPUTED_VALUE"""),1019.0)</f>
        <v>1019</v>
      </c>
    </row>
    <row r="147">
      <c r="A147" s="207">
        <f>IFERROR(__xludf.DUMMYFUNCTION("""COMPUTED_VALUE"""),44044.0)</f>
        <v>44044</v>
      </c>
      <c r="B147" s="208">
        <f>IFERROR(__xludf.DUMMYFUNCTION("""COMPUTED_VALUE"""),108.0)</f>
        <v>108</v>
      </c>
      <c r="C147" s="208">
        <f>IFERROR(__xludf.DUMMYFUNCTION("""COMPUTED_VALUE"""),120.0)</f>
        <v>120</v>
      </c>
      <c r="D147" s="208">
        <f>IFERROR(__xludf.DUMMYFUNCTION("""COMPUTED_VALUE"""),27987.0)</f>
        <v>27987</v>
      </c>
      <c r="E147" s="208">
        <f>IFERROR(__xludf.DUMMYFUNCTION("""COMPUTED_VALUE"""),4288.0)</f>
        <v>4288</v>
      </c>
      <c r="F147" s="150">
        <f>IFERROR(__xludf.DUMMYFUNCTION("""COMPUTED_VALUE"""),350384.0)</f>
        <v>350384</v>
      </c>
      <c r="G147" s="150">
        <f>IFERROR(__xludf.DUMMYFUNCTION("""COMPUTED_VALUE"""),4396.0)</f>
        <v>4396</v>
      </c>
      <c r="H147" s="150">
        <f>IFERROR(__xludf.DUMMYFUNCTION("""COMPUTED_VALUE"""),378371.0)</f>
        <v>378371</v>
      </c>
      <c r="I147" s="208">
        <f>IFERROR(__xludf.DUMMYFUNCTION("""COMPUTED_VALUE"""),88.0)</f>
        <v>88</v>
      </c>
      <c r="J147" s="208">
        <f>IFERROR(__xludf.DUMMYFUNCTION("""COMPUTED_VALUE"""),91.0)</f>
        <v>91</v>
      </c>
      <c r="K147" s="208">
        <f>IFERROR(__xludf.DUMMYFUNCTION("""COMPUTED_VALUE"""),19429.0)</f>
        <v>19429</v>
      </c>
      <c r="L147" s="208">
        <f>IFERROR(__xludf.DUMMYFUNCTION("""COMPUTED_VALUE"""),1558.0)</f>
        <v>1558</v>
      </c>
      <c r="M147" s="208">
        <f>IFERROR(__xludf.DUMMYFUNCTION("""COMPUTED_VALUE"""),191829.0)</f>
        <v>191829</v>
      </c>
      <c r="N147" s="208">
        <f>IFERROR(__xludf.DUMMYFUNCTION("""COMPUTED_VALUE"""),211258.0)</f>
        <v>211258</v>
      </c>
      <c r="O147" s="208">
        <f>IFERROR(__xludf.DUMMYFUNCTION("""COMPUTED_VALUE"""),7.0)</f>
        <v>7</v>
      </c>
      <c r="P147" s="208">
        <f>IFERROR(__xludf.DUMMYFUNCTION("""COMPUTED_VALUE"""),2267.0)</f>
        <v>2267</v>
      </c>
      <c r="Q147" s="208">
        <f>IFERROR(__xludf.DUMMYFUNCTION("""COMPUTED_VALUE"""),2.0)</f>
        <v>2</v>
      </c>
      <c r="R147" s="208">
        <f>IFERROR(__xludf.DUMMYFUNCTION("""COMPUTED_VALUE"""),1864.0)</f>
        <v>1864</v>
      </c>
      <c r="S147" s="208">
        <f>IFERROR(__xludf.DUMMYFUNCTION("""COMPUTED_VALUE"""),0.0)</f>
        <v>0</v>
      </c>
      <c r="T147" s="208">
        <f>IFERROR(__xludf.DUMMYFUNCTION("""COMPUTED_VALUE"""),315.0)</f>
        <v>315</v>
      </c>
      <c r="U147" s="208">
        <f>IFERROR(__xludf.DUMMYFUNCTION("""COMPUTED_VALUE"""),88.0)</f>
        <v>88</v>
      </c>
      <c r="V147" s="208">
        <f>IFERROR(__xludf.DUMMYFUNCTION("""COMPUTED_VALUE"""),85.0)</f>
        <v>85</v>
      </c>
      <c r="W147" s="208">
        <f>IFERROR(__xludf.DUMMYFUNCTION("""COMPUTED_VALUE"""),14.0)</f>
        <v>14</v>
      </c>
      <c r="X147" s="208">
        <f>IFERROR(__xludf.DUMMYFUNCTION("""COMPUTED_VALUE"""),7.0)</f>
        <v>7</v>
      </c>
      <c r="Y147" s="208">
        <f>IFERROR(__xludf.DUMMYFUNCTION("""COMPUTED_VALUE"""),1.0)</f>
        <v>1</v>
      </c>
      <c r="Z147" s="208">
        <f>IFERROR(__xludf.DUMMYFUNCTION("""COMPUTED_VALUE"""),1020.0)</f>
        <v>1020</v>
      </c>
    </row>
    <row r="148">
      <c r="A148" s="207">
        <f>IFERROR(__xludf.DUMMYFUNCTION("""COMPUTED_VALUE"""),44045.0)</f>
        <v>44045</v>
      </c>
      <c r="B148" s="208">
        <f>IFERROR(__xludf.DUMMYFUNCTION("""COMPUTED_VALUE"""),84.0)</f>
        <v>84</v>
      </c>
      <c r="C148" s="208">
        <f>IFERROR(__xludf.DUMMYFUNCTION("""COMPUTED_VALUE"""),108.0)</f>
        <v>108</v>
      </c>
      <c r="D148" s="208">
        <f>IFERROR(__xludf.DUMMYFUNCTION("""COMPUTED_VALUE"""),28071.0)</f>
        <v>28071</v>
      </c>
      <c r="E148" s="208">
        <f>IFERROR(__xludf.DUMMYFUNCTION("""COMPUTED_VALUE"""),2802.0)</f>
        <v>2802</v>
      </c>
      <c r="F148" s="150">
        <f>IFERROR(__xludf.DUMMYFUNCTION("""COMPUTED_VALUE"""),353186.0)</f>
        <v>353186</v>
      </c>
      <c r="G148" s="150">
        <f>IFERROR(__xludf.DUMMYFUNCTION("""COMPUTED_VALUE"""),2886.0)</f>
        <v>2886</v>
      </c>
      <c r="H148" s="150">
        <f>IFERROR(__xludf.DUMMYFUNCTION("""COMPUTED_VALUE"""),381257.0)</f>
        <v>381257</v>
      </c>
      <c r="I148" s="208">
        <f>IFERROR(__xludf.DUMMYFUNCTION("""COMPUTED_VALUE"""),62.0)</f>
        <v>62</v>
      </c>
      <c r="J148" s="208">
        <f>IFERROR(__xludf.DUMMYFUNCTION("""COMPUTED_VALUE"""),80.0)</f>
        <v>80</v>
      </c>
      <c r="K148" s="208">
        <f>IFERROR(__xludf.DUMMYFUNCTION("""COMPUTED_VALUE"""),19491.0)</f>
        <v>19491</v>
      </c>
      <c r="L148" s="208">
        <f>IFERROR(__xludf.DUMMYFUNCTION("""COMPUTED_VALUE"""),1276.0)</f>
        <v>1276</v>
      </c>
      <c r="M148" s="208">
        <f>IFERROR(__xludf.DUMMYFUNCTION("""COMPUTED_VALUE"""),193105.0)</f>
        <v>193105</v>
      </c>
      <c r="N148" s="208">
        <f>IFERROR(__xludf.DUMMYFUNCTION("""COMPUTED_VALUE"""),212596.0)</f>
        <v>212596</v>
      </c>
      <c r="O148" s="208">
        <f>IFERROR(__xludf.DUMMYFUNCTION("""COMPUTED_VALUE"""),12.0)</f>
        <v>12</v>
      </c>
      <c r="P148" s="208">
        <f>IFERROR(__xludf.DUMMYFUNCTION("""COMPUTED_VALUE"""),2279.0)</f>
        <v>2279</v>
      </c>
      <c r="Q148" s="208">
        <f>IFERROR(__xludf.DUMMYFUNCTION("""COMPUTED_VALUE"""),12.0)</f>
        <v>12</v>
      </c>
      <c r="R148" s="208">
        <f>IFERROR(__xludf.DUMMYFUNCTION("""COMPUTED_VALUE"""),1876.0)</f>
        <v>1876</v>
      </c>
      <c r="S148" s="208">
        <f>IFERROR(__xludf.DUMMYFUNCTION("""COMPUTED_VALUE"""),2.0)</f>
        <v>2</v>
      </c>
      <c r="T148" s="208">
        <f>IFERROR(__xludf.DUMMYFUNCTION("""COMPUTED_VALUE"""),317.0)</f>
        <v>317</v>
      </c>
      <c r="U148" s="208">
        <f>IFERROR(__xludf.DUMMYFUNCTION("""COMPUTED_VALUE"""),86.0)</f>
        <v>86</v>
      </c>
      <c r="V148" s="208">
        <f>IFERROR(__xludf.DUMMYFUNCTION("""COMPUTED_VALUE"""),86.0)</f>
        <v>86</v>
      </c>
      <c r="W148" s="208">
        <f>IFERROR(__xludf.DUMMYFUNCTION("""COMPUTED_VALUE"""),14.0)</f>
        <v>14</v>
      </c>
      <c r="X148" s="208">
        <f>IFERROR(__xludf.DUMMYFUNCTION("""COMPUTED_VALUE"""),8.0)</f>
        <v>8</v>
      </c>
      <c r="Y148" s="208">
        <f>IFERROR(__xludf.DUMMYFUNCTION("""COMPUTED_VALUE"""),2.0)</f>
        <v>2</v>
      </c>
      <c r="Z148" s="208">
        <f>IFERROR(__xludf.DUMMYFUNCTION("""COMPUTED_VALUE"""),1022.0)</f>
        <v>1022</v>
      </c>
    </row>
    <row r="149">
      <c r="A149" s="207">
        <f>IFERROR(__xludf.DUMMYFUNCTION("""COMPUTED_VALUE"""),44046.0)</f>
        <v>44046</v>
      </c>
      <c r="B149" s="208">
        <f>IFERROR(__xludf.DUMMYFUNCTION("""COMPUTED_VALUE"""),187.0)</f>
        <v>187</v>
      </c>
      <c r="C149" s="208">
        <f>IFERROR(__xludf.DUMMYFUNCTION("""COMPUTED_VALUE"""),126.0)</f>
        <v>126</v>
      </c>
      <c r="D149" s="208">
        <f>IFERROR(__xludf.DUMMYFUNCTION("""COMPUTED_VALUE"""),28258.0)</f>
        <v>28258</v>
      </c>
      <c r="E149" s="208">
        <f>IFERROR(__xludf.DUMMYFUNCTION("""COMPUTED_VALUE"""),5203.0)</f>
        <v>5203</v>
      </c>
      <c r="F149" s="150">
        <f>IFERROR(__xludf.DUMMYFUNCTION("""COMPUTED_VALUE"""),358389.0)</f>
        <v>358389</v>
      </c>
      <c r="G149" s="150">
        <f>IFERROR(__xludf.DUMMYFUNCTION("""COMPUTED_VALUE"""),5390.0)</f>
        <v>5390</v>
      </c>
      <c r="H149" s="150">
        <f>IFERROR(__xludf.DUMMYFUNCTION("""COMPUTED_VALUE"""),386647.0)</f>
        <v>386647</v>
      </c>
      <c r="I149" s="208">
        <f>IFERROR(__xludf.DUMMYFUNCTION("""COMPUTED_VALUE"""),154.0)</f>
        <v>154</v>
      </c>
      <c r="J149" s="208">
        <f>IFERROR(__xludf.DUMMYFUNCTION("""COMPUTED_VALUE"""),101.0)</f>
        <v>101</v>
      </c>
      <c r="K149" s="208">
        <f>IFERROR(__xludf.DUMMYFUNCTION("""COMPUTED_VALUE"""),19645.0)</f>
        <v>19645</v>
      </c>
      <c r="L149" s="208">
        <f>IFERROR(__xludf.DUMMYFUNCTION("""COMPUTED_VALUE"""),2186.0)</f>
        <v>2186</v>
      </c>
      <c r="M149" s="208">
        <f>IFERROR(__xludf.DUMMYFUNCTION("""COMPUTED_VALUE"""),195291.0)</f>
        <v>195291</v>
      </c>
      <c r="N149" s="208">
        <f>IFERROR(__xludf.DUMMYFUNCTION("""COMPUTED_VALUE"""),214936.0)</f>
        <v>214936</v>
      </c>
      <c r="O149" s="208">
        <f>IFERROR(__xludf.DUMMYFUNCTION("""COMPUTED_VALUE"""),13.0)</f>
        <v>13</v>
      </c>
      <c r="P149" s="208">
        <f>IFERROR(__xludf.DUMMYFUNCTION("""COMPUTED_VALUE"""),2292.0)</f>
        <v>2292</v>
      </c>
      <c r="Q149" s="208">
        <f>IFERROR(__xludf.DUMMYFUNCTION("""COMPUTED_VALUE"""),12.0)</f>
        <v>12</v>
      </c>
      <c r="R149" s="208">
        <f>IFERROR(__xludf.DUMMYFUNCTION("""COMPUTED_VALUE"""),1888.0)</f>
        <v>1888</v>
      </c>
      <c r="S149" s="208">
        <f>IFERROR(__xludf.DUMMYFUNCTION("""COMPUTED_VALUE"""),0.0)</f>
        <v>0</v>
      </c>
      <c r="T149" s="208">
        <f>IFERROR(__xludf.DUMMYFUNCTION("""COMPUTED_VALUE"""),317.0)</f>
        <v>317</v>
      </c>
      <c r="U149" s="208">
        <f>IFERROR(__xludf.DUMMYFUNCTION("""COMPUTED_VALUE"""),87.0)</f>
        <v>87</v>
      </c>
      <c r="V149" s="208">
        <f>IFERROR(__xludf.DUMMYFUNCTION("""COMPUTED_VALUE"""),87.0)</f>
        <v>87</v>
      </c>
      <c r="W149" s="208">
        <f>IFERROR(__xludf.DUMMYFUNCTION("""COMPUTED_VALUE"""),16.0)</f>
        <v>16</v>
      </c>
      <c r="X149" s="208">
        <f>IFERROR(__xludf.DUMMYFUNCTION("""COMPUTED_VALUE"""),7.0)</f>
        <v>7</v>
      </c>
      <c r="Y149" s="208">
        <f>IFERROR(__xludf.DUMMYFUNCTION("""COMPUTED_VALUE"""),1.0)</f>
        <v>1</v>
      </c>
      <c r="Z149" s="208">
        <f>IFERROR(__xludf.DUMMYFUNCTION("""COMPUTED_VALUE"""),1023.0)</f>
        <v>1023</v>
      </c>
    </row>
    <row r="150">
      <c r="A150" s="207">
        <f>IFERROR(__xludf.DUMMYFUNCTION("""COMPUTED_VALUE"""),44047.0)</f>
        <v>44047</v>
      </c>
      <c r="B150" s="208">
        <f>IFERROR(__xludf.DUMMYFUNCTION("""COMPUTED_VALUE"""),126.0)</f>
        <v>126</v>
      </c>
      <c r="C150" s="208">
        <f>IFERROR(__xludf.DUMMYFUNCTION("""COMPUTED_VALUE"""),132.0)</f>
        <v>132</v>
      </c>
      <c r="D150" s="208">
        <f>IFERROR(__xludf.DUMMYFUNCTION("""COMPUTED_VALUE"""),28384.0)</f>
        <v>28384</v>
      </c>
      <c r="E150" s="208">
        <f>IFERROR(__xludf.DUMMYFUNCTION("""COMPUTED_VALUE"""),3687.0)</f>
        <v>3687</v>
      </c>
      <c r="F150" s="150">
        <f>IFERROR(__xludf.DUMMYFUNCTION("""COMPUTED_VALUE"""),362076.0)</f>
        <v>362076</v>
      </c>
      <c r="G150" s="150">
        <f>IFERROR(__xludf.DUMMYFUNCTION("""COMPUTED_VALUE"""),3813.0)</f>
        <v>3813</v>
      </c>
      <c r="H150" s="150">
        <f>IFERROR(__xludf.DUMMYFUNCTION("""COMPUTED_VALUE"""),390460.0)</f>
        <v>390460</v>
      </c>
      <c r="I150" s="208">
        <f>IFERROR(__xludf.DUMMYFUNCTION("""COMPUTED_VALUE"""),99.0)</f>
        <v>99</v>
      </c>
      <c r="J150" s="208">
        <f>IFERROR(__xludf.DUMMYFUNCTION("""COMPUTED_VALUE"""),105.0)</f>
        <v>105</v>
      </c>
      <c r="K150" s="208">
        <f>IFERROR(__xludf.DUMMYFUNCTION("""COMPUTED_VALUE"""),19744.0)</f>
        <v>19744</v>
      </c>
      <c r="L150" s="208">
        <f>IFERROR(__xludf.DUMMYFUNCTION("""COMPUTED_VALUE"""),1771.0)</f>
        <v>1771</v>
      </c>
      <c r="M150" s="208">
        <f>IFERROR(__xludf.DUMMYFUNCTION("""COMPUTED_VALUE"""),197062.0)</f>
        <v>197062</v>
      </c>
      <c r="N150" s="208">
        <f>IFERROR(__xludf.DUMMYFUNCTION("""COMPUTED_VALUE"""),216806.0)</f>
        <v>216806</v>
      </c>
      <c r="O150" s="208">
        <f>IFERROR(__xludf.DUMMYFUNCTION("""COMPUTED_VALUE"""),8.0)</f>
        <v>8</v>
      </c>
      <c r="P150" s="208">
        <f>IFERROR(__xludf.DUMMYFUNCTION("""COMPUTED_VALUE"""),2300.0)</f>
        <v>2300</v>
      </c>
      <c r="Q150" s="208">
        <f>IFERROR(__xludf.DUMMYFUNCTION("""COMPUTED_VALUE"""),6.0)</f>
        <v>6</v>
      </c>
      <c r="R150" s="208">
        <f>IFERROR(__xludf.DUMMYFUNCTION("""COMPUTED_VALUE"""),1894.0)</f>
        <v>1894</v>
      </c>
      <c r="S150" s="208">
        <f>IFERROR(__xludf.DUMMYFUNCTION("""COMPUTED_VALUE"""),1.0)</f>
        <v>1</v>
      </c>
      <c r="T150" s="208">
        <f>IFERROR(__xludf.DUMMYFUNCTION("""COMPUTED_VALUE"""),318.0)</f>
        <v>318</v>
      </c>
      <c r="U150" s="208">
        <f>IFERROR(__xludf.DUMMYFUNCTION("""COMPUTED_VALUE"""),88.0)</f>
        <v>88</v>
      </c>
      <c r="V150" s="208">
        <f>IFERROR(__xludf.DUMMYFUNCTION("""COMPUTED_VALUE"""),87.0)</f>
        <v>87</v>
      </c>
      <c r="W150" s="208">
        <f>IFERROR(__xludf.DUMMYFUNCTION("""COMPUTED_VALUE"""),12.0)</f>
        <v>12</v>
      </c>
      <c r="X150" s="208">
        <f>IFERROR(__xludf.DUMMYFUNCTION("""COMPUTED_VALUE"""),5.0)</f>
        <v>5</v>
      </c>
      <c r="Y150" s="208">
        <f>IFERROR(__xludf.DUMMYFUNCTION("""COMPUTED_VALUE"""),2.0)</f>
        <v>2</v>
      </c>
      <c r="Z150" s="208">
        <f>IFERROR(__xludf.DUMMYFUNCTION("""COMPUTED_VALUE"""),1025.0)</f>
        <v>1025</v>
      </c>
    </row>
    <row r="151">
      <c r="A151" s="207">
        <f>IFERROR(__xludf.DUMMYFUNCTION("""COMPUTED_VALUE"""),44048.0)</f>
        <v>44048</v>
      </c>
      <c r="B151" s="208">
        <f>IFERROR(__xludf.DUMMYFUNCTION("""COMPUTED_VALUE"""),148.0)</f>
        <v>148</v>
      </c>
      <c r="C151" s="208">
        <f>IFERROR(__xludf.DUMMYFUNCTION("""COMPUTED_VALUE"""),154.0)</f>
        <v>154</v>
      </c>
      <c r="D151" s="208">
        <f>IFERROR(__xludf.DUMMYFUNCTION("""COMPUTED_VALUE"""),28532.0)</f>
        <v>28532</v>
      </c>
      <c r="E151" s="208">
        <f>IFERROR(__xludf.DUMMYFUNCTION("""COMPUTED_VALUE"""),5914.0)</f>
        <v>5914</v>
      </c>
      <c r="F151" s="150">
        <f>IFERROR(__xludf.DUMMYFUNCTION("""COMPUTED_VALUE"""),367990.0)</f>
        <v>367990</v>
      </c>
      <c r="G151" s="150">
        <f>IFERROR(__xludf.DUMMYFUNCTION("""COMPUTED_VALUE"""),6062.0)</f>
        <v>6062</v>
      </c>
      <c r="H151" s="150">
        <f>IFERROR(__xludf.DUMMYFUNCTION("""COMPUTED_VALUE"""),396522.0)</f>
        <v>396522</v>
      </c>
      <c r="I151" s="208">
        <f>IFERROR(__xludf.DUMMYFUNCTION("""COMPUTED_VALUE"""),118.0)</f>
        <v>118</v>
      </c>
      <c r="J151" s="208">
        <f>IFERROR(__xludf.DUMMYFUNCTION("""COMPUTED_VALUE"""),124.0)</f>
        <v>124</v>
      </c>
      <c r="K151" s="208">
        <f>IFERROR(__xludf.DUMMYFUNCTION("""COMPUTED_VALUE"""),19862.0)</f>
        <v>19862</v>
      </c>
      <c r="L151" s="208">
        <f>IFERROR(__xludf.DUMMYFUNCTION("""COMPUTED_VALUE"""),2469.0)</f>
        <v>2469</v>
      </c>
      <c r="M151" s="208">
        <f>IFERROR(__xludf.DUMMYFUNCTION("""COMPUTED_VALUE"""),199531.0)</f>
        <v>199531</v>
      </c>
      <c r="N151" s="208">
        <f>IFERROR(__xludf.DUMMYFUNCTION("""COMPUTED_VALUE"""),219393.0)</f>
        <v>219393</v>
      </c>
      <c r="O151" s="208">
        <f>IFERROR(__xludf.DUMMYFUNCTION("""COMPUTED_VALUE"""),12.0)</f>
        <v>12</v>
      </c>
      <c r="P151" s="208">
        <f>IFERROR(__xludf.DUMMYFUNCTION("""COMPUTED_VALUE"""),2312.0)</f>
        <v>2312</v>
      </c>
      <c r="Q151" s="208">
        <f>IFERROR(__xludf.DUMMYFUNCTION("""COMPUTED_VALUE"""),10.0)</f>
        <v>10</v>
      </c>
      <c r="R151" s="208">
        <f>IFERROR(__xludf.DUMMYFUNCTION("""COMPUTED_VALUE"""),1904.0)</f>
        <v>1904</v>
      </c>
      <c r="S151" s="208">
        <f>IFERROR(__xludf.DUMMYFUNCTION("""COMPUTED_VALUE"""),1.0)</f>
        <v>1</v>
      </c>
      <c r="T151" s="208">
        <f>IFERROR(__xludf.DUMMYFUNCTION("""COMPUTED_VALUE"""),319.0)</f>
        <v>319</v>
      </c>
      <c r="U151" s="208">
        <f>IFERROR(__xludf.DUMMYFUNCTION("""COMPUTED_VALUE"""),89.0)</f>
        <v>89</v>
      </c>
      <c r="V151" s="208">
        <f>IFERROR(__xludf.DUMMYFUNCTION("""COMPUTED_VALUE"""),88.0)</f>
        <v>88</v>
      </c>
      <c r="W151" s="208">
        <f>IFERROR(__xludf.DUMMYFUNCTION("""COMPUTED_VALUE"""),10.0)</f>
        <v>10</v>
      </c>
      <c r="X151" s="208">
        <f>IFERROR(__xludf.DUMMYFUNCTION("""COMPUTED_VALUE"""),5.0)</f>
        <v>5</v>
      </c>
      <c r="Y151" s="208">
        <f>IFERROR(__xludf.DUMMYFUNCTION("""COMPUTED_VALUE"""),2.0)</f>
        <v>2</v>
      </c>
      <c r="Z151" s="208">
        <f>IFERROR(__xludf.DUMMYFUNCTION("""COMPUTED_VALUE"""),1027.0)</f>
        <v>1027</v>
      </c>
    </row>
    <row r="152">
      <c r="A152" s="207">
        <f>IFERROR(__xludf.DUMMYFUNCTION("""COMPUTED_VALUE"""),44049.0)</f>
        <v>44049</v>
      </c>
      <c r="B152" s="208">
        <f>IFERROR(__xludf.DUMMYFUNCTION("""COMPUTED_VALUE"""),169.0)</f>
        <v>169</v>
      </c>
      <c r="C152" s="208">
        <f>IFERROR(__xludf.DUMMYFUNCTION("""COMPUTED_VALUE"""),148.0)</f>
        <v>148</v>
      </c>
      <c r="D152" s="208">
        <f>IFERROR(__xludf.DUMMYFUNCTION("""COMPUTED_VALUE"""),28701.0)</f>
        <v>28701</v>
      </c>
      <c r="E152" s="208">
        <f>IFERROR(__xludf.DUMMYFUNCTION("""COMPUTED_VALUE"""),5533.0)</f>
        <v>5533</v>
      </c>
      <c r="F152" s="150">
        <f>IFERROR(__xludf.DUMMYFUNCTION("""COMPUTED_VALUE"""),373523.0)</f>
        <v>373523</v>
      </c>
      <c r="G152" s="150">
        <f>IFERROR(__xludf.DUMMYFUNCTION("""COMPUTED_VALUE"""),5702.0)</f>
        <v>5702</v>
      </c>
      <c r="H152" s="150">
        <f>IFERROR(__xludf.DUMMYFUNCTION("""COMPUTED_VALUE"""),402224.0)</f>
        <v>402224</v>
      </c>
      <c r="I152" s="208">
        <f>IFERROR(__xludf.DUMMYFUNCTION("""COMPUTED_VALUE"""),122.0)</f>
        <v>122</v>
      </c>
      <c r="J152" s="208">
        <f>IFERROR(__xludf.DUMMYFUNCTION("""COMPUTED_VALUE"""),113.0)</f>
        <v>113</v>
      </c>
      <c r="K152" s="208">
        <f>IFERROR(__xludf.DUMMYFUNCTION("""COMPUTED_VALUE"""),19984.0)</f>
        <v>19984</v>
      </c>
      <c r="L152" s="208">
        <f>IFERROR(__xludf.DUMMYFUNCTION("""COMPUTED_VALUE"""),2424.0)</f>
        <v>2424</v>
      </c>
      <c r="M152" s="208">
        <f>IFERROR(__xludf.DUMMYFUNCTION("""COMPUTED_VALUE"""),201955.0)</f>
        <v>201955</v>
      </c>
      <c r="N152" s="208">
        <f>IFERROR(__xludf.DUMMYFUNCTION("""COMPUTED_VALUE"""),221939.0)</f>
        <v>221939</v>
      </c>
      <c r="O152" s="208">
        <f>IFERROR(__xludf.DUMMYFUNCTION("""COMPUTED_VALUE"""),7.0)</f>
        <v>7</v>
      </c>
      <c r="P152" s="208">
        <f>IFERROR(__xludf.DUMMYFUNCTION("""COMPUTED_VALUE"""),2319.0)</f>
        <v>2319</v>
      </c>
      <c r="Q152" s="208">
        <f>IFERROR(__xludf.DUMMYFUNCTION("""COMPUTED_VALUE"""),9.0)</f>
        <v>9</v>
      </c>
      <c r="R152" s="208">
        <f>IFERROR(__xludf.DUMMYFUNCTION("""COMPUTED_VALUE"""),1913.0)</f>
        <v>1913</v>
      </c>
      <c r="S152" s="208">
        <f>IFERROR(__xludf.DUMMYFUNCTION("""COMPUTED_VALUE"""),0.0)</f>
        <v>0</v>
      </c>
      <c r="T152" s="208">
        <f>IFERROR(__xludf.DUMMYFUNCTION("""COMPUTED_VALUE"""),319.0)</f>
        <v>319</v>
      </c>
      <c r="U152" s="208">
        <f>IFERROR(__xludf.DUMMYFUNCTION("""COMPUTED_VALUE"""),87.0)</f>
        <v>87</v>
      </c>
      <c r="V152" s="208">
        <f>IFERROR(__xludf.DUMMYFUNCTION("""COMPUTED_VALUE"""),88.0)</f>
        <v>88</v>
      </c>
      <c r="W152" s="208">
        <f>IFERROR(__xludf.DUMMYFUNCTION("""COMPUTED_VALUE"""),9.0)</f>
        <v>9</v>
      </c>
      <c r="X152" s="208">
        <f>IFERROR(__xludf.DUMMYFUNCTION("""COMPUTED_VALUE"""),4.0)</f>
        <v>4</v>
      </c>
      <c r="Y152" s="208">
        <f>IFERROR(__xludf.DUMMYFUNCTION("""COMPUTED_VALUE"""),0.0)</f>
        <v>0</v>
      </c>
      <c r="Z152" s="208">
        <f>IFERROR(__xludf.DUMMYFUNCTION("""COMPUTED_VALUE"""),1027.0)</f>
        <v>1027</v>
      </c>
    </row>
    <row r="153">
      <c r="A153" s="207">
        <f>IFERROR(__xludf.DUMMYFUNCTION("""COMPUTED_VALUE"""),44050.0)</f>
        <v>44050</v>
      </c>
      <c r="B153" s="208">
        <f>IFERROR(__xludf.DUMMYFUNCTION("""COMPUTED_VALUE"""),122.0)</f>
        <v>122</v>
      </c>
      <c r="C153" s="208">
        <f>IFERROR(__xludf.DUMMYFUNCTION("""COMPUTED_VALUE"""),146.0)</f>
        <v>146</v>
      </c>
      <c r="D153" s="208">
        <f>IFERROR(__xludf.DUMMYFUNCTION("""COMPUTED_VALUE"""),28823.0)</f>
        <v>28823</v>
      </c>
      <c r="E153" s="208">
        <f>IFERROR(__xludf.DUMMYFUNCTION("""COMPUTED_VALUE"""),4845.0)</f>
        <v>4845</v>
      </c>
      <c r="F153" s="150">
        <f>IFERROR(__xludf.DUMMYFUNCTION("""COMPUTED_VALUE"""),378368.0)</f>
        <v>378368</v>
      </c>
      <c r="G153" s="150">
        <f>IFERROR(__xludf.DUMMYFUNCTION("""COMPUTED_VALUE"""),4967.0)</f>
        <v>4967</v>
      </c>
      <c r="H153" s="150">
        <f>IFERROR(__xludf.DUMMYFUNCTION("""COMPUTED_VALUE"""),407191.0)</f>
        <v>407191</v>
      </c>
      <c r="I153" s="208">
        <f>IFERROR(__xludf.DUMMYFUNCTION("""COMPUTED_VALUE"""),90.0)</f>
        <v>90</v>
      </c>
      <c r="J153" s="208">
        <f>IFERROR(__xludf.DUMMYFUNCTION("""COMPUTED_VALUE"""),110.0)</f>
        <v>110</v>
      </c>
      <c r="K153" s="208">
        <f>IFERROR(__xludf.DUMMYFUNCTION("""COMPUTED_VALUE"""),20074.0)</f>
        <v>20074</v>
      </c>
      <c r="L153" s="208">
        <f>IFERROR(__xludf.DUMMYFUNCTION("""COMPUTED_VALUE"""),2155.0)</f>
        <v>2155</v>
      </c>
      <c r="M153" s="208">
        <f>IFERROR(__xludf.DUMMYFUNCTION("""COMPUTED_VALUE"""),204110.0)</f>
        <v>204110</v>
      </c>
      <c r="N153" s="208">
        <f>IFERROR(__xludf.DUMMYFUNCTION("""COMPUTED_VALUE"""),224184.0)</f>
        <v>224184</v>
      </c>
      <c r="O153" s="208">
        <f>IFERROR(__xludf.DUMMYFUNCTION("""COMPUTED_VALUE"""),13.0)</f>
        <v>13</v>
      </c>
      <c r="P153" s="208">
        <f>IFERROR(__xludf.DUMMYFUNCTION("""COMPUTED_VALUE"""),2332.0)</f>
        <v>2332</v>
      </c>
      <c r="Q153" s="208">
        <f>IFERROR(__xludf.DUMMYFUNCTION("""COMPUTED_VALUE"""),10.0)</f>
        <v>10</v>
      </c>
      <c r="R153" s="208">
        <f>IFERROR(__xludf.DUMMYFUNCTION("""COMPUTED_VALUE"""),1923.0)</f>
        <v>1923</v>
      </c>
      <c r="S153" s="208">
        <f>IFERROR(__xludf.DUMMYFUNCTION("""COMPUTED_VALUE"""),1.0)</f>
        <v>1</v>
      </c>
      <c r="T153" s="208">
        <f>IFERROR(__xludf.DUMMYFUNCTION("""COMPUTED_VALUE"""),320.0)</f>
        <v>320</v>
      </c>
      <c r="U153" s="208">
        <f>IFERROR(__xludf.DUMMYFUNCTION("""COMPUTED_VALUE"""),89.0)</f>
        <v>89</v>
      </c>
      <c r="V153" s="208">
        <f>IFERROR(__xludf.DUMMYFUNCTION("""COMPUTED_VALUE"""),88.0)</f>
        <v>88</v>
      </c>
      <c r="W153" s="208">
        <f>IFERROR(__xludf.DUMMYFUNCTION("""COMPUTED_VALUE"""),9.0)</f>
        <v>9</v>
      </c>
      <c r="X153" s="208">
        <f>IFERROR(__xludf.DUMMYFUNCTION("""COMPUTED_VALUE"""),3.0)</f>
        <v>3</v>
      </c>
      <c r="Y153" s="208">
        <f>IFERROR(__xludf.DUMMYFUNCTION("""COMPUTED_VALUE"""),2.0)</f>
        <v>2</v>
      </c>
      <c r="Z153" s="208">
        <f>IFERROR(__xludf.DUMMYFUNCTION("""COMPUTED_VALUE"""),1029.0)</f>
        <v>1029</v>
      </c>
    </row>
    <row r="154">
      <c r="A154" s="207">
        <f>IFERROR(__xludf.DUMMYFUNCTION("""COMPUTED_VALUE"""),44051.0)</f>
        <v>44051</v>
      </c>
      <c r="B154" s="208">
        <f>IFERROR(__xludf.DUMMYFUNCTION("""COMPUTED_VALUE"""),122.0)</f>
        <v>122</v>
      </c>
      <c r="C154" s="208">
        <f>IFERROR(__xludf.DUMMYFUNCTION("""COMPUTED_VALUE"""),138.0)</f>
        <v>138</v>
      </c>
      <c r="D154" s="208">
        <f>IFERROR(__xludf.DUMMYFUNCTION("""COMPUTED_VALUE"""),28945.0)</f>
        <v>28945</v>
      </c>
      <c r="E154" s="208">
        <f>IFERROR(__xludf.DUMMYFUNCTION("""COMPUTED_VALUE"""),4105.0)</f>
        <v>4105</v>
      </c>
      <c r="F154" s="150">
        <f>IFERROR(__xludf.DUMMYFUNCTION("""COMPUTED_VALUE"""),382473.0)</f>
        <v>382473</v>
      </c>
      <c r="G154" s="150">
        <f>IFERROR(__xludf.DUMMYFUNCTION("""COMPUTED_VALUE"""),4227.0)</f>
        <v>4227</v>
      </c>
      <c r="H154" s="150">
        <f>IFERROR(__xludf.DUMMYFUNCTION("""COMPUTED_VALUE"""),411418.0)</f>
        <v>411418</v>
      </c>
      <c r="I154" s="208">
        <f>IFERROR(__xludf.DUMMYFUNCTION("""COMPUTED_VALUE"""),95.0)</f>
        <v>95</v>
      </c>
      <c r="J154" s="208">
        <f>IFERROR(__xludf.DUMMYFUNCTION("""COMPUTED_VALUE"""),102.0)</f>
        <v>102</v>
      </c>
      <c r="K154" s="208">
        <f>IFERROR(__xludf.DUMMYFUNCTION("""COMPUTED_VALUE"""),20169.0)</f>
        <v>20169</v>
      </c>
      <c r="L154" s="208">
        <f>IFERROR(__xludf.DUMMYFUNCTION("""COMPUTED_VALUE"""),1781.0)</f>
        <v>1781</v>
      </c>
      <c r="M154" s="208">
        <f>IFERROR(__xludf.DUMMYFUNCTION("""COMPUTED_VALUE"""),205891.0)</f>
        <v>205891</v>
      </c>
      <c r="N154" s="208">
        <f>IFERROR(__xludf.DUMMYFUNCTION("""COMPUTED_VALUE"""),226060.0)</f>
        <v>226060</v>
      </c>
      <c r="O154" s="208">
        <f>IFERROR(__xludf.DUMMYFUNCTION("""COMPUTED_VALUE"""),19.0)</f>
        <v>19</v>
      </c>
      <c r="P154" s="208">
        <f>IFERROR(__xludf.DUMMYFUNCTION("""COMPUTED_VALUE"""),2351.0)</f>
        <v>2351</v>
      </c>
      <c r="Q154" s="208">
        <f>IFERROR(__xludf.DUMMYFUNCTION("""COMPUTED_VALUE"""),6.0)</f>
        <v>6</v>
      </c>
      <c r="R154" s="208">
        <f>IFERROR(__xludf.DUMMYFUNCTION("""COMPUTED_VALUE"""),1929.0)</f>
        <v>1929</v>
      </c>
      <c r="S154" s="208">
        <f>IFERROR(__xludf.DUMMYFUNCTION("""COMPUTED_VALUE"""),1.0)</f>
        <v>1</v>
      </c>
      <c r="T154" s="208">
        <f>IFERROR(__xludf.DUMMYFUNCTION("""COMPUTED_VALUE"""),321.0)</f>
        <v>321</v>
      </c>
      <c r="U154" s="208">
        <f>IFERROR(__xludf.DUMMYFUNCTION("""COMPUTED_VALUE"""),101.0)</f>
        <v>101</v>
      </c>
      <c r="V154" s="208">
        <f>IFERROR(__xludf.DUMMYFUNCTION("""COMPUTED_VALUE"""),92.0)</f>
        <v>92</v>
      </c>
      <c r="W154" s="208">
        <f>IFERROR(__xludf.DUMMYFUNCTION("""COMPUTED_VALUE"""),8.0)</f>
        <v>8</v>
      </c>
      <c r="X154" s="208">
        <f>IFERROR(__xludf.DUMMYFUNCTION("""COMPUTED_VALUE"""),3.0)</f>
        <v>3</v>
      </c>
      <c r="Y154" s="208">
        <f>IFERROR(__xludf.DUMMYFUNCTION("""COMPUTED_VALUE"""),1.0)</f>
        <v>1</v>
      </c>
      <c r="Z154" s="208">
        <f>IFERROR(__xludf.DUMMYFUNCTION("""COMPUTED_VALUE"""),1030.0)</f>
        <v>1030</v>
      </c>
    </row>
    <row r="155">
      <c r="A155" s="207">
        <f>IFERROR(__xludf.DUMMYFUNCTION("""COMPUTED_VALUE"""),44052.0)</f>
        <v>44052</v>
      </c>
      <c r="B155" s="208">
        <f>IFERROR(__xludf.DUMMYFUNCTION("""COMPUTED_VALUE"""),42.0)</f>
        <v>42</v>
      </c>
      <c r="C155" s="208">
        <f>IFERROR(__xludf.DUMMYFUNCTION("""COMPUTED_VALUE"""),95.0)</f>
        <v>95</v>
      </c>
      <c r="D155" s="208">
        <f>IFERROR(__xludf.DUMMYFUNCTION("""COMPUTED_VALUE"""),28987.0)</f>
        <v>28987</v>
      </c>
      <c r="E155" s="208">
        <f>IFERROR(__xludf.DUMMYFUNCTION("""COMPUTED_VALUE"""),1722.0)</f>
        <v>1722</v>
      </c>
      <c r="F155" s="150">
        <f>IFERROR(__xludf.DUMMYFUNCTION("""COMPUTED_VALUE"""),384195.0)</f>
        <v>384195</v>
      </c>
      <c r="G155" s="150">
        <f>IFERROR(__xludf.DUMMYFUNCTION("""COMPUTED_VALUE"""),1764.0)</f>
        <v>1764</v>
      </c>
      <c r="H155" s="150">
        <f>IFERROR(__xludf.DUMMYFUNCTION("""COMPUTED_VALUE"""),413182.0)</f>
        <v>413182</v>
      </c>
      <c r="I155" s="208">
        <f>IFERROR(__xludf.DUMMYFUNCTION("""COMPUTED_VALUE"""),36.0)</f>
        <v>36</v>
      </c>
      <c r="J155" s="208">
        <f>IFERROR(__xludf.DUMMYFUNCTION("""COMPUTED_VALUE"""),74.0)</f>
        <v>74</v>
      </c>
      <c r="K155" s="208">
        <f>IFERROR(__xludf.DUMMYFUNCTION("""COMPUTED_VALUE"""),20205.0)</f>
        <v>20205</v>
      </c>
      <c r="L155" s="208">
        <f>IFERROR(__xludf.DUMMYFUNCTION("""COMPUTED_VALUE"""),1076.0)</f>
        <v>1076</v>
      </c>
      <c r="M155" s="208">
        <f>IFERROR(__xludf.DUMMYFUNCTION("""COMPUTED_VALUE"""),206967.0)</f>
        <v>206967</v>
      </c>
      <c r="N155" s="208">
        <f>IFERROR(__xludf.DUMMYFUNCTION("""COMPUTED_VALUE"""),227172.0)</f>
        <v>227172</v>
      </c>
      <c r="O155" s="208">
        <f>IFERROR(__xludf.DUMMYFUNCTION("""COMPUTED_VALUE"""),8.0)</f>
        <v>8</v>
      </c>
      <c r="P155" s="208">
        <f>IFERROR(__xludf.DUMMYFUNCTION("""COMPUTED_VALUE"""),2359.0)</f>
        <v>2359</v>
      </c>
      <c r="Q155" s="208">
        <f>IFERROR(__xludf.DUMMYFUNCTION("""COMPUTED_VALUE"""),10.0)</f>
        <v>10</v>
      </c>
      <c r="R155" s="208">
        <f>IFERROR(__xludf.DUMMYFUNCTION("""COMPUTED_VALUE"""),1939.0)</f>
        <v>1939</v>
      </c>
      <c r="S155" s="208">
        <f>IFERROR(__xludf.DUMMYFUNCTION("""COMPUTED_VALUE"""),0.0)</f>
        <v>0</v>
      </c>
      <c r="T155" s="208">
        <f>IFERROR(__xludf.DUMMYFUNCTION("""COMPUTED_VALUE"""),321.0)</f>
        <v>321</v>
      </c>
      <c r="U155" s="208">
        <f>IFERROR(__xludf.DUMMYFUNCTION("""COMPUTED_VALUE"""),99.0)</f>
        <v>99</v>
      </c>
      <c r="V155" s="208">
        <f>IFERROR(__xludf.DUMMYFUNCTION("""COMPUTED_VALUE"""),96.0)</f>
        <v>96</v>
      </c>
      <c r="W155" s="208">
        <f>IFERROR(__xludf.DUMMYFUNCTION("""COMPUTED_VALUE"""),9.0)</f>
        <v>9</v>
      </c>
      <c r="X155" s="208">
        <f>IFERROR(__xludf.DUMMYFUNCTION("""COMPUTED_VALUE"""),4.0)</f>
        <v>4</v>
      </c>
      <c r="Y155" s="208">
        <f>IFERROR(__xludf.DUMMYFUNCTION("""COMPUTED_VALUE"""),0.0)</f>
        <v>0</v>
      </c>
      <c r="Z155" s="208">
        <f>IFERROR(__xludf.DUMMYFUNCTION("""COMPUTED_VALUE"""),1030.0)</f>
        <v>1030</v>
      </c>
    </row>
    <row r="156">
      <c r="A156" s="207">
        <f>IFERROR(__xludf.DUMMYFUNCTION("""COMPUTED_VALUE"""),44053.0)</f>
        <v>44053</v>
      </c>
      <c r="B156" s="208">
        <f>IFERROR(__xludf.DUMMYFUNCTION("""COMPUTED_VALUE"""),149.0)</f>
        <v>149</v>
      </c>
      <c r="C156" s="208">
        <f>IFERROR(__xludf.DUMMYFUNCTION("""COMPUTED_VALUE"""),104.0)</f>
        <v>104</v>
      </c>
      <c r="D156" s="208">
        <f>IFERROR(__xludf.DUMMYFUNCTION("""COMPUTED_VALUE"""),29136.0)</f>
        <v>29136</v>
      </c>
      <c r="E156" s="208">
        <f>IFERROR(__xludf.DUMMYFUNCTION("""COMPUTED_VALUE"""),4577.0)</f>
        <v>4577</v>
      </c>
      <c r="F156" s="150">
        <f>IFERROR(__xludf.DUMMYFUNCTION("""COMPUTED_VALUE"""),388772.0)</f>
        <v>388772</v>
      </c>
      <c r="G156" s="150">
        <f>IFERROR(__xludf.DUMMYFUNCTION("""COMPUTED_VALUE"""),4726.0)</f>
        <v>4726</v>
      </c>
      <c r="H156" s="150">
        <f>IFERROR(__xludf.DUMMYFUNCTION("""COMPUTED_VALUE"""),417908.0)</f>
        <v>417908</v>
      </c>
      <c r="I156" s="208">
        <f>IFERROR(__xludf.DUMMYFUNCTION("""COMPUTED_VALUE"""),112.0)</f>
        <v>112</v>
      </c>
      <c r="J156" s="208">
        <f>IFERROR(__xludf.DUMMYFUNCTION("""COMPUTED_VALUE"""),81.0)</f>
        <v>81</v>
      </c>
      <c r="K156" s="208">
        <f>IFERROR(__xludf.DUMMYFUNCTION("""COMPUTED_VALUE"""),20317.0)</f>
        <v>20317</v>
      </c>
      <c r="L156" s="208">
        <f>IFERROR(__xludf.DUMMYFUNCTION("""COMPUTED_VALUE"""),2029.0)</f>
        <v>2029</v>
      </c>
      <c r="M156" s="208">
        <f>IFERROR(__xludf.DUMMYFUNCTION("""COMPUTED_VALUE"""),208996.0)</f>
        <v>208996</v>
      </c>
      <c r="N156" s="208">
        <f>IFERROR(__xludf.DUMMYFUNCTION("""COMPUTED_VALUE"""),229313.0)</f>
        <v>229313</v>
      </c>
      <c r="O156" s="208">
        <f>IFERROR(__xludf.DUMMYFUNCTION("""COMPUTED_VALUE"""),11.0)</f>
        <v>11</v>
      </c>
      <c r="P156" s="208">
        <f>IFERROR(__xludf.DUMMYFUNCTION("""COMPUTED_VALUE"""),2370.0)</f>
        <v>2370</v>
      </c>
      <c r="Q156" s="208">
        <f>IFERROR(__xludf.DUMMYFUNCTION("""COMPUTED_VALUE"""),12.0)</f>
        <v>12</v>
      </c>
      <c r="R156" s="208">
        <f>IFERROR(__xludf.DUMMYFUNCTION("""COMPUTED_VALUE"""),1951.0)</f>
        <v>1951</v>
      </c>
      <c r="S156" s="208">
        <f>IFERROR(__xludf.DUMMYFUNCTION("""COMPUTED_VALUE"""),0.0)</f>
        <v>0</v>
      </c>
      <c r="T156" s="208">
        <f>IFERROR(__xludf.DUMMYFUNCTION("""COMPUTED_VALUE"""),321.0)</f>
        <v>321</v>
      </c>
      <c r="U156" s="208">
        <f>IFERROR(__xludf.DUMMYFUNCTION("""COMPUTED_VALUE"""),98.0)</f>
        <v>98</v>
      </c>
      <c r="V156" s="208">
        <f>IFERROR(__xludf.DUMMYFUNCTION("""COMPUTED_VALUE"""),99.0)</f>
        <v>99</v>
      </c>
      <c r="W156" s="208">
        <f>IFERROR(__xludf.DUMMYFUNCTION("""COMPUTED_VALUE"""),9.0)</f>
        <v>9</v>
      </c>
      <c r="X156" s="208">
        <f>IFERROR(__xludf.DUMMYFUNCTION("""COMPUTED_VALUE"""),4.0)</f>
        <v>4</v>
      </c>
      <c r="Y156" s="208">
        <f>IFERROR(__xludf.DUMMYFUNCTION("""COMPUTED_VALUE"""),1.0)</f>
        <v>1</v>
      </c>
      <c r="Z156" s="208">
        <f>IFERROR(__xludf.DUMMYFUNCTION("""COMPUTED_VALUE"""),1031.0)</f>
        <v>1031</v>
      </c>
    </row>
    <row r="157">
      <c r="A157" s="207">
        <f>IFERROR(__xludf.DUMMYFUNCTION("""COMPUTED_VALUE"""),44054.0)</f>
        <v>44054</v>
      </c>
      <c r="B157" s="208">
        <f>IFERROR(__xludf.DUMMYFUNCTION("""COMPUTED_VALUE"""),105.0)</f>
        <v>105</v>
      </c>
      <c r="C157" s="208">
        <f>IFERROR(__xludf.DUMMYFUNCTION("""COMPUTED_VALUE"""),99.0)</f>
        <v>99</v>
      </c>
      <c r="D157" s="208">
        <f>IFERROR(__xludf.DUMMYFUNCTION("""COMPUTED_VALUE"""),29241.0)</f>
        <v>29241</v>
      </c>
      <c r="E157" s="208">
        <f>IFERROR(__xludf.DUMMYFUNCTION("""COMPUTED_VALUE"""),4320.0)</f>
        <v>4320</v>
      </c>
      <c r="F157" s="150">
        <f>IFERROR(__xludf.DUMMYFUNCTION("""COMPUTED_VALUE"""),393092.0)</f>
        <v>393092</v>
      </c>
      <c r="G157" s="150">
        <f>IFERROR(__xludf.DUMMYFUNCTION("""COMPUTED_VALUE"""),4425.0)</f>
        <v>4425</v>
      </c>
      <c r="H157" s="150">
        <f>IFERROR(__xludf.DUMMYFUNCTION("""COMPUTED_VALUE"""),422333.0)</f>
        <v>422333</v>
      </c>
      <c r="I157" s="208">
        <f>IFERROR(__xludf.DUMMYFUNCTION("""COMPUTED_VALUE"""),93.0)</f>
        <v>93</v>
      </c>
      <c r="J157" s="208">
        <f>IFERROR(__xludf.DUMMYFUNCTION("""COMPUTED_VALUE"""),80.0)</f>
        <v>80</v>
      </c>
      <c r="K157" s="208">
        <f>IFERROR(__xludf.DUMMYFUNCTION("""COMPUTED_VALUE"""),20410.0)</f>
        <v>20410</v>
      </c>
      <c r="L157" s="208">
        <f>IFERROR(__xludf.DUMMYFUNCTION("""COMPUTED_VALUE"""),2269.0)</f>
        <v>2269</v>
      </c>
      <c r="M157" s="208">
        <f>IFERROR(__xludf.DUMMYFUNCTION("""COMPUTED_VALUE"""),211265.0)</f>
        <v>211265</v>
      </c>
      <c r="N157" s="208">
        <f>IFERROR(__xludf.DUMMYFUNCTION("""COMPUTED_VALUE"""),231675.0)</f>
        <v>231675</v>
      </c>
      <c r="O157" s="208">
        <f>IFERROR(__xludf.DUMMYFUNCTION("""COMPUTED_VALUE"""),6.0)</f>
        <v>6</v>
      </c>
      <c r="P157" s="208">
        <f>IFERROR(__xludf.DUMMYFUNCTION("""COMPUTED_VALUE"""),2376.0)</f>
        <v>2376</v>
      </c>
      <c r="Q157" s="208">
        <f>IFERROR(__xludf.DUMMYFUNCTION("""COMPUTED_VALUE"""),14.0)</f>
        <v>14</v>
      </c>
      <c r="R157" s="208">
        <f>IFERROR(__xludf.DUMMYFUNCTION("""COMPUTED_VALUE"""),1965.0)</f>
        <v>1965</v>
      </c>
      <c r="S157" s="208">
        <f>IFERROR(__xludf.DUMMYFUNCTION("""COMPUTED_VALUE"""),0.0)</f>
        <v>0</v>
      </c>
      <c r="T157" s="208">
        <f>IFERROR(__xludf.DUMMYFUNCTION("""COMPUTED_VALUE"""),321.0)</f>
        <v>321</v>
      </c>
      <c r="U157" s="208">
        <f>IFERROR(__xludf.DUMMYFUNCTION("""COMPUTED_VALUE"""),90.0)</f>
        <v>90</v>
      </c>
      <c r="V157" s="208">
        <f>IFERROR(__xludf.DUMMYFUNCTION("""COMPUTED_VALUE"""),96.0)</f>
        <v>96</v>
      </c>
      <c r="W157" s="208">
        <f>IFERROR(__xludf.DUMMYFUNCTION("""COMPUTED_VALUE"""),10.0)</f>
        <v>10</v>
      </c>
      <c r="X157" s="208">
        <f>IFERROR(__xludf.DUMMYFUNCTION("""COMPUTED_VALUE"""),4.0)</f>
        <v>4</v>
      </c>
      <c r="Y157" s="208">
        <f>IFERROR(__xludf.DUMMYFUNCTION("""COMPUTED_VALUE"""),3.0)</f>
        <v>3</v>
      </c>
      <c r="Z157" s="208">
        <f>IFERROR(__xludf.DUMMYFUNCTION("""COMPUTED_VALUE"""),1034.0)</f>
        <v>1034</v>
      </c>
    </row>
    <row r="158">
      <c r="A158" s="207">
        <f>IFERROR(__xludf.DUMMYFUNCTION("""COMPUTED_VALUE"""),44055.0)</f>
        <v>44055</v>
      </c>
      <c r="B158" s="208">
        <f>IFERROR(__xludf.DUMMYFUNCTION("""COMPUTED_VALUE"""),121.0)</f>
        <v>121</v>
      </c>
      <c r="C158" s="208">
        <f>IFERROR(__xludf.DUMMYFUNCTION("""COMPUTED_VALUE"""),125.0)</f>
        <v>125</v>
      </c>
      <c r="D158" s="208">
        <f>IFERROR(__xludf.DUMMYFUNCTION("""COMPUTED_VALUE"""),29362.0)</f>
        <v>29362</v>
      </c>
      <c r="E158" s="208">
        <f>IFERROR(__xludf.DUMMYFUNCTION("""COMPUTED_VALUE"""),5184.0)</f>
        <v>5184</v>
      </c>
      <c r="F158" s="150">
        <f>IFERROR(__xludf.DUMMYFUNCTION("""COMPUTED_VALUE"""),398276.0)</f>
        <v>398276</v>
      </c>
      <c r="G158" s="150">
        <f>IFERROR(__xludf.DUMMYFUNCTION("""COMPUTED_VALUE"""),5305.0)</f>
        <v>5305</v>
      </c>
      <c r="H158" s="150">
        <f>IFERROR(__xludf.DUMMYFUNCTION("""COMPUTED_VALUE"""),427638.0)</f>
        <v>427638</v>
      </c>
      <c r="I158" s="208">
        <f>IFERROR(__xludf.DUMMYFUNCTION("""COMPUTED_VALUE"""),103.0)</f>
        <v>103</v>
      </c>
      <c r="J158" s="208">
        <f>IFERROR(__xludf.DUMMYFUNCTION("""COMPUTED_VALUE"""),103.0)</f>
        <v>103</v>
      </c>
      <c r="K158" s="208">
        <f>IFERROR(__xludf.DUMMYFUNCTION("""COMPUTED_VALUE"""),20513.0)</f>
        <v>20513</v>
      </c>
      <c r="L158" s="208">
        <f>IFERROR(__xludf.DUMMYFUNCTION("""COMPUTED_VALUE"""),2629.0)</f>
        <v>2629</v>
      </c>
      <c r="M158" s="208">
        <f>IFERROR(__xludf.DUMMYFUNCTION("""COMPUTED_VALUE"""),213894.0)</f>
        <v>213894</v>
      </c>
      <c r="N158" s="208">
        <f>IFERROR(__xludf.DUMMYFUNCTION("""COMPUTED_VALUE"""),234407.0)</f>
        <v>234407</v>
      </c>
      <c r="O158" s="208">
        <f>IFERROR(__xludf.DUMMYFUNCTION("""COMPUTED_VALUE"""),8.0)</f>
        <v>8</v>
      </c>
      <c r="P158" s="208">
        <f>IFERROR(__xludf.DUMMYFUNCTION("""COMPUTED_VALUE"""),2384.0)</f>
        <v>2384</v>
      </c>
      <c r="Q158" s="208">
        <f>IFERROR(__xludf.DUMMYFUNCTION("""COMPUTED_VALUE"""),11.0)</f>
        <v>11</v>
      </c>
      <c r="R158" s="208">
        <f>IFERROR(__xludf.DUMMYFUNCTION("""COMPUTED_VALUE"""),1976.0)</f>
        <v>1976</v>
      </c>
      <c r="S158" s="208">
        <f>IFERROR(__xludf.DUMMYFUNCTION("""COMPUTED_VALUE"""),0.0)</f>
        <v>0</v>
      </c>
      <c r="T158" s="208">
        <f>IFERROR(__xludf.DUMMYFUNCTION("""COMPUTED_VALUE"""),321.0)</f>
        <v>321</v>
      </c>
      <c r="U158" s="208">
        <f>IFERROR(__xludf.DUMMYFUNCTION("""COMPUTED_VALUE"""),87.0)</f>
        <v>87</v>
      </c>
      <c r="V158" s="208">
        <f>IFERROR(__xludf.DUMMYFUNCTION("""COMPUTED_VALUE"""),92.0)</f>
        <v>92</v>
      </c>
      <c r="W158" s="208">
        <f>IFERROR(__xludf.DUMMYFUNCTION("""COMPUTED_VALUE"""),9.0)</f>
        <v>9</v>
      </c>
      <c r="X158" s="208">
        <f>IFERROR(__xludf.DUMMYFUNCTION("""COMPUTED_VALUE"""),3.0)</f>
        <v>3</v>
      </c>
      <c r="Y158" s="208">
        <f>IFERROR(__xludf.DUMMYFUNCTION("""COMPUTED_VALUE"""),1.0)</f>
        <v>1</v>
      </c>
      <c r="Z158" s="208">
        <f>IFERROR(__xludf.DUMMYFUNCTION("""COMPUTED_VALUE"""),1035.0)</f>
        <v>1035</v>
      </c>
    </row>
    <row r="159">
      <c r="A159" s="207">
        <f>IFERROR(__xludf.DUMMYFUNCTION("""COMPUTED_VALUE"""),44056.0)</f>
        <v>44056</v>
      </c>
      <c r="B159" s="208">
        <f>IFERROR(__xludf.DUMMYFUNCTION("""COMPUTED_VALUE"""),135.0)</f>
        <v>135</v>
      </c>
      <c r="C159" s="208">
        <f>IFERROR(__xludf.DUMMYFUNCTION("""COMPUTED_VALUE"""),120.0)</f>
        <v>120</v>
      </c>
      <c r="D159" s="208">
        <f>IFERROR(__xludf.DUMMYFUNCTION("""COMPUTED_VALUE"""),29497.0)</f>
        <v>29497</v>
      </c>
      <c r="E159" s="208">
        <f>IFERROR(__xludf.DUMMYFUNCTION("""COMPUTED_VALUE"""),4190.0)</f>
        <v>4190</v>
      </c>
      <c r="F159" s="150">
        <f>IFERROR(__xludf.DUMMYFUNCTION("""COMPUTED_VALUE"""),402466.0)</f>
        <v>402466</v>
      </c>
      <c r="G159" s="150">
        <f>IFERROR(__xludf.DUMMYFUNCTION("""COMPUTED_VALUE"""),4325.0)</f>
        <v>4325</v>
      </c>
      <c r="H159" s="150">
        <f>IFERROR(__xludf.DUMMYFUNCTION("""COMPUTED_VALUE"""),431963.0)</f>
        <v>431963</v>
      </c>
      <c r="I159" s="208">
        <f>IFERROR(__xludf.DUMMYFUNCTION("""COMPUTED_VALUE"""),97.0)</f>
        <v>97</v>
      </c>
      <c r="J159" s="208">
        <f>IFERROR(__xludf.DUMMYFUNCTION("""COMPUTED_VALUE"""),98.0)</f>
        <v>98</v>
      </c>
      <c r="K159" s="208">
        <f>IFERROR(__xludf.DUMMYFUNCTION("""COMPUTED_VALUE"""),20610.0)</f>
        <v>20610</v>
      </c>
      <c r="L159" s="208">
        <f>IFERROR(__xludf.DUMMYFUNCTION("""COMPUTED_VALUE"""),1910.0)</f>
        <v>1910</v>
      </c>
      <c r="M159" s="208">
        <f>IFERROR(__xludf.DUMMYFUNCTION("""COMPUTED_VALUE"""),215804.0)</f>
        <v>215804</v>
      </c>
      <c r="N159" s="208">
        <f>IFERROR(__xludf.DUMMYFUNCTION("""COMPUTED_VALUE"""),236414.0)</f>
        <v>236414</v>
      </c>
      <c r="O159" s="208">
        <f>IFERROR(__xludf.DUMMYFUNCTION("""COMPUTED_VALUE"""),13.0)</f>
        <v>13</v>
      </c>
      <c r="P159" s="208">
        <f>IFERROR(__xludf.DUMMYFUNCTION("""COMPUTED_VALUE"""),2397.0)</f>
        <v>2397</v>
      </c>
      <c r="Q159" s="208">
        <f>IFERROR(__xludf.DUMMYFUNCTION("""COMPUTED_VALUE"""),12.0)</f>
        <v>12</v>
      </c>
      <c r="R159" s="208">
        <f>IFERROR(__xludf.DUMMYFUNCTION("""COMPUTED_VALUE"""),1988.0)</f>
        <v>1988</v>
      </c>
      <c r="S159" s="208">
        <f>IFERROR(__xludf.DUMMYFUNCTION("""COMPUTED_VALUE"""),0.0)</f>
        <v>0</v>
      </c>
      <c r="T159" s="208">
        <f>IFERROR(__xludf.DUMMYFUNCTION("""COMPUTED_VALUE"""),321.0)</f>
        <v>321</v>
      </c>
      <c r="U159" s="208">
        <f>IFERROR(__xludf.DUMMYFUNCTION("""COMPUTED_VALUE"""),88.0)</f>
        <v>88</v>
      </c>
      <c r="V159" s="208">
        <f>IFERROR(__xludf.DUMMYFUNCTION("""COMPUTED_VALUE"""),88.0)</f>
        <v>88</v>
      </c>
      <c r="W159" s="208">
        <f>IFERROR(__xludf.DUMMYFUNCTION("""COMPUTED_VALUE"""),11.0)</f>
        <v>11</v>
      </c>
      <c r="X159" s="208">
        <f>IFERROR(__xludf.DUMMYFUNCTION("""COMPUTED_VALUE"""),3.0)</f>
        <v>3</v>
      </c>
      <c r="Y159" s="208">
        <f>IFERROR(__xludf.DUMMYFUNCTION("""COMPUTED_VALUE"""),0.0)</f>
        <v>0</v>
      </c>
      <c r="Z159" s="208">
        <f>IFERROR(__xludf.DUMMYFUNCTION("""COMPUTED_VALUE"""),1035.0)</f>
        <v>1035</v>
      </c>
    </row>
    <row r="160">
      <c r="A160" s="207">
        <f>IFERROR(__xludf.DUMMYFUNCTION("""COMPUTED_VALUE"""),44057.0)</f>
        <v>44057</v>
      </c>
      <c r="B160" s="208">
        <f>IFERROR(__xludf.DUMMYFUNCTION("""COMPUTED_VALUE"""),145.0)</f>
        <v>145</v>
      </c>
      <c r="C160" s="208">
        <f>IFERROR(__xludf.DUMMYFUNCTION("""COMPUTED_VALUE"""),134.0)</f>
        <v>134</v>
      </c>
      <c r="D160" s="208">
        <f>IFERROR(__xludf.DUMMYFUNCTION("""COMPUTED_VALUE"""),29642.0)</f>
        <v>29642</v>
      </c>
      <c r="E160" s="208">
        <f>IFERROR(__xludf.DUMMYFUNCTION("""COMPUTED_VALUE"""),5461.0)</f>
        <v>5461</v>
      </c>
      <c r="F160" s="150">
        <f>IFERROR(__xludf.DUMMYFUNCTION("""COMPUTED_VALUE"""),407927.0)</f>
        <v>407927</v>
      </c>
      <c r="G160" s="150">
        <f>IFERROR(__xludf.DUMMYFUNCTION("""COMPUTED_VALUE"""),5606.0)</f>
        <v>5606</v>
      </c>
      <c r="H160" s="150">
        <f>IFERROR(__xludf.DUMMYFUNCTION("""COMPUTED_VALUE"""),437569.0)</f>
        <v>437569</v>
      </c>
      <c r="I160" s="208">
        <f>IFERROR(__xludf.DUMMYFUNCTION("""COMPUTED_VALUE"""),101.0)</f>
        <v>101</v>
      </c>
      <c r="J160" s="208">
        <f>IFERROR(__xludf.DUMMYFUNCTION("""COMPUTED_VALUE"""),100.0)</f>
        <v>100</v>
      </c>
      <c r="K160" s="208">
        <f>IFERROR(__xludf.DUMMYFUNCTION("""COMPUTED_VALUE"""),20711.0)</f>
        <v>20711</v>
      </c>
      <c r="L160" s="208">
        <f>IFERROR(__xludf.DUMMYFUNCTION("""COMPUTED_VALUE"""),1955.0)</f>
        <v>1955</v>
      </c>
      <c r="M160" s="208">
        <f>IFERROR(__xludf.DUMMYFUNCTION("""COMPUTED_VALUE"""),217759.0)</f>
        <v>217759</v>
      </c>
      <c r="N160" s="208">
        <f>IFERROR(__xludf.DUMMYFUNCTION("""COMPUTED_VALUE"""),238470.0)</f>
        <v>238470</v>
      </c>
      <c r="O160" s="208">
        <f>IFERROR(__xludf.DUMMYFUNCTION("""COMPUTED_VALUE"""),13.0)</f>
        <v>13</v>
      </c>
      <c r="P160" s="208">
        <f>IFERROR(__xludf.DUMMYFUNCTION("""COMPUTED_VALUE"""),2410.0)</f>
        <v>2410</v>
      </c>
      <c r="Q160" s="208">
        <f>IFERROR(__xludf.DUMMYFUNCTION("""COMPUTED_VALUE"""),11.0)</f>
        <v>11</v>
      </c>
      <c r="R160" s="208">
        <f>IFERROR(__xludf.DUMMYFUNCTION("""COMPUTED_VALUE"""),1999.0)</f>
        <v>1999</v>
      </c>
      <c r="S160" s="208">
        <f>IFERROR(__xludf.DUMMYFUNCTION("""COMPUTED_VALUE"""),0.0)</f>
        <v>0</v>
      </c>
      <c r="T160" s="208">
        <f>IFERROR(__xludf.DUMMYFUNCTION("""COMPUTED_VALUE"""),321.0)</f>
        <v>321</v>
      </c>
      <c r="U160" s="208">
        <f>IFERROR(__xludf.DUMMYFUNCTION("""COMPUTED_VALUE"""),90.0)</f>
        <v>90</v>
      </c>
      <c r="V160" s="208">
        <f>IFERROR(__xludf.DUMMYFUNCTION("""COMPUTED_VALUE"""),88.0)</f>
        <v>88</v>
      </c>
      <c r="W160" s="208">
        <f>IFERROR(__xludf.DUMMYFUNCTION("""COMPUTED_VALUE"""),11.0)</f>
        <v>11</v>
      </c>
      <c r="X160" s="208">
        <f>IFERROR(__xludf.DUMMYFUNCTION("""COMPUTED_VALUE"""),4.0)</f>
        <v>4</v>
      </c>
      <c r="Y160" s="208">
        <f>IFERROR(__xludf.DUMMYFUNCTION("""COMPUTED_VALUE"""),3.0)</f>
        <v>3</v>
      </c>
      <c r="Z160" s="208">
        <f>IFERROR(__xludf.DUMMYFUNCTION("""COMPUTED_VALUE"""),1038.0)</f>
        <v>1038</v>
      </c>
    </row>
    <row r="161">
      <c r="A161" s="207">
        <f>IFERROR(__xludf.DUMMYFUNCTION("""COMPUTED_VALUE"""),44058.0)</f>
        <v>44058</v>
      </c>
      <c r="B161" s="208">
        <f>IFERROR(__xludf.DUMMYFUNCTION("""COMPUTED_VALUE"""),105.0)</f>
        <v>105</v>
      </c>
      <c r="C161" s="208">
        <f>IFERROR(__xludf.DUMMYFUNCTION("""COMPUTED_VALUE"""),128.0)</f>
        <v>128</v>
      </c>
      <c r="D161" s="208">
        <f>IFERROR(__xludf.DUMMYFUNCTION("""COMPUTED_VALUE"""),29747.0)</f>
        <v>29747</v>
      </c>
      <c r="E161" s="208">
        <f>IFERROR(__xludf.DUMMYFUNCTION("""COMPUTED_VALUE"""),4532.0)</f>
        <v>4532</v>
      </c>
      <c r="F161" s="150">
        <f>IFERROR(__xludf.DUMMYFUNCTION("""COMPUTED_VALUE"""),412459.0)</f>
        <v>412459</v>
      </c>
      <c r="G161" s="150">
        <f>IFERROR(__xludf.DUMMYFUNCTION("""COMPUTED_VALUE"""),4637.0)</f>
        <v>4637</v>
      </c>
      <c r="H161" s="150">
        <f>IFERROR(__xludf.DUMMYFUNCTION("""COMPUTED_VALUE"""),442206.0)</f>
        <v>442206</v>
      </c>
      <c r="I161" s="208">
        <f>IFERROR(__xludf.DUMMYFUNCTION("""COMPUTED_VALUE"""),90.0)</f>
        <v>90</v>
      </c>
      <c r="J161" s="208">
        <f>IFERROR(__xludf.DUMMYFUNCTION("""COMPUTED_VALUE"""),96.0)</f>
        <v>96</v>
      </c>
      <c r="K161" s="208">
        <f>IFERROR(__xludf.DUMMYFUNCTION("""COMPUTED_VALUE"""),20801.0)</f>
        <v>20801</v>
      </c>
      <c r="L161" s="208">
        <f>IFERROR(__xludf.DUMMYFUNCTION("""COMPUTED_VALUE"""),1703.0)</f>
        <v>1703</v>
      </c>
      <c r="M161" s="208">
        <f>IFERROR(__xludf.DUMMYFUNCTION("""COMPUTED_VALUE"""),219462.0)</f>
        <v>219462</v>
      </c>
      <c r="N161" s="208">
        <f>IFERROR(__xludf.DUMMYFUNCTION("""COMPUTED_VALUE"""),240263.0)</f>
        <v>240263</v>
      </c>
      <c r="O161" s="208">
        <f>IFERROR(__xludf.DUMMYFUNCTION("""COMPUTED_VALUE"""),8.0)</f>
        <v>8</v>
      </c>
      <c r="P161" s="208">
        <f>IFERROR(__xludf.DUMMYFUNCTION("""COMPUTED_VALUE"""),2418.0)</f>
        <v>2418</v>
      </c>
      <c r="Q161" s="208">
        <f>IFERROR(__xludf.DUMMYFUNCTION("""COMPUTED_VALUE"""),11.0)</f>
        <v>11</v>
      </c>
      <c r="R161" s="208">
        <f>IFERROR(__xludf.DUMMYFUNCTION("""COMPUTED_VALUE"""),2010.0)</f>
        <v>2010</v>
      </c>
      <c r="S161" s="208">
        <f>IFERROR(__xludf.DUMMYFUNCTION("""COMPUTED_VALUE"""),1.0)</f>
        <v>1</v>
      </c>
      <c r="T161" s="208">
        <f>IFERROR(__xludf.DUMMYFUNCTION("""COMPUTED_VALUE"""),322.0)</f>
        <v>322</v>
      </c>
      <c r="U161" s="208">
        <f>IFERROR(__xludf.DUMMYFUNCTION("""COMPUTED_VALUE"""),86.0)</f>
        <v>86</v>
      </c>
      <c r="V161" s="208">
        <f>IFERROR(__xludf.DUMMYFUNCTION("""COMPUTED_VALUE"""),88.0)</f>
        <v>88</v>
      </c>
      <c r="W161" s="208">
        <f>IFERROR(__xludf.DUMMYFUNCTION("""COMPUTED_VALUE"""),11.0)</f>
        <v>11</v>
      </c>
      <c r="X161" s="208">
        <f>IFERROR(__xludf.DUMMYFUNCTION("""COMPUTED_VALUE"""),5.0)</f>
        <v>5</v>
      </c>
      <c r="Y161" s="208">
        <f>IFERROR(__xludf.DUMMYFUNCTION("""COMPUTED_VALUE"""),0.0)</f>
        <v>0</v>
      </c>
      <c r="Z161" s="208">
        <f>IFERROR(__xludf.DUMMYFUNCTION("""COMPUTED_VALUE"""),1038.0)</f>
        <v>1038</v>
      </c>
    </row>
    <row r="162">
      <c r="A162" s="207">
        <f>IFERROR(__xludf.DUMMYFUNCTION("""COMPUTED_VALUE"""),44059.0)</f>
        <v>44059</v>
      </c>
      <c r="B162" s="208">
        <f>IFERROR(__xludf.DUMMYFUNCTION("""COMPUTED_VALUE"""),83.0)</f>
        <v>83</v>
      </c>
      <c r="C162" s="208">
        <f>IFERROR(__xludf.DUMMYFUNCTION("""COMPUTED_VALUE"""),111.0)</f>
        <v>111</v>
      </c>
      <c r="D162" s="208">
        <f>IFERROR(__xludf.DUMMYFUNCTION("""COMPUTED_VALUE"""),29830.0)</f>
        <v>29830</v>
      </c>
      <c r="E162" s="208">
        <f>IFERROR(__xludf.DUMMYFUNCTION("""COMPUTED_VALUE"""),2786.0)</f>
        <v>2786</v>
      </c>
      <c r="F162" s="150">
        <f>IFERROR(__xludf.DUMMYFUNCTION("""COMPUTED_VALUE"""),415245.0)</f>
        <v>415245</v>
      </c>
      <c r="G162" s="150">
        <f>IFERROR(__xludf.DUMMYFUNCTION("""COMPUTED_VALUE"""),2869.0)</f>
        <v>2869</v>
      </c>
      <c r="H162" s="150">
        <f>IFERROR(__xludf.DUMMYFUNCTION("""COMPUTED_VALUE"""),445075.0)</f>
        <v>445075</v>
      </c>
      <c r="I162" s="208">
        <f>IFERROR(__xludf.DUMMYFUNCTION("""COMPUTED_VALUE"""),71.0)</f>
        <v>71</v>
      </c>
      <c r="J162" s="208">
        <f>IFERROR(__xludf.DUMMYFUNCTION("""COMPUTED_VALUE"""),87.0)</f>
        <v>87</v>
      </c>
      <c r="K162" s="208">
        <f>IFERROR(__xludf.DUMMYFUNCTION("""COMPUTED_VALUE"""),20872.0)</f>
        <v>20872</v>
      </c>
      <c r="L162" s="208">
        <f>IFERROR(__xludf.DUMMYFUNCTION("""COMPUTED_VALUE"""),983.0)</f>
        <v>983</v>
      </c>
      <c r="M162" s="208">
        <f>IFERROR(__xludf.DUMMYFUNCTION("""COMPUTED_VALUE"""),220445.0)</f>
        <v>220445</v>
      </c>
      <c r="N162" s="208">
        <f>IFERROR(__xludf.DUMMYFUNCTION("""COMPUTED_VALUE"""),241317.0)</f>
        <v>241317</v>
      </c>
      <c r="O162" s="208">
        <f>IFERROR(__xludf.DUMMYFUNCTION("""COMPUTED_VALUE"""),7.0)</f>
        <v>7</v>
      </c>
      <c r="P162" s="208">
        <f>IFERROR(__xludf.DUMMYFUNCTION("""COMPUTED_VALUE"""),2425.0)</f>
        <v>2425</v>
      </c>
      <c r="Q162" s="208">
        <f>IFERROR(__xludf.DUMMYFUNCTION("""COMPUTED_VALUE"""),6.0)</f>
        <v>6</v>
      </c>
      <c r="R162" s="208">
        <f>IFERROR(__xludf.DUMMYFUNCTION("""COMPUTED_VALUE"""),2016.0)</f>
        <v>2016</v>
      </c>
      <c r="S162" s="208">
        <f>IFERROR(__xludf.DUMMYFUNCTION("""COMPUTED_VALUE"""),4.0)</f>
        <v>4</v>
      </c>
      <c r="T162" s="208">
        <f>IFERROR(__xludf.DUMMYFUNCTION("""COMPUTED_VALUE"""),326.0)</f>
        <v>326</v>
      </c>
      <c r="U162" s="208">
        <f>IFERROR(__xludf.DUMMYFUNCTION("""COMPUTED_VALUE"""),83.0)</f>
        <v>83</v>
      </c>
      <c r="V162" s="208">
        <f>IFERROR(__xludf.DUMMYFUNCTION("""COMPUTED_VALUE"""),86.0)</f>
        <v>86</v>
      </c>
      <c r="W162" s="208">
        <f>IFERROR(__xludf.DUMMYFUNCTION("""COMPUTED_VALUE"""),8.0)</f>
        <v>8</v>
      </c>
      <c r="X162" s="208">
        <f>IFERROR(__xludf.DUMMYFUNCTION("""COMPUTED_VALUE"""),4.0)</f>
        <v>4</v>
      </c>
      <c r="Y162" s="208">
        <f>IFERROR(__xludf.DUMMYFUNCTION("""COMPUTED_VALUE"""),6.0)</f>
        <v>6</v>
      </c>
      <c r="Z162" s="208">
        <f>IFERROR(__xludf.DUMMYFUNCTION("""COMPUTED_VALUE"""),1044.0)</f>
        <v>1044</v>
      </c>
    </row>
    <row r="163">
      <c r="A163" s="207">
        <f>IFERROR(__xludf.DUMMYFUNCTION("""COMPUTED_VALUE"""),44060.0)</f>
        <v>44060</v>
      </c>
      <c r="B163" s="208">
        <f>IFERROR(__xludf.DUMMYFUNCTION("""COMPUTED_VALUE"""),106.0)</f>
        <v>106</v>
      </c>
      <c r="C163" s="208">
        <f>IFERROR(__xludf.DUMMYFUNCTION("""COMPUTED_VALUE"""),98.0)</f>
        <v>98</v>
      </c>
      <c r="D163" s="208">
        <f>IFERROR(__xludf.DUMMYFUNCTION("""COMPUTED_VALUE"""),29936.0)</f>
        <v>29936</v>
      </c>
      <c r="E163" s="208">
        <f>IFERROR(__xludf.DUMMYFUNCTION("""COMPUTED_VALUE"""),4547.0)</f>
        <v>4547</v>
      </c>
      <c r="F163" s="150">
        <f>IFERROR(__xludf.DUMMYFUNCTION("""COMPUTED_VALUE"""),419792.0)</f>
        <v>419792</v>
      </c>
      <c r="G163" s="150">
        <f>IFERROR(__xludf.DUMMYFUNCTION("""COMPUTED_VALUE"""),4653.0)</f>
        <v>4653</v>
      </c>
      <c r="H163" s="150">
        <f>IFERROR(__xludf.DUMMYFUNCTION("""COMPUTED_VALUE"""),449728.0)</f>
        <v>449728</v>
      </c>
      <c r="I163" s="208">
        <f>IFERROR(__xludf.DUMMYFUNCTION("""COMPUTED_VALUE"""),87.0)</f>
        <v>87</v>
      </c>
      <c r="J163" s="208">
        <f>IFERROR(__xludf.DUMMYFUNCTION("""COMPUTED_VALUE"""),83.0)</f>
        <v>83</v>
      </c>
      <c r="K163" s="208">
        <f>IFERROR(__xludf.DUMMYFUNCTION("""COMPUTED_VALUE"""),20959.0)</f>
        <v>20959</v>
      </c>
      <c r="L163" s="208">
        <f>IFERROR(__xludf.DUMMYFUNCTION("""COMPUTED_VALUE"""),2384.0)</f>
        <v>2384</v>
      </c>
      <c r="M163" s="208">
        <f>IFERROR(__xludf.DUMMYFUNCTION("""COMPUTED_VALUE"""),222829.0)</f>
        <v>222829</v>
      </c>
      <c r="N163" s="208">
        <f>IFERROR(__xludf.DUMMYFUNCTION("""COMPUTED_VALUE"""),243788.0)</f>
        <v>243788</v>
      </c>
      <c r="O163" s="208">
        <f>IFERROR(__xludf.DUMMYFUNCTION("""COMPUTED_VALUE"""),10.0)</f>
        <v>10</v>
      </c>
      <c r="P163" s="208">
        <f>IFERROR(__xludf.DUMMYFUNCTION("""COMPUTED_VALUE"""),2435.0)</f>
        <v>2435</v>
      </c>
      <c r="Q163" s="208">
        <f>IFERROR(__xludf.DUMMYFUNCTION("""COMPUTED_VALUE"""),7.0)</f>
        <v>7</v>
      </c>
      <c r="R163" s="208">
        <f>IFERROR(__xludf.DUMMYFUNCTION("""COMPUTED_VALUE"""),2023.0)</f>
        <v>2023</v>
      </c>
      <c r="S163" s="208">
        <f>IFERROR(__xludf.DUMMYFUNCTION("""COMPUTED_VALUE"""),0.0)</f>
        <v>0</v>
      </c>
      <c r="T163" s="208">
        <f>IFERROR(__xludf.DUMMYFUNCTION("""COMPUTED_VALUE"""),326.0)</f>
        <v>326</v>
      </c>
      <c r="U163" s="208">
        <f>IFERROR(__xludf.DUMMYFUNCTION("""COMPUTED_VALUE"""),86.0)</f>
        <v>86</v>
      </c>
      <c r="V163" s="208">
        <f>IFERROR(__xludf.DUMMYFUNCTION("""COMPUTED_VALUE"""),85.0)</f>
        <v>85</v>
      </c>
      <c r="W163" s="208">
        <f>IFERROR(__xludf.DUMMYFUNCTION("""COMPUTED_VALUE"""),8.0)</f>
        <v>8</v>
      </c>
      <c r="X163" s="208">
        <f>IFERROR(__xludf.DUMMYFUNCTION("""COMPUTED_VALUE"""),5.0)</f>
        <v>5</v>
      </c>
      <c r="Y163" s="208">
        <f>IFERROR(__xludf.DUMMYFUNCTION("""COMPUTED_VALUE"""),2.0)</f>
        <v>2</v>
      </c>
      <c r="Z163" s="208">
        <f>IFERROR(__xludf.DUMMYFUNCTION("""COMPUTED_VALUE"""),1046.0)</f>
        <v>1046</v>
      </c>
    </row>
    <row r="164">
      <c r="A164" s="207">
        <f>IFERROR(__xludf.DUMMYFUNCTION("""COMPUTED_VALUE"""),44061.0)</f>
        <v>44061</v>
      </c>
      <c r="B164" s="208">
        <f>IFERROR(__xludf.DUMMYFUNCTION("""COMPUTED_VALUE"""),128.0)</f>
        <v>128</v>
      </c>
      <c r="C164" s="208">
        <f>IFERROR(__xludf.DUMMYFUNCTION("""COMPUTED_VALUE"""),106.0)</f>
        <v>106</v>
      </c>
      <c r="D164" s="208">
        <f>IFERROR(__xludf.DUMMYFUNCTION("""COMPUTED_VALUE"""),30064.0)</f>
        <v>30064</v>
      </c>
      <c r="E164" s="208">
        <f>IFERROR(__xludf.DUMMYFUNCTION("""COMPUTED_VALUE"""),5049.0)</f>
        <v>5049</v>
      </c>
      <c r="F164" s="150">
        <f>IFERROR(__xludf.DUMMYFUNCTION("""COMPUTED_VALUE"""),424841.0)</f>
        <v>424841</v>
      </c>
      <c r="G164" s="150">
        <f>IFERROR(__xludf.DUMMYFUNCTION("""COMPUTED_VALUE"""),5177.0)</f>
        <v>5177</v>
      </c>
      <c r="H164" s="150">
        <f>IFERROR(__xludf.DUMMYFUNCTION("""COMPUTED_VALUE"""),454905.0)</f>
        <v>454905</v>
      </c>
      <c r="I164" s="208">
        <f>IFERROR(__xludf.DUMMYFUNCTION("""COMPUTED_VALUE"""),97.0)</f>
        <v>97</v>
      </c>
      <c r="J164" s="208">
        <f>IFERROR(__xludf.DUMMYFUNCTION("""COMPUTED_VALUE"""),85.0)</f>
        <v>85</v>
      </c>
      <c r="K164" s="208">
        <f>IFERROR(__xludf.DUMMYFUNCTION("""COMPUTED_VALUE"""),21056.0)</f>
        <v>21056</v>
      </c>
      <c r="L164" s="208">
        <f>IFERROR(__xludf.DUMMYFUNCTION("""COMPUTED_VALUE"""),2782.0)</f>
        <v>2782</v>
      </c>
      <c r="M164" s="208">
        <f>IFERROR(__xludf.DUMMYFUNCTION("""COMPUTED_VALUE"""),225611.0)</f>
        <v>225611</v>
      </c>
      <c r="N164" s="208">
        <f>IFERROR(__xludf.DUMMYFUNCTION("""COMPUTED_VALUE"""),246667.0)</f>
        <v>246667</v>
      </c>
      <c r="O164" s="208">
        <f>IFERROR(__xludf.DUMMYFUNCTION("""COMPUTED_VALUE"""),11.0)</f>
        <v>11</v>
      </c>
      <c r="P164" s="208">
        <f>IFERROR(__xludf.DUMMYFUNCTION("""COMPUTED_VALUE"""),2446.0)</f>
        <v>2446</v>
      </c>
      <c r="Q164" s="208">
        <f>IFERROR(__xludf.DUMMYFUNCTION("""COMPUTED_VALUE"""),9.0)</f>
        <v>9</v>
      </c>
      <c r="R164" s="208">
        <f>IFERROR(__xludf.DUMMYFUNCTION("""COMPUTED_VALUE"""),2032.0)</f>
        <v>2032</v>
      </c>
      <c r="S164" s="208">
        <f>IFERROR(__xludf.DUMMYFUNCTION("""COMPUTED_VALUE"""),1.0)</f>
        <v>1</v>
      </c>
      <c r="T164" s="208">
        <f>IFERROR(__xludf.DUMMYFUNCTION("""COMPUTED_VALUE"""),327.0)</f>
        <v>327</v>
      </c>
      <c r="U164" s="208">
        <f>IFERROR(__xludf.DUMMYFUNCTION("""COMPUTED_VALUE"""),87.0)</f>
        <v>87</v>
      </c>
      <c r="V164" s="208">
        <f>IFERROR(__xludf.DUMMYFUNCTION("""COMPUTED_VALUE"""),85.0)</f>
        <v>85</v>
      </c>
      <c r="W164" s="208">
        <f>IFERROR(__xludf.DUMMYFUNCTION("""COMPUTED_VALUE"""),8.0)</f>
        <v>8</v>
      </c>
      <c r="X164" s="208">
        <f>IFERROR(__xludf.DUMMYFUNCTION("""COMPUTED_VALUE"""),4.0)</f>
        <v>4</v>
      </c>
      <c r="Y164" s="208">
        <f>IFERROR(__xludf.DUMMYFUNCTION("""COMPUTED_VALUE"""),5.0)</f>
        <v>5</v>
      </c>
      <c r="Z164" s="208">
        <f>IFERROR(__xludf.DUMMYFUNCTION("""COMPUTED_VALUE"""),1051.0)</f>
        <v>1051</v>
      </c>
    </row>
    <row r="165">
      <c r="A165" s="207">
        <f>IFERROR(__xludf.DUMMYFUNCTION("""COMPUTED_VALUE"""),44062.0)</f>
        <v>44062</v>
      </c>
      <c r="B165" s="208">
        <f>IFERROR(__xludf.DUMMYFUNCTION("""COMPUTED_VALUE"""),114.0)</f>
        <v>114</v>
      </c>
      <c r="C165" s="208">
        <f>IFERROR(__xludf.DUMMYFUNCTION("""COMPUTED_VALUE"""),116.0)</f>
        <v>116</v>
      </c>
      <c r="D165" s="208">
        <f>IFERROR(__xludf.DUMMYFUNCTION("""COMPUTED_VALUE"""),30178.0)</f>
        <v>30178</v>
      </c>
      <c r="E165" s="208">
        <f>IFERROR(__xludf.DUMMYFUNCTION("""COMPUTED_VALUE"""),5407.0)</f>
        <v>5407</v>
      </c>
      <c r="F165" s="150">
        <f>IFERROR(__xludf.DUMMYFUNCTION("""COMPUTED_VALUE"""),430248.0)</f>
        <v>430248</v>
      </c>
      <c r="G165" s="150">
        <f>IFERROR(__xludf.DUMMYFUNCTION("""COMPUTED_VALUE"""),5521.0)</f>
        <v>5521</v>
      </c>
      <c r="H165" s="150">
        <f>IFERROR(__xludf.DUMMYFUNCTION("""COMPUTED_VALUE"""),460426.0)</f>
        <v>460426</v>
      </c>
      <c r="I165" s="208">
        <f>IFERROR(__xludf.DUMMYFUNCTION("""COMPUTED_VALUE"""),90.0)</f>
        <v>90</v>
      </c>
      <c r="J165" s="208">
        <f>IFERROR(__xludf.DUMMYFUNCTION("""COMPUTED_VALUE"""),91.0)</f>
        <v>91</v>
      </c>
      <c r="K165" s="208">
        <f>IFERROR(__xludf.DUMMYFUNCTION("""COMPUTED_VALUE"""),21146.0)</f>
        <v>21146</v>
      </c>
      <c r="L165" s="208">
        <f>IFERROR(__xludf.DUMMYFUNCTION("""COMPUTED_VALUE"""),2677.0)</f>
        <v>2677</v>
      </c>
      <c r="M165" s="208">
        <f>IFERROR(__xludf.DUMMYFUNCTION("""COMPUTED_VALUE"""),228288.0)</f>
        <v>228288</v>
      </c>
      <c r="N165" s="208">
        <f>IFERROR(__xludf.DUMMYFUNCTION("""COMPUTED_VALUE"""),249434.0)</f>
        <v>249434</v>
      </c>
      <c r="O165" s="208">
        <f>IFERROR(__xludf.DUMMYFUNCTION("""COMPUTED_VALUE"""),8.0)</f>
        <v>8</v>
      </c>
      <c r="P165" s="208">
        <f>IFERROR(__xludf.DUMMYFUNCTION("""COMPUTED_VALUE"""),2454.0)</f>
        <v>2454</v>
      </c>
      <c r="Q165" s="208">
        <f>IFERROR(__xludf.DUMMYFUNCTION("""COMPUTED_VALUE"""),9.0)</f>
        <v>9</v>
      </c>
      <c r="R165" s="208">
        <f>IFERROR(__xludf.DUMMYFUNCTION("""COMPUTED_VALUE"""),2041.0)</f>
        <v>2041</v>
      </c>
      <c r="S165" s="208">
        <f>IFERROR(__xludf.DUMMYFUNCTION("""COMPUTED_VALUE"""),1.0)</f>
        <v>1</v>
      </c>
      <c r="T165" s="208">
        <f>IFERROR(__xludf.DUMMYFUNCTION("""COMPUTED_VALUE"""),328.0)</f>
        <v>328</v>
      </c>
      <c r="U165" s="208">
        <f>IFERROR(__xludf.DUMMYFUNCTION("""COMPUTED_VALUE"""),85.0)</f>
        <v>85</v>
      </c>
      <c r="V165" s="208">
        <f>IFERROR(__xludf.DUMMYFUNCTION("""COMPUTED_VALUE"""),86.0)</f>
        <v>86</v>
      </c>
      <c r="W165" s="208">
        <f>IFERROR(__xludf.DUMMYFUNCTION("""COMPUTED_VALUE"""),9.0)</f>
        <v>9</v>
      </c>
      <c r="X165" s="208">
        <f>IFERROR(__xludf.DUMMYFUNCTION("""COMPUTED_VALUE"""),5.0)</f>
        <v>5</v>
      </c>
      <c r="Y165" s="208">
        <f>IFERROR(__xludf.DUMMYFUNCTION("""COMPUTED_VALUE"""),0.0)</f>
        <v>0</v>
      </c>
      <c r="Z165" s="208">
        <f>IFERROR(__xludf.DUMMYFUNCTION("""COMPUTED_VALUE"""),1051.0)</f>
        <v>1051</v>
      </c>
    </row>
    <row r="166">
      <c r="A166" s="207">
        <f>IFERROR(__xludf.DUMMYFUNCTION("""COMPUTED_VALUE"""),44063.0)</f>
        <v>44063</v>
      </c>
      <c r="B166" s="208">
        <f>IFERROR(__xludf.DUMMYFUNCTION("""COMPUTED_VALUE"""),174.0)</f>
        <v>174</v>
      </c>
      <c r="C166" s="208">
        <f>IFERROR(__xludf.DUMMYFUNCTION("""COMPUTED_VALUE"""),139.0)</f>
        <v>139</v>
      </c>
      <c r="D166" s="208">
        <f>IFERROR(__xludf.DUMMYFUNCTION("""COMPUTED_VALUE"""),30352.0)</f>
        <v>30352</v>
      </c>
      <c r="E166" s="208">
        <f>IFERROR(__xludf.DUMMYFUNCTION("""COMPUTED_VALUE"""),8220.0)</f>
        <v>8220</v>
      </c>
      <c r="F166" s="150">
        <f>IFERROR(__xludf.DUMMYFUNCTION("""COMPUTED_VALUE"""),438468.0)</f>
        <v>438468</v>
      </c>
      <c r="G166" s="150">
        <f>IFERROR(__xludf.DUMMYFUNCTION("""COMPUTED_VALUE"""),8394.0)</f>
        <v>8394</v>
      </c>
      <c r="H166" s="150">
        <f>IFERROR(__xludf.DUMMYFUNCTION("""COMPUTED_VALUE"""),468820.0)</f>
        <v>468820</v>
      </c>
      <c r="I166" s="208">
        <f>IFERROR(__xludf.DUMMYFUNCTION("""COMPUTED_VALUE"""),137.0)</f>
        <v>137</v>
      </c>
      <c r="J166" s="208">
        <f>IFERROR(__xludf.DUMMYFUNCTION("""COMPUTED_VALUE"""),108.0)</f>
        <v>108</v>
      </c>
      <c r="K166" s="208">
        <f>IFERROR(__xludf.DUMMYFUNCTION("""COMPUTED_VALUE"""),21283.0)</f>
        <v>21283</v>
      </c>
      <c r="L166" s="208">
        <f>IFERROR(__xludf.DUMMYFUNCTION("""COMPUTED_VALUE"""),3568.0)</f>
        <v>3568</v>
      </c>
      <c r="M166" s="208">
        <f>IFERROR(__xludf.DUMMYFUNCTION("""COMPUTED_VALUE"""),231856.0)</f>
        <v>231856</v>
      </c>
      <c r="N166" s="208">
        <f>IFERROR(__xludf.DUMMYFUNCTION("""COMPUTED_VALUE"""),253139.0)</f>
        <v>253139</v>
      </c>
      <c r="O166" s="208">
        <f>IFERROR(__xludf.DUMMYFUNCTION("""COMPUTED_VALUE"""),12.0)</f>
        <v>12</v>
      </c>
      <c r="P166" s="208">
        <f>IFERROR(__xludf.DUMMYFUNCTION("""COMPUTED_VALUE"""),2466.0)</f>
        <v>2466</v>
      </c>
      <c r="Q166" s="208">
        <f>IFERROR(__xludf.DUMMYFUNCTION("""COMPUTED_VALUE"""),6.0)</f>
        <v>6</v>
      </c>
      <c r="R166" s="208">
        <f>IFERROR(__xludf.DUMMYFUNCTION("""COMPUTED_VALUE"""),2047.0)</f>
        <v>2047</v>
      </c>
      <c r="S166" s="208">
        <f>IFERROR(__xludf.DUMMYFUNCTION("""COMPUTED_VALUE"""),2.0)</f>
        <v>2</v>
      </c>
      <c r="T166" s="208">
        <f>IFERROR(__xludf.DUMMYFUNCTION("""COMPUTED_VALUE"""),330.0)</f>
        <v>330</v>
      </c>
      <c r="U166" s="208">
        <f>IFERROR(__xludf.DUMMYFUNCTION("""COMPUTED_VALUE"""),89.0)</f>
        <v>89</v>
      </c>
      <c r="V166" s="208">
        <f>IFERROR(__xludf.DUMMYFUNCTION("""COMPUTED_VALUE"""),87.0)</f>
        <v>87</v>
      </c>
      <c r="W166" s="208">
        <f>IFERROR(__xludf.DUMMYFUNCTION("""COMPUTED_VALUE"""),10.0)</f>
        <v>10</v>
      </c>
      <c r="X166" s="208">
        <f>IFERROR(__xludf.DUMMYFUNCTION("""COMPUTED_VALUE"""),5.0)</f>
        <v>5</v>
      </c>
      <c r="Y166" s="208">
        <f>IFERROR(__xludf.DUMMYFUNCTION("""COMPUTED_VALUE"""),3.0)</f>
        <v>3</v>
      </c>
      <c r="Z166" s="208">
        <f>IFERROR(__xludf.DUMMYFUNCTION("""COMPUTED_VALUE"""),1054.0)</f>
        <v>1054</v>
      </c>
    </row>
    <row r="167">
      <c r="A167" s="207">
        <f>IFERROR(__xludf.DUMMYFUNCTION("""COMPUTED_VALUE"""),44064.0)</f>
        <v>44064</v>
      </c>
      <c r="B167" s="208">
        <f>IFERROR(__xludf.DUMMYFUNCTION("""COMPUTED_VALUE"""),154.0)</f>
        <v>154</v>
      </c>
      <c r="C167" s="208">
        <f>IFERROR(__xludf.DUMMYFUNCTION("""COMPUTED_VALUE"""),147.0)</f>
        <v>147</v>
      </c>
      <c r="D167" s="208">
        <f>IFERROR(__xludf.DUMMYFUNCTION("""COMPUTED_VALUE"""),30506.0)</f>
        <v>30506</v>
      </c>
      <c r="E167" s="208">
        <f>IFERROR(__xludf.DUMMYFUNCTION("""COMPUTED_VALUE"""),6811.0)</f>
        <v>6811</v>
      </c>
      <c r="F167" s="150">
        <f>IFERROR(__xludf.DUMMYFUNCTION("""COMPUTED_VALUE"""),445279.0)</f>
        <v>445279</v>
      </c>
      <c r="G167" s="150">
        <f>IFERROR(__xludf.DUMMYFUNCTION("""COMPUTED_VALUE"""),6965.0)</f>
        <v>6965</v>
      </c>
      <c r="H167" s="150">
        <f>IFERROR(__xludf.DUMMYFUNCTION("""COMPUTED_VALUE"""),475785.0)</f>
        <v>475785</v>
      </c>
      <c r="I167" s="208">
        <f>IFERROR(__xludf.DUMMYFUNCTION("""COMPUTED_VALUE"""),125.0)</f>
        <v>125</v>
      </c>
      <c r="J167" s="208">
        <f>IFERROR(__xludf.DUMMYFUNCTION("""COMPUTED_VALUE"""),117.0)</f>
        <v>117</v>
      </c>
      <c r="K167" s="208">
        <f>IFERROR(__xludf.DUMMYFUNCTION("""COMPUTED_VALUE"""),21408.0)</f>
        <v>21408</v>
      </c>
      <c r="L167" s="208">
        <f>IFERROR(__xludf.DUMMYFUNCTION("""COMPUTED_VALUE"""),2969.0)</f>
        <v>2969</v>
      </c>
      <c r="M167" s="208">
        <f>IFERROR(__xludf.DUMMYFUNCTION("""COMPUTED_VALUE"""),234825.0)</f>
        <v>234825</v>
      </c>
      <c r="N167" s="208">
        <f>IFERROR(__xludf.DUMMYFUNCTION("""COMPUTED_VALUE"""),256233.0)</f>
        <v>256233</v>
      </c>
      <c r="O167" s="208">
        <f>IFERROR(__xludf.DUMMYFUNCTION("""COMPUTED_VALUE"""),8.0)</f>
        <v>8</v>
      </c>
      <c r="P167" s="208">
        <f>IFERROR(__xludf.DUMMYFUNCTION("""COMPUTED_VALUE"""),2474.0)</f>
        <v>2474</v>
      </c>
      <c r="Q167" s="208">
        <f>IFERROR(__xludf.DUMMYFUNCTION("""COMPUTED_VALUE"""),5.0)</f>
        <v>5</v>
      </c>
      <c r="R167" s="208">
        <f>IFERROR(__xludf.DUMMYFUNCTION("""COMPUTED_VALUE"""),2052.0)</f>
        <v>2052</v>
      </c>
      <c r="S167" s="208">
        <f>IFERROR(__xludf.DUMMYFUNCTION("""COMPUTED_VALUE"""),1.0)</f>
        <v>1</v>
      </c>
      <c r="T167" s="208">
        <f>IFERROR(__xludf.DUMMYFUNCTION("""COMPUTED_VALUE"""),331.0)</f>
        <v>331</v>
      </c>
      <c r="U167" s="208">
        <f>IFERROR(__xludf.DUMMYFUNCTION("""COMPUTED_VALUE"""),91.0)</f>
        <v>91</v>
      </c>
      <c r="V167" s="208">
        <f>IFERROR(__xludf.DUMMYFUNCTION("""COMPUTED_VALUE"""),88.0)</f>
        <v>88</v>
      </c>
      <c r="W167" s="208">
        <f>IFERROR(__xludf.DUMMYFUNCTION("""COMPUTED_VALUE"""),9.0)</f>
        <v>9</v>
      </c>
      <c r="X167" s="208">
        <f>IFERROR(__xludf.DUMMYFUNCTION("""COMPUTED_VALUE"""),4.0)</f>
        <v>4</v>
      </c>
      <c r="Y167" s="208">
        <f>IFERROR(__xludf.DUMMYFUNCTION("""COMPUTED_VALUE"""),2.0)</f>
        <v>2</v>
      </c>
      <c r="Z167" s="208">
        <f>IFERROR(__xludf.DUMMYFUNCTION("""COMPUTED_VALUE"""),1056.0)</f>
        <v>1056</v>
      </c>
    </row>
    <row r="168">
      <c r="A168" s="207">
        <f>IFERROR(__xludf.DUMMYFUNCTION("""COMPUTED_VALUE"""),44065.0)</f>
        <v>44065</v>
      </c>
      <c r="B168" s="208">
        <f>IFERROR(__xludf.DUMMYFUNCTION("""COMPUTED_VALUE"""),96.0)</f>
        <v>96</v>
      </c>
      <c r="C168" s="208">
        <f>IFERROR(__xludf.DUMMYFUNCTION("""COMPUTED_VALUE"""),141.0)</f>
        <v>141</v>
      </c>
      <c r="D168" s="208">
        <f>IFERROR(__xludf.DUMMYFUNCTION("""COMPUTED_VALUE"""),30602.0)</f>
        <v>30602</v>
      </c>
      <c r="E168" s="208">
        <f>IFERROR(__xludf.DUMMYFUNCTION("""COMPUTED_VALUE"""),5958.0)</f>
        <v>5958</v>
      </c>
      <c r="F168" s="150">
        <f>IFERROR(__xludf.DUMMYFUNCTION("""COMPUTED_VALUE"""),451237.0)</f>
        <v>451237</v>
      </c>
      <c r="G168" s="150">
        <f>IFERROR(__xludf.DUMMYFUNCTION("""COMPUTED_VALUE"""),6054.0)</f>
        <v>6054</v>
      </c>
      <c r="H168" s="150">
        <f>IFERROR(__xludf.DUMMYFUNCTION("""COMPUTED_VALUE"""),481839.0)</f>
        <v>481839</v>
      </c>
      <c r="I168" s="208">
        <f>IFERROR(__xludf.DUMMYFUNCTION("""COMPUTED_VALUE"""),84.0)</f>
        <v>84</v>
      </c>
      <c r="J168" s="208">
        <f>IFERROR(__xludf.DUMMYFUNCTION("""COMPUTED_VALUE"""),115.0)</f>
        <v>115</v>
      </c>
      <c r="K168" s="208">
        <f>IFERROR(__xludf.DUMMYFUNCTION("""COMPUTED_VALUE"""),21492.0)</f>
        <v>21492</v>
      </c>
      <c r="L168" s="208">
        <f>IFERROR(__xludf.DUMMYFUNCTION("""COMPUTED_VALUE"""),2626.0)</f>
        <v>2626</v>
      </c>
      <c r="M168" s="208">
        <f>IFERROR(__xludf.DUMMYFUNCTION("""COMPUTED_VALUE"""),237451.0)</f>
        <v>237451</v>
      </c>
      <c r="N168" s="208">
        <f>IFERROR(__xludf.DUMMYFUNCTION("""COMPUTED_VALUE"""),258943.0)</f>
        <v>258943</v>
      </c>
      <c r="O168" s="208">
        <f>IFERROR(__xludf.DUMMYFUNCTION("""COMPUTED_VALUE"""),10.0)</f>
        <v>10</v>
      </c>
      <c r="P168" s="208">
        <f>IFERROR(__xludf.DUMMYFUNCTION("""COMPUTED_VALUE"""),2484.0)</f>
        <v>2484</v>
      </c>
      <c r="Q168" s="208">
        <f>IFERROR(__xludf.DUMMYFUNCTION("""COMPUTED_VALUE"""),12.0)</f>
        <v>12</v>
      </c>
      <c r="R168" s="208">
        <f>IFERROR(__xludf.DUMMYFUNCTION("""COMPUTED_VALUE"""),2064.0)</f>
        <v>2064</v>
      </c>
      <c r="S168" s="208">
        <f>IFERROR(__xludf.DUMMYFUNCTION("""COMPUTED_VALUE"""),0.0)</f>
        <v>0</v>
      </c>
      <c r="T168" s="208">
        <f>IFERROR(__xludf.DUMMYFUNCTION("""COMPUTED_VALUE"""),331.0)</f>
        <v>331</v>
      </c>
      <c r="U168" s="208">
        <f>IFERROR(__xludf.DUMMYFUNCTION("""COMPUTED_VALUE"""),89.0)</f>
        <v>89</v>
      </c>
      <c r="V168" s="208">
        <f>IFERROR(__xludf.DUMMYFUNCTION("""COMPUTED_VALUE"""),90.0)</f>
        <v>90</v>
      </c>
      <c r="W168" s="208">
        <f>IFERROR(__xludf.DUMMYFUNCTION("""COMPUTED_VALUE"""),11.0)</f>
        <v>11</v>
      </c>
      <c r="X168" s="208">
        <f>IFERROR(__xludf.DUMMYFUNCTION("""COMPUTED_VALUE"""),4.0)</f>
        <v>4</v>
      </c>
      <c r="Y168" s="208">
        <f>IFERROR(__xludf.DUMMYFUNCTION("""COMPUTED_VALUE"""),1.0)</f>
        <v>1</v>
      </c>
      <c r="Z168" s="208">
        <f>IFERROR(__xludf.DUMMYFUNCTION("""COMPUTED_VALUE"""),1057.0)</f>
        <v>1057</v>
      </c>
    </row>
    <row r="169">
      <c r="A169" s="207">
        <f>IFERROR(__xludf.DUMMYFUNCTION("""COMPUTED_VALUE"""),44066.0)</f>
        <v>44066</v>
      </c>
      <c r="B169" s="208">
        <f>IFERROR(__xludf.DUMMYFUNCTION("""COMPUTED_VALUE"""),70.0)</f>
        <v>70</v>
      </c>
      <c r="C169" s="208">
        <f>IFERROR(__xludf.DUMMYFUNCTION("""COMPUTED_VALUE"""),107.0)</f>
        <v>107</v>
      </c>
      <c r="D169" s="208">
        <f>IFERROR(__xludf.DUMMYFUNCTION("""COMPUTED_VALUE"""),30672.0)</f>
        <v>30672</v>
      </c>
      <c r="E169" s="208">
        <f>IFERROR(__xludf.DUMMYFUNCTION("""COMPUTED_VALUE"""),4365.0)</f>
        <v>4365</v>
      </c>
      <c r="F169" s="150">
        <f>IFERROR(__xludf.DUMMYFUNCTION("""COMPUTED_VALUE"""),455602.0)</f>
        <v>455602</v>
      </c>
      <c r="G169" s="150">
        <f>IFERROR(__xludf.DUMMYFUNCTION("""COMPUTED_VALUE"""),4435.0)</f>
        <v>4435</v>
      </c>
      <c r="H169" s="150">
        <f>IFERROR(__xludf.DUMMYFUNCTION("""COMPUTED_VALUE"""),486274.0)</f>
        <v>486274</v>
      </c>
      <c r="I169" s="208">
        <f>IFERROR(__xludf.DUMMYFUNCTION("""COMPUTED_VALUE"""),57.0)</f>
        <v>57</v>
      </c>
      <c r="J169" s="208">
        <f>IFERROR(__xludf.DUMMYFUNCTION("""COMPUTED_VALUE"""),89.0)</f>
        <v>89</v>
      </c>
      <c r="K169" s="208">
        <f>IFERROR(__xludf.DUMMYFUNCTION("""COMPUTED_VALUE"""),21549.0)</f>
        <v>21549</v>
      </c>
      <c r="L169" s="208">
        <f>IFERROR(__xludf.DUMMYFUNCTION("""COMPUTED_VALUE"""),2469.0)</f>
        <v>2469</v>
      </c>
      <c r="M169" s="208">
        <f>IFERROR(__xludf.DUMMYFUNCTION("""COMPUTED_VALUE"""),239920.0)</f>
        <v>239920</v>
      </c>
      <c r="N169" s="208">
        <f>IFERROR(__xludf.DUMMYFUNCTION("""COMPUTED_VALUE"""),261469.0)</f>
        <v>261469</v>
      </c>
      <c r="O169" s="208">
        <f>IFERROR(__xludf.DUMMYFUNCTION("""COMPUTED_VALUE"""),11.0)</f>
        <v>11</v>
      </c>
      <c r="P169" s="208">
        <f>IFERROR(__xludf.DUMMYFUNCTION("""COMPUTED_VALUE"""),2495.0)</f>
        <v>2495</v>
      </c>
      <c r="Q169" s="208">
        <f>IFERROR(__xludf.DUMMYFUNCTION("""COMPUTED_VALUE"""),6.0)</f>
        <v>6</v>
      </c>
      <c r="R169" s="208">
        <f>IFERROR(__xludf.DUMMYFUNCTION("""COMPUTED_VALUE"""),2070.0)</f>
        <v>2070</v>
      </c>
      <c r="S169" s="208">
        <f>IFERROR(__xludf.DUMMYFUNCTION("""COMPUTED_VALUE"""),0.0)</f>
        <v>0</v>
      </c>
      <c r="T169" s="208">
        <f>IFERROR(__xludf.DUMMYFUNCTION("""COMPUTED_VALUE"""),331.0)</f>
        <v>331</v>
      </c>
      <c r="U169" s="208">
        <f>IFERROR(__xludf.DUMMYFUNCTION("""COMPUTED_VALUE"""),94.0)</f>
        <v>94</v>
      </c>
      <c r="V169" s="208">
        <f>IFERROR(__xludf.DUMMYFUNCTION("""COMPUTED_VALUE"""),91.0)</f>
        <v>91</v>
      </c>
      <c r="W169" s="208">
        <f>IFERROR(__xludf.DUMMYFUNCTION("""COMPUTED_VALUE"""),11.0)</f>
        <v>11</v>
      </c>
      <c r="X169" s="208">
        <f>IFERROR(__xludf.DUMMYFUNCTION("""COMPUTED_VALUE"""),2.0)</f>
        <v>2</v>
      </c>
      <c r="Y169" s="208">
        <f>IFERROR(__xludf.DUMMYFUNCTION("""COMPUTED_VALUE"""),1.0)</f>
        <v>1</v>
      </c>
      <c r="Z169" s="208">
        <f>IFERROR(__xludf.DUMMYFUNCTION("""COMPUTED_VALUE"""),1058.0)</f>
        <v>1058</v>
      </c>
    </row>
    <row r="170">
      <c r="A170" s="207">
        <f>IFERROR(__xludf.DUMMYFUNCTION("""COMPUTED_VALUE"""),44067.0)</f>
        <v>44067</v>
      </c>
      <c r="B170" s="208">
        <f>IFERROR(__xludf.DUMMYFUNCTION("""COMPUTED_VALUE"""),105.0)</f>
        <v>105</v>
      </c>
      <c r="C170" s="208">
        <f>IFERROR(__xludf.DUMMYFUNCTION("""COMPUTED_VALUE"""),90.0)</f>
        <v>90</v>
      </c>
      <c r="D170" s="208">
        <f>IFERROR(__xludf.DUMMYFUNCTION("""COMPUTED_VALUE"""),30777.0)</f>
        <v>30777</v>
      </c>
      <c r="E170" s="208">
        <f>IFERROR(__xludf.DUMMYFUNCTION("""COMPUTED_VALUE"""),5775.0)</f>
        <v>5775</v>
      </c>
      <c r="F170" s="150">
        <f>IFERROR(__xludf.DUMMYFUNCTION("""COMPUTED_VALUE"""),461377.0)</f>
        <v>461377</v>
      </c>
      <c r="G170" s="150">
        <f>IFERROR(__xludf.DUMMYFUNCTION("""COMPUTED_VALUE"""),5880.0)</f>
        <v>5880</v>
      </c>
      <c r="H170" s="150">
        <f>IFERROR(__xludf.DUMMYFUNCTION("""COMPUTED_VALUE"""),492154.0)</f>
        <v>492154</v>
      </c>
      <c r="I170" s="208">
        <f>IFERROR(__xludf.DUMMYFUNCTION("""COMPUTED_VALUE"""),75.0)</f>
        <v>75</v>
      </c>
      <c r="J170" s="208">
        <f>IFERROR(__xludf.DUMMYFUNCTION("""COMPUTED_VALUE"""),72.0)</f>
        <v>72</v>
      </c>
      <c r="K170" s="208">
        <f>IFERROR(__xludf.DUMMYFUNCTION("""COMPUTED_VALUE"""),21624.0)</f>
        <v>21624</v>
      </c>
      <c r="L170" s="208">
        <f>IFERROR(__xludf.DUMMYFUNCTION("""COMPUTED_VALUE"""),3156.0)</f>
        <v>3156</v>
      </c>
      <c r="M170" s="208">
        <f>IFERROR(__xludf.DUMMYFUNCTION("""COMPUTED_VALUE"""),243076.0)</f>
        <v>243076</v>
      </c>
      <c r="N170" s="208">
        <f>IFERROR(__xludf.DUMMYFUNCTION("""COMPUTED_VALUE"""),264700.0)</f>
        <v>264700</v>
      </c>
      <c r="O170" s="208">
        <f>IFERROR(__xludf.DUMMYFUNCTION("""COMPUTED_VALUE"""),7.0)</f>
        <v>7</v>
      </c>
      <c r="P170" s="208">
        <f>IFERROR(__xludf.DUMMYFUNCTION("""COMPUTED_VALUE"""),2502.0)</f>
        <v>2502</v>
      </c>
      <c r="Q170" s="208">
        <f>IFERROR(__xludf.DUMMYFUNCTION("""COMPUTED_VALUE"""),10.0)</f>
        <v>10</v>
      </c>
      <c r="R170" s="208">
        <f>IFERROR(__xludf.DUMMYFUNCTION("""COMPUTED_VALUE"""),2080.0)</f>
        <v>2080</v>
      </c>
      <c r="S170" s="208">
        <f>IFERROR(__xludf.DUMMYFUNCTION("""COMPUTED_VALUE"""),1.0)</f>
        <v>1</v>
      </c>
      <c r="T170" s="208">
        <f>IFERROR(__xludf.DUMMYFUNCTION("""COMPUTED_VALUE"""),332.0)</f>
        <v>332</v>
      </c>
      <c r="U170" s="208">
        <f>IFERROR(__xludf.DUMMYFUNCTION("""COMPUTED_VALUE"""),90.0)</f>
        <v>90</v>
      </c>
      <c r="V170" s="208">
        <f>IFERROR(__xludf.DUMMYFUNCTION("""COMPUTED_VALUE"""),91.0)</f>
        <v>91</v>
      </c>
      <c r="W170" s="208">
        <f>IFERROR(__xludf.DUMMYFUNCTION("""COMPUTED_VALUE"""),13.0)</f>
        <v>13</v>
      </c>
      <c r="X170" s="208">
        <f>IFERROR(__xludf.DUMMYFUNCTION("""COMPUTED_VALUE"""),4.0)</f>
        <v>4</v>
      </c>
      <c r="Y170" s="208">
        <f>IFERROR(__xludf.DUMMYFUNCTION("""COMPUTED_VALUE"""),1.0)</f>
        <v>1</v>
      </c>
      <c r="Z170" s="208">
        <f>IFERROR(__xludf.DUMMYFUNCTION("""COMPUTED_VALUE"""),1059.0)</f>
        <v>1059</v>
      </c>
    </row>
    <row r="171">
      <c r="A171" s="207">
        <f>IFERROR(__xludf.DUMMYFUNCTION("""COMPUTED_VALUE"""),44068.0)</f>
        <v>44068</v>
      </c>
      <c r="B171" s="208">
        <f>IFERROR(__xludf.DUMMYFUNCTION("""COMPUTED_VALUE"""),108.0)</f>
        <v>108</v>
      </c>
      <c r="C171" s="208">
        <f>IFERROR(__xludf.DUMMYFUNCTION("""COMPUTED_VALUE"""),94.0)</f>
        <v>94</v>
      </c>
      <c r="D171" s="208">
        <f>IFERROR(__xludf.DUMMYFUNCTION("""COMPUTED_VALUE"""),30885.0)</f>
        <v>30885</v>
      </c>
      <c r="E171" s="208">
        <f>IFERROR(__xludf.DUMMYFUNCTION("""COMPUTED_VALUE"""),4776.0)</f>
        <v>4776</v>
      </c>
      <c r="F171" s="150">
        <f>IFERROR(__xludf.DUMMYFUNCTION("""COMPUTED_VALUE"""),466153.0)</f>
        <v>466153</v>
      </c>
      <c r="G171" s="150">
        <f>IFERROR(__xludf.DUMMYFUNCTION("""COMPUTED_VALUE"""),4884.0)</f>
        <v>4884</v>
      </c>
      <c r="H171" s="150">
        <f>IFERROR(__xludf.DUMMYFUNCTION("""COMPUTED_VALUE"""),497038.0)</f>
        <v>497038</v>
      </c>
      <c r="I171" s="208">
        <f>IFERROR(__xludf.DUMMYFUNCTION("""COMPUTED_VALUE"""),94.0)</f>
        <v>94</v>
      </c>
      <c r="J171" s="208">
        <f>IFERROR(__xludf.DUMMYFUNCTION("""COMPUTED_VALUE"""),75.0)</f>
        <v>75</v>
      </c>
      <c r="K171" s="208">
        <f>IFERROR(__xludf.DUMMYFUNCTION("""COMPUTED_VALUE"""),21718.0)</f>
        <v>21718</v>
      </c>
      <c r="L171" s="208">
        <f>IFERROR(__xludf.DUMMYFUNCTION("""COMPUTED_VALUE"""),2298.0)</f>
        <v>2298</v>
      </c>
      <c r="M171" s="208">
        <f>IFERROR(__xludf.DUMMYFUNCTION("""COMPUTED_VALUE"""),245374.0)</f>
        <v>245374</v>
      </c>
      <c r="N171" s="208">
        <f>IFERROR(__xludf.DUMMYFUNCTION("""COMPUTED_VALUE"""),267092.0)</f>
        <v>267092</v>
      </c>
      <c r="O171" s="208">
        <f>IFERROR(__xludf.DUMMYFUNCTION("""COMPUTED_VALUE"""),10.0)</f>
        <v>10</v>
      </c>
      <c r="P171" s="208">
        <f>IFERROR(__xludf.DUMMYFUNCTION("""COMPUTED_VALUE"""),2512.0)</f>
        <v>2512</v>
      </c>
      <c r="Q171" s="208">
        <f>IFERROR(__xludf.DUMMYFUNCTION("""COMPUTED_VALUE"""),4.0)</f>
        <v>4</v>
      </c>
      <c r="R171" s="208">
        <f>IFERROR(__xludf.DUMMYFUNCTION("""COMPUTED_VALUE"""),2084.0)</f>
        <v>2084</v>
      </c>
      <c r="S171" s="208">
        <f>IFERROR(__xludf.DUMMYFUNCTION("""COMPUTED_VALUE"""),1.0)</f>
        <v>1</v>
      </c>
      <c r="T171" s="208">
        <f>IFERROR(__xludf.DUMMYFUNCTION("""COMPUTED_VALUE"""),333.0)</f>
        <v>333</v>
      </c>
      <c r="U171" s="208">
        <f>IFERROR(__xludf.DUMMYFUNCTION("""COMPUTED_VALUE"""),95.0)</f>
        <v>95</v>
      </c>
      <c r="V171" s="208">
        <f>IFERROR(__xludf.DUMMYFUNCTION("""COMPUTED_VALUE"""),93.0)</f>
        <v>93</v>
      </c>
      <c r="W171" s="208">
        <f>IFERROR(__xludf.DUMMYFUNCTION("""COMPUTED_VALUE"""),11.0)</f>
        <v>11</v>
      </c>
      <c r="X171" s="208">
        <f>IFERROR(__xludf.DUMMYFUNCTION("""COMPUTED_VALUE"""),4.0)</f>
        <v>4</v>
      </c>
      <c r="Y171" s="208">
        <f>IFERROR(__xludf.DUMMYFUNCTION("""COMPUTED_VALUE"""),1.0)</f>
        <v>1</v>
      </c>
      <c r="Z171" s="208">
        <f>IFERROR(__xludf.DUMMYFUNCTION("""COMPUTED_VALUE"""),1060.0)</f>
        <v>1060</v>
      </c>
    </row>
    <row r="172">
      <c r="A172" s="207">
        <f>IFERROR(__xludf.DUMMYFUNCTION("""COMPUTED_VALUE"""),44069.0)</f>
        <v>44069</v>
      </c>
      <c r="B172" s="208">
        <f>IFERROR(__xludf.DUMMYFUNCTION("""COMPUTED_VALUE"""),170.0)</f>
        <v>170</v>
      </c>
      <c r="C172" s="208">
        <f>IFERROR(__xludf.DUMMYFUNCTION("""COMPUTED_VALUE"""),128.0)</f>
        <v>128</v>
      </c>
      <c r="D172" s="208">
        <f>IFERROR(__xludf.DUMMYFUNCTION("""COMPUTED_VALUE"""),31055.0)</f>
        <v>31055</v>
      </c>
      <c r="E172" s="208">
        <f>IFERROR(__xludf.DUMMYFUNCTION("""COMPUTED_VALUE"""),9563.0)</f>
        <v>9563</v>
      </c>
      <c r="F172" s="150">
        <f>IFERROR(__xludf.DUMMYFUNCTION("""COMPUTED_VALUE"""),475716.0)</f>
        <v>475716</v>
      </c>
      <c r="G172" s="150">
        <f>IFERROR(__xludf.DUMMYFUNCTION("""COMPUTED_VALUE"""),9733.0)</f>
        <v>9733</v>
      </c>
      <c r="H172" s="150">
        <f>IFERROR(__xludf.DUMMYFUNCTION("""COMPUTED_VALUE"""),506771.0)</f>
        <v>506771</v>
      </c>
      <c r="I172" s="208">
        <f>IFERROR(__xludf.DUMMYFUNCTION("""COMPUTED_VALUE"""),128.0)</f>
        <v>128</v>
      </c>
      <c r="J172" s="208">
        <f>IFERROR(__xludf.DUMMYFUNCTION("""COMPUTED_VALUE"""),99.0)</f>
        <v>99</v>
      </c>
      <c r="K172" s="208">
        <f>IFERROR(__xludf.DUMMYFUNCTION("""COMPUTED_VALUE"""),21846.0)</f>
        <v>21846</v>
      </c>
      <c r="L172" s="208">
        <f>IFERROR(__xludf.DUMMYFUNCTION("""COMPUTED_VALUE"""),3077.0)</f>
        <v>3077</v>
      </c>
      <c r="M172" s="208">
        <f>IFERROR(__xludf.DUMMYFUNCTION("""COMPUTED_VALUE"""),248451.0)</f>
        <v>248451</v>
      </c>
      <c r="N172" s="208">
        <f>IFERROR(__xludf.DUMMYFUNCTION("""COMPUTED_VALUE"""),270297.0)</f>
        <v>270297</v>
      </c>
      <c r="O172" s="208">
        <f>IFERROR(__xludf.DUMMYFUNCTION("""COMPUTED_VALUE"""),4.0)</f>
        <v>4</v>
      </c>
      <c r="P172" s="208">
        <f>IFERROR(__xludf.DUMMYFUNCTION("""COMPUTED_VALUE"""),2516.0)</f>
        <v>2516</v>
      </c>
      <c r="Q172" s="208">
        <f>IFERROR(__xludf.DUMMYFUNCTION("""COMPUTED_VALUE"""),8.0)</f>
        <v>8</v>
      </c>
      <c r="R172" s="208">
        <f>IFERROR(__xludf.DUMMYFUNCTION("""COMPUTED_VALUE"""),2092.0)</f>
        <v>2092</v>
      </c>
      <c r="S172" s="208">
        <f>IFERROR(__xludf.DUMMYFUNCTION("""COMPUTED_VALUE"""),0.0)</f>
        <v>0</v>
      </c>
      <c r="T172" s="208">
        <f>IFERROR(__xludf.DUMMYFUNCTION("""COMPUTED_VALUE"""),333.0)</f>
        <v>333</v>
      </c>
      <c r="U172" s="208">
        <f>IFERROR(__xludf.DUMMYFUNCTION("""COMPUTED_VALUE"""),91.0)</f>
        <v>91</v>
      </c>
      <c r="V172" s="208">
        <f>IFERROR(__xludf.DUMMYFUNCTION("""COMPUTED_VALUE"""),92.0)</f>
        <v>92</v>
      </c>
      <c r="W172" s="208">
        <f>IFERROR(__xludf.DUMMYFUNCTION("""COMPUTED_VALUE"""),9.0)</f>
        <v>9</v>
      </c>
      <c r="X172" s="208">
        <f>IFERROR(__xludf.DUMMYFUNCTION("""COMPUTED_VALUE"""),5.0)</f>
        <v>5</v>
      </c>
      <c r="Y172" s="208">
        <f>IFERROR(__xludf.DUMMYFUNCTION("""COMPUTED_VALUE"""),1.0)</f>
        <v>1</v>
      </c>
      <c r="Z172" s="208">
        <f>IFERROR(__xludf.DUMMYFUNCTION("""COMPUTED_VALUE"""),1061.0)</f>
        <v>1061</v>
      </c>
    </row>
    <row r="173">
      <c r="A173" s="207">
        <f>IFERROR(__xludf.DUMMYFUNCTION("""COMPUTED_VALUE"""),44070.0)</f>
        <v>44070</v>
      </c>
      <c r="B173" s="208">
        <f>IFERROR(__xludf.DUMMYFUNCTION("""COMPUTED_VALUE"""),93.0)</f>
        <v>93</v>
      </c>
      <c r="C173" s="208">
        <f>IFERROR(__xludf.DUMMYFUNCTION("""COMPUTED_VALUE"""),124.0)</f>
        <v>124</v>
      </c>
      <c r="D173" s="208">
        <f>IFERROR(__xludf.DUMMYFUNCTION("""COMPUTED_VALUE"""),31148.0)</f>
        <v>31148</v>
      </c>
      <c r="E173" s="208">
        <f>IFERROR(__xludf.DUMMYFUNCTION("""COMPUTED_VALUE"""),8800.0)</f>
        <v>8800</v>
      </c>
      <c r="F173" s="150">
        <f>IFERROR(__xludf.DUMMYFUNCTION("""COMPUTED_VALUE"""),484516.0)</f>
        <v>484516</v>
      </c>
      <c r="G173" s="150">
        <f>IFERROR(__xludf.DUMMYFUNCTION("""COMPUTED_VALUE"""),8893.0)</f>
        <v>8893</v>
      </c>
      <c r="H173" s="150">
        <f>IFERROR(__xludf.DUMMYFUNCTION("""COMPUTED_VALUE"""),515664.0)</f>
        <v>515664</v>
      </c>
      <c r="I173" s="208">
        <f>IFERROR(__xludf.DUMMYFUNCTION("""COMPUTED_VALUE"""),71.0)</f>
        <v>71</v>
      </c>
      <c r="J173" s="208">
        <f>IFERROR(__xludf.DUMMYFUNCTION("""COMPUTED_VALUE"""),98.0)</f>
        <v>98</v>
      </c>
      <c r="K173" s="208">
        <f>IFERROR(__xludf.DUMMYFUNCTION("""COMPUTED_VALUE"""),21917.0)</f>
        <v>21917</v>
      </c>
      <c r="L173" s="208">
        <f>IFERROR(__xludf.DUMMYFUNCTION("""COMPUTED_VALUE"""),3217.0)</f>
        <v>3217</v>
      </c>
      <c r="M173" s="208">
        <f>IFERROR(__xludf.DUMMYFUNCTION("""COMPUTED_VALUE"""),251668.0)</f>
        <v>251668</v>
      </c>
      <c r="N173" s="208">
        <f>IFERROR(__xludf.DUMMYFUNCTION("""COMPUTED_VALUE"""),273585.0)</f>
        <v>273585</v>
      </c>
      <c r="O173" s="208">
        <f>IFERROR(__xludf.DUMMYFUNCTION("""COMPUTED_VALUE"""),6.0)</f>
        <v>6</v>
      </c>
      <c r="P173" s="208">
        <f>IFERROR(__xludf.DUMMYFUNCTION("""COMPUTED_VALUE"""),2522.0)</f>
        <v>2522</v>
      </c>
      <c r="Q173" s="208">
        <f>IFERROR(__xludf.DUMMYFUNCTION("""COMPUTED_VALUE"""),13.0)</f>
        <v>13</v>
      </c>
      <c r="R173" s="208">
        <f>IFERROR(__xludf.DUMMYFUNCTION("""COMPUTED_VALUE"""),2105.0)</f>
        <v>2105</v>
      </c>
      <c r="S173" s="208">
        <f>IFERROR(__xludf.DUMMYFUNCTION("""COMPUTED_VALUE"""),1.0)</f>
        <v>1</v>
      </c>
      <c r="T173" s="208">
        <f>IFERROR(__xludf.DUMMYFUNCTION("""COMPUTED_VALUE"""),334.0)</f>
        <v>334</v>
      </c>
      <c r="U173" s="208">
        <f>IFERROR(__xludf.DUMMYFUNCTION("""COMPUTED_VALUE"""),83.0)</f>
        <v>83</v>
      </c>
      <c r="V173" s="208">
        <f>IFERROR(__xludf.DUMMYFUNCTION("""COMPUTED_VALUE"""),90.0)</f>
        <v>90</v>
      </c>
      <c r="W173" s="208">
        <f>IFERROR(__xludf.DUMMYFUNCTION("""COMPUTED_VALUE"""),6.0)</f>
        <v>6</v>
      </c>
      <c r="X173" s="208">
        <f>IFERROR(__xludf.DUMMYFUNCTION("""COMPUTED_VALUE"""),5.0)</f>
        <v>5</v>
      </c>
      <c r="Y173" s="208">
        <f>IFERROR(__xludf.DUMMYFUNCTION("""COMPUTED_VALUE"""),2.0)</f>
        <v>2</v>
      </c>
      <c r="Z173" s="208">
        <f>IFERROR(__xludf.DUMMYFUNCTION("""COMPUTED_VALUE"""),1063.0)</f>
        <v>1063</v>
      </c>
    </row>
    <row r="174">
      <c r="A174" s="207">
        <f>IFERROR(__xludf.DUMMYFUNCTION("""COMPUTED_VALUE"""),44071.0)</f>
        <v>44071</v>
      </c>
      <c r="B174" s="208">
        <f>IFERROR(__xludf.DUMMYFUNCTION("""COMPUTED_VALUE"""),112.0)</f>
        <v>112</v>
      </c>
      <c r="C174" s="208">
        <f>IFERROR(__xludf.DUMMYFUNCTION("""COMPUTED_VALUE"""),125.0)</f>
        <v>125</v>
      </c>
      <c r="D174" s="208">
        <f>IFERROR(__xludf.DUMMYFUNCTION("""COMPUTED_VALUE"""),31260.0)</f>
        <v>31260</v>
      </c>
      <c r="E174" s="208">
        <f>IFERROR(__xludf.DUMMYFUNCTION("""COMPUTED_VALUE"""),8057.0)</f>
        <v>8057</v>
      </c>
      <c r="F174" s="150">
        <f>IFERROR(__xludf.DUMMYFUNCTION("""COMPUTED_VALUE"""),492573.0)</f>
        <v>492573</v>
      </c>
      <c r="G174" s="150">
        <f>IFERROR(__xludf.DUMMYFUNCTION("""COMPUTED_VALUE"""),8169.0)</f>
        <v>8169</v>
      </c>
      <c r="H174" s="150">
        <f>IFERROR(__xludf.DUMMYFUNCTION("""COMPUTED_VALUE"""),523833.0)</f>
        <v>523833</v>
      </c>
      <c r="I174" s="208">
        <f>IFERROR(__xludf.DUMMYFUNCTION("""COMPUTED_VALUE"""),88.0)</f>
        <v>88</v>
      </c>
      <c r="J174" s="208">
        <f>IFERROR(__xludf.DUMMYFUNCTION("""COMPUTED_VALUE"""),96.0)</f>
        <v>96</v>
      </c>
      <c r="K174" s="208">
        <f>IFERROR(__xludf.DUMMYFUNCTION("""COMPUTED_VALUE"""),22005.0)</f>
        <v>22005</v>
      </c>
      <c r="L174" s="208">
        <f>IFERROR(__xludf.DUMMYFUNCTION("""COMPUTED_VALUE"""),2432.0)</f>
        <v>2432</v>
      </c>
      <c r="M174" s="208">
        <f>IFERROR(__xludf.DUMMYFUNCTION("""COMPUTED_VALUE"""),254100.0)</f>
        <v>254100</v>
      </c>
      <c r="N174" s="208">
        <f>IFERROR(__xludf.DUMMYFUNCTION("""COMPUTED_VALUE"""),276105.0)</f>
        <v>276105</v>
      </c>
      <c r="O174" s="208">
        <f>IFERROR(__xludf.DUMMYFUNCTION("""COMPUTED_VALUE"""),14.0)</f>
        <v>14</v>
      </c>
      <c r="P174" s="208">
        <f>IFERROR(__xludf.DUMMYFUNCTION("""COMPUTED_VALUE"""),2536.0)</f>
        <v>2536</v>
      </c>
      <c r="Q174" s="208">
        <f>IFERROR(__xludf.DUMMYFUNCTION("""COMPUTED_VALUE"""),4.0)</f>
        <v>4</v>
      </c>
      <c r="R174" s="208">
        <f>IFERROR(__xludf.DUMMYFUNCTION("""COMPUTED_VALUE"""),2109.0)</f>
        <v>2109</v>
      </c>
      <c r="S174" s="208">
        <f>IFERROR(__xludf.DUMMYFUNCTION("""COMPUTED_VALUE"""),0.0)</f>
        <v>0</v>
      </c>
      <c r="T174" s="208">
        <f>IFERROR(__xludf.DUMMYFUNCTION("""COMPUTED_VALUE"""),334.0)</f>
        <v>334</v>
      </c>
      <c r="U174" s="208">
        <f>IFERROR(__xludf.DUMMYFUNCTION("""COMPUTED_VALUE"""),93.0)</f>
        <v>93</v>
      </c>
      <c r="V174" s="208">
        <f>IFERROR(__xludf.DUMMYFUNCTION("""COMPUTED_VALUE"""),89.0)</f>
        <v>89</v>
      </c>
      <c r="W174" s="208">
        <f>IFERROR(__xludf.DUMMYFUNCTION("""COMPUTED_VALUE"""),9.0)</f>
        <v>9</v>
      </c>
      <c r="X174" s="208">
        <f>IFERROR(__xludf.DUMMYFUNCTION("""COMPUTED_VALUE"""),7.0)</f>
        <v>7</v>
      </c>
      <c r="Y174" s="208">
        <f>IFERROR(__xludf.DUMMYFUNCTION("""COMPUTED_VALUE"""),2.0)</f>
        <v>2</v>
      </c>
      <c r="Z174" s="208">
        <f>IFERROR(__xludf.DUMMYFUNCTION("""COMPUTED_VALUE"""),1065.0)</f>
        <v>1065</v>
      </c>
    </row>
    <row r="175">
      <c r="A175" s="207">
        <f>IFERROR(__xludf.DUMMYFUNCTION("""COMPUTED_VALUE"""),44072.0)</f>
        <v>44072</v>
      </c>
      <c r="B175" s="208">
        <f>IFERROR(__xludf.DUMMYFUNCTION("""COMPUTED_VALUE"""),65.0)</f>
        <v>65</v>
      </c>
      <c r="C175" s="208">
        <f>IFERROR(__xludf.DUMMYFUNCTION("""COMPUTED_VALUE"""),90.0)</f>
        <v>90</v>
      </c>
      <c r="D175" s="208">
        <f>IFERROR(__xludf.DUMMYFUNCTION("""COMPUTED_VALUE"""),31325.0)</f>
        <v>31325</v>
      </c>
      <c r="E175" s="208">
        <f>IFERROR(__xludf.DUMMYFUNCTION("""COMPUTED_VALUE"""),5414.0)</f>
        <v>5414</v>
      </c>
      <c r="F175" s="150">
        <f>IFERROR(__xludf.DUMMYFUNCTION("""COMPUTED_VALUE"""),497987.0)</f>
        <v>497987</v>
      </c>
      <c r="G175" s="150">
        <f>IFERROR(__xludf.DUMMYFUNCTION("""COMPUTED_VALUE"""),5479.0)</f>
        <v>5479</v>
      </c>
      <c r="H175" s="150">
        <f>IFERROR(__xludf.DUMMYFUNCTION("""COMPUTED_VALUE"""),529312.0)</f>
        <v>529312</v>
      </c>
      <c r="I175" s="208">
        <f>IFERROR(__xludf.DUMMYFUNCTION("""COMPUTED_VALUE"""),53.0)</f>
        <v>53</v>
      </c>
      <c r="J175" s="208">
        <f>IFERROR(__xludf.DUMMYFUNCTION("""COMPUTED_VALUE"""),71.0)</f>
        <v>71</v>
      </c>
      <c r="K175" s="208">
        <f>IFERROR(__xludf.DUMMYFUNCTION("""COMPUTED_VALUE"""),22058.0)</f>
        <v>22058</v>
      </c>
      <c r="L175" s="208">
        <f>IFERROR(__xludf.DUMMYFUNCTION("""COMPUTED_VALUE"""),1907.0)</f>
        <v>1907</v>
      </c>
      <c r="M175" s="208">
        <f>IFERROR(__xludf.DUMMYFUNCTION("""COMPUTED_VALUE"""),256007.0)</f>
        <v>256007</v>
      </c>
      <c r="N175" s="208">
        <f>IFERROR(__xludf.DUMMYFUNCTION("""COMPUTED_VALUE"""),278065.0)</f>
        <v>278065</v>
      </c>
      <c r="O175" s="208">
        <f>IFERROR(__xludf.DUMMYFUNCTION("""COMPUTED_VALUE"""),6.0)</f>
        <v>6</v>
      </c>
      <c r="P175" s="208">
        <f>IFERROR(__xludf.DUMMYFUNCTION("""COMPUTED_VALUE"""),2542.0)</f>
        <v>2542</v>
      </c>
      <c r="Q175" s="208">
        <f>IFERROR(__xludf.DUMMYFUNCTION("""COMPUTED_VALUE"""),8.0)</f>
        <v>8</v>
      </c>
      <c r="R175" s="208">
        <f>IFERROR(__xludf.DUMMYFUNCTION("""COMPUTED_VALUE"""),2117.0)</f>
        <v>2117</v>
      </c>
      <c r="S175" s="208">
        <f>IFERROR(__xludf.DUMMYFUNCTION("""COMPUTED_VALUE"""),1.0)</f>
        <v>1</v>
      </c>
      <c r="T175" s="208">
        <f>IFERROR(__xludf.DUMMYFUNCTION("""COMPUTED_VALUE"""),335.0)</f>
        <v>335</v>
      </c>
      <c r="U175" s="208">
        <f>IFERROR(__xludf.DUMMYFUNCTION("""COMPUTED_VALUE"""),90.0)</f>
        <v>90</v>
      </c>
      <c r="V175" s="208">
        <f>IFERROR(__xludf.DUMMYFUNCTION("""COMPUTED_VALUE"""),89.0)</f>
        <v>89</v>
      </c>
      <c r="W175" s="208">
        <f>IFERROR(__xludf.DUMMYFUNCTION("""COMPUTED_VALUE"""),10.0)</f>
        <v>10</v>
      </c>
      <c r="X175" s="208">
        <f>IFERROR(__xludf.DUMMYFUNCTION("""COMPUTED_VALUE"""),6.0)</f>
        <v>6</v>
      </c>
      <c r="Y175" s="208">
        <f>IFERROR(__xludf.DUMMYFUNCTION("""COMPUTED_VALUE"""),1.0)</f>
        <v>1</v>
      </c>
      <c r="Z175" s="208">
        <f>IFERROR(__xludf.DUMMYFUNCTION("""COMPUTED_VALUE"""),1066.0)</f>
        <v>1066</v>
      </c>
    </row>
    <row r="176">
      <c r="A176" s="207">
        <f>IFERROR(__xludf.DUMMYFUNCTION("""COMPUTED_VALUE"""),44073.0)</f>
        <v>44073</v>
      </c>
      <c r="B176" s="208">
        <f>IFERROR(__xludf.DUMMYFUNCTION("""COMPUTED_VALUE"""),66.0)</f>
        <v>66</v>
      </c>
      <c r="C176" s="208">
        <f>IFERROR(__xludf.DUMMYFUNCTION("""COMPUTED_VALUE"""),81.0)</f>
        <v>81</v>
      </c>
      <c r="D176" s="208">
        <f>IFERROR(__xludf.DUMMYFUNCTION("""COMPUTED_VALUE"""),31391.0)</f>
        <v>31391</v>
      </c>
      <c r="E176" s="208">
        <f>IFERROR(__xludf.DUMMYFUNCTION("""COMPUTED_VALUE"""),4319.0)</f>
        <v>4319</v>
      </c>
      <c r="F176" s="150">
        <f>IFERROR(__xludf.DUMMYFUNCTION("""COMPUTED_VALUE"""),502306.0)</f>
        <v>502306</v>
      </c>
      <c r="G176" s="150">
        <f>IFERROR(__xludf.DUMMYFUNCTION("""COMPUTED_VALUE"""),4385.0)</f>
        <v>4385</v>
      </c>
      <c r="H176" s="150">
        <f>IFERROR(__xludf.DUMMYFUNCTION("""COMPUTED_VALUE"""),533697.0)</f>
        <v>533697</v>
      </c>
      <c r="I176" s="208">
        <f>IFERROR(__xludf.DUMMYFUNCTION("""COMPUTED_VALUE"""),48.0)</f>
        <v>48</v>
      </c>
      <c r="J176" s="208">
        <f>IFERROR(__xludf.DUMMYFUNCTION("""COMPUTED_VALUE"""),63.0)</f>
        <v>63</v>
      </c>
      <c r="K176" s="208">
        <f>IFERROR(__xludf.DUMMYFUNCTION("""COMPUTED_VALUE"""),22106.0)</f>
        <v>22106</v>
      </c>
      <c r="L176" s="208">
        <f>IFERROR(__xludf.DUMMYFUNCTION("""COMPUTED_VALUE"""),1994.0)</f>
        <v>1994</v>
      </c>
      <c r="M176" s="208">
        <f>IFERROR(__xludf.DUMMYFUNCTION("""COMPUTED_VALUE"""),258001.0)</f>
        <v>258001</v>
      </c>
      <c r="N176" s="208">
        <f>IFERROR(__xludf.DUMMYFUNCTION("""COMPUTED_VALUE"""),280107.0)</f>
        <v>280107</v>
      </c>
      <c r="O176" s="208">
        <f>IFERROR(__xludf.DUMMYFUNCTION("""COMPUTED_VALUE"""),7.0)</f>
        <v>7</v>
      </c>
      <c r="P176" s="208">
        <f>IFERROR(__xludf.DUMMYFUNCTION("""COMPUTED_VALUE"""),2549.0)</f>
        <v>2549</v>
      </c>
      <c r="Q176" s="208">
        <f>IFERROR(__xludf.DUMMYFUNCTION("""COMPUTED_VALUE"""),4.0)</f>
        <v>4</v>
      </c>
      <c r="R176" s="208">
        <f>IFERROR(__xludf.DUMMYFUNCTION("""COMPUTED_VALUE"""),2121.0)</f>
        <v>2121</v>
      </c>
      <c r="S176" s="208">
        <f>IFERROR(__xludf.DUMMYFUNCTION("""COMPUTED_VALUE"""),0.0)</f>
        <v>0</v>
      </c>
      <c r="T176" s="208">
        <f>IFERROR(__xludf.DUMMYFUNCTION("""COMPUTED_VALUE"""),335.0)</f>
        <v>335</v>
      </c>
      <c r="U176" s="208">
        <f>IFERROR(__xludf.DUMMYFUNCTION("""COMPUTED_VALUE"""),93.0)</f>
        <v>93</v>
      </c>
      <c r="V176" s="208">
        <f>IFERROR(__xludf.DUMMYFUNCTION("""COMPUTED_VALUE"""),92.0)</f>
        <v>92</v>
      </c>
      <c r="W176" s="208">
        <f>IFERROR(__xludf.DUMMYFUNCTION("""COMPUTED_VALUE"""),8.0)</f>
        <v>8</v>
      </c>
      <c r="X176" s="208">
        <f>IFERROR(__xludf.DUMMYFUNCTION("""COMPUTED_VALUE"""),5.0)</f>
        <v>5</v>
      </c>
      <c r="Y176" s="208">
        <f>IFERROR(__xludf.DUMMYFUNCTION("""COMPUTED_VALUE"""),1.0)</f>
        <v>1</v>
      </c>
      <c r="Z176" s="208">
        <f>IFERROR(__xludf.DUMMYFUNCTION("""COMPUTED_VALUE"""),1067.0)</f>
        <v>1067</v>
      </c>
    </row>
    <row r="177">
      <c r="A177" s="207">
        <f>IFERROR(__xludf.DUMMYFUNCTION("""COMPUTED_VALUE"""),44074.0)</f>
        <v>44074</v>
      </c>
      <c r="B177" s="208">
        <f>IFERROR(__xludf.DUMMYFUNCTION("""COMPUTED_VALUE"""),105.0)</f>
        <v>105</v>
      </c>
      <c r="C177" s="208">
        <f>IFERROR(__xludf.DUMMYFUNCTION("""COMPUTED_VALUE"""),79.0)</f>
        <v>79</v>
      </c>
      <c r="D177" s="208">
        <f>IFERROR(__xludf.DUMMYFUNCTION("""COMPUTED_VALUE"""),31496.0)</f>
        <v>31496</v>
      </c>
      <c r="E177" s="208">
        <f>IFERROR(__xludf.DUMMYFUNCTION("""COMPUTED_VALUE"""),4867.0)</f>
        <v>4867</v>
      </c>
      <c r="F177" s="150">
        <f>IFERROR(__xludf.DUMMYFUNCTION("""COMPUTED_VALUE"""),507173.0)</f>
        <v>507173</v>
      </c>
      <c r="G177" s="150">
        <f>IFERROR(__xludf.DUMMYFUNCTION("""COMPUTED_VALUE"""),4972.0)</f>
        <v>4972</v>
      </c>
      <c r="H177" s="150">
        <f>IFERROR(__xludf.DUMMYFUNCTION("""COMPUTED_VALUE"""),538669.0)</f>
        <v>538669</v>
      </c>
      <c r="I177" s="208">
        <f>IFERROR(__xludf.DUMMYFUNCTION("""COMPUTED_VALUE"""),82.0)</f>
        <v>82</v>
      </c>
      <c r="J177" s="208">
        <f>IFERROR(__xludf.DUMMYFUNCTION("""COMPUTED_VALUE"""),61.0)</f>
        <v>61</v>
      </c>
      <c r="K177" s="208">
        <f>IFERROR(__xludf.DUMMYFUNCTION("""COMPUTED_VALUE"""),22188.0)</f>
        <v>22188</v>
      </c>
      <c r="L177" s="208">
        <f>IFERROR(__xludf.DUMMYFUNCTION("""COMPUTED_VALUE"""),2197.0)</f>
        <v>2197</v>
      </c>
      <c r="M177" s="208">
        <f>IFERROR(__xludf.DUMMYFUNCTION("""COMPUTED_VALUE"""),260198.0)</f>
        <v>260198</v>
      </c>
      <c r="N177" s="208">
        <f>IFERROR(__xludf.DUMMYFUNCTION("""COMPUTED_VALUE"""),282386.0)</f>
        <v>282386</v>
      </c>
      <c r="O177" s="208">
        <f>IFERROR(__xludf.DUMMYFUNCTION("""COMPUTED_VALUE"""),10.0)</f>
        <v>10</v>
      </c>
      <c r="P177" s="208">
        <f>IFERROR(__xludf.DUMMYFUNCTION("""COMPUTED_VALUE"""),2559.0)</f>
        <v>2559</v>
      </c>
      <c r="Q177" s="208">
        <f>IFERROR(__xludf.DUMMYFUNCTION("""COMPUTED_VALUE"""),15.0)</f>
        <v>15</v>
      </c>
      <c r="R177" s="208">
        <f>IFERROR(__xludf.DUMMYFUNCTION("""COMPUTED_VALUE"""),2136.0)</f>
        <v>2136</v>
      </c>
      <c r="S177" s="208">
        <f>IFERROR(__xludf.DUMMYFUNCTION("""COMPUTED_VALUE"""),0.0)</f>
        <v>0</v>
      </c>
      <c r="T177" s="208">
        <f>IFERROR(__xludf.DUMMYFUNCTION("""COMPUTED_VALUE"""),335.0)</f>
        <v>335</v>
      </c>
      <c r="U177" s="208">
        <f>IFERROR(__xludf.DUMMYFUNCTION("""COMPUTED_VALUE"""),88.0)</f>
        <v>88</v>
      </c>
      <c r="V177" s="208">
        <f>IFERROR(__xludf.DUMMYFUNCTION("""COMPUTED_VALUE"""),90.0)</f>
        <v>90</v>
      </c>
      <c r="W177" s="208">
        <f>IFERROR(__xludf.DUMMYFUNCTION("""COMPUTED_VALUE"""),8.0)</f>
        <v>8</v>
      </c>
      <c r="X177" s="208">
        <f>IFERROR(__xludf.DUMMYFUNCTION("""COMPUTED_VALUE"""),4.0)</f>
        <v>4</v>
      </c>
      <c r="Y177" s="208">
        <f>IFERROR(__xludf.DUMMYFUNCTION("""COMPUTED_VALUE"""),0.0)</f>
        <v>0</v>
      </c>
      <c r="Z177" s="208">
        <f>IFERROR(__xludf.DUMMYFUNCTION("""COMPUTED_VALUE"""),1067.0)</f>
        <v>1067</v>
      </c>
    </row>
    <row r="178">
      <c r="A178" s="207">
        <f>IFERROR(__xludf.DUMMYFUNCTION("""COMPUTED_VALUE"""),44075.0)</f>
        <v>44075</v>
      </c>
      <c r="B178" s="208">
        <f>IFERROR(__xludf.DUMMYFUNCTION("""COMPUTED_VALUE"""),98.0)</f>
        <v>98</v>
      </c>
      <c r="C178" s="208">
        <f>IFERROR(__xludf.DUMMYFUNCTION("""COMPUTED_VALUE"""),90.0)</f>
        <v>90</v>
      </c>
      <c r="D178" s="208">
        <f>IFERROR(__xludf.DUMMYFUNCTION("""COMPUTED_VALUE"""),31594.0)</f>
        <v>31594</v>
      </c>
      <c r="E178" s="208">
        <f>IFERROR(__xludf.DUMMYFUNCTION("""COMPUTED_VALUE"""),7114.0)</f>
        <v>7114</v>
      </c>
      <c r="F178" s="150">
        <f>IFERROR(__xludf.DUMMYFUNCTION("""COMPUTED_VALUE"""),514287.0)</f>
        <v>514287</v>
      </c>
      <c r="G178" s="150">
        <f>IFERROR(__xludf.DUMMYFUNCTION("""COMPUTED_VALUE"""),7212.0)</f>
        <v>7212</v>
      </c>
      <c r="H178" s="150">
        <f>IFERROR(__xludf.DUMMYFUNCTION("""COMPUTED_VALUE"""),545881.0)</f>
        <v>545881</v>
      </c>
      <c r="I178" s="208">
        <f>IFERROR(__xludf.DUMMYFUNCTION("""COMPUTED_VALUE"""),67.0)</f>
        <v>67</v>
      </c>
      <c r="J178" s="208">
        <f>IFERROR(__xludf.DUMMYFUNCTION("""COMPUTED_VALUE"""),66.0)</f>
        <v>66</v>
      </c>
      <c r="K178" s="208">
        <f>IFERROR(__xludf.DUMMYFUNCTION("""COMPUTED_VALUE"""),22255.0)</f>
        <v>22255</v>
      </c>
      <c r="L178" s="208">
        <f>IFERROR(__xludf.DUMMYFUNCTION("""COMPUTED_VALUE"""),2376.0)</f>
        <v>2376</v>
      </c>
      <c r="M178" s="208">
        <f>IFERROR(__xludf.DUMMYFUNCTION("""COMPUTED_VALUE"""),262574.0)</f>
        <v>262574</v>
      </c>
      <c r="N178" s="208">
        <f>IFERROR(__xludf.DUMMYFUNCTION("""COMPUTED_VALUE"""),284829.0)</f>
        <v>284829</v>
      </c>
      <c r="O178" s="208">
        <f>IFERROR(__xludf.DUMMYFUNCTION("""COMPUTED_VALUE"""),6.0)</f>
        <v>6</v>
      </c>
      <c r="P178" s="208">
        <f>IFERROR(__xludf.DUMMYFUNCTION("""COMPUTED_VALUE"""),2565.0)</f>
        <v>2565</v>
      </c>
      <c r="Q178" s="208">
        <f>IFERROR(__xludf.DUMMYFUNCTION("""COMPUTED_VALUE"""),9.0)</f>
        <v>9</v>
      </c>
      <c r="R178" s="208">
        <f>IFERROR(__xludf.DUMMYFUNCTION("""COMPUTED_VALUE"""),2145.0)</f>
        <v>2145</v>
      </c>
      <c r="S178" s="208">
        <f>IFERROR(__xludf.DUMMYFUNCTION("""COMPUTED_VALUE"""),1.0)</f>
        <v>1</v>
      </c>
      <c r="T178" s="208">
        <f>IFERROR(__xludf.DUMMYFUNCTION("""COMPUTED_VALUE"""),336.0)</f>
        <v>336</v>
      </c>
      <c r="U178" s="208">
        <f>IFERROR(__xludf.DUMMYFUNCTION("""COMPUTED_VALUE"""),84.0)</f>
        <v>84</v>
      </c>
      <c r="V178" s="208">
        <f>IFERROR(__xludf.DUMMYFUNCTION("""COMPUTED_VALUE"""),88.0)</f>
        <v>88</v>
      </c>
      <c r="W178" s="208">
        <f>IFERROR(__xludf.DUMMYFUNCTION("""COMPUTED_VALUE"""),7.0)</f>
        <v>7</v>
      </c>
      <c r="X178" s="208">
        <f>IFERROR(__xludf.DUMMYFUNCTION("""COMPUTED_VALUE"""),4.0)</f>
        <v>4</v>
      </c>
      <c r="Y178" s="208">
        <f>IFERROR(__xludf.DUMMYFUNCTION("""COMPUTED_VALUE"""),1.0)</f>
        <v>1</v>
      </c>
      <c r="Z178" s="208">
        <f>IFERROR(__xludf.DUMMYFUNCTION("""COMPUTED_VALUE"""),1068.0)</f>
        <v>1068</v>
      </c>
    </row>
    <row r="179">
      <c r="A179" s="207">
        <f>IFERROR(__xludf.DUMMYFUNCTION("""COMPUTED_VALUE"""),44076.0)</f>
        <v>44076</v>
      </c>
      <c r="B179" s="208">
        <f>IFERROR(__xludf.DUMMYFUNCTION("""COMPUTED_VALUE"""),124.0)</f>
        <v>124</v>
      </c>
      <c r="C179" s="208">
        <f>IFERROR(__xludf.DUMMYFUNCTION("""COMPUTED_VALUE"""),109.0)</f>
        <v>109</v>
      </c>
      <c r="D179" s="208">
        <f>IFERROR(__xludf.DUMMYFUNCTION("""COMPUTED_VALUE"""),31718.0)</f>
        <v>31718</v>
      </c>
      <c r="E179" s="208">
        <f>IFERROR(__xludf.DUMMYFUNCTION("""COMPUTED_VALUE"""),10554.0)</f>
        <v>10554</v>
      </c>
      <c r="F179" s="150">
        <f>IFERROR(__xludf.DUMMYFUNCTION("""COMPUTED_VALUE"""),524841.0)</f>
        <v>524841</v>
      </c>
      <c r="G179" s="150">
        <f>IFERROR(__xludf.DUMMYFUNCTION("""COMPUTED_VALUE"""),10678.0)</f>
        <v>10678</v>
      </c>
      <c r="H179" s="150">
        <f>IFERROR(__xludf.DUMMYFUNCTION("""COMPUTED_VALUE"""),556559.0)</f>
        <v>556559</v>
      </c>
      <c r="I179" s="208">
        <f>IFERROR(__xludf.DUMMYFUNCTION("""COMPUTED_VALUE"""),102.0)</f>
        <v>102</v>
      </c>
      <c r="J179" s="208">
        <f>IFERROR(__xludf.DUMMYFUNCTION("""COMPUTED_VALUE"""),84.0)</f>
        <v>84</v>
      </c>
      <c r="K179" s="208">
        <f>IFERROR(__xludf.DUMMYFUNCTION("""COMPUTED_VALUE"""),22357.0)</f>
        <v>22357</v>
      </c>
      <c r="L179" s="208">
        <f>IFERROR(__xludf.DUMMYFUNCTION("""COMPUTED_VALUE"""),2953.0)</f>
        <v>2953</v>
      </c>
      <c r="M179" s="208">
        <f>IFERROR(__xludf.DUMMYFUNCTION("""COMPUTED_VALUE"""),265527.0)</f>
        <v>265527</v>
      </c>
      <c r="N179" s="208">
        <f>IFERROR(__xludf.DUMMYFUNCTION("""COMPUTED_VALUE"""),287884.0)</f>
        <v>287884</v>
      </c>
      <c r="O179" s="208">
        <f>IFERROR(__xludf.DUMMYFUNCTION("""COMPUTED_VALUE"""),9.0)</f>
        <v>9</v>
      </c>
      <c r="P179" s="208">
        <f>IFERROR(__xludf.DUMMYFUNCTION("""COMPUTED_VALUE"""),2574.0)</f>
        <v>2574</v>
      </c>
      <c r="Q179" s="208">
        <f>IFERROR(__xludf.DUMMYFUNCTION("""COMPUTED_VALUE"""),10.0)</f>
        <v>10</v>
      </c>
      <c r="R179" s="208">
        <f>IFERROR(__xludf.DUMMYFUNCTION("""COMPUTED_VALUE"""),2155.0)</f>
        <v>2155</v>
      </c>
      <c r="S179" s="208">
        <f>IFERROR(__xludf.DUMMYFUNCTION("""COMPUTED_VALUE"""),1.0)</f>
        <v>1</v>
      </c>
      <c r="T179" s="208">
        <f>IFERROR(__xludf.DUMMYFUNCTION("""COMPUTED_VALUE"""),337.0)</f>
        <v>337</v>
      </c>
      <c r="U179" s="208">
        <f>IFERROR(__xludf.DUMMYFUNCTION("""COMPUTED_VALUE"""),82.0)</f>
        <v>82</v>
      </c>
      <c r="V179" s="208">
        <f>IFERROR(__xludf.DUMMYFUNCTION("""COMPUTED_VALUE"""),85.0)</f>
        <v>85</v>
      </c>
      <c r="W179" s="208">
        <f>IFERROR(__xludf.DUMMYFUNCTION("""COMPUTED_VALUE"""),8.0)</f>
        <v>8</v>
      </c>
      <c r="X179" s="208">
        <f>IFERROR(__xludf.DUMMYFUNCTION("""COMPUTED_VALUE"""),4.0)</f>
        <v>4</v>
      </c>
      <c r="Y179" s="208">
        <f>IFERROR(__xludf.DUMMYFUNCTION("""COMPUTED_VALUE"""),2.0)</f>
        <v>2</v>
      </c>
      <c r="Z179" s="208">
        <f>IFERROR(__xludf.DUMMYFUNCTION("""COMPUTED_VALUE"""),1070.0)</f>
        <v>1070</v>
      </c>
    </row>
    <row r="180">
      <c r="A180" s="207">
        <f>IFERROR(__xludf.DUMMYFUNCTION("""COMPUTED_VALUE"""),44077.0)</f>
        <v>44077</v>
      </c>
      <c r="B180" s="208">
        <f>IFERROR(__xludf.DUMMYFUNCTION("""COMPUTED_VALUE"""),89.0)</f>
        <v>89</v>
      </c>
      <c r="C180" s="208">
        <f>IFERROR(__xludf.DUMMYFUNCTION("""COMPUTED_VALUE"""),104.0)</f>
        <v>104</v>
      </c>
      <c r="D180" s="208">
        <f>IFERROR(__xludf.DUMMYFUNCTION("""COMPUTED_VALUE"""),31807.0)</f>
        <v>31807</v>
      </c>
      <c r="E180" s="208">
        <f>IFERROR(__xludf.DUMMYFUNCTION("""COMPUTED_VALUE"""),11168.0)</f>
        <v>11168</v>
      </c>
      <c r="F180" s="150">
        <f>IFERROR(__xludf.DUMMYFUNCTION("""COMPUTED_VALUE"""),536009.0)</f>
        <v>536009</v>
      </c>
      <c r="G180" s="150">
        <f>IFERROR(__xludf.DUMMYFUNCTION("""COMPUTED_VALUE"""),11257.0)</f>
        <v>11257</v>
      </c>
      <c r="H180" s="150">
        <f>IFERROR(__xludf.DUMMYFUNCTION("""COMPUTED_VALUE"""),567816.0)</f>
        <v>567816</v>
      </c>
      <c r="I180" s="208">
        <f>IFERROR(__xludf.DUMMYFUNCTION("""COMPUTED_VALUE"""),76.0)</f>
        <v>76</v>
      </c>
      <c r="J180" s="208">
        <f>IFERROR(__xludf.DUMMYFUNCTION("""COMPUTED_VALUE"""),82.0)</f>
        <v>82</v>
      </c>
      <c r="K180" s="208">
        <f>IFERROR(__xludf.DUMMYFUNCTION("""COMPUTED_VALUE"""),22433.0)</f>
        <v>22433</v>
      </c>
      <c r="L180" s="208">
        <f>IFERROR(__xludf.DUMMYFUNCTION("""COMPUTED_VALUE"""),2579.0)</f>
        <v>2579</v>
      </c>
      <c r="M180" s="208">
        <f>IFERROR(__xludf.DUMMYFUNCTION("""COMPUTED_VALUE"""),268106.0)</f>
        <v>268106</v>
      </c>
      <c r="N180" s="208">
        <f>IFERROR(__xludf.DUMMYFUNCTION("""COMPUTED_VALUE"""),290539.0)</f>
        <v>290539</v>
      </c>
      <c r="O180" s="208">
        <f>IFERROR(__xludf.DUMMYFUNCTION("""COMPUTED_VALUE"""),8.0)</f>
        <v>8</v>
      </c>
      <c r="P180" s="208">
        <f>IFERROR(__xludf.DUMMYFUNCTION("""COMPUTED_VALUE"""),2582.0)</f>
        <v>2582</v>
      </c>
      <c r="Q180" s="208">
        <f>IFERROR(__xludf.DUMMYFUNCTION("""COMPUTED_VALUE"""),8.0)</f>
        <v>8</v>
      </c>
      <c r="R180" s="208">
        <f>IFERROR(__xludf.DUMMYFUNCTION("""COMPUTED_VALUE"""),2163.0)</f>
        <v>2163</v>
      </c>
      <c r="S180" s="208">
        <f>IFERROR(__xludf.DUMMYFUNCTION("""COMPUTED_VALUE"""),0.0)</f>
        <v>0</v>
      </c>
      <c r="T180" s="208">
        <f>IFERROR(__xludf.DUMMYFUNCTION("""COMPUTED_VALUE"""),337.0)</f>
        <v>337</v>
      </c>
      <c r="U180" s="208">
        <f>IFERROR(__xludf.DUMMYFUNCTION("""COMPUTED_VALUE"""),82.0)</f>
        <v>82</v>
      </c>
      <c r="V180" s="208">
        <f>IFERROR(__xludf.DUMMYFUNCTION("""COMPUTED_VALUE"""),83.0)</f>
        <v>83</v>
      </c>
      <c r="W180" s="208">
        <f>IFERROR(__xludf.DUMMYFUNCTION("""COMPUTED_VALUE"""),9.0)</f>
        <v>9</v>
      </c>
      <c r="X180" s="208">
        <f>IFERROR(__xludf.DUMMYFUNCTION("""COMPUTED_VALUE"""),4.0)</f>
        <v>4</v>
      </c>
      <c r="Y180" s="208">
        <f>IFERROR(__xludf.DUMMYFUNCTION("""COMPUTED_VALUE"""),2.0)</f>
        <v>2</v>
      </c>
      <c r="Z180" s="208">
        <f>IFERROR(__xludf.DUMMYFUNCTION("""COMPUTED_VALUE"""),1072.0)</f>
        <v>1072</v>
      </c>
    </row>
    <row r="181">
      <c r="A181" s="207">
        <f>IFERROR(__xludf.DUMMYFUNCTION("""COMPUTED_VALUE"""),44078.0)</f>
        <v>44078</v>
      </c>
      <c r="B181" s="208">
        <f>IFERROR(__xludf.DUMMYFUNCTION("""COMPUTED_VALUE"""),102.0)</f>
        <v>102</v>
      </c>
      <c r="C181" s="208">
        <f>IFERROR(__xludf.DUMMYFUNCTION("""COMPUTED_VALUE"""),105.0)</f>
        <v>105</v>
      </c>
      <c r="D181" s="208">
        <f>IFERROR(__xludf.DUMMYFUNCTION("""COMPUTED_VALUE"""),31909.0)</f>
        <v>31909</v>
      </c>
      <c r="E181" s="208">
        <f>IFERROR(__xludf.DUMMYFUNCTION("""COMPUTED_VALUE"""),9027.0)</f>
        <v>9027</v>
      </c>
      <c r="F181" s="150">
        <f>IFERROR(__xludf.DUMMYFUNCTION("""COMPUTED_VALUE"""),545036.0)</f>
        <v>545036</v>
      </c>
      <c r="G181" s="150">
        <f>IFERROR(__xludf.DUMMYFUNCTION("""COMPUTED_VALUE"""),9129.0)</f>
        <v>9129</v>
      </c>
      <c r="H181" s="150">
        <f>IFERROR(__xludf.DUMMYFUNCTION("""COMPUTED_VALUE"""),576945.0)</f>
        <v>576945</v>
      </c>
      <c r="I181" s="208">
        <f>IFERROR(__xludf.DUMMYFUNCTION("""COMPUTED_VALUE"""),83.0)</f>
        <v>83</v>
      </c>
      <c r="J181" s="208">
        <f>IFERROR(__xludf.DUMMYFUNCTION("""COMPUTED_VALUE"""),87.0)</f>
        <v>87</v>
      </c>
      <c r="K181" s="208">
        <f>IFERROR(__xludf.DUMMYFUNCTION("""COMPUTED_VALUE"""),22516.0)</f>
        <v>22516</v>
      </c>
      <c r="L181" s="208">
        <f>IFERROR(__xludf.DUMMYFUNCTION("""COMPUTED_VALUE"""),2403.0)</f>
        <v>2403</v>
      </c>
      <c r="M181" s="208">
        <f>IFERROR(__xludf.DUMMYFUNCTION("""COMPUTED_VALUE"""),270509.0)</f>
        <v>270509</v>
      </c>
      <c r="N181" s="208">
        <f>IFERROR(__xludf.DUMMYFUNCTION("""COMPUTED_VALUE"""),293025.0)</f>
        <v>293025</v>
      </c>
      <c r="O181" s="208">
        <f>IFERROR(__xludf.DUMMYFUNCTION("""COMPUTED_VALUE"""),11.0)</f>
        <v>11</v>
      </c>
      <c r="P181" s="208">
        <f>IFERROR(__xludf.DUMMYFUNCTION("""COMPUTED_VALUE"""),2593.0)</f>
        <v>2593</v>
      </c>
      <c r="Q181" s="208">
        <f>IFERROR(__xludf.DUMMYFUNCTION("""COMPUTED_VALUE"""),4.0)</f>
        <v>4</v>
      </c>
      <c r="R181" s="208">
        <f>IFERROR(__xludf.DUMMYFUNCTION("""COMPUTED_VALUE"""),2167.0)</f>
        <v>2167</v>
      </c>
      <c r="S181" s="208">
        <f>IFERROR(__xludf.DUMMYFUNCTION("""COMPUTED_VALUE"""),0.0)</f>
        <v>0</v>
      </c>
      <c r="T181" s="208">
        <f>IFERROR(__xludf.DUMMYFUNCTION("""COMPUTED_VALUE"""),337.0)</f>
        <v>337</v>
      </c>
      <c r="U181" s="208">
        <f>IFERROR(__xludf.DUMMYFUNCTION("""COMPUTED_VALUE"""),89.0)</f>
        <v>89</v>
      </c>
      <c r="V181" s="208">
        <f>IFERROR(__xludf.DUMMYFUNCTION("""COMPUTED_VALUE"""),84.0)</f>
        <v>84</v>
      </c>
      <c r="W181" s="208">
        <f>IFERROR(__xludf.DUMMYFUNCTION("""COMPUTED_VALUE"""),9.0)</f>
        <v>9</v>
      </c>
      <c r="X181" s="208">
        <f>IFERROR(__xludf.DUMMYFUNCTION("""COMPUTED_VALUE"""),4.0)</f>
        <v>4</v>
      </c>
      <c r="Y181" s="208">
        <f>IFERROR(__xludf.DUMMYFUNCTION("""COMPUTED_VALUE"""),1.0)</f>
        <v>1</v>
      </c>
      <c r="Z181" s="208">
        <f>IFERROR(__xludf.DUMMYFUNCTION("""COMPUTED_VALUE"""),1073.0)</f>
        <v>1073</v>
      </c>
    </row>
    <row r="182">
      <c r="A182" s="207">
        <f>IFERROR(__xludf.DUMMYFUNCTION("""COMPUTED_VALUE"""),44079.0)</f>
        <v>44079</v>
      </c>
      <c r="B182" s="208">
        <f>IFERROR(__xludf.DUMMYFUNCTION("""COMPUTED_VALUE"""),52.0)</f>
        <v>52</v>
      </c>
      <c r="C182" s="208">
        <f>IFERROR(__xludf.DUMMYFUNCTION("""COMPUTED_VALUE"""),81.0)</f>
        <v>81</v>
      </c>
      <c r="D182" s="208">
        <f>IFERROR(__xludf.DUMMYFUNCTION("""COMPUTED_VALUE"""),31961.0)</f>
        <v>31961</v>
      </c>
      <c r="E182" s="208">
        <f>IFERROR(__xludf.DUMMYFUNCTION("""COMPUTED_VALUE"""),6280.0)</f>
        <v>6280</v>
      </c>
      <c r="F182" s="150">
        <f>IFERROR(__xludf.DUMMYFUNCTION("""COMPUTED_VALUE"""),551316.0)</f>
        <v>551316</v>
      </c>
      <c r="G182" s="150">
        <f>IFERROR(__xludf.DUMMYFUNCTION("""COMPUTED_VALUE"""),6332.0)</f>
        <v>6332</v>
      </c>
      <c r="H182" s="150">
        <f>IFERROR(__xludf.DUMMYFUNCTION("""COMPUTED_VALUE"""),583277.0)</f>
        <v>583277</v>
      </c>
      <c r="I182" s="208">
        <f>IFERROR(__xludf.DUMMYFUNCTION("""COMPUTED_VALUE"""),42.0)</f>
        <v>42</v>
      </c>
      <c r="J182" s="208">
        <f>IFERROR(__xludf.DUMMYFUNCTION("""COMPUTED_VALUE"""),67.0)</f>
        <v>67</v>
      </c>
      <c r="K182" s="208">
        <f>IFERROR(__xludf.DUMMYFUNCTION("""COMPUTED_VALUE"""),22558.0)</f>
        <v>22558</v>
      </c>
      <c r="L182" s="208">
        <f>IFERROR(__xludf.DUMMYFUNCTION("""COMPUTED_VALUE"""),1588.0)</f>
        <v>1588</v>
      </c>
      <c r="M182" s="208">
        <f>IFERROR(__xludf.DUMMYFUNCTION("""COMPUTED_VALUE"""),272097.0)</f>
        <v>272097</v>
      </c>
      <c r="N182" s="208">
        <f>IFERROR(__xludf.DUMMYFUNCTION("""COMPUTED_VALUE"""),294655.0)</f>
        <v>294655</v>
      </c>
      <c r="O182" s="208">
        <f>IFERROR(__xludf.DUMMYFUNCTION("""COMPUTED_VALUE"""),6.0)</f>
        <v>6</v>
      </c>
      <c r="P182" s="208">
        <f>IFERROR(__xludf.DUMMYFUNCTION("""COMPUTED_VALUE"""),2599.0)</f>
        <v>2599</v>
      </c>
      <c r="Q182" s="208">
        <f>IFERROR(__xludf.DUMMYFUNCTION("""COMPUTED_VALUE"""),9.0)</f>
        <v>9</v>
      </c>
      <c r="R182" s="208">
        <f>IFERROR(__xludf.DUMMYFUNCTION("""COMPUTED_VALUE"""),2176.0)</f>
        <v>2176</v>
      </c>
      <c r="S182" s="208">
        <f>IFERROR(__xludf.DUMMYFUNCTION("""COMPUTED_VALUE"""),0.0)</f>
        <v>0</v>
      </c>
      <c r="T182" s="208">
        <f>IFERROR(__xludf.DUMMYFUNCTION("""COMPUTED_VALUE"""),337.0)</f>
        <v>337</v>
      </c>
      <c r="U182" s="208">
        <f>IFERROR(__xludf.DUMMYFUNCTION("""COMPUTED_VALUE"""),86.0)</f>
        <v>86</v>
      </c>
      <c r="V182" s="208">
        <f>IFERROR(__xludf.DUMMYFUNCTION("""COMPUTED_VALUE"""),86.0)</f>
        <v>86</v>
      </c>
      <c r="W182" s="208">
        <f>IFERROR(__xludf.DUMMYFUNCTION("""COMPUTED_VALUE"""),8.0)</f>
        <v>8</v>
      </c>
      <c r="X182" s="208">
        <f>IFERROR(__xludf.DUMMYFUNCTION("""COMPUTED_VALUE"""),3.0)</f>
        <v>3</v>
      </c>
      <c r="Y182" s="208">
        <f>IFERROR(__xludf.DUMMYFUNCTION("""COMPUTED_VALUE"""),1.0)</f>
        <v>1</v>
      </c>
      <c r="Z182" s="208">
        <f>IFERROR(__xludf.DUMMYFUNCTION("""COMPUTED_VALUE"""),1074.0)</f>
        <v>1074</v>
      </c>
    </row>
    <row r="183">
      <c r="A183" s="207">
        <f>IFERROR(__xludf.DUMMYFUNCTION("""COMPUTED_VALUE"""),44080.0)</f>
        <v>44080</v>
      </c>
      <c r="B183" s="208">
        <f>IFERROR(__xludf.DUMMYFUNCTION("""COMPUTED_VALUE"""),87.0)</f>
        <v>87</v>
      </c>
      <c r="C183" s="208">
        <f>IFERROR(__xludf.DUMMYFUNCTION("""COMPUTED_VALUE"""),80.0)</f>
        <v>80</v>
      </c>
      <c r="D183" s="208">
        <f>IFERROR(__xludf.DUMMYFUNCTION("""COMPUTED_VALUE"""),32048.0)</f>
        <v>32048</v>
      </c>
      <c r="E183" s="208">
        <f>IFERROR(__xludf.DUMMYFUNCTION("""COMPUTED_VALUE"""),4310.0)</f>
        <v>4310</v>
      </c>
      <c r="F183" s="150">
        <f>IFERROR(__xludf.DUMMYFUNCTION("""COMPUTED_VALUE"""),555626.0)</f>
        <v>555626</v>
      </c>
      <c r="G183" s="150">
        <f>IFERROR(__xludf.DUMMYFUNCTION("""COMPUTED_VALUE"""),4397.0)</f>
        <v>4397</v>
      </c>
      <c r="H183" s="150">
        <f>IFERROR(__xludf.DUMMYFUNCTION("""COMPUTED_VALUE"""),587674.0)</f>
        <v>587674</v>
      </c>
      <c r="I183" s="208">
        <f>IFERROR(__xludf.DUMMYFUNCTION("""COMPUTED_VALUE"""),66.0)</f>
        <v>66</v>
      </c>
      <c r="J183" s="208">
        <f>IFERROR(__xludf.DUMMYFUNCTION("""COMPUTED_VALUE"""),64.0)</f>
        <v>64</v>
      </c>
      <c r="K183" s="208">
        <f>IFERROR(__xludf.DUMMYFUNCTION("""COMPUTED_VALUE"""),22624.0)</f>
        <v>22624</v>
      </c>
      <c r="L183" s="208">
        <f>IFERROR(__xludf.DUMMYFUNCTION("""COMPUTED_VALUE"""),1954.0)</f>
        <v>1954</v>
      </c>
      <c r="M183" s="208">
        <f>IFERROR(__xludf.DUMMYFUNCTION("""COMPUTED_VALUE"""),274051.0)</f>
        <v>274051</v>
      </c>
      <c r="N183" s="208">
        <f>IFERROR(__xludf.DUMMYFUNCTION("""COMPUTED_VALUE"""),296675.0)</f>
        <v>296675</v>
      </c>
      <c r="O183" s="208">
        <f>IFERROR(__xludf.DUMMYFUNCTION("""COMPUTED_VALUE"""),4.0)</f>
        <v>4</v>
      </c>
      <c r="P183" s="208">
        <f>IFERROR(__xludf.DUMMYFUNCTION("""COMPUTED_VALUE"""),2603.0)</f>
        <v>2603</v>
      </c>
      <c r="Q183" s="208">
        <f>IFERROR(__xludf.DUMMYFUNCTION("""COMPUTED_VALUE"""),8.0)</f>
        <v>8</v>
      </c>
      <c r="R183" s="208">
        <f>IFERROR(__xludf.DUMMYFUNCTION("""COMPUTED_VALUE"""),2184.0)</f>
        <v>2184</v>
      </c>
      <c r="S183" s="208">
        <f>IFERROR(__xludf.DUMMYFUNCTION("""COMPUTED_VALUE"""),1.0)</f>
        <v>1</v>
      </c>
      <c r="T183" s="208">
        <f>IFERROR(__xludf.DUMMYFUNCTION("""COMPUTED_VALUE"""),338.0)</f>
        <v>338</v>
      </c>
      <c r="U183" s="208">
        <f>IFERROR(__xludf.DUMMYFUNCTION("""COMPUTED_VALUE"""),81.0)</f>
        <v>81</v>
      </c>
      <c r="V183" s="208">
        <f>IFERROR(__xludf.DUMMYFUNCTION("""COMPUTED_VALUE"""),85.0)</f>
        <v>85</v>
      </c>
      <c r="W183" s="208">
        <f>IFERROR(__xludf.DUMMYFUNCTION("""COMPUTED_VALUE"""),6.0)</f>
        <v>6</v>
      </c>
      <c r="X183" s="208">
        <f>IFERROR(__xludf.DUMMYFUNCTION("""COMPUTED_VALUE"""),3.0)</f>
        <v>3</v>
      </c>
      <c r="Y183" s="208">
        <f>IFERROR(__xludf.DUMMYFUNCTION("""COMPUTED_VALUE"""),1.0)</f>
        <v>1</v>
      </c>
      <c r="Z183" s="208">
        <f>IFERROR(__xludf.DUMMYFUNCTION("""COMPUTED_VALUE"""),1075.0)</f>
        <v>1075</v>
      </c>
    </row>
    <row r="184">
      <c r="A184" s="207">
        <f>IFERROR(__xludf.DUMMYFUNCTION("""COMPUTED_VALUE"""),44081.0)</f>
        <v>44081</v>
      </c>
      <c r="B184" s="208">
        <f>IFERROR(__xludf.DUMMYFUNCTION("""COMPUTED_VALUE"""),35.0)</f>
        <v>35</v>
      </c>
      <c r="C184" s="208">
        <f>IFERROR(__xludf.DUMMYFUNCTION("""COMPUTED_VALUE"""),58.0)</f>
        <v>58</v>
      </c>
      <c r="D184" s="208">
        <f>IFERROR(__xludf.DUMMYFUNCTION("""COMPUTED_VALUE"""),32083.0)</f>
        <v>32083</v>
      </c>
      <c r="E184" s="208">
        <f>IFERROR(__xludf.DUMMYFUNCTION("""COMPUTED_VALUE"""),2999.0)</f>
        <v>2999</v>
      </c>
      <c r="F184" s="150">
        <f>IFERROR(__xludf.DUMMYFUNCTION("""COMPUTED_VALUE"""),558625.0)</f>
        <v>558625</v>
      </c>
      <c r="G184" s="150">
        <f>IFERROR(__xludf.DUMMYFUNCTION("""COMPUTED_VALUE"""),3034.0)</f>
        <v>3034</v>
      </c>
      <c r="H184" s="150">
        <f>IFERROR(__xludf.DUMMYFUNCTION("""COMPUTED_VALUE"""),590708.0)</f>
        <v>590708</v>
      </c>
      <c r="I184" s="208">
        <f>IFERROR(__xludf.DUMMYFUNCTION("""COMPUTED_VALUE"""),26.0)</f>
        <v>26</v>
      </c>
      <c r="J184" s="208">
        <f>IFERROR(__xludf.DUMMYFUNCTION("""COMPUTED_VALUE"""),45.0)</f>
        <v>45</v>
      </c>
      <c r="K184" s="208">
        <f>IFERROR(__xludf.DUMMYFUNCTION("""COMPUTED_VALUE"""),22650.0)</f>
        <v>22650</v>
      </c>
      <c r="L184" s="208">
        <f>IFERROR(__xludf.DUMMYFUNCTION("""COMPUTED_VALUE"""),649.0)</f>
        <v>649</v>
      </c>
      <c r="M184" s="208">
        <f>IFERROR(__xludf.DUMMYFUNCTION("""COMPUTED_VALUE"""),274700.0)</f>
        <v>274700</v>
      </c>
      <c r="N184" s="208">
        <f>IFERROR(__xludf.DUMMYFUNCTION("""COMPUTED_VALUE"""),297350.0)</f>
        <v>297350</v>
      </c>
      <c r="O184" s="208">
        <f>IFERROR(__xludf.DUMMYFUNCTION("""COMPUTED_VALUE"""),11.0)</f>
        <v>11</v>
      </c>
      <c r="P184" s="208">
        <f>IFERROR(__xludf.DUMMYFUNCTION("""COMPUTED_VALUE"""),2614.0)</f>
        <v>2614</v>
      </c>
      <c r="Q184" s="208">
        <f>IFERROR(__xludf.DUMMYFUNCTION("""COMPUTED_VALUE"""),3.0)</f>
        <v>3</v>
      </c>
      <c r="R184" s="208">
        <f>IFERROR(__xludf.DUMMYFUNCTION("""COMPUTED_VALUE"""),2187.0)</f>
        <v>2187</v>
      </c>
      <c r="S184" s="208">
        <f>IFERROR(__xludf.DUMMYFUNCTION("""COMPUTED_VALUE"""),0.0)</f>
        <v>0</v>
      </c>
      <c r="T184" s="208">
        <f>IFERROR(__xludf.DUMMYFUNCTION("""COMPUTED_VALUE"""),338.0)</f>
        <v>338</v>
      </c>
      <c r="U184" s="208">
        <f>IFERROR(__xludf.DUMMYFUNCTION("""COMPUTED_VALUE"""),89.0)</f>
        <v>89</v>
      </c>
      <c r="V184" s="208">
        <f>IFERROR(__xludf.DUMMYFUNCTION("""COMPUTED_VALUE"""),85.0)</f>
        <v>85</v>
      </c>
      <c r="W184" s="208">
        <f>IFERROR(__xludf.DUMMYFUNCTION("""COMPUTED_VALUE"""),5.0)</f>
        <v>5</v>
      </c>
      <c r="X184" s="208">
        <f>IFERROR(__xludf.DUMMYFUNCTION("""COMPUTED_VALUE"""),3.0)</f>
        <v>3</v>
      </c>
      <c r="Y184" s="208">
        <f>IFERROR(__xludf.DUMMYFUNCTION("""COMPUTED_VALUE"""),1.0)</f>
        <v>1</v>
      </c>
      <c r="Z184" s="208">
        <f>IFERROR(__xludf.DUMMYFUNCTION("""COMPUTED_VALUE"""),1076.0)</f>
        <v>1076</v>
      </c>
    </row>
    <row r="185">
      <c r="A185" s="207">
        <f>IFERROR(__xludf.DUMMYFUNCTION("""COMPUTED_VALUE"""),44082.0)</f>
        <v>44082</v>
      </c>
      <c r="B185" s="208">
        <f>IFERROR(__xludf.DUMMYFUNCTION("""COMPUTED_VALUE"""),74.0)</f>
        <v>74</v>
      </c>
      <c r="C185" s="208">
        <f>IFERROR(__xludf.DUMMYFUNCTION("""COMPUTED_VALUE"""),65.0)</f>
        <v>65</v>
      </c>
      <c r="D185" s="208">
        <f>IFERROR(__xludf.DUMMYFUNCTION("""COMPUTED_VALUE"""),32157.0)</f>
        <v>32157</v>
      </c>
      <c r="E185" s="208">
        <f>IFERROR(__xludf.DUMMYFUNCTION("""COMPUTED_VALUE"""),6341.0)</f>
        <v>6341</v>
      </c>
      <c r="F185" s="150">
        <f>IFERROR(__xludf.DUMMYFUNCTION("""COMPUTED_VALUE"""),564966.0)</f>
        <v>564966</v>
      </c>
      <c r="G185" s="150">
        <f>IFERROR(__xludf.DUMMYFUNCTION("""COMPUTED_VALUE"""),6415.0)</f>
        <v>6415</v>
      </c>
      <c r="H185" s="150">
        <f>IFERROR(__xludf.DUMMYFUNCTION("""COMPUTED_VALUE"""),597123.0)</f>
        <v>597123</v>
      </c>
      <c r="I185" s="208">
        <f>IFERROR(__xludf.DUMMYFUNCTION("""COMPUTED_VALUE"""),67.0)</f>
        <v>67</v>
      </c>
      <c r="J185" s="208">
        <f>IFERROR(__xludf.DUMMYFUNCTION("""COMPUTED_VALUE"""),53.0)</f>
        <v>53</v>
      </c>
      <c r="K185" s="208">
        <f>IFERROR(__xludf.DUMMYFUNCTION("""COMPUTED_VALUE"""),22717.0)</f>
        <v>22717</v>
      </c>
      <c r="L185" s="208">
        <f>IFERROR(__xludf.DUMMYFUNCTION("""COMPUTED_VALUE"""),1592.0)</f>
        <v>1592</v>
      </c>
      <c r="M185" s="208">
        <f>IFERROR(__xludf.DUMMYFUNCTION("""COMPUTED_VALUE"""),276292.0)</f>
        <v>276292</v>
      </c>
      <c r="N185" s="208">
        <f>IFERROR(__xludf.DUMMYFUNCTION("""COMPUTED_VALUE"""),299009.0)</f>
        <v>299009</v>
      </c>
      <c r="O185" s="208">
        <f>IFERROR(__xludf.DUMMYFUNCTION("""COMPUTED_VALUE"""),6.0)</f>
        <v>6</v>
      </c>
      <c r="P185" s="208">
        <f>IFERROR(__xludf.DUMMYFUNCTION("""COMPUTED_VALUE"""),2620.0)</f>
        <v>2620</v>
      </c>
      <c r="Q185" s="208">
        <f>IFERROR(__xludf.DUMMYFUNCTION("""COMPUTED_VALUE"""),12.0)</f>
        <v>12</v>
      </c>
      <c r="R185" s="208">
        <f>IFERROR(__xludf.DUMMYFUNCTION("""COMPUTED_VALUE"""),2199.0)</f>
        <v>2199</v>
      </c>
      <c r="S185" s="208">
        <f>IFERROR(__xludf.DUMMYFUNCTION("""COMPUTED_VALUE"""),1.0)</f>
        <v>1</v>
      </c>
      <c r="T185" s="208">
        <f>IFERROR(__xludf.DUMMYFUNCTION("""COMPUTED_VALUE"""),339.0)</f>
        <v>339</v>
      </c>
      <c r="U185" s="208">
        <f>IFERROR(__xludf.DUMMYFUNCTION("""COMPUTED_VALUE"""),82.0)</f>
        <v>82</v>
      </c>
      <c r="V185" s="208">
        <f>IFERROR(__xludf.DUMMYFUNCTION("""COMPUTED_VALUE"""),84.0)</f>
        <v>84</v>
      </c>
      <c r="W185" s="208">
        <f>IFERROR(__xludf.DUMMYFUNCTION("""COMPUTED_VALUE"""),6.0)</f>
        <v>6</v>
      </c>
      <c r="X185" s="208">
        <f>IFERROR(__xludf.DUMMYFUNCTION("""COMPUTED_VALUE"""),3.0)</f>
        <v>3</v>
      </c>
      <c r="Y185" s="208">
        <f>IFERROR(__xludf.DUMMYFUNCTION("""COMPUTED_VALUE"""),2.0)</f>
        <v>2</v>
      </c>
      <c r="Z185" s="208">
        <f>IFERROR(__xludf.DUMMYFUNCTION("""COMPUTED_VALUE"""),1078.0)</f>
        <v>1078</v>
      </c>
    </row>
    <row r="186">
      <c r="A186" s="207">
        <f>IFERROR(__xludf.DUMMYFUNCTION("""COMPUTED_VALUE"""),44083.0)</f>
        <v>44083</v>
      </c>
      <c r="B186" s="208">
        <f>IFERROR(__xludf.DUMMYFUNCTION("""COMPUTED_VALUE"""),118.0)</f>
        <v>118</v>
      </c>
      <c r="C186" s="208">
        <f>IFERROR(__xludf.DUMMYFUNCTION("""COMPUTED_VALUE"""),76.0)</f>
        <v>76</v>
      </c>
      <c r="D186" s="208">
        <f>IFERROR(__xludf.DUMMYFUNCTION("""COMPUTED_VALUE"""),32275.0)</f>
        <v>32275</v>
      </c>
      <c r="E186" s="208">
        <f>IFERROR(__xludf.DUMMYFUNCTION("""COMPUTED_VALUE"""),8794.0)</f>
        <v>8794</v>
      </c>
      <c r="F186" s="150">
        <f>IFERROR(__xludf.DUMMYFUNCTION("""COMPUTED_VALUE"""),573760.0)</f>
        <v>573760</v>
      </c>
      <c r="G186" s="150">
        <f>IFERROR(__xludf.DUMMYFUNCTION("""COMPUTED_VALUE"""),8912.0)</f>
        <v>8912</v>
      </c>
      <c r="H186" s="150">
        <f>IFERROR(__xludf.DUMMYFUNCTION("""COMPUTED_VALUE"""),606035.0)</f>
        <v>606035</v>
      </c>
      <c r="I186" s="208">
        <f>IFERROR(__xludf.DUMMYFUNCTION("""COMPUTED_VALUE"""),100.0)</f>
        <v>100</v>
      </c>
      <c r="J186" s="208">
        <f>IFERROR(__xludf.DUMMYFUNCTION("""COMPUTED_VALUE"""),64.0)</f>
        <v>64</v>
      </c>
      <c r="K186" s="208">
        <f>IFERROR(__xludf.DUMMYFUNCTION("""COMPUTED_VALUE"""),22817.0)</f>
        <v>22817</v>
      </c>
      <c r="L186" s="208">
        <f>IFERROR(__xludf.DUMMYFUNCTION("""COMPUTED_VALUE"""),2132.0)</f>
        <v>2132</v>
      </c>
      <c r="M186" s="208">
        <f>IFERROR(__xludf.DUMMYFUNCTION("""COMPUTED_VALUE"""),278424.0)</f>
        <v>278424</v>
      </c>
      <c r="N186" s="208">
        <f>IFERROR(__xludf.DUMMYFUNCTION("""COMPUTED_VALUE"""),301241.0)</f>
        <v>301241</v>
      </c>
      <c r="O186" s="208">
        <f>IFERROR(__xludf.DUMMYFUNCTION("""COMPUTED_VALUE"""),9.0)</f>
        <v>9</v>
      </c>
      <c r="P186" s="208">
        <f>IFERROR(__xludf.DUMMYFUNCTION("""COMPUTED_VALUE"""),2629.0)</f>
        <v>2629</v>
      </c>
      <c r="Q186" s="208">
        <f>IFERROR(__xludf.DUMMYFUNCTION("""COMPUTED_VALUE"""),5.0)</f>
        <v>5</v>
      </c>
      <c r="R186" s="208">
        <f>IFERROR(__xludf.DUMMYFUNCTION("""COMPUTED_VALUE"""),2204.0)</f>
        <v>2204</v>
      </c>
      <c r="S186" s="208">
        <f>IFERROR(__xludf.DUMMYFUNCTION("""COMPUTED_VALUE"""),1.0)</f>
        <v>1</v>
      </c>
      <c r="T186" s="208">
        <f>IFERROR(__xludf.DUMMYFUNCTION("""COMPUTED_VALUE"""),340.0)</f>
        <v>340</v>
      </c>
      <c r="U186" s="208">
        <f>IFERROR(__xludf.DUMMYFUNCTION("""COMPUTED_VALUE"""),85.0)</f>
        <v>85</v>
      </c>
      <c r="V186" s="208">
        <f>IFERROR(__xludf.DUMMYFUNCTION("""COMPUTED_VALUE"""),85.0)</f>
        <v>85</v>
      </c>
      <c r="W186" s="208">
        <f>IFERROR(__xludf.DUMMYFUNCTION("""COMPUTED_VALUE"""),9.0)</f>
        <v>9</v>
      </c>
      <c r="X186" s="208">
        <f>IFERROR(__xludf.DUMMYFUNCTION("""COMPUTED_VALUE"""),3.0)</f>
        <v>3</v>
      </c>
      <c r="Y186" s="208">
        <f>IFERROR(__xludf.DUMMYFUNCTION("""COMPUTED_VALUE"""),1.0)</f>
        <v>1</v>
      </c>
      <c r="Z186" s="208">
        <f>IFERROR(__xludf.DUMMYFUNCTION("""COMPUTED_VALUE"""),1079.0)</f>
        <v>1079</v>
      </c>
    </row>
    <row r="187">
      <c r="A187" s="207">
        <f>IFERROR(__xludf.DUMMYFUNCTION("""COMPUTED_VALUE"""),44084.0)</f>
        <v>44084</v>
      </c>
      <c r="B187" s="208">
        <f>IFERROR(__xludf.DUMMYFUNCTION("""COMPUTED_VALUE"""),166.0)</f>
        <v>166</v>
      </c>
      <c r="C187" s="208">
        <f>IFERROR(__xludf.DUMMYFUNCTION("""COMPUTED_VALUE"""),119.0)</f>
        <v>119</v>
      </c>
      <c r="D187" s="208">
        <f>IFERROR(__xludf.DUMMYFUNCTION("""COMPUTED_VALUE"""),32441.0)</f>
        <v>32441</v>
      </c>
      <c r="E187" s="208">
        <f>IFERROR(__xludf.DUMMYFUNCTION("""COMPUTED_VALUE"""),11396.0)</f>
        <v>11396</v>
      </c>
      <c r="F187" s="150">
        <f>IFERROR(__xludf.DUMMYFUNCTION("""COMPUTED_VALUE"""),585156.0)</f>
        <v>585156</v>
      </c>
      <c r="G187" s="150">
        <f>IFERROR(__xludf.DUMMYFUNCTION("""COMPUTED_VALUE"""),11562.0)</f>
        <v>11562</v>
      </c>
      <c r="H187" s="150">
        <f>IFERROR(__xludf.DUMMYFUNCTION("""COMPUTED_VALUE"""),617597.0)</f>
        <v>617597</v>
      </c>
      <c r="I187" s="208">
        <f>IFERROR(__xludf.DUMMYFUNCTION("""COMPUTED_VALUE"""),115.0)</f>
        <v>115</v>
      </c>
      <c r="J187" s="208">
        <f>IFERROR(__xludf.DUMMYFUNCTION("""COMPUTED_VALUE"""),94.0)</f>
        <v>94</v>
      </c>
      <c r="K187" s="208">
        <f>IFERROR(__xludf.DUMMYFUNCTION("""COMPUTED_VALUE"""),22932.0)</f>
        <v>22932</v>
      </c>
      <c r="L187" s="208">
        <f>IFERROR(__xludf.DUMMYFUNCTION("""COMPUTED_VALUE"""),2269.0)</f>
        <v>2269</v>
      </c>
      <c r="M187" s="208">
        <f>IFERROR(__xludf.DUMMYFUNCTION("""COMPUTED_VALUE"""),280693.0)</f>
        <v>280693</v>
      </c>
      <c r="N187" s="208">
        <f>IFERROR(__xludf.DUMMYFUNCTION("""COMPUTED_VALUE"""),303625.0)</f>
        <v>303625</v>
      </c>
      <c r="O187" s="208">
        <f>IFERROR(__xludf.DUMMYFUNCTION("""COMPUTED_VALUE"""),8.0)</f>
        <v>8</v>
      </c>
      <c r="P187" s="208">
        <f>IFERROR(__xludf.DUMMYFUNCTION("""COMPUTED_VALUE"""),2637.0)</f>
        <v>2637</v>
      </c>
      <c r="Q187" s="208">
        <f>IFERROR(__xludf.DUMMYFUNCTION("""COMPUTED_VALUE"""),8.0)</f>
        <v>8</v>
      </c>
      <c r="R187" s="208">
        <f>IFERROR(__xludf.DUMMYFUNCTION("""COMPUTED_VALUE"""),2212.0)</f>
        <v>2212</v>
      </c>
      <c r="S187" s="208">
        <f>IFERROR(__xludf.DUMMYFUNCTION("""COMPUTED_VALUE"""),0.0)</f>
        <v>0</v>
      </c>
      <c r="T187" s="208">
        <f>IFERROR(__xludf.DUMMYFUNCTION("""COMPUTED_VALUE"""),340.0)</f>
        <v>340</v>
      </c>
      <c r="U187" s="208">
        <f>IFERROR(__xludf.DUMMYFUNCTION("""COMPUTED_VALUE"""),85.0)</f>
        <v>85</v>
      </c>
      <c r="V187" s="208">
        <f>IFERROR(__xludf.DUMMYFUNCTION("""COMPUTED_VALUE"""),84.0)</f>
        <v>84</v>
      </c>
      <c r="W187" s="208">
        <f>IFERROR(__xludf.DUMMYFUNCTION("""COMPUTED_VALUE"""),10.0)</f>
        <v>10</v>
      </c>
      <c r="X187" s="208">
        <f>IFERROR(__xludf.DUMMYFUNCTION("""COMPUTED_VALUE"""),3.0)</f>
        <v>3</v>
      </c>
      <c r="Y187" s="208">
        <f>IFERROR(__xludf.DUMMYFUNCTION("""COMPUTED_VALUE"""),0.0)</f>
        <v>0</v>
      </c>
      <c r="Z187" s="208">
        <f>IFERROR(__xludf.DUMMYFUNCTION("""COMPUTED_VALUE"""),1079.0)</f>
        <v>1079</v>
      </c>
    </row>
    <row r="188">
      <c r="A188" s="207">
        <f>IFERROR(__xludf.DUMMYFUNCTION("""COMPUTED_VALUE"""),44085.0)</f>
        <v>44085</v>
      </c>
      <c r="B188" s="208">
        <f>IFERROR(__xludf.DUMMYFUNCTION("""COMPUTED_VALUE"""),119.0)</f>
        <v>119</v>
      </c>
      <c r="C188" s="208">
        <f>IFERROR(__xludf.DUMMYFUNCTION("""COMPUTED_VALUE"""),134.0)</f>
        <v>134</v>
      </c>
      <c r="D188" s="208">
        <f>IFERROR(__xludf.DUMMYFUNCTION("""COMPUTED_VALUE"""),32560.0)</f>
        <v>32560</v>
      </c>
      <c r="E188" s="208">
        <f>IFERROR(__xludf.DUMMYFUNCTION("""COMPUTED_VALUE"""),9418.0)</f>
        <v>9418</v>
      </c>
      <c r="F188" s="150">
        <f>IFERROR(__xludf.DUMMYFUNCTION("""COMPUTED_VALUE"""),594574.0)</f>
        <v>594574</v>
      </c>
      <c r="G188" s="150">
        <f>IFERROR(__xludf.DUMMYFUNCTION("""COMPUTED_VALUE"""),9537.0)</f>
        <v>9537</v>
      </c>
      <c r="H188" s="150">
        <f>IFERROR(__xludf.DUMMYFUNCTION("""COMPUTED_VALUE"""),627134.0)</f>
        <v>627134</v>
      </c>
      <c r="I188" s="208">
        <f>IFERROR(__xludf.DUMMYFUNCTION("""COMPUTED_VALUE"""),98.0)</f>
        <v>98</v>
      </c>
      <c r="J188" s="208">
        <f>IFERROR(__xludf.DUMMYFUNCTION("""COMPUTED_VALUE"""),104.0)</f>
        <v>104</v>
      </c>
      <c r="K188" s="208">
        <f>IFERROR(__xludf.DUMMYFUNCTION("""COMPUTED_VALUE"""),23030.0)</f>
        <v>23030</v>
      </c>
      <c r="L188" s="208">
        <f>IFERROR(__xludf.DUMMYFUNCTION("""COMPUTED_VALUE"""),1952.0)</f>
        <v>1952</v>
      </c>
      <c r="M188" s="208">
        <f>IFERROR(__xludf.DUMMYFUNCTION("""COMPUTED_VALUE"""),282645.0)</f>
        <v>282645</v>
      </c>
      <c r="N188" s="208">
        <f>IFERROR(__xludf.DUMMYFUNCTION("""COMPUTED_VALUE"""),305675.0)</f>
        <v>305675</v>
      </c>
      <c r="O188" s="208">
        <f>IFERROR(__xludf.DUMMYFUNCTION("""COMPUTED_VALUE"""),11.0)</f>
        <v>11</v>
      </c>
      <c r="P188" s="208">
        <f>IFERROR(__xludf.DUMMYFUNCTION("""COMPUTED_VALUE"""),2648.0)</f>
        <v>2648</v>
      </c>
      <c r="Q188" s="208">
        <f>IFERROR(__xludf.DUMMYFUNCTION("""COMPUTED_VALUE"""),11.0)</f>
        <v>11</v>
      </c>
      <c r="R188" s="208">
        <f>IFERROR(__xludf.DUMMYFUNCTION("""COMPUTED_VALUE"""),2223.0)</f>
        <v>2223</v>
      </c>
      <c r="S188" s="208">
        <f>IFERROR(__xludf.DUMMYFUNCTION("""COMPUTED_VALUE"""),0.0)</f>
        <v>0</v>
      </c>
      <c r="T188" s="208">
        <f>IFERROR(__xludf.DUMMYFUNCTION("""COMPUTED_VALUE"""),340.0)</f>
        <v>340</v>
      </c>
      <c r="U188" s="208">
        <f>IFERROR(__xludf.DUMMYFUNCTION("""COMPUTED_VALUE"""),85.0)</f>
        <v>85</v>
      </c>
      <c r="V188" s="208">
        <f>IFERROR(__xludf.DUMMYFUNCTION("""COMPUTED_VALUE"""),85.0)</f>
        <v>85</v>
      </c>
      <c r="W188" s="208">
        <f>IFERROR(__xludf.DUMMYFUNCTION("""COMPUTED_VALUE"""),10.0)</f>
        <v>10</v>
      </c>
      <c r="X188" s="208">
        <f>IFERROR(__xludf.DUMMYFUNCTION("""COMPUTED_VALUE"""),5.0)</f>
        <v>5</v>
      </c>
      <c r="Y188" s="208">
        <f>IFERROR(__xludf.DUMMYFUNCTION("""COMPUTED_VALUE"""),0.0)</f>
        <v>0</v>
      </c>
      <c r="Z188" s="208">
        <f>IFERROR(__xludf.DUMMYFUNCTION("""COMPUTED_VALUE"""),1079.0)</f>
        <v>1079</v>
      </c>
    </row>
    <row r="189">
      <c r="A189" s="207">
        <f>IFERROR(__xludf.DUMMYFUNCTION("""COMPUTED_VALUE"""),44086.0)</f>
        <v>44086</v>
      </c>
      <c r="B189" s="208">
        <f>IFERROR(__xludf.DUMMYFUNCTION("""COMPUTED_VALUE"""),107.0)</f>
        <v>107</v>
      </c>
      <c r="C189" s="208">
        <f>IFERROR(__xludf.DUMMYFUNCTION("""COMPUTED_VALUE"""),131.0)</f>
        <v>131</v>
      </c>
      <c r="D189" s="208">
        <f>IFERROR(__xludf.DUMMYFUNCTION("""COMPUTED_VALUE"""),32667.0)</f>
        <v>32667</v>
      </c>
      <c r="E189" s="208">
        <f>IFERROR(__xludf.DUMMYFUNCTION("""COMPUTED_VALUE"""),6071.0)</f>
        <v>6071</v>
      </c>
      <c r="F189" s="150">
        <f>IFERROR(__xludf.DUMMYFUNCTION("""COMPUTED_VALUE"""),600645.0)</f>
        <v>600645</v>
      </c>
      <c r="G189" s="150">
        <f>IFERROR(__xludf.DUMMYFUNCTION("""COMPUTED_VALUE"""),6178.0)</f>
        <v>6178</v>
      </c>
      <c r="H189" s="150">
        <f>IFERROR(__xludf.DUMMYFUNCTION("""COMPUTED_VALUE"""),633312.0)</f>
        <v>633312</v>
      </c>
      <c r="I189" s="208">
        <f>IFERROR(__xludf.DUMMYFUNCTION("""COMPUTED_VALUE"""),101.0)</f>
        <v>101</v>
      </c>
      <c r="J189" s="208">
        <f>IFERROR(__xludf.DUMMYFUNCTION("""COMPUTED_VALUE"""),105.0)</f>
        <v>105</v>
      </c>
      <c r="K189" s="208">
        <f>IFERROR(__xludf.DUMMYFUNCTION("""COMPUTED_VALUE"""),23131.0)</f>
        <v>23131</v>
      </c>
      <c r="L189" s="208">
        <f>IFERROR(__xludf.DUMMYFUNCTION("""COMPUTED_VALUE"""),1449.0)</f>
        <v>1449</v>
      </c>
      <c r="M189" s="208">
        <f>IFERROR(__xludf.DUMMYFUNCTION("""COMPUTED_VALUE"""),284094.0)</f>
        <v>284094</v>
      </c>
      <c r="N189" s="208">
        <f>IFERROR(__xludf.DUMMYFUNCTION("""COMPUTED_VALUE"""),307225.0)</f>
        <v>307225</v>
      </c>
      <c r="O189" s="208">
        <f>IFERROR(__xludf.DUMMYFUNCTION("""COMPUTED_VALUE"""),8.0)</f>
        <v>8</v>
      </c>
      <c r="P189" s="208">
        <f>IFERROR(__xludf.DUMMYFUNCTION("""COMPUTED_VALUE"""),2656.0)</f>
        <v>2656</v>
      </c>
      <c r="Q189" s="208">
        <f>IFERROR(__xludf.DUMMYFUNCTION("""COMPUTED_VALUE"""),5.0)</f>
        <v>5</v>
      </c>
      <c r="R189" s="208">
        <f>IFERROR(__xludf.DUMMYFUNCTION("""COMPUTED_VALUE"""),2228.0)</f>
        <v>2228</v>
      </c>
      <c r="S189" s="208">
        <f>IFERROR(__xludf.DUMMYFUNCTION("""COMPUTED_VALUE"""),2.0)</f>
        <v>2</v>
      </c>
      <c r="T189" s="208">
        <f>IFERROR(__xludf.DUMMYFUNCTION("""COMPUTED_VALUE"""),342.0)</f>
        <v>342</v>
      </c>
      <c r="U189" s="208">
        <f>IFERROR(__xludf.DUMMYFUNCTION("""COMPUTED_VALUE"""),86.0)</f>
        <v>86</v>
      </c>
      <c r="V189" s="208">
        <f>IFERROR(__xludf.DUMMYFUNCTION("""COMPUTED_VALUE"""),85.0)</f>
        <v>85</v>
      </c>
      <c r="W189" s="208">
        <f>IFERROR(__xludf.DUMMYFUNCTION("""COMPUTED_VALUE"""),9.0)</f>
        <v>9</v>
      </c>
      <c r="X189" s="208">
        <f>IFERROR(__xludf.DUMMYFUNCTION("""COMPUTED_VALUE"""),5.0)</f>
        <v>5</v>
      </c>
      <c r="Y189" s="208">
        <f>IFERROR(__xludf.DUMMYFUNCTION("""COMPUTED_VALUE"""),3.0)</f>
        <v>3</v>
      </c>
      <c r="Z189" s="208">
        <f>IFERROR(__xludf.DUMMYFUNCTION("""COMPUTED_VALUE"""),1082.0)</f>
        <v>1082</v>
      </c>
    </row>
    <row r="190">
      <c r="A190" s="207">
        <f>IFERROR(__xludf.DUMMYFUNCTION("""COMPUTED_VALUE"""),44087.0)</f>
        <v>44087</v>
      </c>
      <c r="B190" s="208">
        <f>IFERROR(__xludf.DUMMYFUNCTION("""COMPUTED_VALUE"""),58.0)</f>
        <v>58</v>
      </c>
      <c r="C190" s="208">
        <f>IFERROR(__xludf.DUMMYFUNCTION("""COMPUTED_VALUE"""),95.0)</f>
        <v>95</v>
      </c>
      <c r="D190" s="208">
        <f>IFERROR(__xludf.DUMMYFUNCTION("""COMPUTED_VALUE"""),32725.0)</f>
        <v>32725</v>
      </c>
      <c r="E190" s="208">
        <f>IFERROR(__xludf.DUMMYFUNCTION("""COMPUTED_VALUE"""),2614.0)</f>
        <v>2614</v>
      </c>
      <c r="F190" s="150">
        <f>IFERROR(__xludf.DUMMYFUNCTION("""COMPUTED_VALUE"""),603259.0)</f>
        <v>603259</v>
      </c>
      <c r="G190" s="150">
        <f>IFERROR(__xludf.DUMMYFUNCTION("""COMPUTED_VALUE"""),2672.0)</f>
        <v>2672</v>
      </c>
      <c r="H190" s="150">
        <f>IFERROR(__xludf.DUMMYFUNCTION("""COMPUTED_VALUE"""),635984.0)</f>
        <v>635984</v>
      </c>
      <c r="I190" s="208">
        <f>IFERROR(__xludf.DUMMYFUNCTION("""COMPUTED_VALUE"""),54.0)</f>
        <v>54</v>
      </c>
      <c r="J190" s="208">
        <f>IFERROR(__xludf.DUMMYFUNCTION("""COMPUTED_VALUE"""),84.0)</f>
        <v>84</v>
      </c>
      <c r="K190" s="208">
        <f>IFERROR(__xludf.DUMMYFUNCTION("""COMPUTED_VALUE"""),23185.0)</f>
        <v>23185</v>
      </c>
      <c r="L190" s="208">
        <f>IFERROR(__xludf.DUMMYFUNCTION("""COMPUTED_VALUE"""),804.0)</f>
        <v>804</v>
      </c>
      <c r="M190" s="208">
        <f>IFERROR(__xludf.DUMMYFUNCTION("""COMPUTED_VALUE"""),284898.0)</f>
        <v>284898</v>
      </c>
      <c r="N190" s="208">
        <f>IFERROR(__xludf.DUMMYFUNCTION("""COMPUTED_VALUE"""),308083.0)</f>
        <v>308083</v>
      </c>
      <c r="O190" s="208">
        <f>IFERROR(__xludf.DUMMYFUNCTION("""COMPUTED_VALUE"""),4.0)</f>
        <v>4</v>
      </c>
      <c r="P190" s="208">
        <f>IFERROR(__xludf.DUMMYFUNCTION("""COMPUTED_VALUE"""),2660.0)</f>
        <v>2660</v>
      </c>
      <c r="Q190" s="208">
        <f>IFERROR(__xludf.DUMMYFUNCTION("""COMPUTED_VALUE"""),3.0)</f>
        <v>3</v>
      </c>
      <c r="R190" s="208">
        <f>IFERROR(__xludf.DUMMYFUNCTION("""COMPUTED_VALUE"""),2231.0)</f>
        <v>2231</v>
      </c>
      <c r="S190" s="208">
        <f>IFERROR(__xludf.DUMMYFUNCTION("""COMPUTED_VALUE"""),0.0)</f>
        <v>0</v>
      </c>
      <c r="T190" s="208">
        <f>IFERROR(__xludf.DUMMYFUNCTION("""COMPUTED_VALUE"""),342.0)</f>
        <v>342</v>
      </c>
      <c r="U190" s="208">
        <f>IFERROR(__xludf.DUMMYFUNCTION("""COMPUTED_VALUE"""),87.0)</f>
        <v>87</v>
      </c>
      <c r="V190" s="208">
        <f>IFERROR(__xludf.DUMMYFUNCTION("""COMPUTED_VALUE"""),86.0)</f>
        <v>86</v>
      </c>
      <c r="W190" s="208">
        <f>IFERROR(__xludf.DUMMYFUNCTION("""COMPUTED_VALUE"""),9.0)</f>
        <v>9</v>
      </c>
      <c r="X190" s="208">
        <f>IFERROR(__xludf.DUMMYFUNCTION("""COMPUTED_VALUE"""),5.0)</f>
        <v>5</v>
      </c>
      <c r="Y190" s="208">
        <f>IFERROR(__xludf.DUMMYFUNCTION("""COMPUTED_VALUE"""),0.0)</f>
        <v>0</v>
      </c>
      <c r="Z190" s="208">
        <f>IFERROR(__xludf.DUMMYFUNCTION("""COMPUTED_VALUE"""),1082.0)</f>
        <v>1082</v>
      </c>
    </row>
    <row r="191">
      <c r="A191" s="207">
        <f>IFERROR(__xludf.DUMMYFUNCTION("""COMPUTED_VALUE"""),44088.0)</f>
        <v>44088</v>
      </c>
      <c r="B191" s="208">
        <f>IFERROR(__xludf.DUMMYFUNCTION("""COMPUTED_VALUE"""),101.0)</f>
        <v>101</v>
      </c>
      <c r="C191" s="208">
        <f>IFERROR(__xludf.DUMMYFUNCTION("""COMPUTED_VALUE"""),89.0)</f>
        <v>89</v>
      </c>
      <c r="D191" s="208">
        <f>IFERROR(__xludf.DUMMYFUNCTION("""COMPUTED_VALUE"""),32826.0)</f>
        <v>32826</v>
      </c>
      <c r="E191" s="208">
        <f>IFERROR(__xludf.DUMMYFUNCTION("""COMPUTED_VALUE"""),6238.0)</f>
        <v>6238</v>
      </c>
      <c r="F191" s="150">
        <f>IFERROR(__xludf.DUMMYFUNCTION("""COMPUTED_VALUE"""),609497.0)</f>
        <v>609497</v>
      </c>
      <c r="G191" s="150">
        <f>IFERROR(__xludf.DUMMYFUNCTION("""COMPUTED_VALUE"""),6339.0)</f>
        <v>6339</v>
      </c>
      <c r="H191" s="150">
        <f>IFERROR(__xludf.DUMMYFUNCTION("""COMPUTED_VALUE"""),642323.0)</f>
        <v>642323</v>
      </c>
      <c r="I191" s="208">
        <f>IFERROR(__xludf.DUMMYFUNCTION("""COMPUTED_VALUE"""),92.0)</f>
        <v>92</v>
      </c>
      <c r="J191" s="208">
        <f>IFERROR(__xludf.DUMMYFUNCTION("""COMPUTED_VALUE"""),82.0)</f>
        <v>82</v>
      </c>
      <c r="K191" s="208">
        <f>IFERROR(__xludf.DUMMYFUNCTION("""COMPUTED_VALUE"""),23277.0)</f>
        <v>23277</v>
      </c>
      <c r="L191" s="208">
        <f>IFERROR(__xludf.DUMMYFUNCTION("""COMPUTED_VALUE"""),1609.0)</f>
        <v>1609</v>
      </c>
      <c r="M191" s="208">
        <f>IFERROR(__xludf.DUMMYFUNCTION("""COMPUTED_VALUE"""),286507.0)</f>
        <v>286507</v>
      </c>
      <c r="N191" s="208">
        <f>IFERROR(__xludf.DUMMYFUNCTION("""COMPUTED_VALUE"""),309784.0)</f>
        <v>309784</v>
      </c>
      <c r="O191" s="208">
        <f>IFERROR(__xludf.DUMMYFUNCTION("""COMPUTED_VALUE"""),5.0)</f>
        <v>5</v>
      </c>
      <c r="P191" s="208">
        <f>IFERROR(__xludf.DUMMYFUNCTION("""COMPUTED_VALUE"""),2665.0)</f>
        <v>2665</v>
      </c>
      <c r="Q191" s="208">
        <f>IFERROR(__xludf.DUMMYFUNCTION("""COMPUTED_VALUE"""),3.0)</f>
        <v>3</v>
      </c>
      <c r="R191" s="208">
        <f>IFERROR(__xludf.DUMMYFUNCTION("""COMPUTED_VALUE"""),2234.0)</f>
        <v>2234</v>
      </c>
      <c r="S191" s="208">
        <f>IFERROR(__xludf.DUMMYFUNCTION("""COMPUTED_VALUE"""),2.0)</f>
        <v>2</v>
      </c>
      <c r="T191" s="208">
        <f>IFERROR(__xludf.DUMMYFUNCTION("""COMPUTED_VALUE"""),344.0)</f>
        <v>344</v>
      </c>
      <c r="U191" s="208">
        <f>IFERROR(__xludf.DUMMYFUNCTION("""COMPUTED_VALUE"""),87.0)</f>
        <v>87</v>
      </c>
      <c r="V191" s="208">
        <f>IFERROR(__xludf.DUMMYFUNCTION("""COMPUTED_VALUE"""),87.0)</f>
        <v>87</v>
      </c>
      <c r="W191" s="208">
        <f>IFERROR(__xludf.DUMMYFUNCTION("""COMPUTED_VALUE"""),9.0)</f>
        <v>9</v>
      </c>
      <c r="X191" s="208">
        <f>IFERROR(__xludf.DUMMYFUNCTION("""COMPUTED_VALUE"""),5.0)</f>
        <v>5</v>
      </c>
      <c r="Y191" s="208">
        <f>IFERROR(__xludf.DUMMYFUNCTION("""COMPUTED_VALUE"""),1.0)</f>
        <v>1</v>
      </c>
      <c r="Z191" s="208">
        <f>IFERROR(__xludf.DUMMYFUNCTION("""COMPUTED_VALUE"""),1083.0)</f>
        <v>1083</v>
      </c>
    </row>
    <row r="192">
      <c r="A192" s="207">
        <f>IFERROR(__xludf.DUMMYFUNCTION("""COMPUTED_VALUE"""),44089.0)</f>
        <v>44089</v>
      </c>
      <c r="B192" s="208">
        <f>IFERROR(__xludf.DUMMYFUNCTION("""COMPUTED_VALUE"""),138.0)</f>
        <v>138</v>
      </c>
      <c r="C192" s="208">
        <f>IFERROR(__xludf.DUMMYFUNCTION("""COMPUTED_VALUE"""),99.0)</f>
        <v>99</v>
      </c>
      <c r="D192" s="208">
        <f>IFERROR(__xludf.DUMMYFUNCTION("""COMPUTED_VALUE"""),32964.0)</f>
        <v>32964</v>
      </c>
      <c r="E192" s="208">
        <f>IFERROR(__xludf.DUMMYFUNCTION("""COMPUTED_VALUE"""),8248.0)</f>
        <v>8248</v>
      </c>
      <c r="F192" s="150">
        <f>IFERROR(__xludf.DUMMYFUNCTION("""COMPUTED_VALUE"""),617745.0)</f>
        <v>617745</v>
      </c>
      <c r="G192" s="150">
        <f>IFERROR(__xludf.DUMMYFUNCTION("""COMPUTED_VALUE"""),8386.0)</f>
        <v>8386</v>
      </c>
      <c r="H192" s="150">
        <f>IFERROR(__xludf.DUMMYFUNCTION("""COMPUTED_VALUE"""),650709.0)</f>
        <v>650709</v>
      </c>
      <c r="I192" s="208">
        <f>IFERROR(__xludf.DUMMYFUNCTION("""COMPUTED_VALUE"""),118.0)</f>
        <v>118</v>
      </c>
      <c r="J192" s="208">
        <f>IFERROR(__xludf.DUMMYFUNCTION("""COMPUTED_VALUE"""),88.0)</f>
        <v>88</v>
      </c>
      <c r="K192" s="208">
        <f>IFERROR(__xludf.DUMMYFUNCTION("""COMPUTED_VALUE"""),23395.0)</f>
        <v>23395</v>
      </c>
      <c r="L192" s="208">
        <f>IFERROR(__xludf.DUMMYFUNCTION("""COMPUTED_VALUE"""),1960.0)</f>
        <v>1960</v>
      </c>
      <c r="M192" s="208">
        <f>IFERROR(__xludf.DUMMYFUNCTION("""COMPUTED_VALUE"""),288467.0)</f>
        <v>288467</v>
      </c>
      <c r="N192" s="208">
        <f>IFERROR(__xludf.DUMMYFUNCTION("""COMPUTED_VALUE"""),311862.0)</f>
        <v>311862</v>
      </c>
      <c r="O192" s="208">
        <f>IFERROR(__xludf.DUMMYFUNCTION("""COMPUTED_VALUE"""),5.0)</f>
        <v>5</v>
      </c>
      <c r="P192" s="208">
        <f>IFERROR(__xludf.DUMMYFUNCTION("""COMPUTED_VALUE"""),2670.0)</f>
        <v>2670</v>
      </c>
      <c r="Q192" s="208">
        <f>IFERROR(__xludf.DUMMYFUNCTION("""COMPUTED_VALUE"""),2.0)</f>
        <v>2</v>
      </c>
      <c r="R192" s="208">
        <f>IFERROR(__xludf.DUMMYFUNCTION("""COMPUTED_VALUE"""),2236.0)</f>
        <v>2236</v>
      </c>
      <c r="S192" s="208">
        <f>IFERROR(__xludf.DUMMYFUNCTION("""COMPUTED_VALUE"""),1.0)</f>
        <v>1</v>
      </c>
      <c r="T192" s="208">
        <f>IFERROR(__xludf.DUMMYFUNCTION("""COMPUTED_VALUE"""),345.0)</f>
        <v>345</v>
      </c>
      <c r="U192" s="208">
        <f>IFERROR(__xludf.DUMMYFUNCTION("""COMPUTED_VALUE"""),89.0)</f>
        <v>89</v>
      </c>
      <c r="V192" s="208">
        <f>IFERROR(__xludf.DUMMYFUNCTION("""COMPUTED_VALUE"""),88.0)</f>
        <v>88</v>
      </c>
      <c r="W192" s="208">
        <f>IFERROR(__xludf.DUMMYFUNCTION("""COMPUTED_VALUE"""),9.0)</f>
        <v>9</v>
      </c>
      <c r="X192" s="208">
        <f>IFERROR(__xludf.DUMMYFUNCTION("""COMPUTED_VALUE"""),5.0)</f>
        <v>5</v>
      </c>
      <c r="Y192" s="208">
        <f>IFERROR(__xludf.DUMMYFUNCTION("""COMPUTED_VALUE"""),2.0)</f>
        <v>2</v>
      </c>
      <c r="Z192" s="208">
        <f>IFERROR(__xludf.DUMMYFUNCTION("""COMPUTED_VALUE"""),1085.0)</f>
        <v>1085</v>
      </c>
    </row>
    <row r="193">
      <c r="A193" s="207">
        <f>IFERROR(__xludf.DUMMYFUNCTION("""COMPUTED_VALUE"""),44090.0)</f>
        <v>44090</v>
      </c>
      <c r="B193" s="208">
        <f>IFERROR(__xludf.DUMMYFUNCTION("""COMPUTED_VALUE"""),151.0)</f>
        <v>151</v>
      </c>
      <c r="C193" s="208">
        <f>IFERROR(__xludf.DUMMYFUNCTION("""COMPUTED_VALUE"""),130.0)</f>
        <v>130</v>
      </c>
      <c r="D193" s="208">
        <f>IFERROR(__xludf.DUMMYFUNCTION("""COMPUTED_VALUE"""),33115.0)</f>
        <v>33115</v>
      </c>
      <c r="E193" s="208">
        <f>IFERROR(__xludf.DUMMYFUNCTION("""COMPUTED_VALUE"""),9532.0)</f>
        <v>9532</v>
      </c>
      <c r="F193" s="150">
        <f>IFERROR(__xludf.DUMMYFUNCTION("""COMPUTED_VALUE"""),627277.0)</f>
        <v>627277</v>
      </c>
      <c r="G193" s="150">
        <f>IFERROR(__xludf.DUMMYFUNCTION("""COMPUTED_VALUE"""),9683.0)</f>
        <v>9683</v>
      </c>
      <c r="H193" s="150">
        <f>IFERROR(__xludf.DUMMYFUNCTION("""COMPUTED_VALUE"""),660392.0)</f>
        <v>660392</v>
      </c>
      <c r="I193" s="208">
        <f>IFERROR(__xludf.DUMMYFUNCTION("""COMPUTED_VALUE"""),113.0)</f>
        <v>113</v>
      </c>
      <c r="J193" s="208">
        <f>IFERROR(__xludf.DUMMYFUNCTION("""COMPUTED_VALUE"""),108.0)</f>
        <v>108</v>
      </c>
      <c r="K193" s="208">
        <f>IFERROR(__xludf.DUMMYFUNCTION("""COMPUTED_VALUE"""),23508.0)</f>
        <v>23508</v>
      </c>
      <c r="L193" s="208">
        <f>IFERROR(__xludf.DUMMYFUNCTION("""COMPUTED_VALUE"""),1830.0)</f>
        <v>1830</v>
      </c>
      <c r="M193" s="208">
        <f>IFERROR(__xludf.DUMMYFUNCTION("""COMPUTED_VALUE"""),290297.0)</f>
        <v>290297</v>
      </c>
      <c r="N193" s="208">
        <f>IFERROR(__xludf.DUMMYFUNCTION("""COMPUTED_VALUE"""),313805.0)</f>
        <v>313805</v>
      </c>
      <c r="O193" s="208">
        <f>IFERROR(__xludf.DUMMYFUNCTION("""COMPUTED_VALUE"""),7.0)</f>
        <v>7</v>
      </c>
      <c r="P193" s="208">
        <f>IFERROR(__xludf.DUMMYFUNCTION("""COMPUTED_VALUE"""),2677.0)</f>
        <v>2677</v>
      </c>
      <c r="Q193" s="208">
        <f>IFERROR(__xludf.DUMMYFUNCTION("""COMPUTED_VALUE"""),7.0)</f>
        <v>7</v>
      </c>
      <c r="R193" s="208">
        <f>IFERROR(__xludf.DUMMYFUNCTION("""COMPUTED_VALUE"""),2243.0)</f>
        <v>2243</v>
      </c>
      <c r="S193" s="208">
        <f>IFERROR(__xludf.DUMMYFUNCTION("""COMPUTED_VALUE"""),2.0)</f>
        <v>2</v>
      </c>
      <c r="T193" s="208">
        <f>IFERROR(__xludf.DUMMYFUNCTION("""COMPUTED_VALUE"""),347.0)</f>
        <v>347</v>
      </c>
      <c r="U193" s="208">
        <f>IFERROR(__xludf.DUMMYFUNCTION("""COMPUTED_VALUE"""),87.0)</f>
        <v>87</v>
      </c>
      <c r="V193" s="208">
        <f>IFERROR(__xludf.DUMMYFUNCTION("""COMPUTED_VALUE"""),88.0)</f>
        <v>88</v>
      </c>
      <c r="W193" s="208">
        <f>IFERROR(__xludf.DUMMYFUNCTION("""COMPUTED_VALUE"""),7.0)</f>
        <v>7</v>
      </c>
      <c r="X193" s="208">
        <f>IFERROR(__xludf.DUMMYFUNCTION("""COMPUTED_VALUE"""),6.0)</f>
        <v>6</v>
      </c>
      <c r="Y193" s="208">
        <f>IFERROR(__xludf.DUMMYFUNCTION("""COMPUTED_VALUE"""),5.0)</f>
        <v>5</v>
      </c>
      <c r="Z193" s="208">
        <f>IFERROR(__xludf.DUMMYFUNCTION("""COMPUTED_VALUE"""),1090.0)</f>
        <v>1090</v>
      </c>
    </row>
    <row r="194">
      <c r="A194" s="207">
        <f>IFERROR(__xludf.DUMMYFUNCTION("""COMPUTED_VALUE"""),44091.0)</f>
        <v>44091</v>
      </c>
      <c r="B194" s="208">
        <f>IFERROR(__xludf.DUMMYFUNCTION("""COMPUTED_VALUE"""),136.0)</f>
        <v>136</v>
      </c>
      <c r="C194" s="208">
        <f>IFERROR(__xludf.DUMMYFUNCTION("""COMPUTED_VALUE"""),142.0)</f>
        <v>142</v>
      </c>
      <c r="D194" s="208">
        <f>IFERROR(__xludf.DUMMYFUNCTION("""COMPUTED_VALUE"""),33251.0)</f>
        <v>33251</v>
      </c>
      <c r="E194" s="208">
        <f>IFERROR(__xludf.DUMMYFUNCTION("""COMPUTED_VALUE"""),9179.0)</f>
        <v>9179</v>
      </c>
      <c r="F194" s="150">
        <f>IFERROR(__xludf.DUMMYFUNCTION("""COMPUTED_VALUE"""),636456.0)</f>
        <v>636456</v>
      </c>
      <c r="G194" s="150">
        <f>IFERROR(__xludf.DUMMYFUNCTION("""COMPUTED_VALUE"""),9315.0)</f>
        <v>9315</v>
      </c>
      <c r="H194" s="150">
        <f>IFERROR(__xludf.DUMMYFUNCTION("""COMPUTED_VALUE"""),669707.0)</f>
        <v>669707</v>
      </c>
      <c r="I194" s="208">
        <f>IFERROR(__xludf.DUMMYFUNCTION("""COMPUTED_VALUE"""),156.0)</f>
        <v>156</v>
      </c>
      <c r="J194" s="208">
        <f>IFERROR(__xludf.DUMMYFUNCTION("""COMPUTED_VALUE"""),129.0)</f>
        <v>129</v>
      </c>
      <c r="K194" s="208">
        <f>IFERROR(__xludf.DUMMYFUNCTION("""COMPUTED_VALUE"""),23664.0)</f>
        <v>23664</v>
      </c>
      <c r="L194" s="208">
        <f>IFERROR(__xludf.DUMMYFUNCTION("""COMPUTED_VALUE"""),1881.0)</f>
        <v>1881</v>
      </c>
      <c r="M194" s="208">
        <f>IFERROR(__xludf.DUMMYFUNCTION("""COMPUTED_VALUE"""),292178.0)</f>
        <v>292178</v>
      </c>
      <c r="N194" s="208">
        <f>IFERROR(__xludf.DUMMYFUNCTION("""COMPUTED_VALUE"""),315842.0)</f>
        <v>315842</v>
      </c>
      <c r="O194" s="208">
        <f>IFERROR(__xludf.DUMMYFUNCTION("""COMPUTED_VALUE"""),7.0)</f>
        <v>7</v>
      </c>
      <c r="P194" s="208">
        <f>IFERROR(__xludf.DUMMYFUNCTION("""COMPUTED_VALUE"""),2684.0)</f>
        <v>2684</v>
      </c>
      <c r="Q194" s="208">
        <f>IFERROR(__xludf.DUMMYFUNCTION("""COMPUTED_VALUE"""),14.0)</f>
        <v>14</v>
      </c>
      <c r="R194" s="208">
        <f>IFERROR(__xludf.DUMMYFUNCTION("""COMPUTED_VALUE"""),2257.0)</f>
        <v>2257</v>
      </c>
      <c r="S194" s="208">
        <f>IFERROR(__xludf.DUMMYFUNCTION("""COMPUTED_VALUE"""),0.0)</f>
        <v>0</v>
      </c>
      <c r="T194" s="208">
        <f>IFERROR(__xludf.DUMMYFUNCTION("""COMPUTED_VALUE"""),347.0)</f>
        <v>347</v>
      </c>
      <c r="U194" s="208">
        <f>IFERROR(__xludf.DUMMYFUNCTION("""COMPUTED_VALUE"""),80.0)</f>
        <v>80</v>
      </c>
      <c r="V194" s="208">
        <f>IFERROR(__xludf.DUMMYFUNCTION("""COMPUTED_VALUE"""),85.0)</f>
        <v>85</v>
      </c>
      <c r="W194" s="208">
        <f>IFERROR(__xludf.DUMMYFUNCTION("""COMPUTED_VALUE"""),8.0)</f>
        <v>8</v>
      </c>
      <c r="X194" s="208">
        <f>IFERROR(__xludf.DUMMYFUNCTION("""COMPUTED_VALUE"""),3.0)</f>
        <v>3</v>
      </c>
      <c r="Y194" s="208">
        <f>IFERROR(__xludf.DUMMYFUNCTION("""COMPUTED_VALUE"""),0.0)</f>
        <v>0</v>
      </c>
      <c r="Z194" s="208">
        <f>IFERROR(__xludf.DUMMYFUNCTION("""COMPUTED_VALUE"""),1090.0)</f>
        <v>1090</v>
      </c>
    </row>
    <row r="195">
      <c r="A195" s="207">
        <f>IFERROR(__xludf.DUMMYFUNCTION("""COMPUTED_VALUE"""),44092.0)</f>
        <v>44092</v>
      </c>
      <c r="B195" s="208">
        <f>IFERROR(__xludf.DUMMYFUNCTION("""COMPUTED_VALUE"""),200.0)</f>
        <v>200</v>
      </c>
      <c r="C195" s="208">
        <f>IFERROR(__xludf.DUMMYFUNCTION("""COMPUTED_VALUE"""),162.0)</f>
        <v>162</v>
      </c>
      <c r="D195" s="208">
        <f>IFERROR(__xludf.DUMMYFUNCTION("""COMPUTED_VALUE"""),33451.0)</f>
        <v>33451</v>
      </c>
      <c r="E195" s="208">
        <f>IFERROR(__xludf.DUMMYFUNCTION("""COMPUTED_VALUE"""),10046.0)</f>
        <v>10046</v>
      </c>
      <c r="F195" s="150">
        <f>IFERROR(__xludf.DUMMYFUNCTION("""COMPUTED_VALUE"""),646502.0)</f>
        <v>646502</v>
      </c>
      <c r="G195" s="150">
        <f>IFERROR(__xludf.DUMMYFUNCTION("""COMPUTED_VALUE"""),10246.0)</f>
        <v>10246</v>
      </c>
      <c r="H195" s="150">
        <f>IFERROR(__xludf.DUMMYFUNCTION("""COMPUTED_VALUE"""),679953.0)</f>
        <v>679953</v>
      </c>
      <c r="I195" s="208">
        <f>IFERROR(__xludf.DUMMYFUNCTION("""COMPUTED_VALUE"""),131.0)</f>
        <v>131</v>
      </c>
      <c r="J195" s="208">
        <f>IFERROR(__xludf.DUMMYFUNCTION("""COMPUTED_VALUE"""),133.0)</f>
        <v>133</v>
      </c>
      <c r="K195" s="208">
        <f>IFERROR(__xludf.DUMMYFUNCTION("""COMPUTED_VALUE"""),23795.0)</f>
        <v>23795</v>
      </c>
      <c r="L195" s="208">
        <f>IFERROR(__xludf.DUMMYFUNCTION("""COMPUTED_VALUE"""),2000.0)</f>
        <v>2000</v>
      </c>
      <c r="M195" s="208">
        <f>IFERROR(__xludf.DUMMYFUNCTION("""COMPUTED_VALUE"""),294178.0)</f>
        <v>294178</v>
      </c>
      <c r="N195" s="208">
        <f>IFERROR(__xludf.DUMMYFUNCTION("""COMPUTED_VALUE"""),317973.0)</f>
        <v>317973</v>
      </c>
      <c r="O195" s="208">
        <f>IFERROR(__xludf.DUMMYFUNCTION("""COMPUTED_VALUE"""),6.0)</f>
        <v>6</v>
      </c>
      <c r="P195" s="208">
        <f>IFERROR(__xludf.DUMMYFUNCTION("""COMPUTED_VALUE"""),2690.0)</f>
        <v>2690</v>
      </c>
      <c r="Q195" s="208">
        <f>IFERROR(__xludf.DUMMYFUNCTION("""COMPUTED_VALUE"""),7.0)</f>
        <v>7</v>
      </c>
      <c r="R195" s="208">
        <f>IFERROR(__xludf.DUMMYFUNCTION("""COMPUTED_VALUE"""),2264.0)</f>
        <v>2264</v>
      </c>
      <c r="S195" s="208">
        <f>IFERROR(__xludf.DUMMYFUNCTION("""COMPUTED_VALUE"""),1.0)</f>
        <v>1</v>
      </c>
      <c r="T195" s="208">
        <f>IFERROR(__xludf.DUMMYFUNCTION("""COMPUTED_VALUE"""),348.0)</f>
        <v>348</v>
      </c>
      <c r="U195" s="208">
        <f>IFERROR(__xludf.DUMMYFUNCTION("""COMPUTED_VALUE"""),78.0)</f>
        <v>78</v>
      </c>
      <c r="V195" s="208">
        <f>IFERROR(__xludf.DUMMYFUNCTION("""COMPUTED_VALUE"""),82.0)</f>
        <v>82</v>
      </c>
      <c r="W195" s="208">
        <f>IFERROR(__xludf.DUMMYFUNCTION("""COMPUTED_VALUE"""),11.0)</f>
        <v>11</v>
      </c>
      <c r="X195" s="208">
        <f>IFERROR(__xludf.DUMMYFUNCTION("""COMPUTED_VALUE"""),5.0)</f>
        <v>5</v>
      </c>
      <c r="Y195" s="208">
        <f>IFERROR(__xludf.DUMMYFUNCTION("""COMPUTED_VALUE"""),2.0)</f>
        <v>2</v>
      </c>
      <c r="Z195" s="208">
        <f>IFERROR(__xludf.DUMMYFUNCTION("""COMPUTED_VALUE"""),1092.0)</f>
        <v>1092</v>
      </c>
    </row>
    <row r="196">
      <c r="A196" s="207">
        <f>IFERROR(__xludf.DUMMYFUNCTION("""COMPUTED_VALUE"""),44093.0)</f>
        <v>44093</v>
      </c>
      <c r="B196" s="208">
        <f>IFERROR(__xludf.DUMMYFUNCTION("""COMPUTED_VALUE"""),160.0)</f>
        <v>160</v>
      </c>
      <c r="C196" s="208">
        <f>IFERROR(__xludf.DUMMYFUNCTION("""COMPUTED_VALUE"""),165.0)</f>
        <v>165</v>
      </c>
      <c r="D196" s="208">
        <f>IFERROR(__xludf.DUMMYFUNCTION("""COMPUTED_VALUE"""),33611.0)</f>
        <v>33611</v>
      </c>
      <c r="E196" s="208">
        <f>IFERROR(__xludf.DUMMYFUNCTION("""COMPUTED_VALUE"""),8397.0)</f>
        <v>8397</v>
      </c>
      <c r="F196" s="150">
        <f>IFERROR(__xludf.DUMMYFUNCTION("""COMPUTED_VALUE"""),654899.0)</f>
        <v>654899</v>
      </c>
      <c r="G196" s="150">
        <f>IFERROR(__xludf.DUMMYFUNCTION("""COMPUTED_VALUE"""),8557.0)</f>
        <v>8557</v>
      </c>
      <c r="H196" s="150">
        <f>IFERROR(__xludf.DUMMYFUNCTION("""COMPUTED_VALUE"""),688510.0)</f>
        <v>688510</v>
      </c>
      <c r="I196" s="208">
        <f>IFERROR(__xludf.DUMMYFUNCTION("""COMPUTED_VALUE"""),110.0)</f>
        <v>110</v>
      </c>
      <c r="J196" s="208">
        <f>IFERROR(__xludf.DUMMYFUNCTION("""COMPUTED_VALUE"""),132.0)</f>
        <v>132</v>
      </c>
      <c r="K196" s="208">
        <f>IFERROR(__xludf.DUMMYFUNCTION("""COMPUTED_VALUE"""),23905.0)</f>
        <v>23905</v>
      </c>
      <c r="L196" s="208">
        <f>IFERROR(__xludf.DUMMYFUNCTION("""COMPUTED_VALUE"""),1776.0)</f>
        <v>1776</v>
      </c>
      <c r="M196" s="208">
        <f>IFERROR(__xludf.DUMMYFUNCTION("""COMPUTED_VALUE"""),295954.0)</f>
        <v>295954</v>
      </c>
      <c r="N196" s="208">
        <f>IFERROR(__xludf.DUMMYFUNCTION("""COMPUTED_VALUE"""),319859.0)</f>
        <v>319859</v>
      </c>
      <c r="O196" s="208">
        <f>IFERROR(__xludf.DUMMYFUNCTION("""COMPUTED_VALUE"""),7.0)</f>
        <v>7</v>
      </c>
      <c r="P196" s="208">
        <f>IFERROR(__xludf.DUMMYFUNCTION("""COMPUTED_VALUE"""),2697.0)</f>
        <v>2697</v>
      </c>
      <c r="Q196" s="208">
        <f>IFERROR(__xludf.DUMMYFUNCTION("""COMPUTED_VALUE"""),3.0)</f>
        <v>3</v>
      </c>
      <c r="R196" s="208">
        <f>IFERROR(__xludf.DUMMYFUNCTION("""COMPUTED_VALUE"""),2267.0)</f>
        <v>2267</v>
      </c>
      <c r="S196" s="208">
        <f>IFERROR(__xludf.DUMMYFUNCTION("""COMPUTED_VALUE"""),0.0)</f>
        <v>0</v>
      </c>
      <c r="T196" s="208">
        <f>IFERROR(__xludf.DUMMYFUNCTION("""COMPUTED_VALUE"""),348.0)</f>
        <v>348</v>
      </c>
      <c r="U196" s="208">
        <f>IFERROR(__xludf.DUMMYFUNCTION("""COMPUTED_VALUE"""),82.0)</f>
        <v>82</v>
      </c>
      <c r="V196" s="208">
        <f>IFERROR(__xludf.DUMMYFUNCTION("""COMPUTED_VALUE"""),80.0)</f>
        <v>80</v>
      </c>
      <c r="W196" s="208">
        <f>IFERROR(__xludf.DUMMYFUNCTION("""COMPUTED_VALUE"""),10.0)</f>
        <v>10</v>
      </c>
      <c r="X196" s="208">
        <f>IFERROR(__xludf.DUMMYFUNCTION("""COMPUTED_VALUE"""),5.0)</f>
        <v>5</v>
      </c>
      <c r="Y196" s="208">
        <f>IFERROR(__xludf.DUMMYFUNCTION("""COMPUTED_VALUE"""),4.0)</f>
        <v>4</v>
      </c>
      <c r="Z196" s="208">
        <f>IFERROR(__xludf.DUMMYFUNCTION("""COMPUTED_VALUE"""),1096.0)</f>
        <v>1096</v>
      </c>
    </row>
    <row r="197">
      <c r="A197" s="207">
        <f>IFERROR(__xludf.DUMMYFUNCTION("""COMPUTED_VALUE"""),44094.0)</f>
        <v>44094</v>
      </c>
      <c r="B197" s="208">
        <f>IFERROR(__xludf.DUMMYFUNCTION("""COMPUTED_VALUE"""),81.0)</f>
        <v>81</v>
      </c>
      <c r="C197" s="208">
        <f>IFERROR(__xludf.DUMMYFUNCTION("""COMPUTED_VALUE"""),147.0)</f>
        <v>147</v>
      </c>
      <c r="D197" s="208">
        <f>IFERROR(__xludf.DUMMYFUNCTION("""COMPUTED_VALUE"""),33692.0)</f>
        <v>33692</v>
      </c>
      <c r="E197" s="208">
        <f>IFERROR(__xludf.DUMMYFUNCTION("""COMPUTED_VALUE"""),3769.0)</f>
        <v>3769</v>
      </c>
      <c r="F197" s="150">
        <f>IFERROR(__xludf.DUMMYFUNCTION("""COMPUTED_VALUE"""),658668.0)</f>
        <v>658668</v>
      </c>
      <c r="G197" s="150">
        <f>IFERROR(__xludf.DUMMYFUNCTION("""COMPUTED_VALUE"""),3850.0)</f>
        <v>3850</v>
      </c>
      <c r="H197" s="150">
        <f>IFERROR(__xludf.DUMMYFUNCTION("""COMPUTED_VALUE"""),692360.0)</f>
        <v>692360</v>
      </c>
      <c r="I197" s="208">
        <f>IFERROR(__xludf.DUMMYFUNCTION("""COMPUTED_VALUE"""),54.0)</f>
        <v>54</v>
      </c>
      <c r="J197" s="208">
        <f>IFERROR(__xludf.DUMMYFUNCTION("""COMPUTED_VALUE"""),98.0)</f>
        <v>98</v>
      </c>
      <c r="K197" s="208">
        <f>IFERROR(__xludf.DUMMYFUNCTION("""COMPUTED_VALUE"""),23959.0)</f>
        <v>23959</v>
      </c>
      <c r="L197" s="208">
        <f>IFERROR(__xludf.DUMMYFUNCTION("""COMPUTED_VALUE"""),1406.0)</f>
        <v>1406</v>
      </c>
      <c r="M197" s="208">
        <f>IFERROR(__xludf.DUMMYFUNCTION("""COMPUTED_VALUE"""),297360.0)</f>
        <v>297360</v>
      </c>
      <c r="N197" s="208">
        <f>IFERROR(__xludf.DUMMYFUNCTION("""COMPUTED_VALUE"""),321319.0)</f>
        <v>321319</v>
      </c>
      <c r="O197" s="208">
        <f>IFERROR(__xludf.DUMMYFUNCTION("""COMPUTED_VALUE"""),6.0)</f>
        <v>6</v>
      </c>
      <c r="P197" s="208">
        <f>IFERROR(__xludf.DUMMYFUNCTION("""COMPUTED_VALUE"""),2703.0)</f>
        <v>2703</v>
      </c>
      <c r="Q197" s="208">
        <f>IFERROR(__xludf.DUMMYFUNCTION("""COMPUTED_VALUE"""),5.0)</f>
        <v>5</v>
      </c>
      <c r="R197" s="208">
        <f>IFERROR(__xludf.DUMMYFUNCTION("""COMPUTED_VALUE"""),2272.0)</f>
        <v>2272</v>
      </c>
      <c r="S197" s="208">
        <f>IFERROR(__xludf.DUMMYFUNCTION("""COMPUTED_VALUE"""),2.0)</f>
        <v>2</v>
      </c>
      <c r="T197" s="208">
        <f>IFERROR(__xludf.DUMMYFUNCTION("""COMPUTED_VALUE"""),350.0)</f>
        <v>350</v>
      </c>
      <c r="U197" s="208">
        <f>IFERROR(__xludf.DUMMYFUNCTION("""COMPUTED_VALUE"""),81.0)</f>
        <v>81</v>
      </c>
      <c r="V197" s="208">
        <f>IFERROR(__xludf.DUMMYFUNCTION("""COMPUTED_VALUE"""),80.0)</f>
        <v>80</v>
      </c>
      <c r="W197" s="208">
        <f>IFERROR(__xludf.DUMMYFUNCTION("""COMPUTED_VALUE"""),10.0)</f>
        <v>10</v>
      </c>
      <c r="X197" s="208">
        <f>IFERROR(__xludf.DUMMYFUNCTION("""COMPUTED_VALUE"""),7.0)</f>
        <v>7</v>
      </c>
      <c r="Y197" s="208">
        <f>IFERROR(__xludf.DUMMYFUNCTION("""COMPUTED_VALUE"""),4.0)</f>
        <v>4</v>
      </c>
      <c r="Z197" s="208">
        <f>IFERROR(__xludf.DUMMYFUNCTION("""COMPUTED_VALUE"""),1100.0)</f>
        <v>1100</v>
      </c>
    </row>
    <row r="198">
      <c r="A198" s="207">
        <f>IFERROR(__xludf.DUMMYFUNCTION("""COMPUTED_VALUE"""),44095.0)</f>
        <v>44095</v>
      </c>
      <c r="B198" s="208">
        <f>IFERROR(__xludf.DUMMYFUNCTION("""COMPUTED_VALUE"""),122.0)</f>
        <v>122</v>
      </c>
      <c r="C198" s="208">
        <f>IFERROR(__xludf.DUMMYFUNCTION("""COMPUTED_VALUE"""),121.0)</f>
        <v>121</v>
      </c>
      <c r="D198" s="208">
        <f>IFERROR(__xludf.DUMMYFUNCTION("""COMPUTED_VALUE"""),33814.0)</f>
        <v>33814</v>
      </c>
      <c r="E198" s="208">
        <f>IFERROR(__xludf.DUMMYFUNCTION("""COMPUTED_VALUE"""),5862.0)</f>
        <v>5862</v>
      </c>
      <c r="F198" s="150">
        <f>IFERROR(__xludf.DUMMYFUNCTION("""COMPUTED_VALUE"""),664530.0)</f>
        <v>664530</v>
      </c>
      <c r="G198" s="150">
        <f>IFERROR(__xludf.DUMMYFUNCTION("""COMPUTED_VALUE"""),5984.0)</f>
        <v>5984</v>
      </c>
      <c r="H198" s="150">
        <f>IFERROR(__xludf.DUMMYFUNCTION("""COMPUTED_VALUE"""),698344.0)</f>
        <v>698344</v>
      </c>
      <c r="I198" s="208">
        <f>IFERROR(__xludf.DUMMYFUNCTION("""COMPUTED_VALUE"""),97.0)</f>
        <v>97</v>
      </c>
      <c r="J198" s="208">
        <f>IFERROR(__xludf.DUMMYFUNCTION("""COMPUTED_VALUE"""),87.0)</f>
        <v>87</v>
      </c>
      <c r="K198" s="208">
        <f>IFERROR(__xludf.DUMMYFUNCTION("""COMPUTED_VALUE"""),24056.0)</f>
        <v>24056</v>
      </c>
      <c r="L198" s="208">
        <f>IFERROR(__xludf.DUMMYFUNCTION("""COMPUTED_VALUE"""),1849.0)</f>
        <v>1849</v>
      </c>
      <c r="M198" s="208">
        <f>IFERROR(__xludf.DUMMYFUNCTION("""COMPUTED_VALUE"""),299209.0)</f>
        <v>299209</v>
      </c>
      <c r="N198" s="208">
        <f>IFERROR(__xludf.DUMMYFUNCTION("""COMPUTED_VALUE"""),323265.0)</f>
        <v>323265</v>
      </c>
      <c r="O198" s="208">
        <f>IFERROR(__xludf.DUMMYFUNCTION("""COMPUTED_VALUE"""),10.0)</f>
        <v>10</v>
      </c>
      <c r="P198" s="208">
        <f>IFERROR(__xludf.DUMMYFUNCTION("""COMPUTED_VALUE"""),2713.0)</f>
        <v>2713</v>
      </c>
      <c r="Q198" s="208">
        <f>IFERROR(__xludf.DUMMYFUNCTION("""COMPUTED_VALUE"""),3.0)</f>
        <v>3</v>
      </c>
      <c r="R198" s="208">
        <f>IFERROR(__xludf.DUMMYFUNCTION("""COMPUTED_VALUE"""),2275.0)</f>
        <v>2275</v>
      </c>
      <c r="S198" s="208">
        <f>IFERROR(__xludf.DUMMYFUNCTION("""COMPUTED_VALUE"""),2.0)</f>
        <v>2</v>
      </c>
      <c r="T198" s="208">
        <f>IFERROR(__xludf.DUMMYFUNCTION("""COMPUTED_VALUE"""),352.0)</f>
        <v>352</v>
      </c>
      <c r="U198" s="208">
        <f>IFERROR(__xludf.DUMMYFUNCTION("""COMPUTED_VALUE"""),86.0)</f>
        <v>86</v>
      </c>
      <c r="V198" s="208">
        <f>IFERROR(__xludf.DUMMYFUNCTION("""COMPUTED_VALUE"""),83.0)</f>
        <v>83</v>
      </c>
      <c r="W198" s="208">
        <f>IFERROR(__xludf.DUMMYFUNCTION("""COMPUTED_VALUE"""),9.0)</f>
        <v>9</v>
      </c>
      <c r="X198" s="208">
        <f>IFERROR(__xludf.DUMMYFUNCTION("""COMPUTED_VALUE"""),5.0)</f>
        <v>5</v>
      </c>
      <c r="Y198" s="208">
        <f>IFERROR(__xludf.DUMMYFUNCTION("""COMPUTED_VALUE"""),1.0)</f>
        <v>1</v>
      </c>
      <c r="Z198" s="208">
        <f>IFERROR(__xludf.DUMMYFUNCTION("""COMPUTED_VALUE"""),1101.0)</f>
        <v>1101</v>
      </c>
    </row>
    <row r="199">
      <c r="A199" s="207">
        <f>IFERROR(__xludf.DUMMYFUNCTION("""COMPUTED_VALUE"""),44096.0)</f>
        <v>44096</v>
      </c>
      <c r="B199" s="208">
        <f>IFERROR(__xludf.DUMMYFUNCTION("""COMPUTED_VALUE"""),138.0)</f>
        <v>138</v>
      </c>
      <c r="C199" s="208">
        <f>IFERROR(__xludf.DUMMYFUNCTION("""COMPUTED_VALUE"""),114.0)</f>
        <v>114</v>
      </c>
      <c r="D199" s="208">
        <f>IFERROR(__xludf.DUMMYFUNCTION("""COMPUTED_VALUE"""),33952.0)</f>
        <v>33952</v>
      </c>
      <c r="E199" s="208">
        <f>IFERROR(__xludf.DUMMYFUNCTION("""COMPUTED_VALUE"""),8096.0)</f>
        <v>8096</v>
      </c>
      <c r="F199" s="150">
        <f>IFERROR(__xludf.DUMMYFUNCTION("""COMPUTED_VALUE"""),672626.0)</f>
        <v>672626</v>
      </c>
      <c r="G199" s="150">
        <f>IFERROR(__xludf.DUMMYFUNCTION("""COMPUTED_VALUE"""),8234.0)</f>
        <v>8234</v>
      </c>
      <c r="H199" s="150">
        <f>IFERROR(__xludf.DUMMYFUNCTION("""COMPUTED_VALUE"""),706578.0)</f>
        <v>706578</v>
      </c>
      <c r="I199" s="208">
        <f>IFERROR(__xludf.DUMMYFUNCTION("""COMPUTED_VALUE"""),121.0)</f>
        <v>121</v>
      </c>
      <c r="J199" s="208">
        <f>IFERROR(__xludf.DUMMYFUNCTION("""COMPUTED_VALUE"""),91.0)</f>
        <v>91</v>
      </c>
      <c r="K199" s="208">
        <f>IFERROR(__xludf.DUMMYFUNCTION("""COMPUTED_VALUE"""),24177.0)</f>
        <v>24177</v>
      </c>
      <c r="L199" s="208">
        <f>IFERROR(__xludf.DUMMYFUNCTION("""COMPUTED_VALUE"""),1734.0)</f>
        <v>1734</v>
      </c>
      <c r="M199" s="208">
        <f>IFERROR(__xludf.DUMMYFUNCTION("""COMPUTED_VALUE"""),300943.0)</f>
        <v>300943</v>
      </c>
      <c r="N199" s="208">
        <f>IFERROR(__xludf.DUMMYFUNCTION("""COMPUTED_VALUE"""),325120.0)</f>
        <v>325120</v>
      </c>
      <c r="O199" s="208"/>
      <c r="P199" s="208"/>
      <c r="Q199" s="208"/>
      <c r="R199" s="208"/>
      <c r="S199" s="208"/>
      <c r="T199" s="208"/>
      <c r="U199" s="208"/>
      <c r="V199" s="208"/>
      <c r="W199" s="208"/>
      <c r="X199" s="208"/>
      <c r="Y199" s="208">
        <f>IFERROR(__xludf.DUMMYFUNCTION("""COMPUTED_VALUE"""),1.0)</f>
        <v>1</v>
      </c>
      <c r="Z199" s="208">
        <f>IFERROR(__xludf.DUMMYFUNCTION("""COMPUTED_VALUE"""),1102.0)</f>
        <v>1102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09" t="s">
        <v>470</v>
      </c>
      <c r="B1" s="210" t="s">
        <v>210</v>
      </c>
      <c r="C1" s="148" t="s">
        <v>75</v>
      </c>
    </row>
    <row r="2" ht="14.25" customHeight="1">
      <c r="A2" s="211" t="str">
        <f>'Cases by ZCTA'!A2</f>
        <v>02802</v>
      </c>
      <c r="B2" s="212">
        <f>'Cases by ZCTA'!B2</f>
        <v>9</v>
      </c>
      <c r="C2" s="212">
        <f>'Cases by ZCTA'!C2</f>
        <v>1341</v>
      </c>
    </row>
    <row r="3" ht="14.25" customHeight="1">
      <c r="A3" s="211" t="str">
        <f>'Cases by ZCTA'!A3</f>
        <v>02804</v>
      </c>
      <c r="B3" s="212">
        <f>'Cases by ZCTA'!B3</f>
        <v>0</v>
      </c>
      <c r="C3" s="212">
        <f>'Cases by ZCTA'!C3</f>
        <v>0</v>
      </c>
    </row>
    <row r="4" ht="14.25" customHeight="1">
      <c r="A4" s="211" t="str">
        <f>'Cases by ZCTA'!A4</f>
        <v>02806</v>
      </c>
      <c r="B4" s="212">
        <f>'Cases by ZCTA'!B4</f>
        <v>82</v>
      </c>
      <c r="C4" s="212">
        <f>'Cases by ZCTA'!C4</f>
        <v>506</v>
      </c>
    </row>
    <row r="5" ht="14.25" customHeight="1">
      <c r="A5" s="211" t="str">
        <f>'Cases by ZCTA'!A5</f>
        <v>02807</v>
      </c>
      <c r="B5" s="212">
        <f>'Cases by ZCTA'!B5</f>
        <v>6</v>
      </c>
      <c r="C5" s="212">
        <f>'Cases by ZCTA'!C5</f>
        <v>726</v>
      </c>
    </row>
    <row r="6" ht="14.25" customHeight="1">
      <c r="A6" s="211" t="str">
        <f>'Cases by ZCTA'!A6</f>
        <v>02808</v>
      </c>
      <c r="B6" s="212">
        <f>'Cases by ZCTA'!B6</f>
        <v>17</v>
      </c>
      <c r="C6" s="212">
        <f>'Cases by ZCTA'!C6</f>
        <v>663</v>
      </c>
    </row>
    <row r="7" ht="14.25" customHeight="1">
      <c r="A7" s="211" t="str">
        <f>'Cases by ZCTA'!A7</f>
        <v>02809</v>
      </c>
      <c r="B7" s="212">
        <f>'Cases by ZCTA'!B7</f>
        <v>209</v>
      </c>
      <c r="C7" s="212">
        <f>'Cases by ZCTA'!C7</f>
        <v>939</v>
      </c>
    </row>
    <row r="8" ht="14.25" customHeight="1">
      <c r="A8" s="211" t="str">
        <f>'Cases by ZCTA'!A8</f>
        <v>02812</v>
      </c>
      <c r="B8" s="212">
        <f>'Cases by ZCTA'!B8</f>
        <v>10</v>
      </c>
      <c r="C8" s="212">
        <f>'Cases by ZCTA'!C8</f>
        <v>828</v>
      </c>
    </row>
    <row r="9" ht="14.25" customHeight="1">
      <c r="A9" s="211" t="str">
        <f>'Cases by ZCTA'!A9</f>
        <v>02813</v>
      </c>
      <c r="B9" s="212">
        <f>'Cases by ZCTA'!B9</f>
        <v>37</v>
      </c>
      <c r="C9" s="212">
        <f>'Cases by ZCTA'!C9</f>
        <v>476</v>
      </c>
    </row>
    <row r="10" ht="14.25" customHeight="1">
      <c r="A10" s="211" t="str">
        <f>'Cases by ZCTA'!A10</f>
        <v>02814</v>
      </c>
      <c r="B10" s="212">
        <f>'Cases by ZCTA'!B10</f>
        <v>55</v>
      </c>
      <c r="C10" s="212">
        <f>'Cases by ZCTA'!C10</f>
        <v>717</v>
      </c>
    </row>
    <row r="11" ht="14.25" customHeight="1">
      <c r="A11" s="211" t="str">
        <f>'Cases by ZCTA'!A11</f>
        <v>02815</v>
      </c>
      <c r="B11" s="212">
        <f>'Cases by ZCTA'!B11</f>
        <v>0</v>
      </c>
      <c r="C11" s="212">
        <f>'Cases by ZCTA'!C11</f>
        <v>0</v>
      </c>
    </row>
    <row r="12" ht="14.25" customHeight="1">
      <c r="A12" s="211" t="str">
        <f>'Cases by ZCTA'!A12</f>
        <v>02816</v>
      </c>
      <c r="B12" s="212">
        <f>'Cases by ZCTA'!B12</f>
        <v>304</v>
      </c>
      <c r="C12" s="212">
        <f>'Cases by ZCTA'!C12</f>
        <v>926</v>
      </c>
    </row>
    <row r="13" ht="14.25" customHeight="1">
      <c r="A13" s="211" t="str">
        <f>'Cases by ZCTA'!A13</f>
        <v>02817</v>
      </c>
      <c r="B13" s="212">
        <f>'Cases by ZCTA'!B13</f>
        <v>32</v>
      </c>
      <c r="C13" s="212">
        <f>'Cases by ZCTA'!C13</f>
        <v>530</v>
      </c>
    </row>
    <row r="14" ht="14.25" customHeight="1">
      <c r="A14" s="211" t="str">
        <f>'Cases by ZCTA'!A14</f>
        <v>02818</v>
      </c>
      <c r="B14" s="212">
        <f>'Cases by ZCTA'!B14</f>
        <v>142</v>
      </c>
      <c r="C14" s="212">
        <f>'Cases by ZCTA'!C14</f>
        <v>781</v>
      </c>
    </row>
    <row r="15" ht="14.25" customHeight="1">
      <c r="A15" s="211" t="str">
        <f>'Cases by ZCTA'!A15</f>
        <v>02822</v>
      </c>
      <c r="B15" s="212">
        <f>'Cases by ZCTA'!B15</f>
        <v>49</v>
      </c>
      <c r="C15" s="212">
        <f>'Cases by ZCTA'!C15</f>
        <v>745</v>
      </c>
    </row>
    <row r="16" ht="14.25" customHeight="1">
      <c r="A16" s="211" t="str">
        <f>'Cases by ZCTA'!A16</f>
        <v>02825</v>
      </c>
      <c r="B16" s="212">
        <f>'Cases by ZCTA'!B16</f>
        <v>35</v>
      </c>
      <c r="C16" s="212">
        <f>'Cases by ZCTA'!C16</f>
        <v>636</v>
      </c>
    </row>
    <row r="17" ht="14.25" customHeight="1">
      <c r="A17" s="211" t="str">
        <f>'Cases by ZCTA'!A17</f>
        <v>02826</v>
      </c>
      <c r="B17" s="212">
        <f>'Cases by ZCTA'!B17</f>
        <v>0</v>
      </c>
      <c r="C17" s="212">
        <f>'Cases by ZCTA'!C17</f>
        <v>0</v>
      </c>
    </row>
    <row r="18" ht="14.25" customHeight="1">
      <c r="A18" s="211" t="str">
        <f>'Cases by ZCTA'!A18</f>
        <v>02827</v>
      </c>
      <c r="B18" s="212">
        <f>'Cases by ZCTA'!B18</f>
        <v>19</v>
      </c>
      <c r="C18" s="212">
        <f>'Cases by ZCTA'!C18</f>
        <v>922</v>
      </c>
    </row>
    <row r="19" ht="14.25" customHeight="1">
      <c r="A19" s="211" t="str">
        <f>'Cases by ZCTA'!A19</f>
        <v>02828</v>
      </c>
      <c r="B19" s="212">
        <f>'Cases by ZCTA'!B19</f>
        <v>235</v>
      </c>
      <c r="C19" s="212">
        <f>'Cases by ZCTA'!C19</f>
        <v>2989</v>
      </c>
    </row>
    <row r="20" ht="14.25" customHeight="1">
      <c r="A20" s="211" t="str">
        <f>'Cases by ZCTA'!A20</f>
        <v>02830</v>
      </c>
      <c r="B20" s="212">
        <f>'Cases by ZCTA'!B20</f>
        <v>35</v>
      </c>
      <c r="C20" s="212">
        <f>'Cases by ZCTA'!C20</f>
        <v>590</v>
      </c>
    </row>
    <row r="21" ht="14.25" customHeight="1">
      <c r="A21" s="211" t="str">
        <f>'Cases by ZCTA'!A21</f>
        <v>02831</v>
      </c>
      <c r="B21" s="212">
        <f>'Cases by ZCTA'!B21</f>
        <v>39</v>
      </c>
      <c r="C21" s="212">
        <f>'Cases by ZCTA'!C21</f>
        <v>1114</v>
      </c>
    </row>
    <row r="22" ht="14.25" customHeight="1">
      <c r="A22" s="211" t="str">
        <f>'Cases by ZCTA'!A22</f>
        <v>02832</v>
      </c>
      <c r="B22" s="212">
        <f>'Cases by ZCTA'!B22</f>
        <v>19</v>
      </c>
      <c r="C22" s="212">
        <f>'Cases by ZCTA'!C22</f>
        <v>440</v>
      </c>
    </row>
    <row r="23" ht="14.25" customHeight="1">
      <c r="A23" s="211" t="str">
        <f>'Cases by ZCTA'!A23</f>
        <v>02833</v>
      </c>
      <c r="B23" s="212">
        <f>'Cases by ZCTA'!B23</f>
        <v>0</v>
      </c>
      <c r="C23" s="212">
        <f>'Cases by ZCTA'!C23</f>
        <v>0</v>
      </c>
    </row>
    <row r="24" ht="14.25" customHeight="1">
      <c r="A24" s="211" t="str">
        <f>'Cases by ZCTA'!A24</f>
        <v>02835</v>
      </c>
      <c r="B24" s="212">
        <f>'Cases by ZCTA'!B24</f>
        <v>29</v>
      </c>
      <c r="C24" s="212">
        <f>'Cases by ZCTA'!C24</f>
        <v>528</v>
      </c>
    </row>
    <row r="25" ht="14.25" customHeight="1">
      <c r="A25" s="211" t="str">
        <f>'Cases by ZCTA'!A25</f>
        <v>02836</v>
      </c>
      <c r="B25" s="212">
        <f>'Cases by ZCTA'!B25</f>
        <v>0</v>
      </c>
      <c r="C25" s="212">
        <f>'Cases by ZCTA'!C25</f>
        <v>0</v>
      </c>
    </row>
    <row r="26" ht="14.25" customHeight="1">
      <c r="A26" s="211" t="str">
        <f>'Cases by ZCTA'!A26</f>
        <v>02837</v>
      </c>
      <c r="B26" s="212">
        <f>'Cases by ZCTA'!B26</f>
        <v>14</v>
      </c>
      <c r="C26" s="212">
        <f>'Cases by ZCTA'!C26</f>
        <v>399</v>
      </c>
    </row>
    <row r="27" ht="14.25" customHeight="1">
      <c r="A27" s="211" t="str">
        <f>'Cases by ZCTA'!A27</f>
        <v>02838</v>
      </c>
      <c r="B27" s="212">
        <f>'Cases by ZCTA'!B27</f>
        <v>126</v>
      </c>
      <c r="C27" s="212">
        <f>'Cases by ZCTA'!C27</f>
        <v>3581</v>
      </c>
    </row>
    <row r="28" ht="14.25" customHeight="1">
      <c r="A28" s="211" t="str">
        <f>'Cases by ZCTA'!A28</f>
        <v>02839</v>
      </c>
      <c r="B28" s="212">
        <f>'Cases by ZCTA'!B28</f>
        <v>14</v>
      </c>
      <c r="C28" s="212">
        <f>'Cases by ZCTA'!C28</f>
        <v>679</v>
      </c>
    </row>
    <row r="29" ht="14.25" customHeight="1">
      <c r="A29" s="211" t="str">
        <f>'Cases by ZCTA'!A29</f>
        <v>02840</v>
      </c>
      <c r="B29" s="212">
        <f>'Cases by ZCTA'!B29</f>
        <v>157</v>
      </c>
      <c r="C29" s="212">
        <f>'Cases by ZCTA'!C29</f>
        <v>676</v>
      </c>
    </row>
    <row r="30" ht="14.25" customHeight="1">
      <c r="A30" s="211" t="str">
        <f>'Cases by ZCTA'!A30</f>
        <v>02841</v>
      </c>
      <c r="B30" s="212">
        <f>'Cases by ZCTA'!B30</f>
        <v>10</v>
      </c>
      <c r="C30" s="212">
        <f>'Cases by ZCTA'!C30</f>
        <v>613</v>
      </c>
    </row>
    <row r="31" ht="14.25" customHeight="1">
      <c r="A31" s="211" t="str">
        <f>'Cases by ZCTA'!A31</f>
        <v>02842</v>
      </c>
      <c r="B31" s="212">
        <f>'Cases by ZCTA'!B31</f>
        <v>90</v>
      </c>
      <c r="C31" s="212">
        <f>'Cases by ZCTA'!C31</f>
        <v>563</v>
      </c>
    </row>
    <row r="32" ht="14.25" customHeight="1">
      <c r="A32" s="211" t="str">
        <f>'Cases by ZCTA'!A32</f>
        <v>02852</v>
      </c>
      <c r="B32" s="212">
        <f>'Cases by ZCTA'!B32</f>
        <v>288</v>
      </c>
      <c r="C32" s="212">
        <f>'Cases by ZCTA'!C32</f>
        <v>1307</v>
      </c>
    </row>
    <row r="33" ht="14.25" customHeight="1">
      <c r="A33" s="211" t="str">
        <f>'Cases by ZCTA'!A33</f>
        <v>02857</v>
      </c>
      <c r="B33" s="212">
        <f>'Cases by ZCTA'!B33</f>
        <v>57</v>
      </c>
      <c r="C33" s="212">
        <f>'Cases by ZCTA'!C33</f>
        <v>653</v>
      </c>
    </row>
    <row r="34" ht="14.25" customHeight="1">
      <c r="A34" s="211" t="str">
        <f>'Cases by ZCTA'!A34</f>
        <v>02858</v>
      </c>
      <c r="B34" s="212">
        <f>'Cases by ZCTA'!B34</f>
        <v>0</v>
      </c>
      <c r="C34" s="212">
        <f>'Cases by ZCTA'!C34</f>
        <v>0</v>
      </c>
    </row>
    <row r="35" ht="14.25" customHeight="1">
      <c r="A35" s="211" t="str">
        <f>'Cases by ZCTA'!A35</f>
        <v>02859</v>
      </c>
      <c r="B35" s="212">
        <f>'Cases by ZCTA'!B35</f>
        <v>98</v>
      </c>
      <c r="C35" s="212">
        <f>'Cases by ZCTA'!C35</f>
        <v>1356</v>
      </c>
    </row>
    <row r="36" ht="14.25" customHeight="1">
      <c r="A36" s="211" t="str">
        <f>'Cases by ZCTA'!A36</f>
        <v>02860</v>
      </c>
      <c r="B36" s="212">
        <f>'Cases by ZCTA'!B36</f>
        <v>1742</v>
      </c>
      <c r="C36" s="212">
        <f>'Cases by ZCTA'!C36</f>
        <v>3696</v>
      </c>
    </row>
    <row r="37" ht="14.25" customHeight="1">
      <c r="A37" s="211" t="str">
        <f>'Cases by ZCTA'!A37</f>
        <v>02861</v>
      </c>
      <c r="B37" s="212">
        <f>'Cases by ZCTA'!B37</f>
        <v>573</v>
      </c>
      <c r="C37" s="212">
        <f>'Cases by ZCTA'!C37</f>
        <v>2288</v>
      </c>
    </row>
    <row r="38" ht="14.25" customHeight="1">
      <c r="A38" s="211" t="str">
        <f>'Cases by ZCTA'!A38</f>
        <v>02863</v>
      </c>
      <c r="B38" s="212">
        <f>'Cases by ZCTA'!B38</f>
        <v>1246</v>
      </c>
      <c r="C38" s="212">
        <f>'Cases by ZCTA'!C38</f>
        <v>6441</v>
      </c>
    </row>
    <row r="39" ht="14.25" customHeight="1">
      <c r="A39" s="211" t="str">
        <f>'Cases by ZCTA'!A39</f>
        <v>02864</v>
      </c>
      <c r="B39" s="212">
        <f>'Cases by ZCTA'!B39</f>
        <v>480</v>
      </c>
      <c r="C39" s="212">
        <f>'Cases by ZCTA'!C39</f>
        <v>1386</v>
      </c>
    </row>
    <row r="40" ht="14.25" customHeight="1">
      <c r="A40" s="211" t="str">
        <f>'Cases by ZCTA'!A40</f>
        <v>02865</v>
      </c>
      <c r="B40" s="212">
        <f>'Cases by ZCTA'!B40</f>
        <v>220</v>
      </c>
      <c r="C40" s="212">
        <f>'Cases by ZCTA'!C40</f>
        <v>1261</v>
      </c>
    </row>
    <row r="41" ht="14.25" customHeight="1">
      <c r="A41" s="211" t="str">
        <f>'Cases by ZCTA'!A41</f>
        <v>02871</v>
      </c>
      <c r="B41" s="212">
        <f>'Cases by ZCTA'!B41</f>
        <v>82</v>
      </c>
      <c r="C41" s="212">
        <f>'Cases by ZCTA'!C41</f>
        <v>478</v>
      </c>
    </row>
    <row r="42" ht="14.25" customHeight="1">
      <c r="A42" s="211" t="str">
        <f>'Cases by ZCTA'!A42</f>
        <v>02872</v>
      </c>
      <c r="B42" s="212">
        <f>'Cases by ZCTA'!B42</f>
        <v>0</v>
      </c>
      <c r="C42" s="212">
        <f>'Cases by ZCTA'!C42</f>
        <v>0</v>
      </c>
    </row>
    <row r="43" ht="14.25" customHeight="1">
      <c r="A43" s="211" t="str">
        <f>'Cases by ZCTA'!A43</f>
        <v>02873</v>
      </c>
      <c r="B43" s="212">
        <f>'Cases by ZCTA'!B43</f>
        <v>0</v>
      </c>
      <c r="C43" s="212">
        <f>'Cases by ZCTA'!C43</f>
        <v>0</v>
      </c>
    </row>
    <row r="44" ht="14.25" customHeight="1">
      <c r="A44" s="211" t="str">
        <f>'Cases by ZCTA'!A44</f>
        <v>02874</v>
      </c>
      <c r="B44" s="212">
        <f>'Cases by ZCTA'!B44</f>
        <v>44</v>
      </c>
      <c r="C44" s="212">
        <f>'Cases by ZCTA'!C44</f>
        <v>738</v>
      </c>
    </row>
    <row r="45" ht="14.25" customHeight="1">
      <c r="A45" s="211" t="str">
        <f>'Cases by ZCTA'!A45</f>
        <v>02875</v>
      </c>
      <c r="B45" s="212">
        <f>'Cases by ZCTA'!B45</f>
        <v>0</v>
      </c>
      <c r="C45" s="212">
        <f>'Cases by ZCTA'!C45</f>
        <v>0</v>
      </c>
    </row>
    <row r="46" ht="14.25" customHeight="1">
      <c r="A46" s="211" t="str">
        <f>'Cases by ZCTA'!A46</f>
        <v>02876</v>
      </c>
      <c r="B46" s="212">
        <f>'Cases by ZCTA'!B46</f>
        <v>7</v>
      </c>
      <c r="C46" s="212">
        <f>'Cases by ZCTA'!C46</f>
        <v>2405</v>
      </c>
    </row>
    <row r="47" ht="14.25" customHeight="1">
      <c r="A47" s="211" t="str">
        <f>'Cases by ZCTA'!A47</f>
        <v>02878</v>
      </c>
      <c r="B47" s="212">
        <f>'Cases by ZCTA'!B47</f>
        <v>126</v>
      </c>
      <c r="C47" s="212">
        <f>'Cases by ZCTA'!C47</f>
        <v>797</v>
      </c>
    </row>
    <row r="48" ht="14.25" customHeight="1">
      <c r="A48" s="211" t="str">
        <f>'Cases by ZCTA'!A48</f>
        <v>02879</v>
      </c>
      <c r="B48" s="212">
        <f>'Cases by ZCTA'!B48</f>
        <v>148</v>
      </c>
      <c r="C48" s="212">
        <f>'Cases by ZCTA'!C48</f>
        <v>721</v>
      </c>
    </row>
    <row r="49" ht="14.25" customHeight="1">
      <c r="A49" s="211" t="str">
        <f>'Cases by ZCTA'!A49</f>
        <v>02881</v>
      </c>
      <c r="B49" s="212">
        <f>'Cases by ZCTA'!B49</f>
        <v>15</v>
      </c>
      <c r="C49" s="212">
        <f>'Cases by ZCTA'!C49</f>
        <v>191</v>
      </c>
    </row>
    <row r="50" ht="14.25" customHeight="1">
      <c r="A50" s="211" t="str">
        <f>'Cases by ZCTA'!A50</f>
        <v>02882</v>
      </c>
      <c r="B50" s="212">
        <f>'Cases by ZCTA'!B50</f>
        <v>111</v>
      </c>
      <c r="C50" s="212">
        <f>'Cases by ZCTA'!C50</f>
        <v>796</v>
      </c>
    </row>
    <row r="51" ht="14.25" customHeight="1">
      <c r="A51" s="211" t="str">
        <f>'Cases by ZCTA'!A51</f>
        <v>02885</v>
      </c>
      <c r="B51" s="212">
        <f>'Cases by ZCTA'!B51</f>
        <v>108</v>
      </c>
      <c r="C51" s="212">
        <f>'Cases by ZCTA'!C51</f>
        <v>1032</v>
      </c>
    </row>
    <row r="52" ht="14.25" customHeight="1">
      <c r="A52" s="211" t="str">
        <f>'Cases by ZCTA'!A52</f>
        <v>02886</v>
      </c>
      <c r="B52" s="212">
        <f>'Cases by ZCTA'!B52</f>
        <v>287</v>
      </c>
      <c r="C52" s="212">
        <f>'Cases by ZCTA'!C52</f>
        <v>989</v>
      </c>
    </row>
    <row r="53" ht="14.25" customHeight="1">
      <c r="A53" s="211" t="str">
        <f>'Cases by ZCTA'!A53</f>
        <v>02888</v>
      </c>
      <c r="B53" s="212">
        <f>'Cases by ZCTA'!B53</f>
        <v>212</v>
      </c>
      <c r="C53" s="212">
        <f>'Cases by ZCTA'!C53</f>
        <v>1106</v>
      </c>
    </row>
    <row r="54" ht="14.25" customHeight="1">
      <c r="A54" s="211" t="str">
        <f>'Cases by ZCTA'!A54</f>
        <v>02889</v>
      </c>
      <c r="B54" s="212">
        <f>'Cases by ZCTA'!B54</f>
        <v>409</v>
      </c>
      <c r="C54" s="212">
        <f>'Cases by ZCTA'!C54</f>
        <v>1496</v>
      </c>
    </row>
    <row r="55" ht="14.25" customHeight="1">
      <c r="A55" s="211" t="str">
        <f>'Cases by ZCTA'!A55</f>
        <v>02891</v>
      </c>
      <c r="B55" s="212">
        <f>'Cases by ZCTA'!B55</f>
        <v>92</v>
      </c>
      <c r="C55" s="212">
        <f>'Cases by ZCTA'!C55</f>
        <v>436</v>
      </c>
    </row>
    <row r="56" ht="14.25" customHeight="1">
      <c r="A56" s="211" t="str">
        <f>'Cases by ZCTA'!A56</f>
        <v>02892</v>
      </c>
      <c r="B56" s="212">
        <f>'Cases by ZCTA'!B56</f>
        <v>40</v>
      </c>
      <c r="C56" s="212">
        <f>'Cases by ZCTA'!C56</f>
        <v>771</v>
      </c>
    </row>
    <row r="57" ht="14.25" customHeight="1">
      <c r="A57" s="211" t="str">
        <f>'Cases by ZCTA'!A57</f>
        <v>02893</v>
      </c>
      <c r="B57" s="212">
        <f>'Cases by ZCTA'!B57</f>
        <v>429</v>
      </c>
      <c r="C57" s="212">
        <f>'Cases by ZCTA'!C57</f>
        <v>1472</v>
      </c>
    </row>
    <row r="58" ht="14.25" customHeight="1">
      <c r="A58" s="211" t="str">
        <f>'Cases by ZCTA'!A58</f>
        <v>02894</v>
      </c>
      <c r="B58" s="212">
        <f>'Cases by ZCTA'!B58</f>
        <v>0</v>
      </c>
      <c r="C58" s="212">
        <f>'Cases by ZCTA'!C58</f>
        <v>0</v>
      </c>
    </row>
    <row r="59" ht="14.25" customHeight="1">
      <c r="A59" s="211" t="str">
        <f>'Cases by ZCTA'!A59</f>
        <v>02895</v>
      </c>
      <c r="B59" s="212">
        <f>'Cases by ZCTA'!B59</f>
        <v>857</v>
      </c>
      <c r="C59" s="212">
        <f>'Cases by ZCTA'!C59</f>
        <v>2063</v>
      </c>
    </row>
    <row r="60" ht="14.25" customHeight="1">
      <c r="A60" s="211" t="str">
        <f>'Cases by ZCTA'!A60</f>
        <v>02896</v>
      </c>
      <c r="B60" s="212">
        <f>'Cases by ZCTA'!B60</f>
        <v>158</v>
      </c>
      <c r="C60" s="212">
        <f>'Cases by ZCTA'!C60</f>
        <v>1310</v>
      </c>
    </row>
    <row r="61" ht="14.25" customHeight="1">
      <c r="A61" s="211" t="str">
        <f>'Cases by ZCTA'!A61</f>
        <v>02898</v>
      </c>
      <c r="B61" s="212">
        <f>'Cases by ZCTA'!B61</f>
        <v>19</v>
      </c>
      <c r="C61" s="212">
        <f>'Cases by ZCTA'!C61</f>
        <v>1156</v>
      </c>
    </row>
    <row r="62" ht="14.25" customHeight="1">
      <c r="A62" s="211" t="str">
        <f>'Cases by ZCTA'!A62</f>
        <v>02903</v>
      </c>
      <c r="B62" s="212">
        <f>'Cases by ZCTA'!B62</f>
        <v>245</v>
      </c>
      <c r="C62" s="212">
        <f>'Cases by ZCTA'!C62</f>
        <v>2324</v>
      </c>
    </row>
    <row r="63" ht="14.25" customHeight="1">
      <c r="A63" s="211" t="str">
        <f>'Cases by ZCTA'!A63</f>
        <v>02904</v>
      </c>
      <c r="B63" s="212">
        <f>'Cases by ZCTA'!B63</f>
        <v>1176</v>
      </c>
      <c r="C63" s="212">
        <f>'Cases by ZCTA'!C63</f>
        <v>3853</v>
      </c>
    </row>
    <row r="64" ht="14.25" customHeight="1">
      <c r="A64" s="211" t="str">
        <f>'Cases by ZCTA'!A64</f>
        <v>02905</v>
      </c>
      <c r="B64" s="212">
        <f>'Cases by ZCTA'!B64</f>
        <v>866</v>
      </c>
      <c r="C64" s="212">
        <f>'Cases by ZCTA'!C64</f>
        <v>3398</v>
      </c>
    </row>
    <row r="65" ht="14.25" customHeight="1">
      <c r="A65" s="211" t="str">
        <f>'Cases by ZCTA'!A65</f>
        <v>02906</v>
      </c>
      <c r="B65" s="212">
        <f>'Cases by ZCTA'!B65</f>
        <v>414</v>
      </c>
      <c r="C65" s="212">
        <f>'Cases by ZCTA'!C65</f>
        <v>1468</v>
      </c>
    </row>
    <row r="66" ht="14.25" customHeight="1">
      <c r="A66" s="211" t="str">
        <f>'Cases by ZCTA'!A66</f>
        <v>02907</v>
      </c>
      <c r="B66" s="212">
        <f>'Cases by ZCTA'!B66</f>
        <v>1822</v>
      </c>
      <c r="C66" s="212">
        <f>'Cases by ZCTA'!C66</f>
        <v>5919</v>
      </c>
    </row>
    <row r="67" ht="14.25" customHeight="1">
      <c r="A67" s="211" t="str">
        <f>'Cases by ZCTA'!A67</f>
        <v>02908</v>
      </c>
      <c r="B67" s="212">
        <f>'Cases by ZCTA'!B67</f>
        <v>1881</v>
      </c>
      <c r="C67" s="212">
        <f>'Cases by ZCTA'!C67</f>
        <v>5009</v>
      </c>
    </row>
    <row r="68" ht="14.25" customHeight="1">
      <c r="A68" s="211" t="str">
        <f>'Cases by ZCTA'!A68</f>
        <v>02909</v>
      </c>
      <c r="B68" s="212">
        <f>'Cases by ZCTA'!B68</f>
        <v>2525</v>
      </c>
      <c r="C68" s="212">
        <f>'Cases by ZCTA'!C68</f>
        <v>6224</v>
      </c>
    </row>
    <row r="69" ht="14.25" customHeight="1">
      <c r="A69" s="211" t="str">
        <f>'Cases by ZCTA'!A69</f>
        <v>02910</v>
      </c>
      <c r="B69" s="212">
        <f>'Cases by ZCTA'!B69</f>
        <v>403</v>
      </c>
      <c r="C69" s="212">
        <f>'Cases by ZCTA'!C69</f>
        <v>1820</v>
      </c>
    </row>
    <row r="70" ht="14.25" customHeight="1">
      <c r="A70" s="211" t="str">
        <f>'Cases by ZCTA'!A70</f>
        <v>02911</v>
      </c>
      <c r="B70" s="212">
        <f>'Cases by ZCTA'!B70</f>
        <v>304</v>
      </c>
      <c r="C70" s="212">
        <f>'Cases by ZCTA'!C70</f>
        <v>1916</v>
      </c>
    </row>
    <row r="71" ht="14.25" customHeight="1">
      <c r="A71" s="211" t="str">
        <f>'Cases by ZCTA'!A71</f>
        <v>02912</v>
      </c>
      <c r="B71" s="212">
        <f>'Cases by ZCTA'!B71</f>
        <v>0</v>
      </c>
      <c r="C71" s="212">
        <f>'Cases by ZCTA'!C71</f>
        <v>0</v>
      </c>
    </row>
    <row r="72" ht="14.25" customHeight="1">
      <c r="A72" s="211" t="str">
        <f>'Cases by ZCTA'!A72</f>
        <v>02914</v>
      </c>
      <c r="B72" s="212">
        <f>'Cases by ZCTA'!B72</f>
        <v>535</v>
      </c>
      <c r="C72" s="212">
        <f>'Cases by ZCTA'!C72</f>
        <v>2476</v>
      </c>
    </row>
    <row r="73" ht="14.25" customHeight="1">
      <c r="A73" s="211" t="str">
        <f>'Cases by ZCTA'!A73</f>
        <v>02915</v>
      </c>
      <c r="B73" s="212">
        <f>'Cases by ZCTA'!B73</f>
        <v>264</v>
      </c>
      <c r="C73" s="212">
        <f>'Cases by ZCTA'!C73</f>
        <v>1586</v>
      </c>
    </row>
    <row r="74" ht="14.25" customHeight="1">
      <c r="A74" s="211" t="str">
        <f>'Cases by ZCTA'!A74</f>
        <v>02916</v>
      </c>
      <c r="B74" s="212">
        <f>'Cases by ZCTA'!B74</f>
        <v>99</v>
      </c>
      <c r="C74" s="212">
        <f>'Cases by ZCTA'!C74</f>
        <v>1091</v>
      </c>
    </row>
    <row r="75" ht="14.25" customHeight="1">
      <c r="A75" s="211" t="str">
        <f>'Cases by ZCTA'!A75</f>
        <v>02917</v>
      </c>
      <c r="B75" s="212">
        <f>'Cases by ZCTA'!B75</f>
        <v>137</v>
      </c>
      <c r="C75" s="212">
        <f>'Cases by ZCTA'!C75</f>
        <v>993</v>
      </c>
    </row>
    <row r="76" ht="14.25" customHeight="1">
      <c r="A76" s="211" t="str">
        <f>'Cases by ZCTA'!A76</f>
        <v>02919</v>
      </c>
      <c r="B76" s="212">
        <f>'Cases by ZCTA'!B76</f>
        <v>639</v>
      </c>
      <c r="C76" s="212">
        <f>'Cases by ZCTA'!C76</f>
        <v>2184</v>
      </c>
    </row>
    <row r="77" ht="14.25" customHeight="1">
      <c r="A77" s="211" t="str">
        <f>'Cases by ZCTA'!A77</f>
        <v>02920</v>
      </c>
      <c r="B77" s="212">
        <f>'Cases by ZCTA'!B77</f>
        <v>798</v>
      </c>
      <c r="C77" s="212">
        <f>'Cases by ZCTA'!C77</f>
        <v>2145</v>
      </c>
    </row>
    <row r="78" ht="14.25" customHeight="1">
      <c r="A78" s="211" t="str">
        <f>'Cases by ZCTA'!A78</f>
        <v>02921</v>
      </c>
      <c r="B78" s="212">
        <f>'Cases by ZCTA'!B78</f>
        <v>142</v>
      </c>
      <c r="C78" s="212">
        <f>'Cases by ZCTA'!C78</f>
        <v>1144</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213" t="s">
        <v>1</v>
      </c>
      <c r="C1" s="213" t="s">
        <v>2</v>
      </c>
      <c r="D1" s="213" t="s">
        <v>3</v>
      </c>
      <c r="E1" s="213" t="s">
        <v>4</v>
      </c>
      <c r="F1" s="214" t="s">
        <v>5</v>
      </c>
      <c r="G1" s="214" t="s">
        <v>6</v>
      </c>
      <c r="H1" s="214" t="s">
        <v>7</v>
      </c>
      <c r="I1" s="215" t="s">
        <v>8</v>
      </c>
      <c r="J1" s="216" t="s">
        <v>9</v>
      </c>
      <c r="K1" s="215" t="s">
        <v>10</v>
      </c>
      <c r="L1" s="215" t="s">
        <v>11</v>
      </c>
      <c r="M1" s="215" t="s">
        <v>12</v>
      </c>
      <c r="N1" s="215" t="s">
        <v>13</v>
      </c>
      <c r="O1" s="217" t="s">
        <v>14</v>
      </c>
      <c r="P1" s="217" t="s">
        <v>15</v>
      </c>
      <c r="Q1" s="217" t="s">
        <v>16</v>
      </c>
      <c r="R1" s="217" t="s">
        <v>17</v>
      </c>
      <c r="S1" s="217" t="s">
        <v>18</v>
      </c>
      <c r="T1" s="217" t="s">
        <v>19</v>
      </c>
      <c r="U1" s="217" t="s">
        <v>20</v>
      </c>
      <c r="V1" s="217" t="s">
        <v>21</v>
      </c>
      <c r="W1" s="217" t="s">
        <v>22</v>
      </c>
      <c r="X1" s="217" t="s">
        <v>23</v>
      </c>
      <c r="Y1" s="218" t="s">
        <v>24</v>
      </c>
      <c r="Z1" s="218" t="s">
        <v>25</v>
      </c>
      <c r="AA1" s="219" t="s">
        <v>471</v>
      </c>
      <c r="AB1" s="219" t="s">
        <v>472</v>
      </c>
      <c r="AC1" s="219" t="s">
        <v>473</v>
      </c>
      <c r="AD1" s="219" t="s">
        <v>474</v>
      </c>
    </row>
    <row r="2">
      <c r="A2" s="220">
        <f>Summary!B1</f>
        <v>44097</v>
      </c>
      <c r="B2" s="221">
        <f>Summary!B2</f>
        <v>138</v>
      </c>
      <c r="C2" s="222">
        <f>Summary!B3</f>
        <v>114</v>
      </c>
      <c r="D2" s="222">
        <f>Summary!B4</f>
        <v>33952</v>
      </c>
      <c r="E2" s="222">
        <f>Summary!B5</f>
        <v>8096</v>
      </c>
      <c r="F2" s="222">
        <f>Summary!B6</f>
        <v>672626</v>
      </c>
      <c r="G2" s="222">
        <f>Summary!B7</f>
        <v>8234</v>
      </c>
      <c r="H2" s="222">
        <f>Summary!B8</f>
        <v>706578</v>
      </c>
      <c r="I2" s="222">
        <f>Summary!B9</f>
        <v>121</v>
      </c>
      <c r="J2" s="222">
        <f>Summary!B10</f>
        <v>91</v>
      </c>
      <c r="K2" s="222">
        <f>Summary!B11</f>
        <v>24177</v>
      </c>
      <c r="L2" s="222">
        <f>Summary!B12</f>
        <v>1734</v>
      </c>
      <c r="M2" s="222">
        <f>Summary!B13</f>
        <v>300943</v>
      </c>
      <c r="N2" s="222">
        <f>Summary!B14</f>
        <v>325120</v>
      </c>
      <c r="O2" s="222">
        <f>Summary!B15</f>
        <v>10</v>
      </c>
      <c r="P2" s="222">
        <f>Summary!B16</f>
        <v>2713</v>
      </c>
      <c r="Q2" s="222">
        <f>Summary!B17</f>
        <v>3</v>
      </c>
      <c r="R2" s="222">
        <f>Summary!B18</f>
        <v>2275</v>
      </c>
      <c r="S2" s="222">
        <f>Summary!B19</f>
        <v>2</v>
      </c>
      <c r="T2" s="222">
        <f>Summary!B20</f>
        <v>352</v>
      </c>
      <c r="U2" s="222">
        <f>Summary!B21</f>
        <v>86</v>
      </c>
      <c r="V2" s="222">
        <f>Summary!B22</f>
        <v>83</v>
      </c>
      <c r="W2" s="222">
        <f>Summary!B23</f>
        <v>9</v>
      </c>
      <c r="X2" s="222">
        <f>Summary!B24</f>
        <v>5</v>
      </c>
      <c r="Y2" s="222">
        <f>Summary!B25</f>
        <v>3</v>
      </c>
      <c r="Z2" s="222">
        <f>Summary!B26</f>
        <v>1102</v>
      </c>
      <c r="AA2" s="223">
        <f>I2+E2</f>
        <v>8217</v>
      </c>
      <c r="AB2" s="223">
        <f>K2+F2</f>
        <v>696803</v>
      </c>
      <c r="AC2" s="224">
        <f>K2/H2</f>
        <v>0.03421702912</v>
      </c>
      <c r="AD2" s="224">
        <f>I2/G2</f>
        <v>0.01469516638</v>
      </c>
    </row>
    <row r="3">
      <c r="A3" s="225"/>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c r="AB3" s="225"/>
      <c r="AC3" s="225"/>
      <c r="AD3" s="225"/>
    </row>
    <row r="4">
      <c r="A4" s="225"/>
      <c r="B4" s="225"/>
      <c r="C4" s="225"/>
      <c r="D4" s="225"/>
      <c r="E4" s="225"/>
      <c r="F4" s="225"/>
      <c r="G4" s="225"/>
      <c r="H4" s="225"/>
      <c r="I4" s="225"/>
      <c r="J4" s="225"/>
      <c r="K4" s="225"/>
      <c r="L4" s="225"/>
      <c r="M4" s="225"/>
      <c r="N4" s="225"/>
      <c r="O4" s="225"/>
      <c r="P4" s="225"/>
      <c r="Q4" s="225"/>
      <c r="R4" s="225"/>
      <c r="S4" s="225"/>
      <c r="T4" s="225"/>
      <c r="U4" s="225"/>
      <c r="V4" s="225"/>
      <c r="W4" s="225"/>
      <c r="X4" s="225"/>
      <c r="Y4" s="225"/>
      <c r="Z4" s="225"/>
      <c r="AA4" s="225"/>
      <c r="AB4" s="225"/>
      <c r="AC4" s="225"/>
      <c r="AD4" s="225"/>
    </row>
    <row r="5">
      <c r="A5" s="225"/>
      <c r="B5" s="225"/>
      <c r="C5" s="225"/>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row>
    <row r="6">
      <c r="A6" s="225"/>
      <c r="B6" s="225"/>
      <c r="C6" s="225"/>
      <c r="D6" s="225"/>
      <c r="E6" s="225"/>
      <c r="F6" s="225"/>
      <c r="G6" s="225"/>
      <c r="H6" s="225"/>
      <c r="I6" s="225"/>
      <c r="J6" s="225"/>
      <c r="K6" s="225"/>
      <c r="L6" s="225"/>
      <c r="M6" s="225"/>
      <c r="N6" s="225"/>
      <c r="O6" s="225"/>
      <c r="P6" s="225"/>
      <c r="Q6" s="225"/>
      <c r="R6" s="225"/>
      <c r="S6" s="225"/>
      <c r="T6" s="225"/>
      <c r="U6" s="225"/>
      <c r="V6" s="225"/>
      <c r="W6" s="225"/>
      <c r="X6" s="225"/>
      <c r="Y6" s="225"/>
      <c r="Z6" s="225"/>
      <c r="AA6" s="225"/>
      <c r="AB6" s="225"/>
      <c r="AC6" s="225"/>
      <c r="AD6" s="225"/>
    </row>
    <row r="7">
      <c r="A7" s="225"/>
      <c r="B7" s="225"/>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row>
    <row r="8">
      <c r="A8" s="225"/>
      <c r="B8" s="225"/>
      <c r="C8" s="225"/>
      <c r="D8" s="225"/>
      <c r="E8" s="225"/>
      <c r="F8" s="225"/>
      <c r="G8" s="225"/>
      <c r="H8" s="225"/>
      <c r="I8" s="225"/>
      <c r="J8" s="225"/>
      <c r="K8" s="225"/>
      <c r="L8" s="225"/>
      <c r="M8" s="225"/>
      <c r="N8" s="225"/>
      <c r="O8" s="225"/>
      <c r="P8" s="225"/>
      <c r="Q8" s="225"/>
      <c r="R8" s="225"/>
      <c r="S8" s="225"/>
      <c r="T8" s="225"/>
      <c r="U8" s="225"/>
      <c r="V8" s="225"/>
      <c r="W8" s="225"/>
      <c r="X8" s="225"/>
      <c r="Y8" s="225"/>
      <c r="Z8" s="225"/>
      <c r="AA8" s="225"/>
      <c r="AB8" s="225"/>
      <c r="AC8" s="225"/>
      <c r="AD8" s="225"/>
    </row>
    <row r="9">
      <c r="A9" s="225"/>
      <c r="B9" s="225"/>
      <c r="C9" s="225"/>
      <c r="D9" s="225"/>
      <c r="E9" s="225"/>
      <c r="F9" s="225"/>
      <c r="G9" s="225"/>
      <c r="H9" s="225"/>
      <c r="I9" s="225"/>
      <c r="J9" s="225"/>
      <c r="K9" s="225"/>
      <c r="L9" s="225"/>
      <c r="M9" s="225"/>
      <c r="N9" s="225"/>
      <c r="O9" s="225"/>
      <c r="P9" s="225"/>
      <c r="Q9" s="225"/>
      <c r="R9" s="225"/>
      <c r="S9" s="225"/>
      <c r="T9" s="225"/>
      <c r="U9" s="225"/>
      <c r="V9" s="225"/>
      <c r="W9" s="225"/>
      <c r="X9" s="225"/>
      <c r="Y9" s="225"/>
      <c r="Z9" s="225"/>
      <c r="AA9" s="225"/>
      <c r="AB9" s="225"/>
      <c r="AC9" s="225"/>
      <c r="AD9" s="225"/>
    </row>
    <row r="10">
      <c r="A10" s="225"/>
      <c r="B10" s="225"/>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row>
    <row r="11">
      <c r="A11" s="225"/>
      <c r="B11" s="225"/>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c r="AA11" s="225"/>
      <c r="AB11" s="225"/>
      <c r="AC11" s="225"/>
      <c r="AD11" s="225"/>
    </row>
    <row r="12">
      <c r="A12" s="225"/>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c r="AA12" s="225"/>
      <c r="AB12" s="225"/>
      <c r="AC12" s="225"/>
      <c r="AD12" s="225"/>
    </row>
    <row r="13">
      <c r="A13" s="225"/>
      <c r="B13" s="225"/>
      <c r="C13" s="225"/>
      <c r="D13" s="225"/>
      <c r="E13" s="225"/>
      <c r="F13" s="225"/>
      <c r="G13" s="225"/>
      <c r="H13" s="225"/>
      <c r="I13" s="225"/>
      <c r="J13" s="225"/>
      <c r="K13" s="225"/>
      <c r="L13" s="225"/>
      <c r="M13" s="225"/>
      <c r="N13" s="225"/>
      <c r="O13" s="225"/>
      <c r="P13" s="225"/>
      <c r="Q13" s="225"/>
      <c r="R13" s="225"/>
      <c r="S13" s="225"/>
      <c r="T13" s="225"/>
      <c r="U13" s="225"/>
      <c r="V13" s="225"/>
      <c r="W13" s="225"/>
      <c r="X13" s="225"/>
      <c r="Y13" s="225"/>
      <c r="Z13" s="225"/>
      <c r="AA13" s="225"/>
      <c r="AB13" s="225"/>
      <c r="AC13" s="225"/>
      <c r="AD13" s="225"/>
    </row>
    <row r="14">
      <c r="A14" s="225"/>
      <c r="B14" s="225"/>
      <c r="C14" s="225"/>
      <c r="D14" s="225"/>
      <c r="E14" s="225"/>
      <c r="F14" s="225"/>
      <c r="G14" s="225"/>
      <c r="H14" s="225"/>
      <c r="I14" s="225"/>
      <c r="J14" s="225"/>
      <c r="K14" s="225"/>
      <c r="L14" s="225"/>
      <c r="M14" s="225"/>
      <c r="N14" s="225"/>
      <c r="O14" s="225"/>
      <c r="P14" s="225"/>
      <c r="Q14" s="225"/>
      <c r="R14" s="225"/>
      <c r="S14" s="225"/>
      <c r="T14" s="225"/>
      <c r="U14" s="225"/>
      <c r="V14" s="225"/>
      <c r="W14" s="225"/>
      <c r="X14" s="225"/>
      <c r="Y14" s="225"/>
      <c r="Z14" s="225"/>
      <c r="AA14" s="225"/>
      <c r="AB14" s="225"/>
      <c r="AC14" s="225"/>
      <c r="AD14" s="225"/>
    </row>
    <row r="15">
      <c r="A15" s="225"/>
      <c r="B15" s="225"/>
      <c r="C15" s="225"/>
      <c r="D15" s="225"/>
      <c r="E15" s="225"/>
      <c r="F15" s="225"/>
      <c r="G15" s="225"/>
      <c r="H15" s="225"/>
      <c r="I15" s="225"/>
      <c r="J15" s="225"/>
      <c r="K15" s="225"/>
      <c r="L15" s="225"/>
      <c r="M15" s="225"/>
      <c r="N15" s="225"/>
      <c r="O15" s="225"/>
      <c r="P15" s="225"/>
      <c r="Q15" s="225"/>
      <c r="R15" s="225"/>
      <c r="S15" s="225"/>
      <c r="T15" s="225"/>
      <c r="U15" s="225"/>
      <c r="V15" s="225"/>
      <c r="W15" s="225"/>
      <c r="X15" s="225"/>
      <c r="Y15" s="225"/>
      <c r="Z15" s="225"/>
      <c r="AA15" s="225"/>
      <c r="AB15" s="225"/>
      <c r="AC15" s="225"/>
      <c r="AD15" s="225"/>
    </row>
    <row r="16">
      <c r="A16" s="225"/>
      <c r="B16" s="225"/>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row>
    <row r="17">
      <c r="A17" s="225"/>
      <c r="B17" s="225"/>
      <c r="C17" s="225"/>
      <c r="D17" s="225"/>
      <c r="E17" s="225"/>
      <c r="F17" s="225"/>
      <c r="G17" s="225"/>
      <c r="H17" s="225"/>
      <c r="I17" s="225"/>
      <c r="J17" s="225"/>
      <c r="K17" s="225"/>
      <c r="L17" s="225"/>
      <c r="M17" s="225"/>
      <c r="N17" s="225"/>
      <c r="O17" s="225"/>
      <c r="P17" s="225"/>
      <c r="Q17" s="225"/>
      <c r="R17" s="225"/>
      <c r="S17" s="225"/>
      <c r="T17" s="225"/>
      <c r="U17" s="225"/>
      <c r="V17" s="225"/>
      <c r="W17" s="225"/>
      <c r="X17" s="225"/>
      <c r="Y17" s="225"/>
      <c r="Z17" s="225"/>
      <c r="AA17" s="225"/>
      <c r="AB17" s="225"/>
      <c r="AC17" s="225"/>
      <c r="AD17" s="225"/>
    </row>
    <row r="18">
      <c r="A18" s="225"/>
      <c r="B18" s="225"/>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row>
    <row r="19">
      <c r="A19" s="225"/>
      <c r="B19" s="225"/>
      <c r="C19" s="225"/>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row>
    <row r="20">
      <c r="A20" s="225"/>
      <c r="B20" s="225"/>
      <c r="C20" s="225"/>
      <c r="D20" s="225"/>
      <c r="E20" s="225"/>
      <c r="F20" s="225"/>
      <c r="G20" s="225"/>
      <c r="H20" s="225"/>
      <c r="I20" s="225"/>
      <c r="J20" s="225"/>
      <c r="K20" s="225"/>
      <c r="L20" s="225"/>
      <c r="M20" s="225"/>
      <c r="N20" s="225"/>
      <c r="O20" s="225"/>
      <c r="P20" s="225"/>
      <c r="Q20" s="225"/>
      <c r="R20" s="225"/>
      <c r="S20" s="225"/>
      <c r="T20" s="225"/>
      <c r="U20" s="225"/>
      <c r="V20" s="225"/>
      <c r="W20" s="225"/>
      <c r="X20" s="225"/>
      <c r="Y20" s="225"/>
      <c r="Z20" s="225"/>
      <c r="AA20" s="225"/>
      <c r="AB20" s="225"/>
      <c r="AC20" s="225"/>
      <c r="AD20" s="225"/>
    </row>
    <row r="21">
      <c r="A21" s="225"/>
      <c r="B21" s="225"/>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row>
    <row r="22">
      <c r="A22" s="225"/>
      <c r="B22" s="225"/>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row>
    <row r="23">
      <c r="A23" s="225"/>
      <c r="B23" s="225"/>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row>
    <row r="24">
      <c r="A24" s="225"/>
      <c r="B24" s="225"/>
      <c r="C24" s="225"/>
      <c r="D24" s="225"/>
      <c r="E24" s="225"/>
      <c r="F24" s="225"/>
      <c r="G24" s="225"/>
      <c r="H24" s="225"/>
      <c r="I24" s="225"/>
      <c r="J24" s="225"/>
      <c r="K24" s="225"/>
      <c r="L24" s="225"/>
      <c r="M24" s="225"/>
      <c r="N24" s="225"/>
      <c r="O24" s="225"/>
      <c r="P24" s="225"/>
      <c r="Q24" s="225"/>
      <c r="R24" s="225"/>
      <c r="S24" s="225"/>
      <c r="T24" s="225"/>
      <c r="U24" s="225"/>
      <c r="V24" s="225"/>
      <c r="W24" s="225"/>
      <c r="X24" s="225"/>
      <c r="Y24" s="225"/>
      <c r="Z24" s="225"/>
      <c r="AA24" s="225"/>
      <c r="AB24" s="225"/>
      <c r="AC24" s="225"/>
      <c r="AD24" s="225"/>
    </row>
    <row r="25">
      <c r="A25" s="225"/>
      <c r="B25" s="225"/>
      <c r="C25" s="225"/>
      <c r="D25" s="225"/>
      <c r="E25" s="225"/>
      <c r="F25" s="225"/>
      <c r="G25" s="225"/>
      <c r="H25" s="225"/>
      <c r="I25" s="225"/>
      <c r="J25" s="225"/>
      <c r="K25" s="225"/>
      <c r="L25" s="225"/>
      <c r="M25" s="225"/>
      <c r="N25" s="225"/>
      <c r="O25" s="225"/>
      <c r="P25" s="225"/>
      <c r="Q25" s="225"/>
      <c r="R25" s="225"/>
      <c r="S25" s="225"/>
      <c r="T25" s="225"/>
      <c r="U25" s="225"/>
      <c r="V25" s="225"/>
      <c r="W25" s="225"/>
      <c r="X25" s="225"/>
      <c r="Y25" s="225"/>
      <c r="Z25" s="225"/>
      <c r="AA25" s="225"/>
      <c r="AB25" s="225"/>
      <c r="AC25" s="225"/>
      <c r="AD25" s="225"/>
    </row>
    <row r="26">
      <c r="A26" s="225"/>
      <c r="B26" s="225"/>
      <c r="C26" s="225"/>
      <c r="D26" s="225"/>
      <c r="E26" s="225"/>
      <c r="F26" s="225"/>
      <c r="G26" s="225"/>
      <c r="H26" s="225"/>
      <c r="I26" s="225"/>
      <c r="J26" s="225"/>
      <c r="K26" s="225"/>
      <c r="L26" s="225"/>
      <c r="M26" s="225"/>
      <c r="N26" s="225"/>
      <c r="O26" s="225"/>
      <c r="P26" s="225"/>
      <c r="Q26" s="225"/>
      <c r="R26" s="225"/>
      <c r="S26" s="225"/>
      <c r="T26" s="225"/>
      <c r="U26" s="225"/>
      <c r="V26" s="225"/>
      <c r="W26" s="225"/>
      <c r="X26" s="225"/>
      <c r="Y26" s="225"/>
      <c r="Z26" s="225"/>
      <c r="AA26" s="225"/>
      <c r="AB26" s="225"/>
      <c r="AC26" s="225"/>
      <c r="AD26" s="225"/>
    </row>
    <row r="27">
      <c r="A27" s="225"/>
      <c r="B27" s="225"/>
      <c r="C27" s="225"/>
      <c r="D27" s="225"/>
      <c r="E27" s="225"/>
      <c r="F27" s="225"/>
      <c r="G27" s="225"/>
      <c r="H27" s="225"/>
      <c r="I27" s="225"/>
      <c r="J27" s="225"/>
      <c r="K27" s="225"/>
      <c r="L27" s="225"/>
      <c r="M27" s="225"/>
      <c r="N27" s="225"/>
      <c r="O27" s="225"/>
      <c r="P27" s="225"/>
      <c r="Q27" s="225"/>
      <c r="R27" s="225"/>
      <c r="S27" s="225"/>
      <c r="T27" s="225"/>
      <c r="U27" s="225"/>
      <c r="V27" s="225"/>
      <c r="W27" s="225"/>
      <c r="X27" s="225"/>
      <c r="Y27" s="225"/>
      <c r="Z27" s="225"/>
      <c r="AA27" s="225"/>
      <c r="AB27" s="225"/>
      <c r="AC27" s="225"/>
      <c r="AD27" s="225"/>
    </row>
    <row r="28">
      <c r="A28" s="225"/>
      <c r="B28" s="225"/>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row>
    <row r="29">
      <c r="A29" s="225"/>
      <c r="B29" s="225"/>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row>
    <row r="30">
      <c r="A30" s="225"/>
      <c r="B30" s="225"/>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row>
    <row r="31">
      <c r="A31" s="225"/>
      <c r="B31" s="225"/>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row>
    <row r="32">
      <c r="A32" s="225"/>
      <c r="B32" s="225"/>
      <c r="C32" s="225"/>
      <c r="D32" s="225"/>
      <c r="E32" s="225"/>
      <c r="F32" s="225"/>
      <c r="G32" s="225"/>
      <c r="H32" s="225"/>
      <c r="I32" s="225"/>
      <c r="J32" s="225"/>
      <c r="K32" s="225"/>
      <c r="L32" s="225"/>
      <c r="M32" s="225"/>
      <c r="N32" s="225"/>
      <c r="O32" s="225"/>
      <c r="P32" s="225"/>
      <c r="Q32" s="225"/>
      <c r="R32" s="225"/>
      <c r="S32" s="225"/>
      <c r="T32" s="225"/>
      <c r="U32" s="225"/>
      <c r="V32" s="225"/>
      <c r="W32" s="225"/>
      <c r="X32" s="225"/>
      <c r="Y32" s="225"/>
      <c r="Z32" s="225"/>
      <c r="AA32" s="225"/>
      <c r="AB32" s="225"/>
      <c r="AC32" s="225"/>
      <c r="AD32" s="225"/>
    </row>
    <row r="33">
      <c r="A33" s="225"/>
      <c r="B33" s="225"/>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row>
    <row r="34">
      <c r="A34" s="225"/>
      <c r="B34" s="225"/>
      <c r="C34" s="225"/>
      <c r="D34" s="225"/>
      <c r="E34" s="225"/>
      <c r="F34" s="225"/>
      <c r="G34" s="225"/>
      <c r="H34" s="225"/>
      <c r="I34" s="225"/>
      <c r="J34" s="225"/>
      <c r="K34" s="225"/>
      <c r="L34" s="225"/>
      <c r="M34" s="225"/>
      <c r="N34" s="225"/>
      <c r="O34" s="225"/>
      <c r="P34" s="225"/>
      <c r="Q34" s="225"/>
      <c r="R34" s="225"/>
      <c r="S34" s="225"/>
      <c r="T34" s="225"/>
      <c r="U34" s="225"/>
      <c r="V34" s="225"/>
      <c r="W34" s="225"/>
      <c r="X34" s="225"/>
      <c r="Y34" s="225"/>
      <c r="Z34" s="225"/>
      <c r="AA34" s="225"/>
      <c r="AB34" s="225"/>
      <c r="AC34" s="225"/>
      <c r="AD34" s="225"/>
    </row>
    <row r="35">
      <c r="A35" s="225"/>
      <c r="B35" s="225"/>
      <c r="C35" s="225"/>
      <c r="D35" s="225"/>
      <c r="E35" s="225"/>
      <c r="F35" s="225"/>
      <c r="G35" s="225"/>
      <c r="H35" s="225"/>
      <c r="I35" s="225"/>
      <c r="J35" s="225"/>
      <c r="K35" s="225"/>
      <c r="L35" s="225"/>
      <c r="M35" s="225"/>
      <c r="N35" s="225"/>
      <c r="O35" s="225"/>
      <c r="P35" s="225"/>
      <c r="Q35" s="225"/>
      <c r="R35" s="225"/>
      <c r="S35" s="225"/>
      <c r="T35" s="225"/>
      <c r="U35" s="225"/>
      <c r="V35" s="225"/>
      <c r="W35" s="225"/>
      <c r="X35" s="225"/>
      <c r="Y35" s="225"/>
      <c r="Z35" s="225"/>
      <c r="AA35" s="225"/>
      <c r="AB35" s="225"/>
      <c r="AC35" s="225"/>
      <c r="AD35" s="225"/>
    </row>
    <row r="36">
      <c r="A36" s="225"/>
      <c r="B36" s="225"/>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c r="AA36" s="225"/>
      <c r="AB36" s="225"/>
      <c r="AC36" s="225"/>
      <c r="AD36" s="225"/>
    </row>
    <row r="37">
      <c r="A37" s="225"/>
      <c r="B37" s="225"/>
      <c r="C37" s="225"/>
      <c r="D37" s="225"/>
      <c r="E37" s="225"/>
      <c r="F37" s="225"/>
      <c r="G37" s="225"/>
      <c r="H37" s="225"/>
      <c r="I37" s="225"/>
      <c r="J37" s="225"/>
      <c r="K37" s="225"/>
      <c r="L37" s="225"/>
      <c r="M37" s="225"/>
      <c r="N37" s="225"/>
      <c r="O37" s="225"/>
      <c r="P37" s="225"/>
      <c r="Q37" s="225"/>
      <c r="R37" s="225"/>
      <c r="S37" s="225"/>
      <c r="T37" s="225"/>
      <c r="U37" s="225"/>
      <c r="V37" s="225"/>
      <c r="W37" s="225"/>
      <c r="X37" s="225"/>
      <c r="Y37" s="225"/>
      <c r="Z37" s="225"/>
      <c r="AA37" s="225"/>
      <c r="AB37" s="225"/>
      <c r="AC37" s="225"/>
      <c r="AD37" s="225"/>
    </row>
    <row r="38">
      <c r="A38" s="225"/>
      <c r="B38" s="225"/>
      <c r="C38" s="225"/>
      <c r="D38" s="225"/>
      <c r="E38" s="225"/>
      <c r="F38" s="225"/>
      <c r="G38" s="225"/>
      <c r="H38" s="225"/>
      <c r="I38" s="225"/>
      <c r="J38" s="225"/>
      <c r="K38" s="225"/>
      <c r="L38" s="225"/>
      <c r="M38" s="225"/>
      <c r="N38" s="225"/>
      <c r="O38" s="225"/>
      <c r="P38" s="225"/>
      <c r="Q38" s="225"/>
      <c r="R38" s="225"/>
      <c r="S38" s="225"/>
      <c r="T38" s="225"/>
      <c r="U38" s="225"/>
      <c r="V38" s="225"/>
      <c r="W38" s="225"/>
      <c r="X38" s="225"/>
      <c r="Y38" s="225"/>
      <c r="Z38" s="225"/>
      <c r="AA38" s="225"/>
      <c r="AB38" s="225"/>
      <c r="AC38" s="225"/>
      <c r="AD38" s="225"/>
    </row>
    <row r="39">
      <c r="A39" s="225"/>
      <c r="B39" s="225"/>
      <c r="C39" s="225"/>
      <c r="D39" s="225"/>
      <c r="E39" s="225"/>
      <c r="F39" s="225"/>
      <c r="G39" s="225"/>
      <c r="H39" s="225"/>
      <c r="I39" s="225"/>
      <c r="J39" s="225"/>
      <c r="K39" s="225"/>
      <c r="L39" s="225"/>
      <c r="M39" s="225"/>
      <c r="N39" s="225"/>
      <c r="O39" s="225"/>
      <c r="P39" s="225"/>
      <c r="Q39" s="225"/>
      <c r="R39" s="225"/>
      <c r="S39" s="225"/>
      <c r="T39" s="225"/>
      <c r="U39" s="225"/>
      <c r="V39" s="225"/>
      <c r="W39" s="225"/>
      <c r="X39" s="225"/>
      <c r="Y39" s="225"/>
      <c r="Z39" s="225"/>
      <c r="AA39" s="225"/>
      <c r="AB39" s="225"/>
      <c r="AC39" s="225"/>
      <c r="AD39" s="225"/>
    </row>
    <row r="40">
      <c r="A40" s="225"/>
      <c r="B40" s="225"/>
      <c r="C40" s="225"/>
      <c r="D40" s="225"/>
      <c r="E40" s="225"/>
      <c r="F40" s="225"/>
      <c r="G40" s="225"/>
      <c r="H40" s="225"/>
      <c r="I40" s="225"/>
      <c r="J40" s="225"/>
      <c r="K40" s="225"/>
      <c r="L40" s="225"/>
      <c r="M40" s="225"/>
      <c r="N40" s="225"/>
      <c r="O40" s="225"/>
      <c r="P40" s="225"/>
      <c r="Q40" s="225"/>
      <c r="R40" s="225"/>
      <c r="S40" s="225"/>
      <c r="T40" s="225"/>
      <c r="U40" s="225"/>
      <c r="V40" s="225"/>
      <c r="W40" s="225"/>
      <c r="X40" s="225"/>
      <c r="Y40" s="225"/>
      <c r="Z40" s="225"/>
      <c r="AA40" s="225"/>
      <c r="AB40" s="225"/>
      <c r="AC40" s="225"/>
      <c r="AD40" s="225"/>
    </row>
    <row r="41">
      <c r="A41" s="225"/>
      <c r="B41" s="225"/>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row>
    <row r="42">
      <c r="A42" s="225"/>
      <c r="B42" s="225"/>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c r="AD42" s="225"/>
    </row>
    <row r="43">
      <c r="A43" s="225"/>
      <c r="B43" s="225"/>
      <c r="C43" s="225"/>
      <c r="D43" s="225"/>
      <c r="E43" s="225"/>
      <c r="F43" s="225"/>
      <c r="G43" s="225"/>
      <c r="H43" s="225"/>
      <c r="I43" s="225"/>
      <c r="J43" s="225"/>
      <c r="K43" s="225"/>
      <c r="L43" s="225"/>
      <c r="M43" s="225"/>
      <c r="N43" s="225"/>
      <c r="O43" s="225"/>
      <c r="P43" s="225"/>
      <c r="Q43" s="225"/>
      <c r="R43" s="225"/>
      <c r="S43" s="225"/>
      <c r="T43" s="225"/>
      <c r="U43" s="225"/>
      <c r="V43" s="225"/>
      <c r="W43" s="225"/>
      <c r="X43" s="225"/>
      <c r="Y43" s="225"/>
      <c r="Z43" s="225"/>
      <c r="AA43" s="225"/>
      <c r="AB43" s="225"/>
      <c r="AC43" s="225"/>
      <c r="AD43" s="225"/>
    </row>
    <row r="44">
      <c r="A44" s="225"/>
      <c r="B44" s="225"/>
      <c r="C44" s="225"/>
      <c r="D44" s="225"/>
      <c r="E44" s="225"/>
      <c r="F44" s="225"/>
      <c r="G44" s="225"/>
      <c r="H44" s="225"/>
      <c r="I44" s="225"/>
      <c r="J44" s="225"/>
      <c r="K44" s="225"/>
      <c r="L44" s="225"/>
      <c r="M44" s="225"/>
      <c r="N44" s="225"/>
      <c r="O44" s="225"/>
      <c r="P44" s="225"/>
      <c r="Q44" s="225"/>
      <c r="R44" s="225"/>
      <c r="S44" s="225"/>
      <c r="T44" s="225"/>
      <c r="U44" s="225"/>
      <c r="V44" s="225"/>
      <c r="W44" s="225"/>
      <c r="X44" s="225"/>
      <c r="Y44" s="225"/>
      <c r="Z44" s="225"/>
      <c r="AA44" s="225"/>
      <c r="AB44" s="225"/>
      <c r="AC44" s="225"/>
      <c r="AD44" s="225"/>
    </row>
    <row r="45">
      <c r="A45" s="225"/>
      <c r="B45" s="225"/>
      <c r="C45" s="225"/>
      <c r="D45" s="225"/>
      <c r="E45" s="225"/>
      <c r="F45" s="225"/>
      <c r="G45" s="225"/>
      <c r="H45" s="225"/>
      <c r="I45" s="225"/>
      <c r="J45" s="225"/>
      <c r="K45" s="225"/>
      <c r="L45" s="225"/>
      <c r="M45" s="225"/>
      <c r="N45" s="225"/>
      <c r="O45" s="225"/>
      <c r="P45" s="225"/>
      <c r="Q45" s="225"/>
      <c r="R45" s="225"/>
      <c r="S45" s="225"/>
      <c r="T45" s="225"/>
      <c r="U45" s="225"/>
      <c r="V45" s="225"/>
      <c r="W45" s="225"/>
      <c r="X45" s="225"/>
      <c r="Y45" s="225"/>
      <c r="Z45" s="225"/>
      <c r="AA45" s="225"/>
      <c r="AB45" s="225"/>
      <c r="AC45" s="225"/>
      <c r="AD45" s="225"/>
    </row>
    <row r="46">
      <c r="A46" s="225"/>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row>
    <row r="47">
      <c r="A47" s="225"/>
      <c r="B47" s="225"/>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row>
    <row r="48">
      <c r="A48" s="225"/>
      <c r="B48" s="225"/>
      <c r="C48" s="225"/>
      <c r="D48" s="225"/>
      <c r="E48" s="225"/>
      <c r="F48" s="225"/>
      <c r="G48" s="225"/>
      <c r="H48" s="225"/>
      <c r="I48" s="225"/>
      <c r="J48" s="225"/>
      <c r="K48" s="225"/>
      <c r="L48" s="225"/>
      <c r="M48" s="225"/>
      <c r="N48" s="225"/>
      <c r="O48" s="225"/>
      <c r="P48" s="225"/>
      <c r="Q48" s="225"/>
      <c r="R48" s="225"/>
      <c r="S48" s="225"/>
      <c r="T48" s="225"/>
      <c r="U48" s="225"/>
      <c r="V48" s="225"/>
      <c r="W48" s="225"/>
      <c r="X48" s="225"/>
      <c r="Y48" s="225"/>
      <c r="Z48" s="225"/>
      <c r="AA48" s="225"/>
      <c r="AB48" s="225"/>
      <c r="AC48" s="225"/>
      <c r="AD48" s="225"/>
    </row>
    <row r="49">
      <c r="A49" s="225"/>
      <c r="B49" s="225"/>
      <c r="C49" s="225"/>
      <c r="D49" s="225"/>
      <c r="E49" s="225"/>
      <c r="F49" s="225"/>
      <c r="G49" s="225"/>
      <c r="H49" s="225"/>
      <c r="I49" s="225"/>
      <c r="J49" s="225"/>
      <c r="K49" s="225"/>
      <c r="L49" s="225"/>
      <c r="M49" s="225"/>
      <c r="N49" s="225"/>
      <c r="O49" s="225"/>
      <c r="P49" s="225"/>
      <c r="Q49" s="225"/>
      <c r="R49" s="225"/>
      <c r="S49" s="225"/>
      <c r="T49" s="225"/>
      <c r="U49" s="225"/>
      <c r="V49" s="225"/>
      <c r="W49" s="225"/>
      <c r="X49" s="225"/>
      <c r="Y49" s="225"/>
      <c r="Z49" s="225"/>
      <c r="AA49" s="225"/>
      <c r="AB49" s="225"/>
      <c r="AC49" s="225"/>
      <c r="AD49" s="225"/>
    </row>
    <row r="50">
      <c r="A50" s="225"/>
      <c r="B50" s="225"/>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row>
    <row r="51">
      <c r="A51" s="225"/>
      <c r="B51" s="225"/>
      <c r="C51" s="225"/>
      <c r="D51" s="225"/>
      <c r="E51" s="225"/>
      <c r="F51" s="225"/>
      <c r="G51" s="225"/>
      <c r="H51" s="225"/>
      <c r="I51" s="225"/>
      <c r="J51" s="225"/>
      <c r="K51" s="225"/>
      <c r="L51" s="225"/>
      <c r="M51" s="225"/>
      <c r="N51" s="225"/>
      <c r="O51" s="225"/>
      <c r="P51" s="225"/>
      <c r="Q51" s="225"/>
      <c r="R51" s="225"/>
      <c r="S51" s="225"/>
      <c r="T51" s="225"/>
      <c r="U51" s="225"/>
      <c r="V51" s="225"/>
      <c r="W51" s="225"/>
      <c r="X51" s="225"/>
      <c r="Y51" s="225"/>
      <c r="Z51" s="225"/>
      <c r="AA51" s="225"/>
      <c r="AB51" s="225"/>
      <c r="AC51" s="225"/>
      <c r="AD51" s="225"/>
    </row>
    <row r="52">
      <c r="A52" s="225"/>
      <c r="B52" s="225"/>
      <c r="C52" s="225"/>
      <c r="D52" s="225"/>
      <c r="E52" s="225"/>
      <c r="F52" s="225"/>
      <c r="G52" s="225"/>
      <c r="H52" s="225"/>
      <c r="I52" s="225"/>
      <c r="J52" s="225"/>
      <c r="K52" s="225"/>
      <c r="L52" s="225"/>
      <c r="M52" s="225"/>
      <c r="N52" s="225"/>
      <c r="O52" s="225"/>
      <c r="P52" s="225"/>
      <c r="Q52" s="225"/>
      <c r="R52" s="225"/>
      <c r="S52" s="225"/>
      <c r="T52" s="225"/>
      <c r="U52" s="225"/>
      <c r="V52" s="225"/>
      <c r="W52" s="225"/>
      <c r="X52" s="225"/>
      <c r="Y52" s="225"/>
      <c r="Z52" s="225"/>
      <c r="AA52" s="225"/>
      <c r="AB52" s="225"/>
      <c r="AC52" s="225"/>
      <c r="AD52" s="225"/>
    </row>
    <row r="53">
      <c r="A53" s="225"/>
      <c r="B53" s="225"/>
      <c r="C53" s="225"/>
      <c r="D53" s="225"/>
      <c r="E53" s="225"/>
      <c r="F53" s="225"/>
      <c r="G53" s="225"/>
      <c r="H53" s="225"/>
      <c r="I53" s="225"/>
      <c r="J53" s="225"/>
      <c r="K53" s="225"/>
      <c r="L53" s="225"/>
      <c r="M53" s="225"/>
      <c r="N53" s="225"/>
      <c r="O53" s="225"/>
      <c r="P53" s="225"/>
      <c r="Q53" s="225"/>
      <c r="R53" s="225"/>
      <c r="S53" s="225"/>
      <c r="T53" s="225"/>
      <c r="U53" s="225"/>
      <c r="V53" s="225"/>
      <c r="W53" s="225"/>
      <c r="X53" s="225"/>
      <c r="Y53" s="225"/>
      <c r="Z53" s="225"/>
      <c r="AA53" s="225"/>
      <c r="AB53" s="225"/>
      <c r="AC53" s="225"/>
      <c r="AD53" s="225"/>
    </row>
    <row r="54">
      <c r="A54" s="225"/>
      <c r="B54" s="225"/>
      <c r="C54" s="225"/>
      <c r="D54" s="225"/>
      <c r="E54" s="225"/>
      <c r="F54" s="225"/>
      <c r="G54" s="225"/>
      <c r="H54" s="225"/>
      <c r="I54" s="225"/>
      <c r="J54" s="225"/>
      <c r="K54" s="225"/>
      <c r="L54" s="225"/>
      <c r="M54" s="225"/>
      <c r="N54" s="225"/>
      <c r="O54" s="225"/>
      <c r="P54" s="225"/>
      <c r="Q54" s="225"/>
      <c r="R54" s="225"/>
      <c r="S54" s="225"/>
      <c r="T54" s="225"/>
      <c r="U54" s="225"/>
      <c r="V54" s="225"/>
      <c r="W54" s="225"/>
      <c r="X54" s="225"/>
      <c r="Y54" s="225"/>
      <c r="Z54" s="225"/>
      <c r="AA54" s="225"/>
      <c r="AB54" s="225"/>
      <c r="AC54" s="225"/>
      <c r="AD54" s="225"/>
    </row>
    <row r="55">
      <c r="A55" s="225"/>
      <c r="B55" s="225"/>
      <c r="C55" s="225"/>
      <c r="D55" s="225"/>
      <c r="E55" s="225"/>
      <c r="F55" s="225"/>
      <c r="G55" s="225"/>
      <c r="H55" s="225"/>
      <c r="I55" s="225"/>
      <c r="J55" s="225"/>
      <c r="K55" s="225"/>
      <c r="L55" s="225"/>
      <c r="M55" s="225"/>
      <c r="N55" s="225"/>
      <c r="O55" s="225"/>
      <c r="P55" s="225"/>
      <c r="Q55" s="225"/>
      <c r="R55" s="225"/>
      <c r="S55" s="225"/>
      <c r="T55" s="225"/>
      <c r="U55" s="225"/>
      <c r="V55" s="225"/>
      <c r="W55" s="225"/>
      <c r="X55" s="225"/>
      <c r="Y55" s="225"/>
      <c r="Z55" s="225"/>
      <c r="AA55" s="225"/>
      <c r="AB55" s="225"/>
      <c r="AC55" s="225"/>
      <c r="AD55" s="225"/>
    </row>
    <row r="56">
      <c r="A56" s="225"/>
      <c r="B56" s="225"/>
      <c r="C56" s="225"/>
      <c r="D56" s="225"/>
      <c r="E56" s="225"/>
      <c r="F56" s="225"/>
      <c r="G56" s="225"/>
      <c r="H56" s="225"/>
      <c r="I56" s="225"/>
      <c r="J56" s="225"/>
      <c r="K56" s="225"/>
      <c r="L56" s="225"/>
      <c r="M56" s="225"/>
      <c r="N56" s="225"/>
      <c r="O56" s="225"/>
      <c r="P56" s="225"/>
      <c r="Q56" s="225"/>
      <c r="R56" s="225"/>
      <c r="S56" s="225"/>
      <c r="T56" s="225"/>
      <c r="U56" s="225"/>
      <c r="V56" s="225"/>
      <c r="W56" s="225"/>
      <c r="X56" s="225"/>
      <c r="Y56" s="225"/>
      <c r="Z56" s="225"/>
      <c r="AA56" s="225"/>
      <c r="AB56" s="225"/>
      <c r="AC56" s="225"/>
      <c r="AD56" s="225"/>
    </row>
    <row r="57">
      <c r="A57" s="225"/>
      <c r="B57" s="225"/>
      <c r="C57" s="225"/>
      <c r="D57" s="225"/>
      <c r="E57" s="225"/>
      <c r="F57" s="225"/>
      <c r="G57" s="225"/>
      <c r="H57" s="225"/>
      <c r="I57" s="225"/>
      <c r="J57" s="225"/>
      <c r="K57" s="225"/>
      <c r="L57" s="225"/>
      <c r="M57" s="225"/>
      <c r="N57" s="225"/>
      <c r="O57" s="225"/>
      <c r="P57" s="225"/>
      <c r="Q57" s="225"/>
      <c r="R57" s="225"/>
      <c r="S57" s="225"/>
      <c r="T57" s="225"/>
      <c r="U57" s="225"/>
      <c r="V57" s="225"/>
      <c r="W57" s="225"/>
      <c r="X57" s="225"/>
      <c r="Y57" s="225"/>
      <c r="Z57" s="225"/>
      <c r="AA57" s="225"/>
      <c r="AB57" s="225"/>
      <c r="AC57" s="225"/>
      <c r="AD57" s="225"/>
    </row>
    <row r="58">
      <c r="A58" s="225"/>
      <c r="B58" s="225"/>
      <c r="C58" s="225"/>
      <c r="D58" s="225"/>
      <c r="E58" s="225"/>
      <c r="F58" s="225"/>
      <c r="G58" s="225"/>
      <c r="H58" s="225"/>
      <c r="I58" s="225"/>
      <c r="J58" s="225"/>
      <c r="K58" s="225"/>
      <c r="L58" s="225"/>
      <c r="M58" s="225"/>
      <c r="N58" s="225"/>
      <c r="O58" s="225"/>
      <c r="P58" s="225"/>
      <c r="Q58" s="225"/>
      <c r="R58" s="225"/>
      <c r="S58" s="225"/>
      <c r="T58" s="225"/>
      <c r="U58" s="225"/>
      <c r="V58" s="225"/>
      <c r="W58" s="225"/>
      <c r="X58" s="225"/>
      <c r="Y58" s="225"/>
      <c r="Z58" s="225"/>
      <c r="AA58" s="225"/>
      <c r="AB58" s="225"/>
      <c r="AC58" s="225"/>
      <c r="AD58" s="225"/>
    </row>
    <row r="59">
      <c r="A59" s="225"/>
      <c r="B59" s="225"/>
      <c r="C59" s="225"/>
      <c r="D59" s="225"/>
      <c r="E59" s="225"/>
      <c r="F59" s="225"/>
      <c r="G59" s="225"/>
      <c r="H59" s="225"/>
      <c r="I59" s="225"/>
      <c r="J59" s="225"/>
      <c r="K59" s="225"/>
      <c r="L59" s="225"/>
      <c r="M59" s="225"/>
      <c r="N59" s="225"/>
      <c r="O59" s="225"/>
      <c r="P59" s="225"/>
      <c r="Q59" s="225"/>
      <c r="R59" s="225"/>
      <c r="S59" s="225"/>
      <c r="T59" s="225"/>
      <c r="U59" s="225"/>
      <c r="V59" s="225"/>
      <c r="W59" s="225"/>
      <c r="X59" s="225"/>
      <c r="Y59" s="225"/>
      <c r="Z59" s="225"/>
      <c r="AA59" s="225"/>
      <c r="AB59" s="225"/>
      <c r="AC59" s="225"/>
      <c r="AD59" s="225"/>
    </row>
    <row r="60">
      <c r="A60" s="225"/>
      <c r="B60" s="225"/>
      <c r="C60" s="225"/>
      <c r="D60" s="225"/>
      <c r="E60" s="225"/>
      <c r="F60" s="225"/>
      <c r="G60" s="225"/>
      <c r="H60" s="225"/>
      <c r="I60" s="225"/>
      <c r="J60" s="225"/>
      <c r="K60" s="225"/>
      <c r="L60" s="225"/>
      <c r="M60" s="225"/>
      <c r="N60" s="225"/>
      <c r="O60" s="225"/>
      <c r="P60" s="225"/>
      <c r="Q60" s="225"/>
      <c r="R60" s="225"/>
      <c r="S60" s="225"/>
      <c r="T60" s="225"/>
      <c r="U60" s="225"/>
      <c r="V60" s="225"/>
      <c r="W60" s="225"/>
      <c r="X60" s="225"/>
      <c r="Y60" s="225"/>
      <c r="Z60" s="225"/>
      <c r="AA60" s="225"/>
      <c r="AB60" s="225"/>
      <c r="AC60" s="225"/>
      <c r="AD60" s="225"/>
    </row>
    <row r="61">
      <c r="A61" s="225"/>
      <c r="B61" s="225"/>
      <c r="C61" s="225"/>
      <c r="D61" s="225"/>
      <c r="E61" s="225"/>
      <c r="F61" s="225"/>
      <c r="G61" s="225"/>
      <c r="H61" s="225"/>
      <c r="I61" s="225"/>
      <c r="J61" s="225"/>
      <c r="K61" s="225"/>
      <c r="L61" s="225"/>
      <c r="M61" s="225"/>
      <c r="N61" s="225"/>
      <c r="O61" s="225"/>
      <c r="P61" s="225"/>
      <c r="Q61" s="225"/>
      <c r="R61" s="225"/>
      <c r="S61" s="225"/>
      <c r="T61" s="225"/>
      <c r="U61" s="225"/>
      <c r="V61" s="225"/>
      <c r="W61" s="225"/>
      <c r="X61" s="225"/>
      <c r="Y61" s="225"/>
      <c r="Z61" s="225"/>
      <c r="AA61" s="225"/>
      <c r="AB61" s="225"/>
      <c r="AC61" s="225"/>
      <c r="AD61" s="225"/>
    </row>
    <row r="62">
      <c r="A62" s="225"/>
      <c r="B62" s="225"/>
      <c r="C62" s="225"/>
      <c r="D62" s="225"/>
      <c r="E62" s="225"/>
      <c r="F62" s="225"/>
      <c r="G62" s="225"/>
      <c r="H62" s="225"/>
      <c r="I62" s="225"/>
      <c r="J62" s="225"/>
      <c r="K62" s="225"/>
      <c r="L62" s="225"/>
      <c r="M62" s="225"/>
      <c r="N62" s="225"/>
      <c r="O62" s="225"/>
      <c r="P62" s="225"/>
      <c r="Q62" s="225"/>
      <c r="R62" s="225"/>
      <c r="S62" s="225"/>
      <c r="T62" s="225"/>
      <c r="U62" s="225"/>
      <c r="V62" s="225"/>
      <c r="W62" s="225"/>
      <c r="X62" s="225"/>
      <c r="Y62" s="225"/>
      <c r="Z62" s="225"/>
      <c r="AA62" s="225"/>
      <c r="AB62" s="225"/>
      <c r="AC62" s="225"/>
      <c r="AD62" s="225"/>
    </row>
    <row r="63">
      <c r="A63" s="225"/>
      <c r="B63" s="225"/>
      <c r="C63" s="225"/>
      <c r="D63" s="225"/>
      <c r="E63" s="225"/>
      <c r="F63" s="225"/>
      <c r="G63" s="225"/>
      <c r="H63" s="225"/>
      <c r="I63" s="225"/>
      <c r="J63" s="225"/>
      <c r="K63" s="225"/>
      <c r="L63" s="225"/>
      <c r="M63" s="225"/>
      <c r="N63" s="225"/>
      <c r="O63" s="225"/>
      <c r="P63" s="225"/>
      <c r="Q63" s="225"/>
      <c r="R63" s="225"/>
      <c r="S63" s="225"/>
      <c r="T63" s="225"/>
      <c r="U63" s="225"/>
      <c r="V63" s="225"/>
      <c r="W63" s="225"/>
      <c r="X63" s="225"/>
      <c r="Y63" s="225"/>
      <c r="Z63" s="225"/>
      <c r="AA63" s="225"/>
      <c r="AB63" s="225"/>
      <c r="AC63" s="225"/>
      <c r="AD63" s="225"/>
    </row>
    <row r="64">
      <c r="A64" s="225"/>
      <c r="B64" s="225"/>
      <c r="C64" s="225"/>
      <c r="D64" s="225"/>
      <c r="E64" s="225"/>
      <c r="F64" s="225"/>
      <c r="G64" s="225"/>
      <c r="H64" s="225"/>
      <c r="I64" s="225"/>
      <c r="J64" s="225"/>
      <c r="K64" s="225"/>
      <c r="L64" s="225"/>
      <c r="M64" s="225"/>
      <c r="N64" s="225"/>
      <c r="O64" s="225"/>
      <c r="P64" s="225"/>
      <c r="Q64" s="225"/>
      <c r="R64" s="225"/>
      <c r="S64" s="225"/>
      <c r="T64" s="225"/>
      <c r="U64" s="225"/>
      <c r="V64" s="225"/>
      <c r="W64" s="225"/>
      <c r="X64" s="225"/>
      <c r="Y64" s="225"/>
      <c r="Z64" s="225"/>
      <c r="AA64" s="225"/>
      <c r="AB64" s="225"/>
      <c r="AC64" s="225"/>
      <c r="AD64" s="225"/>
    </row>
    <row r="65">
      <c r="A65" s="225"/>
      <c r="B65" s="225"/>
      <c r="C65" s="225"/>
      <c r="D65" s="225"/>
      <c r="E65" s="225"/>
      <c r="F65" s="225"/>
      <c r="G65" s="225"/>
      <c r="H65" s="225"/>
      <c r="I65" s="225"/>
      <c r="J65" s="225"/>
      <c r="K65" s="225"/>
      <c r="L65" s="225"/>
      <c r="M65" s="225"/>
      <c r="N65" s="225"/>
      <c r="O65" s="225"/>
      <c r="P65" s="225"/>
      <c r="Q65" s="225"/>
      <c r="R65" s="225"/>
      <c r="S65" s="225"/>
      <c r="T65" s="225"/>
      <c r="U65" s="225"/>
      <c r="V65" s="225"/>
      <c r="W65" s="225"/>
      <c r="X65" s="225"/>
      <c r="Y65" s="225"/>
      <c r="Z65" s="225"/>
      <c r="AA65" s="225"/>
      <c r="AB65" s="225"/>
      <c r="AC65" s="225"/>
      <c r="AD65" s="225"/>
    </row>
    <row r="66">
      <c r="A66" s="225"/>
      <c r="B66" s="225"/>
      <c r="C66" s="225"/>
      <c r="D66" s="225"/>
      <c r="E66" s="225"/>
      <c r="F66" s="225"/>
      <c r="G66" s="225"/>
      <c r="H66" s="225"/>
      <c r="I66" s="225"/>
      <c r="J66" s="225"/>
      <c r="K66" s="225"/>
      <c r="L66" s="225"/>
      <c r="M66" s="225"/>
      <c r="N66" s="225"/>
      <c r="O66" s="225"/>
      <c r="P66" s="225"/>
      <c r="Q66" s="225"/>
      <c r="R66" s="225"/>
      <c r="S66" s="225"/>
      <c r="T66" s="225"/>
      <c r="U66" s="225"/>
      <c r="V66" s="225"/>
      <c r="W66" s="225"/>
      <c r="X66" s="225"/>
      <c r="Y66" s="225"/>
      <c r="Z66" s="225"/>
      <c r="AA66" s="225"/>
      <c r="AB66" s="225"/>
      <c r="AC66" s="225"/>
      <c r="AD66" s="225"/>
    </row>
    <row r="67">
      <c r="A67" s="225"/>
      <c r="B67" s="225"/>
      <c r="C67" s="225"/>
      <c r="D67" s="225"/>
      <c r="E67" s="225"/>
      <c r="F67" s="225"/>
      <c r="G67" s="225"/>
      <c r="H67" s="225"/>
      <c r="I67" s="225"/>
      <c r="J67" s="225"/>
      <c r="K67" s="225"/>
      <c r="L67" s="225"/>
      <c r="M67" s="225"/>
      <c r="N67" s="225"/>
      <c r="O67" s="225"/>
      <c r="P67" s="225"/>
      <c r="Q67" s="225"/>
      <c r="R67" s="225"/>
      <c r="S67" s="225"/>
      <c r="T67" s="225"/>
      <c r="U67" s="225"/>
      <c r="V67" s="225"/>
      <c r="W67" s="225"/>
      <c r="X67" s="225"/>
      <c r="Y67" s="225"/>
      <c r="Z67" s="225"/>
      <c r="AA67" s="225"/>
      <c r="AB67" s="225"/>
      <c r="AC67" s="225"/>
      <c r="AD67" s="225"/>
    </row>
    <row r="68">
      <c r="A68" s="225"/>
      <c r="B68" s="225"/>
      <c r="C68" s="225"/>
      <c r="D68" s="225"/>
      <c r="E68" s="225"/>
      <c r="F68" s="225"/>
      <c r="G68" s="225"/>
      <c r="H68" s="225"/>
      <c r="I68" s="225"/>
      <c r="J68" s="225"/>
      <c r="K68" s="225"/>
      <c r="L68" s="225"/>
      <c r="M68" s="225"/>
      <c r="N68" s="225"/>
      <c r="O68" s="225"/>
      <c r="P68" s="225"/>
      <c r="Q68" s="225"/>
      <c r="R68" s="225"/>
      <c r="S68" s="225"/>
      <c r="T68" s="225"/>
      <c r="U68" s="225"/>
      <c r="V68" s="225"/>
      <c r="W68" s="225"/>
      <c r="X68" s="225"/>
      <c r="Y68" s="225"/>
      <c r="Z68" s="225"/>
      <c r="AA68" s="225"/>
      <c r="AB68" s="225"/>
      <c r="AC68" s="225"/>
      <c r="AD68" s="225"/>
    </row>
    <row r="69">
      <c r="A69" s="225"/>
      <c r="B69" s="225"/>
      <c r="C69" s="225"/>
      <c r="D69" s="225"/>
      <c r="E69" s="225"/>
      <c r="F69" s="225"/>
      <c r="G69" s="225"/>
      <c r="H69" s="225"/>
      <c r="I69" s="225"/>
      <c r="J69" s="225"/>
      <c r="K69" s="225"/>
      <c r="L69" s="225"/>
      <c r="M69" s="225"/>
      <c r="N69" s="225"/>
      <c r="O69" s="225"/>
      <c r="P69" s="225"/>
      <c r="Q69" s="225"/>
      <c r="R69" s="225"/>
      <c r="S69" s="225"/>
      <c r="T69" s="225"/>
      <c r="U69" s="225"/>
      <c r="V69" s="225"/>
      <c r="W69" s="225"/>
      <c r="X69" s="225"/>
      <c r="Y69" s="225"/>
      <c r="Z69" s="225"/>
      <c r="AA69" s="225"/>
      <c r="AB69" s="225"/>
      <c r="AC69" s="225"/>
      <c r="AD69" s="225"/>
    </row>
    <row r="70">
      <c r="A70" s="225"/>
      <c r="B70" s="225"/>
      <c r="C70" s="225"/>
      <c r="D70" s="225"/>
      <c r="E70" s="225"/>
      <c r="F70" s="225"/>
      <c r="G70" s="225"/>
      <c r="H70" s="225"/>
      <c r="I70" s="225"/>
      <c r="J70" s="225"/>
      <c r="K70" s="225"/>
      <c r="L70" s="225"/>
      <c r="M70" s="225"/>
      <c r="N70" s="225"/>
      <c r="O70" s="225"/>
      <c r="P70" s="225"/>
      <c r="Q70" s="225"/>
      <c r="R70" s="225"/>
      <c r="S70" s="225"/>
      <c r="T70" s="225"/>
      <c r="U70" s="225"/>
      <c r="V70" s="225"/>
      <c r="W70" s="225"/>
      <c r="X70" s="225"/>
      <c r="Y70" s="225"/>
      <c r="Z70" s="225"/>
      <c r="AA70" s="225"/>
      <c r="AB70" s="225"/>
      <c r="AC70" s="225"/>
      <c r="AD70" s="225"/>
    </row>
    <row r="71">
      <c r="A71" s="225"/>
      <c r="B71" s="225"/>
      <c r="C71" s="225"/>
      <c r="D71" s="225"/>
      <c r="E71" s="225"/>
      <c r="F71" s="225"/>
      <c r="G71" s="225"/>
      <c r="H71" s="225"/>
      <c r="I71" s="225"/>
      <c r="J71" s="225"/>
      <c r="K71" s="225"/>
      <c r="L71" s="225"/>
      <c r="M71" s="225"/>
      <c r="N71" s="225"/>
      <c r="O71" s="225"/>
      <c r="P71" s="225"/>
      <c r="Q71" s="225"/>
      <c r="R71" s="225"/>
      <c r="S71" s="225"/>
      <c r="T71" s="225"/>
      <c r="U71" s="225"/>
      <c r="V71" s="225"/>
      <c r="W71" s="225"/>
      <c r="X71" s="225"/>
      <c r="Y71" s="225"/>
      <c r="Z71" s="225"/>
      <c r="AA71" s="225"/>
      <c r="AB71" s="225"/>
      <c r="AC71" s="225"/>
      <c r="AD71" s="225"/>
    </row>
    <row r="72">
      <c r="A72" s="225"/>
      <c r="B72" s="225"/>
      <c r="C72" s="225"/>
      <c r="D72" s="225"/>
      <c r="E72" s="225"/>
      <c r="F72" s="225"/>
      <c r="G72" s="225"/>
      <c r="H72" s="225"/>
      <c r="I72" s="225"/>
      <c r="J72" s="225"/>
      <c r="K72" s="225"/>
      <c r="L72" s="225"/>
      <c r="M72" s="225"/>
      <c r="N72" s="225"/>
      <c r="O72" s="225"/>
      <c r="P72" s="225"/>
      <c r="Q72" s="225"/>
      <c r="R72" s="225"/>
      <c r="S72" s="225"/>
      <c r="T72" s="225"/>
      <c r="U72" s="225"/>
      <c r="V72" s="225"/>
      <c r="W72" s="225"/>
      <c r="X72" s="225"/>
      <c r="Y72" s="225"/>
      <c r="Z72" s="225"/>
      <c r="AA72" s="225"/>
      <c r="AB72" s="225"/>
      <c r="AC72" s="225"/>
      <c r="AD72" s="225"/>
    </row>
    <row r="73">
      <c r="A73" s="225"/>
      <c r="B73" s="225"/>
      <c r="C73" s="225"/>
      <c r="D73" s="225"/>
      <c r="E73" s="225"/>
      <c r="F73" s="225"/>
      <c r="G73" s="225"/>
      <c r="H73" s="225"/>
      <c r="I73" s="225"/>
      <c r="J73" s="225"/>
      <c r="K73" s="225"/>
      <c r="L73" s="225"/>
      <c r="M73" s="225"/>
      <c r="N73" s="225"/>
      <c r="O73" s="225"/>
      <c r="P73" s="225"/>
      <c r="Q73" s="225"/>
      <c r="R73" s="225"/>
      <c r="S73" s="225"/>
      <c r="T73" s="225"/>
      <c r="U73" s="225"/>
      <c r="V73" s="225"/>
      <c r="W73" s="225"/>
      <c r="X73" s="225"/>
      <c r="Y73" s="225"/>
      <c r="Z73" s="225"/>
      <c r="AA73" s="225"/>
      <c r="AB73" s="225"/>
      <c r="AC73" s="225"/>
      <c r="AD73" s="225"/>
    </row>
    <row r="74">
      <c r="A74" s="225"/>
      <c r="B74" s="225"/>
      <c r="C74" s="225"/>
      <c r="D74" s="225"/>
      <c r="E74" s="225"/>
      <c r="F74" s="225"/>
      <c r="G74" s="225"/>
      <c r="H74" s="225"/>
      <c r="I74" s="225"/>
      <c r="J74" s="225"/>
      <c r="K74" s="225"/>
      <c r="L74" s="225"/>
      <c r="M74" s="225"/>
      <c r="N74" s="225"/>
      <c r="O74" s="225"/>
      <c r="P74" s="225"/>
      <c r="Q74" s="225"/>
      <c r="R74" s="225"/>
      <c r="S74" s="225"/>
      <c r="T74" s="225"/>
      <c r="U74" s="225"/>
      <c r="V74" s="225"/>
      <c r="W74" s="225"/>
      <c r="X74" s="225"/>
      <c r="Y74" s="225"/>
      <c r="Z74" s="225"/>
      <c r="AA74" s="225"/>
      <c r="AB74" s="225"/>
      <c r="AC74" s="225"/>
      <c r="AD74" s="225"/>
    </row>
    <row r="75">
      <c r="A75" s="225"/>
      <c r="B75" s="225"/>
      <c r="C75" s="225"/>
      <c r="D75" s="225"/>
      <c r="E75" s="225"/>
      <c r="F75" s="225"/>
      <c r="G75" s="225"/>
      <c r="H75" s="225"/>
      <c r="I75" s="225"/>
      <c r="J75" s="225"/>
      <c r="K75" s="225"/>
      <c r="L75" s="225"/>
      <c r="M75" s="225"/>
      <c r="N75" s="225"/>
      <c r="O75" s="225"/>
      <c r="P75" s="225"/>
      <c r="Q75" s="225"/>
      <c r="R75" s="225"/>
      <c r="S75" s="225"/>
      <c r="T75" s="225"/>
      <c r="U75" s="225"/>
      <c r="V75" s="225"/>
      <c r="W75" s="225"/>
      <c r="X75" s="225"/>
      <c r="Y75" s="225"/>
      <c r="Z75" s="225"/>
      <c r="AA75" s="225"/>
      <c r="AB75" s="225"/>
      <c r="AC75" s="225"/>
      <c r="AD75" s="225"/>
    </row>
    <row r="76">
      <c r="A76" s="225"/>
      <c r="B76" s="225"/>
      <c r="C76" s="225"/>
      <c r="D76" s="225"/>
      <c r="E76" s="225"/>
      <c r="F76" s="225"/>
      <c r="G76" s="225"/>
      <c r="H76" s="225"/>
      <c r="I76" s="225"/>
      <c r="J76" s="225"/>
      <c r="K76" s="225"/>
      <c r="L76" s="225"/>
      <c r="M76" s="225"/>
      <c r="N76" s="225"/>
      <c r="O76" s="225"/>
      <c r="P76" s="225"/>
      <c r="Q76" s="225"/>
      <c r="R76" s="225"/>
      <c r="S76" s="225"/>
      <c r="T76" s="225"/>
      <c r="U76" s="225"/>
      <c r="V76" s="225"/>
      <c r="W76" s="225"/>
      <c r="X76" s="225"/>
      <c r="Y76" s="225"/>
      <c r="Z76" s="225"/>
      <c r="AA76" s="225"/>
      <c r="AB76" s="225"/>
      <c r="AC76" s="225"/>
      <c r="AD76" s="225"/>
    </row>
    <row r="77">
      <c r="A77" s="225"/>
      <c r="B77" s="225"/>
      <c r="C77" s="225"/>
      <c r="D77" s="225"/>
      <c r="E77" s="225"/>
      <c r="F77" s="225"/>
      <c r="G77" s="225"/>
      <c r="H77" s="225"/>
      <c r="I77" s="225"/>
      <c r="J77" s="225"/>
      <c r="K77" s="225"/>
      <c r="L77" s="225"/>
      <c r="M77" s="225"/>
      <c r="N77" s="225"/>
      <c r="O77" s="225"/>
      <c r="P77" s="225"/>
      <c r="Q77" s="225"/>
      <c r="R77" s="225"/>
      <c r="S77" s="225"/>
      <c r="T77" s="225"/>
      <c r="U77" s="225"/>
      <c r="V77" s="225"/>
      <c r="W77" s="225"/>
      <c r="X77" s="225"/>
      <c r="Y77" s="225"/>
      <c r="Z77" s="225"/>
      <c r="AA77" s="225"/>
      <c r="AB77" s="225"/>
      <c r="AC77" s="225"/>
      <c r="AD77" s="225"/>
    </row>
    <row r="78">
      <c r="A78" s="225"/>
      <c r="B78" s="225"/>
      <c r="C78" s="225"/>
      <c r="D78" s="225"/>
      <c r="E78" s="225"/>
      <c r="F78" s="225"/>
      <c r="G78" s="225"/>
      <c r="H78" s="225"/>
      <c r="I78" s="225"/>
      <c r="J78" s="225"/>
      <c r="K78" s="225"/>
      <c r="L78" s="225"/>
      <c r="M78" s="225"/>
      <c r="N78" s="225"/>
      <c r="O78" s="225"/>
      <c r="P78" s="225"/>
      <c r="Q78" s="225"/>
      <c r="R78" s="225"/>
      <c r="S78" s="225"/>
      <c r="T78" s="225"/>
      <c r="U78" s="225"/>
      <c r="V78" s="225"/>
      <c r="W78" s="225"/>
      <c r="X78" s="225"/>
      <c r="Y78" s="225"/>
      <c r="Z78" s="225"/>
      <c r="AA78" s="225"/>
      <c r="AB78" s="225"/>
      <c r="AC78" s="225"/>
      <c r="AD78" s="225"/>
    </row>
    <row r="79">
      <c r="A79" s="225"/>
      <c r="B79" s="225"/>
      <c r="C79" s="225"/>
      <c r="D79" s="225"/>
      <c r="E79" s="225"/>
      <c r="F79" s="225"/>
      <c r="G79" s="225"/>
      <c r="H79" s="225"/>
      <c r="I79" s="225"/>
      <c r="J79" s="225"/>
      <c r="K79" s="225"/>
      <c r="L79" s="225"/>
      <c r="M79" s="225"/>
      <c r="N79" s="225"/>
      <c r="O79" s="225"/>
      <c r="P79" s="225"/>
      <c r="Q79" s="225"/>
      <c r="R79" s="225"/>
      <c r="S79" s="225"/>
      <c r="T79" s="225"/>
      <c r="U79" s="225"/>
      <c r="V79" s="225"/>
      <c r="W79" s="225"/>
      <c r="X79" s="225"/>
      <c r="Y79" s="225"/>
      <c r="Z79" s="225"/>
      <c r="AA79" s="225"/>
      <c r="AB79" s="225"/>
      <c r="AC79" s="225"/>
      <c r="AD79" s="225"/>
    </row>
    <row r="80">
      <c r="A80" s="225"/>
      <c r="B80" s="225"/>
      <c r="C80" s="225"/>
      <c r="D80" s="225"/>
      <c r="E80" s="225"/>
      <c r="F80" s="225"/>
      <c r="G80" s="225"/>
      <c r="H80" s="225"/>
      <c r="I80" s="225"/>
      <c r="J80" s="225"/>
      <c r="K80" s="225"/>
      <c r="L80" s="225"/>
      <c r="M80" s="225"/>
      <c r="N80" s="225"/>
      <c r="O80" s="225"/>
      <c r="P80" s="225"/>
      <c r="Q80" s="225"/>
      <c r="R80" s="225"/>
      <c r="S80" s="225"/>
      <c r="T80" s="225"/>
      <c r="U80" s="225"/>
      <c r="V80" s="225"/>
      <c r="W80" s="225"/>
      <c r="X80" s="225"/>
      <c r="Y80" s="225"/>
      <c r="Z80" s="225"/>
      <c r="AA80" s="225"/>
      <c r="AB80" s="225"/>
      <c r="AC80" s="225"/>
      <c r="AD80" s="225"/>
    </row>
    <row r="81">
      <c r="A81" s="225"/>
      <c r="B81" s="225"/>
      <c r="C81" s="225"/>
      <c r="D81" s="225"/>
      <c r="E81" s="225"/>
      <c r="F81" s="225"/>
      <c r="G81" s="225"/>
      <c r="H81" s="225"/>
      <c r="I81" s="225"/>
      <c r="J81" s="225"/>
      <c r="K81" s="225"/>
      <c r="L81" s="225"/>
      <c r="M81" s="225"/>
      <c r="N81" s="225"/>
      <c r="O81" s="225"/>
      <c r="P81" s="225"/>
      <c r="Q81" s="225"/>
      <c r="R81" s="225"/>
      <c r="S81" s="225"/>
      <c r="T81" s="225"/>
      <c r="U81" s="225"/>
      <c r="V81" s="225"/>
      <c r="W81" s="225"/>
      <c r="X81" s="225"/>
      <c r="Y81" s="225"/>
      <c r="Z81" s="225"/>
      <c r="AA81" s="225"/>
      <c r="AB81" s="225"/>
      <c r="AC81" s="225"/>
      <c r="AD81" s="225"/>
    </row>
    <row r="82">
      <c r="A82" s="225"/>
      <c r="B82" s="225"/>
      <c r="C82" s="225"/>
      <c r="D82" s="225"/>
      <c r="E82" s="225"/>
      <c r="F82" s="225"/>
      <c r="G82" s="225"/>
      <c r="H82" s="225"/>
      <c r="I82" s="225"/>
      <c r="J82" s="225"/>
      <c r="K82" s="225"/>
      <c r="L82" s="225"/>
      <c r="M82" s="225"/>
      <c r="N82" s="225"/>
      <c r="O82" s="225"/>
      <c r="P82" s="225"/>
      <c r="Q82" s="225"/>
      <c r="R82" s="225"/>
      <c r="S82" s="225"/>
      <c r="T82" s="225"/>
      <c r="U82" s="225"/>
      <c r="V82" s="225"/>
      <c r="W82" s="225"/>
      <c r="X82" s="225"/>
      <c r="Y82" s="225"/>
      <c r="Z82" s="225"/>
      <c r="AA82" s="225"/>
      <c r="AB82" s="225"/>
      <c r="AC82" s="225"/>
      <c r="AD82" s="225"/>
    </row>
    <row r="83">
      <c r="A83" s="225"/>
      <c r="B83" s="225"/>
      <c r="C83" s="225"/>
      <c r="D83" s="225"/>
      <c r="E83" s="225"/>
      <c r="F83" s="225"/>
      <c r="G83" s="225"/>
      <c r="H83" s="225"/>
      <c r="I83" s="225"/>
      <c r="J83" s="225"/>
      <c r="K83" s="225"/>
      <c r="L83" s="225"/>
      <c r="M83" s="225"/>
      <c r="N83" s="225"/>
      <c r="O83" s="225"/>
      <c r="P83" s="225"/>
      <c r="Q83" s="225"/>
      <c r="R83" s="225"/>
      <c r="S83" s="225"/>
      <c r="T83" s="225"/>
      <c r="U83" s="225"/>
      <c r="V83" s="225"/>
      <c r="W83" s="225"/>
      <c r="X83" s="225"/>
      <c r="Y83" s="225"/>
      <c r="Z83" s="225"/>
      <c r="AA83" s="225"/>
      <c r="AB83" s="225"/>
      <c r="AC83" s="225"/>
      <c r="AD83" s="225"/>
    </row>
    <row r="84">
      <c r="A84" s="225"/>
      <c r="B84" s="225"/>
      <c r="C84" s="225"/>
      <c r="D84" s="225"/>
      <c r="E84" s="225"/>
      <c r="F84" s="225"/>
      <c r="G84" s="225"/>
      <c r="H84" s="225"/>
      <c r="I84" s="225"/>
      <c r="J84" s="225"/>
      <c r="K84" s="225"/>
      <c r="L84" s="225"/>
      <c r="M84" s="225"/>
      <c r="N84" s="225"/>
      <c r="O84" s="225"/>
      <c r="P84" s="225"/>
      <c r="Q84" s="225"/>
      <c r="R84" s="225"/>
      <c r="S84" s="225"/>
      <c r="T84" s="225"/>
      <c r="U84" s="225"/>
      <c r="V84" s="225"/>
      <c r="W84" s="225"/>
      <c r="X84" s="225"/>
      <c r="Y84" s="225"/>
      <c r="Z84" s="225"/>
      <c r="AA84" s="225"/>
      <c r="AB84" s="225"/>
      <c r="AC84" s="225"/>
      <c r="AD84" s="225"/>
    </row>
    <row r="85">
      <c r="A85" s="225"/>
      <c r="B85" s="225"/>
      <c r="C85" s="225"/>
      <c r="D85" s="225"/>
      <c r="E85" s="225"/>
      <c r="F85" s="225"/>
      <c r="G85" s="225"/>
      <c r="H85" s="225"/>
      <c r="I85" s="225"/>
      <c r="J85" s="225"/>
      <c r="K85" s="225"/>
      <c r="L85" s="225"/>
      <c r="M85" s="225"/>
      <c r="N85" s="225"/>
      <c r="O85" s="225"/>
      <c r="P85" s="225"/>
      <c r="Q85" s="225"/>
      <c r="R85" s="225"/>
      <c r="S85" s="225"/>
      <c r="T85" s="225"/>
      <c r="U85" s="225"/>
      <c r="V85" s="225"/>
      <c r="W85" s="225"/>
      <c r="X85" s="225"/>
      <c r="Y85" s="225"/>
      <c r="Z85" s="225"/>
      <c r="AA85" s="225"/>
      <c r="AB85" s="225"/>
      <c r="AC85" s="225"/>
      <c r="AD85" s="225"/>
    </row>
    <row r="86">
      <c r="A86" s="225"/>
      <c r="B86" s="225"/>
      <c r="C86" s="225"/>
      <c r="D86" s="225"/>
      <c r="E86" s="225"/>
      <c r="F86" s="225"/>
      <c r="G86" s="225"/>
      <c r="H86" s="225"/>
      <c r="I86" s="225"/>
      <c r="J86" s="225"/>
      <c r="K86" s="225"/>
      <c r="L86" s="225"/>
      <c r="M86" s="225"/>
      <c r="N86" s="225"/>
      <c r="O86" s="225"/>
      <c r="P86" s="225"/>
      <c r="Q86" s="225"/>
      <c r="R86" s="225"/>
      <c r="S86" s="225"/>
      <c r="T86" s="225"/>
      <c r="U86" s="225"/>
      <c r="V86" s="225"/>
      <c r="W86" s="225"/>
      <c r="X86" s="225"/>
      <c r="Y86" s="225"/>
      <c r="Z86" s="225"/>
      <c r="AA86" s="225"/>
      <c r="AB86" s="225"/>
      <c r="AC86" s="225"/>
      <c r="AD86" s="225"/>
    </row>
    <row r="87">
      <c r="A87" s="225"/>
      <c r="B87" s="225"/>
      <c r="C87" s="225"/>
      <c r="D87" s="225"/>
      <c r="E87" s="225"/>
      <c r="F87" s="225"/>
      <c r="G87" s="225"/>
      <c r="H87" s="225"/>
      <c r="I87" s="225"/>
      <c r="J87" s="225"/>
      <c r="K87" s="225"/>
      <c r="L87" s="225"/>
      <c r="M87" s="225"/>
      <c r="N87" s="225"/>
      <c r="O87" s="225"/>
      <c r="P87" s="225"/>
      <c r="Q87" s="225"/>
      <c r="R87" s="225"/>
      <c r="S87" s="225"/>
      <c r="T87" s="225"/>
      <c r="U87" s="225"/>
      <c r="V87" s="225"/>
      <c r="W87" s="225"/>
      <c r="X87" s="225"/>
      <c r="Y87" s="225"/>
      <c r="Z87" s="225"/>
      <c r="AA87" s="225"/>
      <c r="AB87" s="225"/>
      <c r="AC87" s="225"/>
      <c r="AD87" s="225"/>
    </row>
    <row r="88">
      <c r="A88" s="225"/>
      <c r="B88" s="225"/>
      <c r="C88" s="225"/>
      <c r="D88" s="225"/>
      <c r="E88" s="225"/>
      <c r="F88" s="225"/>
      <c r="G88" s="225"/>
      <c r="H88" s="225"/>
      <c r="I88" s="225"/>
      <c r="J88" s="225"/>
      <c r="K88" s="225"/>
      <c r="L88" s="225"/>
      <c r="M88" s="225"/>
      <c r="N88" s="225"/>
      <c r="O88" s="225"/>
      <c r="P88" s="225"/>
      <c r="Q88" s="225"/>
      <c r="R88" s="225"/>
      <c r="S88" s="225"/>
      <c r="T88" s="225"/>
      <c r="U88" s="225"/>
      <c r="V88" s="225"/>
      <c r="W88" s="225"/>
      <c r="X88" s="225"/>
      <c r="Y88" s="225"/>
      <c r="Z88" s="225"/>
      <c r="AA88" s="225"/>
      <c r="AB88" s="225"/>
      <c r="AC88" s="225"/>
      <c r="AD88" s="225"/>
    </row>
    <row r="89">
      <c r="A89" s="225"/>
      <c r="B89" s="225"/>
      <c r="C89" s="225"/>
      <c r="D89" s="225"/>
      <c r="E89" s="225"/>
      <c r="F89" s="225"/>
      <c r="G89" s="225"/>
      <c r="H89" s="225"/>
      <c r="I89" s="225"/>
      <c r="J89" s="225"/>
      <c r="K89" s="225"/>
      <c r="L89" s="225"/>
      <c r="M89" s="225"/>
      <c r="N89" s="225"/>
      <c r="O89" s="225"/>
      <c r="P89" s="225"/>
      <c r="Q89" s="225"/>
      <c r="R89" s="225"/>
      <c r="S89" s="225"/>
      <c r="T89" s="225"/>
      <c r="U89" s="225"/>
      <c r="V89" s="225"/>
      <c r="W89" s="225"/>
      <c r="X89" s="225"/>
      <c r="Y89" s="225"/>
      <c r="Z89" s="225"/>
      <c r="AA89" s="225"/>
      <c r="AB89" s="225"/>
      <c r="AC89" s="225"/>
      <c r="AD89" s="225"/>
    </row>
    <row r="90">
      <c r="A90" s="225"/>
      <c r="B90" s="225"/>
      <c r="C90" s="225"/>
      <c r="D90" s="225"/>
      <c r="E90" s="225"/>
      <c r="F90" s="225"/>
      <c r="G90" s="225"/>
      <c r="H90" s="225"/>
      <c r="I90" s="225"/>
      <c r="J90" s="225"/>
      <c r="K90" s="225"/>
      <c r="L90" s="225"/>
      <c r="M90" s="225"/>
      <c r="N90" s="225"/>
      <c r="O90" s="225"/>
      <c r="P90" s="225"/>
      <c r="Q90" s="225"/>
      <c r="R90" s="225"/>
      <c r="S90" s="225"/>
      <c r="T90" s="225"/>
      <c r="U90" s="225"/>
      <c r="V90" s="225"/>
      <c r="W90" s="225"/>
      <c r="X90" s="225"/>
      <c r="Y90" s="225"/>
      <c r="Z90" s="225"/>
      <c r="AA90" s="225"/>
      <c r="AB90" s="225"/>
      <c r="AC90" s="225"/>
      <c r="AD90" s="225"/>
    </row>
    <row r="91">
      <c r="A91" s="225"/>
      <c r="B91" s="225"/>
      <c r="C91" s="225"/>
      <c r="D91" s="225"/>
      <c r="E91" s="225"/>
      <c r="F91" s="225"/>
      <c r="G91" s="225"/>
      <c r="H91" s="225"/>
      <c r="I91" s="225"/>
      <c r="J91" s="225"/>
      <c r="K91" s="225"/>
      <c r="L91" s="225"/>
      <c r="M91" s="225"/>
      <c r="N91" s="225"/>
      <c r="O91" s="225"/>
      <c r="P91" s="225"/>
      <c r="Q91" s="225"/>
      <c r="R91" s="225"/>
      <c r="S91" s="225"/>
      <c r="T91" s="225"/>
      <c r="U91" s="225"/>
      <c r="V91" s="225"/>
      <c r="W91" s="225"/>
      <c r="X91" s="225"/>
      <c r="Y91" s="225"/>
      <c r="Z91" s="225"/>
      <c r="AA91" s="225"/>
      <c r="AB91" s="225"/>
      <c r="AC91" s="225"/>
      <c r="AD91" s="225"/>
    </row>
    <row r="92">
      <c r="A92" s="225"/>
      <c r="B92" s="225"/>
      <c r="C92" s="225"/>
      <c r="D92" s="225"/>
      <c r="E92" s="225"/>
      <c r="F92" s="225"/>
      <c r="G92" s="225"/>
      <c r="H92" s="225"/>
      <c r="I92" s="225"/>
      <c r="J92" s="225"/>
      <c r="K92" s="225"/>
      <c r="L92" s="225"/>
      <c r="M92" s="225"/>
      <c r="N92" s="225"/>
      <c r="O92" s="225"/>
      <c r="P92" s="225"/>
      <c r="Q92" s="225"/>
      <c r="R92" s="225"/>
      <c r="S92" s="225"/>
      <c r="T92" s="225"/>
      <c r="U92" s="225"/>
      <c r="V92" s="225"/>
      <c r="W92" s="225"/>
      <c r="X92" s="225"/>
      <c r="Y92" s="225"/>
      <c r="Z92" s="225"/>
      <c r="AA92" s="225"/>
      <c r="AB92" s="225"/>
      <c r="AC92" s="225"/>
      <c r="AD92" s="225"/>
    </row>
    <row r="93">
      <c r="A93" s="225"/>
      <c r="B93" s="225"/>
      <c r="C93" s="225"/>
      <c r="D93" s="225"/>
      <c r="E93" s="225"/>
      <c r="F93" s="225"/>
      <c r="G93" s="225"/>
      <c r="H93" s="225"/>
      <c r="I93" s="225"/>
      <c r="J93" s="225"/>
      <c r="K93" s="225"/>
      <c r="L93" s="225"/>
      <c r="M93" s="225"/>
      <c r="N93" s="225"/>
      <c r="O93" s="225"/>
      <c r="P93" s="225"/>
      <c r="Q93" s="225"/>
      <c r="R93" s="225"/>
      <c r="S93" s="225"/>
      <c r="T93" s="225"/>
      <c r="U93" s="225"/>
      <c r="V93" s="225"/>
      <c r="W93" s="225"/>
      <c r="X93" s="225"/>
      <c r="Y93" s="225"/>
      <c r="Z93" s="225"/>
      <c r="AA93" s="225"/>
      <c r="AB93" s="225"/>
      <c r="AC93" s="225"/>
      <c r="AD93" s="225"/>
    </row>
    <row r="94">
      <c r="A94" s="225"/>
      <c r="B94" s="225"/>
      <c r="C94" s="225"/>
      <c r="D94" s="225"/>
      <c r="E94" s="225"/>
      <c r="F94" s="225"/>
      <c r="G94" s="225"/>
      <c r="H94" s="225"/>
      <c r="I94" s="225"/>
      <c r="J94" s="225"/>
      <c r="K94" s="225"/>
      <c r="L94" s="225"/>
      <c r="M94" s="225"/>
      <c r="N94" s="225"/>
      <c r="O94" s="225"/>
      <c r="P94" s="225"/>
      <c r="Q94" s="225"/>
      <c r="R94" s="225"/>
      <c r="S94" s="225"/>
      <c r="T94" s="225"/>
      <c r="U94" s="225"/>
      <c r="V94" s="225"/>
      <c r="W94" s="225"/>
      <c r="X94" s="225"/>
      <c r="Y94" s="225"/>
      <c r="Z94" s="225"/>
      <c r="AA94" s="225"/>
      <c r="AB94" s="225"/>
      <c r="AC94" s="225"/>
      <c r="AD94" s="225"/>
    </row>
    <row r="95">
      <c r="A95" s="225"/>
      <c r="B95" s="225"/>
      <c r="C95" s="225"/>
      <c r="D95" s="225"/>
      <c r="E95" s="225"/>
      <c r="F95" s="225"/>
      <c r="G95" s="225"/>
      <c r="H95" s="225"/>
      <c r="I95" s="225"/>
      <c r="J95" s="225"/>
      <c r="K95" s="225"/>
      <c r="L95" s="225"/>
      <c r="M95" s="225"/>
      <c r="N95" s="225"/>
      <c r="O95" s="225"/>
      <c r="P95" s="225"/>
      <c r="Q95" s="225"/>
      <c r="R95" s="225"/>
      <c r="S95" s="225"/>
      <c r="T95" s="225"/>
      <c r="U95" s="225"/>
      <c r="V95" s="225"/>
      <c r="W95" s="225"/>
      <c r="X95" s="225"/>
      <c r="Y95" s="225"/>
      <c r="Z95" s="225"/>
      <c r="AA95" s="225"/>
      <c r="AB95" s="225"/>
      <c r="AC95" s="225"/>
      <c r="AD95" s="225"/>
    </row>
    <row r="96">
      <c r="A96" s="225"/>
      <c r="B96" s="225"/>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c r="AA96" s="225"/>
      <c r="AB96" s="225"/>
      <c r="AC96" s="225"/>
      <c r="AD96" s="225"/>
    </row>
    <row r="97">
      <c r="A97" s="225"/>
      <c r="B97" s="225"/>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c r="AA97" s="225"/>
      <c r="AB97" s="225"/>
      <c r="AC97" s="225"/>
      <c r="AD97" s="225"/>
    </row>
    <row r="98">
      <c r="A98" s="225"/>
      <c r="B98" s="225"/>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c r="AA98" s="225"/>
      <c r="AB98" s="225"/>
      <c r="AC98" s="225"/>
      <c r="AD98" s="225"/>
    </row>
    <row r="99">
      <c r="A99" s="225"/>
      <c r="B99" s="225"/>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c r="AA99" s="225"/>
      <c r="AB99" s="225"/>
      <c r="AC99" s="225"/>
      <c r="AD99" s="225"/>
    </row>
    <row r="100">
      <c r="A100" s="225"/>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c r="AA100" s="225"/>
      <c r="AB100" s="225"/>
      <c r="AC100" s="225"/>
      <c r="AD100" s="225"/>
    </row>
    <row r="101">
      <c r="A101" s="225"/>
      <c r="B101" s="225"/>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c r="AA101" s="225"/>
      <c r="AB101" s="225"/>
      <c r="AC101" s="225"/>
      <c r="AD101" s="225"/>
    </row>
    <row r="102">
      <c r="A102" s="225"/>
      <c r="B102" s="225"/>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c r="AA102" s="225"/>
      <c r="AB102" s="225"/>
      <c r="AC102" s="225"/>
      <c r="AD102" s="225"/>
    </row>
    <row r="103">
      <c r="A103" s="225"/>
      <c r="B103" s="225"/>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c r="AA103" s="225"/>
      <c r="AB103" s="225"/>
      <c r="AC103" s="225"/>
      <c r="AD103" s="225"/>
    </row>
    <row r="104">
      <c r="A104" s="225"/>
      <c r="B104" s="225"/>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c r="AA104" s="225"/>
      <c r="AB104" s="225"/>
      <c r="AC104" s="225"/>
      <c r="AD104" s="225"/>
    </row>
    <row r="105">
      <c r="A105" s="225"/>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c r="AA105" s="225"/>
      <c r="AB105" s="225"/>
      <c r="AC105" s="225"/>
      <c r="AD105" s="225"/>
    </row>
    <row r="106">
      <c r="A106" s="225"/>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c r="AA106" s="225"/>
      <c r="AB106" s="225"/>
      <c r="AC106" s="225"/>
      <c r="AD106" s="225"/>
    </row>
    <row r="107">
      <c r="A107" s="225"/>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c r="AA107" s="225"/>
      <c r="AB107" s="225"/>
      <c r="AC107" s="225"/>
      <c r="AD107" s="225"/>
    </row>
    <row r="108">
      <c r="A108" s="225"/>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c r="AA108" s="225"/>
      <c r="AB108" s="225"/>
      <c r="AC108" s="225"/>
      <c r="AD108" s="225"/>
    </row>
    <row r="109">
      <c r="A109" s="225"/>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c r="AA109" s="225"/>
      <c r="AB109" s="225"/>
      <c r="AC109" s="225"/>
      <c r="AD109" s="225"/>
    </row>
    <row r="110">
      <c r="A110" s="225"/>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c r="AA110" s="225"/>
      <c r="AB110" s="225"/>
      <c r="AC110" s="225"/>
      <c r="AD110" s="225"/>
    </row>
    <row r="111">
      <c r="A111" s="225"/>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c r="AA111" s="225"/>
      <c r="AB111" s="225"/>
      <c r="AC111" s="225"/>
      <c r="AD111" s="225"/>
    </row>
    <row r="112">
      <c r="A112" s="225"/>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c r="AA112" s="225"/>
      <c r="AB112" s="225"/>
      <c r="AC112" s="225"/>
      <c r="AD112" s="225"/>
    </row>
    <row r="113">
      <c r="A113" s="225"/>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c r="AA113" s="225"/>
      <c r="AB113" s="225"/>
      <c r="AC113" s="225"/>
      <c r="AD113" s="225"/>
    </row>
    <row r="114">
      <c r="A114" s="225"/>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c r="AA114" s="225"/>
      <c r="AB114" s="225"/>
      <c r="AC114" s="225"/>
      <c r="AD114" s="225"/>
    </row>
    <row r="115">
      <c r="A115" s="225"/>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c r="AA115" s="225"/>
      <c r="AB115" s="225"/>
      <c r="AC115" s="225"/>
      <c r="AD115" s="225"/>
    </row>
    <row r="116">
      <c r="A116" s="225"/>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c r="AA116" s="225"/>
      <c r="AB116" s="225"/>
      <c r="AC116" s="225"/>
      <c r="AD116" s="225"/>
    </row>
    <row r="117">
      <c r="A117" s="225"/>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c r="AA117" s="225"/>
      <c r="AB117" s="225"/>
      <c r="AC117" s="225"/>
      <c r="AD117" s="225"/>
    </row>
    <row r="118">
      <c r="A118" s="225"/>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c r="AA118" s="225"/>
      <c r="AB118" s="225"/>
      <c r="AC118" s="225"/>
      <c r="AD118" s="225"/>
    </row>
    <row r="119">
      <c r="A119" s="225"/>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c r="AA119" s="225"/>
      <c r="AB119" s="225"/>
      <c r="AC119" s="225"/>
      <c r="AD119" s="225"/>
    </row>
    <row r="120">
      <c r="A120" s="225"/>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c r="AA120" s="225"/>
      <c r="AB120" s="225"/>
      <c r="AC120" s="225"/>
      <c r="AD120" s="225"/>
    </row>
    <row r="121">
      <c r="A121" s="225"/>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c r="AA121" s="225"/>
      <c r="AB121" s="225"/>
      <c r="AC121" s="225"/>
      <c r="AD121" s="225"/>
    </row>
    <row r="122">
      <c r="A122" s="225"/>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c r="AA122" s="225"/>
      <c r="AB122" s="225"/>
      <c r="AC122" s="225"/>
      <c r="AD122" s="225"/>
    </row>
    <row r="123">
      <c r="A123" s="225"/>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c r="AA123" s="225"/>
      <c r="AB123" s="225"/>
      <c r="AC123" s="225"/>
      <c r="AD123" s="225"/>
    </row>
    <row r="124">
      <c r="A124" s="225"/>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c r="AA124" s="225"/>
      <c r="AB124" s="225"/>
      <c r="AC124" s="225"/>
      <c r="AD124" s="225"/>
    </row>
    <row r="125">
      <c r="A125" s="225"/>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c r="AA125" s="225"/>
      <c r="AB125" s="225"/>
      <c r="AC125" s="225"/>
      <c r="AD125" s="225"/>
    </row>
    <row r="126">
      <c r="A126" s="225"/>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c r="AA126" s="225"/>
      <c r="AB126" s="225"/>
      <c r="AC126" s="225"/>
      <c r="AD126" s="225"/>
    </row>
    <row r="127">
      <c r="A127" s="225"/>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c r="AA127" s="225"/>
      <c r="AB127" s="225"/>
      <c r="AC127" s="225"/>
      <c r="AD127" s="225"/>
    </row>
    <row r="128">
      <c r="A128" s="225"/>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c r="AA128" s="225"/>
      <c r="AB128" s="225"/>
      <c r="AC128" s="225"/>
      <c r="AD128" s="225"/>
    </row>
    <row r="129">
      <c r="A129" s="225"/>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c r="AA129" s="225"/>
      <c r="AB129" s="225"/>
      <c r="AC129" s="225"/>
      <c r="AD129" s="225"/>
    </row>
    <row r="130">
      <c r="A130" s="225"/>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c r="AA130" s="225"/>
      <c r="AB130" s="225"/>
      <c r="AC130" s="225"/>
      <c r="AD130" s="225"/>
    </row>
    <row r="131">
      <c r="A131" s="225"/>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c r="AA131" s="225"/>
      <c r="AB131" s="225"/>
      <c r="AC131" s="225"/>
      <c r="AD131" s="225"/>
    </row>
    <row r="132">
      <c r="A132" s="225"/>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c r="AA132" s="225"/>
      <c r="AB132" s="225"/>
      <c r="AC132" s="225"/>
      <c r="AD132" s="225"/>
    </row>
    <row r="133">
      <c r="A133" s="225"/>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c r="AA133" s="225"/>
      <c r="AB133" s="225"/>
      <c r="AC133" s="225"/>
      <c r="AD133" s="225"/>
    </row>
    <row r="134">
      <c r="A134" s="225"/>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c r="AA134" s="225"/>
      <c r="AB134" s="225"/>
      <c r="AC134" s="225"/>
      <c r="AD134" s="225"/>
    </row>
    <row r="135">
      <c r="A135" s="225"/>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c r="AA135" s="225"/>
      <c r="AB135" s="225"/>
      <c r="AC135" s="225"/>
      <c r="AD135" s="225"/>
    </row>
    <row r="136">
      <c r="A136" s="225"/>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c r="AA136" s="225"/>
      <c r="AB136" s="225"/>
      <c r="AC136" s="225"/>
      <c r="AD136" s="225"/>
    </row>
    <row r="137">
      <c r="A137" s="225"/>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c r="AA137" s="225"/>
      <c r="AB137" s="225"/>
      <c r="AC137" s="225"/>
      <c r="AD137" s="225"/>
    </row>
    <row r="138">
      <c r="A138" s="225"/>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c r="AA138" s="225"/>
      <c r="AB138" s="225"/>
      <c r="AC138" s="225"/>
      <c r="AD138" s="225"/>
    </row>
    <row r="139">
      <c r="A139" s="225"/>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c r="AA139" s="225"/>
      <c r="AB139" s="225"/>
      <c r="AC139" s="225"/>
      <c r="AD139" s="225"/>
    </row>
    <row r="140">
      <c r="A140" s="225"/>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c r="AA140" s="225"/>
      <c r="AB140" s="225"/>
      <c r="AC140" s="225"/>
      <c r="AD140" s="225"/>
    </row>
    <row r="141">
      <c r="A141" s="225"/>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c r="AA141" s="225"/>
      <c r="AB141" s="225"/>
      <c r="AC141" s="225"/>
      <c r="AD141" s="225"/>
    </row>
    <row r="142">
      <c r="A142" s="225"/>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c r="AA142" s="225"/>
      <c r="AB142" s="225"/>
      <c r="AC142" s="225"/>
      <c r="AD142" s="225"/>
    </row>
    <row r="143">
      <c r="A143" s="225"/>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c r="AA143" s="225"/>
      <c r="AB143" s="225"/>
      <c r="AC143" s="225"/>
      <c r="AD143" s="225"/>
    </row>
    <row r="144">
      <c r="A144" s="225"/>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c r="AA144" s="225"/>
      <c r="AB144" s="225"/>
      <c r="AC144" s="225"/>
      <c r="AD144" s="225"/>
    </row>
    <row r="145">
      <c r="A145" s="225"/>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c r="AA145" s="225"/>
      <c r="AB145" s="225"/>
      <c r="AC145" s="225"/>
      <c r="AD145" s="225"/>
    </row>
    <row r="146">
      <c r="A146" s="225"/>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c r="AA146" s="225"/>
      <c r="AB146" s="225"/>
      <c r="AC146" s="225"/>
      <c r="AD146" s="225"/>
    </row>
    <row r="147">
      <c r="A147" s="225"/>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c r="AA147" s="225"/>
      <c r="AB147" s="225"/>
      <c r="AC147" s="225"/>
      <c r="AD147" s="225"/>
    </row>
    <row r="148">
      <c r="A148" s="225"/>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c r="AA148" s="225"/>
      <c r="AB148" s="225"/>
      <c r="AC148" s="225"/>
      <c r="AD148" s="225"/>
    </row>
    <row r="149">
      <c r="A149" s="225"/>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c r="AA149" s="225"/>
      <c r="AB149" s="225"/>
      <c r="AC149" s="225"/>
      <c r="AD149" s="225"/>
    </row>
    <row r="150">
      <c r="A150" s="225"/>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c r="AA150" s="225"/>
      <c r="AB150" s="225"/>
      <c r="AC150" s="225"/>
      <c r="AD150" s="225"/>
    </row>
    <row r="151">
      <c r="A151" s="225"/>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c r="AA151" s="225"/>
      <c r="AB151" s="225"/>
      <c r="AC151" s="225"/>
      <c r="AD151" s="225"/>
    </row>
    <row r="152">
      <c r="A152" s="225"/>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c r="AA152" s="225"/>
      <c r="AB152" s="225"/>
      <c r="AC152" s="225"/>
      <c r="AD152" s="225"/>
    </row>
    <row r="153">
      <c r="A153" s="225"/>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c r="AA153" s="225"/>
      <c r="AB153" s="225"/>
      <c r="AC153" s="225"/>
      <c r="AD153" s="225"/>
    </row>
    <row r="154">
      <c r="A154" s="225"/>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c r="AA154" s="225"/>
      <c r="AB154" s="225"/>
      <c r="AC154" s="225"/>
      <c r="AD154" s="225"/>
    </row>
    <row r="155">
      <c r="A155" s="225"/>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c r="AA155" s="225"/>
      <c r="AB155" s="225"/>
      <c r="AC155" s="225"/>
      <c r="AD155" s="225"/>
    </row>
    <row r="156">
      <c r="A156" s="225"/>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c r="AA156" s="225"/>
      <c r="AB156" s="225"/>
      <c r="AC156" s="225"/>
      <c r="AD156" s="225"/>
    </row>
    <row r="157">
      <c r="A157" s="225"/>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c r="AA157" s="225"/>
      <c r="AB157" s="225"/>
      <c r="AC157" s="225"/>
      <c r="AD157" s="225"/>
    </row>
    <row r="158">
      <c r="A158" s="225"/>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c r="AA158" s="225"/>
      <c r="AB158" s="225"/>
      <c r="AC158" s="225"/>
      <c r="AD158" s="225"/>
    </row>
    <row r="159">
      <c r="A159" s="225"/>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c r="AA159" s="225"/>
      <c r="AB159" s="225"/>
      <c r="AC159" s="225"/>
      <c r="AD159" s="225"/>
    </row>
    <row r="160">
      <c r="A160" s="225"/>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c r="AA160" s="225"/>
      <c r="AB160" s="225"/>
      <c r="AC160" s="225"/>
      <c r="AD160" s="225"/>
    </row>
    <row r="161">
      <c r="A161" s="225"/>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c r="AA161" s="225"/>
      <c r="AB161" s="225"/>
      <c r="AC161" s="225"/>
      <c r="AD161" s="225"/>
    </row>
    <row r="162">
      <c r="A162" s="225"/>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c r="AA162" s="225"/>
      <c r="AB162" s="225"/>
      <c r="AC162" s="225"/>
      <c r="AD162" s="225"/>
    </row>
    <row r="163">
      <c r="A163" s="225"/>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c r="AA163" s="225"/>
      <c r="AB163" s="225"/>
      <c r="AC163" s="225"/>
      <c r="AD163" s="225"/>
    </row>
    <row r="164">
      <c r="A164" s="225"/>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c r="AA164" s="225"/>
      <c r="AB164" s="225"/>
      <c r="AC164" s="225"/>
      <c r="AD164" s="225"/>
    </row>
    <row r="165">
      <c r="A165" s="225"/>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c r="AA165" s="225"/>
      <c r="AB165" s="225"/>
      <c r="AC165" s="225"/>
      <c r="AD165" s="225"/>
    </row>
    <row r="166">
      <c r="A166" s="225"/>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c r="AA166" s="225"/>
      <c r="AB166" s="225"/>
      <c r="AC166" s="225"/>
      <c r="AD166" s="225"/>
    </row>
    <row r="167">
      <c r="A167" s="225"/>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c r="AA167" s="225"/>
      <c r="AB167" s="225"/>
      <c r="AC167" s="225"/>
      <c r="AD167" s="225"/>
    </row>
    <row r="168">
      <c r="A168" s="225"/>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c r="AA168" s="225"/>
      <c r="AB168" s="225"/>
      <c r="AC168" s="225"/>
      <c r="AD168" s="225"/>
    </row>
    <row r="169">
      <c r="A169" s="225"/>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c r="AA169" s="225"/>
      <c r="AB169" s="225"/>
      <c r="AC169" s="225"/>
      <c r="AD169" s="225"/>
    </row>
    <row r="170">
      <c r="A170" s="225"/>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c r="AA170" s="225"/>
      <c r="AB170" s="225"/>
      <c r="AC170" s="225"/>
      <c r="AD170" s="225"/>
    </row>
    <row r="171">
      <c r="A171" s="225"/>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c r="AA171" s="225"/>
      <c r="AB171" s="225"/>
      <c r="AC171" s="225"/>
      <c r="AD171" s="225"/>
    </row>
    <row r="172">
      <c r="A172" s="225"/>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c r="AA172" s="225"/>
      <c r="AB172" s="225"/>
      <c r="AC172" s="225"/>
      <c r="AD172" s="225"/>
    </row>
    <row r="173">
      <c r="A173" s="225"/>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c r="AA173" s="225"/>
      <c r="AB173" s="225"/>
      <c r="AC173" s="225"/>
      <c r="AD173" s="225"/>
    </row>
    <row r="174">
      <c r="A174" s="225"/>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c r="AA174" s="225"/>
      <c r="AB174" s="225"/>
      <c r="AC174" s="225"/>
      <c r="AD174" s="225"/>
    </row>
    <row r="175">
      <c r="A175" s="225"/>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c r="AA175" s="225"/>
      <c r="AB175" s="225"/>
      <c r="AC175" s="225"/>
      <c r="AD175" s="225"/>
    </row>
    <row r="176">
      <c r="A176" s="225"/>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c r="AA176" s="225"/>
      <c r="AB176" s="225"/>
      <c r="AC176" s="225"/>
      <c r="AD176" s="225"/>
    </row>
    <row r="177">
      <c r="A177" s="225"/>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c r="AA177" s="225"/>
      <c r="AB177" s="225"/>
      <c r="AC177" s="225"/>
      <c r="AD177" s="225"/>
    </row>
    <row r="178">
      <c r="A178" s="225"/>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c r="AA178" s="225"/>
      <c r="AB178" s="225"/>
      <c r="AC178" s="225"/>
      <c r="AD178" s="225"/>
    </row>
    <row r="179">
      <c r="A179" s="225"/>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c r="AA179" s="225"/>
      <c r="AB179" s="225"/>
      <c r="AC179" s="225"/>
      <c r="AD179" s="225"/>
    </row>
    <row r="180">
      <c r="A180" s="225"/>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c r="AA180" s="225"/>
      <c r="AB180" s="225"/>
      <c r="AC180" s="225"/>
      <c r="AD180" s="225"/>
    </row>
    <row r="181">
      <c r="A181" s="225"/>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c r="AA181" s="225"/>
      <c r="AB181" s="225"/>
      <c r="AC181" s="225"/>
      <c r="AD181" s="225"/>
    </row>
    <row r="182">
      <c r="A182" s="225"/>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c r="AA182" s="225"/>
      <c r="AB182" s="225"/>
      <c r="AC182" s="225"/>
      <c r="AD182" s="225"/>
    </row>
    <row r="183">
      <c r="A183" s="225"/>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c r="AA183" s="225"/>
      <c r="AB183" s="225"/>
      <c r="AC183" s="225"/>
      <c r="AD183" s="225"/>
    </row>
    <row r="184">
      <c r="A184" s="225"/>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c r="AA184" s="225"/>
      <c r="AB184" s="225"/>
      <c r="AC184" s="225"/>
      <c r="AD184" s="225"/>
    </row>
    <row r="185">
      <c r="A185" s="225"/>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c r="AA185" s="225"/>
      <c r="AB185" s="225"/>
      <c r="AC185" s="225"/>
      <c r="AD185" s="225"/>
    </row>
    <row r="186">
      <c r="A186" s="225"/>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c r="AA186" s="225"/>
      <c r="AB186" s="225"/>
      <c r="AC186" s="225"/>
      <c r="AD186" s="225"/>
    </row>
    <row r="187">
      <c r="A187" s="225"/>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c r="AA187" s="225"/>
      <c r="AB187" s="225"/>
      <c r="AC187" s="225"/>
      <c r="AD187" s="225"/>
    </row>
    <row r="188">
      <c r="A188" s="225"/>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c r="AA188" s="225"/>
      <c r="AB188" s="225"/>
      <c r="AC188" s="225"/>
      <c r="AD188" s="225"/>
    </row>
    <row r="189">
      <c r="A189" s="225"/>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c r="AA189" s="225"/>
      <c r="AB189" s="225"/>
      <c r="AC189" s="225"/>
      <c r="AD189" s="225"/>
    </row>
    <row r="190">
      <c r="A190" s="225"/>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c r="AA190" s="225"/>
      <c r="AB190" s="225"/>
      <c r="AC190" s="225"/>
      <c r="AD190" s="225"/>
    </row>
    <row r="191">
      <c r="A191" s="225"/>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c r="AA191" s="225"/>
      <c r="AB191" s="225"/>
      <c r="AC191" s="225"/>
      <c r="AD191" s="225"/>
    </row>
    <row r="192">
      <c r="A192" s="225"/>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c r="AA192" s="225"/>
      <c r="AB192" s="225"/>
      <c r="AC192" s="225"/>
      <c r="AD192" s="225"/>
    </row>
    <row r="193">
      <c r="A193" s="225"/>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c r="AA193" s="225"/>
      <c r="AB193" s="225"/>
      <c r="AC193" s="225"/>
      <c r="AD193" s="225"/>
    </row>
    <row r="194">
      <c r="A194" s="225"/>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c r="AA194" s="225"/>
      <c r="AB194" s="225"/>
      <c r="AC194" s="225"/>
      <c r="AD194" s="225"/>
    </row>
    <row r="195">
      <c r="A195" s="225"/>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c r="AA195" s="225"/>
      <c r="AB195" s="225"/>
      <c r="AC195" s="225"/>
      <c r="AD195" s="225"/>
    </row>
    <row r="196">
      <c r="A196" s="225"/>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c r="AA196" s="225"/>
      <c r="AB196" s="225"/>
      <c r="AC196" s="225"/>
      <c r="AD196" s="225"/>
    </row>
    <row r="197">
      <c r="A197" s="225"/>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c r="AA197" s="225"/>
      <c r="AB197" s="225"/>
      <c r="AC197" s="225"/>
      <c r="AD197" s="225"/>
    </row>
    <row r="198">
      <c r="A198" s="225"/>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c r="AA198" s="225"/>
      <c r="AB198" s="225"/>
      <c r="AC198" s="225"/>
      <c r="AD198" s="225"/>
    </row>
    <row r="199">
      <c r="A199" s="225"/>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c r="AA199" s="225"/>
      <c r="AB199" s="225"/>
      <c r="AC199" s="225"/>
      <c r="AD199" s="225"/>
    </row>
    <row r="200">
      <c r="A200" s="225"/>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c r="AA200" s="225"/>
      <c r="AB200" s="225"/>
      <c r="AC200" s="225"/>
      <c r="AD200" s="225"/>
    </row>
    <row r="201">
      <c r="A201" s="225"/>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c r="AA201" s="225"/>
      <c r="AB201" s="225"/>
      <c r="AC201" s="225"/>
      <c r="AD201" s="225"/>
    </row>
    <row r="202">
      <c r="A202" s="225"/>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c r="AA202" s="225"/>
      <c r="AB202" s="225"/>
      <c r="AC202" s="225"/>
      <c r="AD202" s="225"/>
    </row>
    <row r="203">
      <c r="A203" s="225"/>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c r="AA203" s="225"/>
      <c r="AB203" s="225"/>
      <c r="AC203" s="225"/>
      <c r="AD203" s="225"/>
    </row>
    <row r="204">
      <c r="A204" s="225"/>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c r="AA204" s="225"/>
      <c r="AB204" s="225"/>
      <c r="AC204" s="225"/>
      <c r="AD204" s="225"/>
    </row>
    <row r="205">
      <c r="A205" s="225"/>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c r="AA205" s="225"/>
      <c r="AB205" s="225"/>
      <c r="AC205" s="225"/>
      <c r="AD205" s="225"/>
    </row>
    <row r="206">
      <c r="A206" s="225"/>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c r="AA206" s="225"/>
      <c r="AB206" s="225"/>
      <c r="AC206" s="225"/>
      <c r="AD206" s="225"/>
    </row>
    <row r="207">
      <c r="A207" s="225"/>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c r="AA207" s="225"/>
      <c r="AB207" s="225"/>
      <c r="AC207" s="225"/>
      <c r="AD207" s="225"/>
    </row>
    <row r="208">
      <c r="A208" s="225"/>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c r="AA208" s="225"/>
      <c r="AB208" s="225"/>
      <c r="AC208" s="225"/>
      <c r="AD208" s="225"/>
    </row>
    <row r="209">
      <c r="A209" s="225"/>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c r="AA209" s="225"/>
      <c r="AB209" s="225"/>
      <c r="AC209" s="225"/>
      <c r="AD209" s="225"/>
    </row>
    <row r="210">
      <c r="A210" s="225"/>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c r="AA210" s="225"/>
      <c r="AB210" s="225"/>
      <c r="AC210" s="225"/>
      <c r="AD210" s="225"/>
    </row>
    <row r="211">
      <c r="A211" s="225"/>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c r="AA211" s="225"/>
      <c r="AB211" s="225"/>
      <c r="AC211" s="225"/>
      <c r="AD211" s="225"/>
    </row>
    <row r="212">
      <c r="A212" s="225"/>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c r="AA212" s="225"/>
      <c r="AB212" s="225"/>
      <c r="AC212" s="225"/>
      <c r="AD212" s="225"/>
    </row>
    <row r="213">
      <c r="A213" s="225"/>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c r="AA213" s="225"/>
      <c r="AB213" s="225"/>
      <c r="AC213" s="225"/>
      <c r="AD213" s="225"/>
    </row>
    <row r="214">
      <c r="A214" s="225"/>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c r="AA214" s="225"/>
      <c r="AB214" s="225"/>
      <c r="AC214" s="225"/>
      <c r="AD214" s="225"/>
    </row>
    <row r="215">
      <c r="A215" s="225"/>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c r="AA215" s="225"/>
      <c r="AB215" s="225"/>
      <c r="AC215" s="225"/>
      <c r="AD215" s="225"/>
    </row>
    <row r="216">
      <c r="A216" s="225"/>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c r="AA216" s="225"/>
      <c r="AB216" s="225"/>
      <c r="AC216" s="225"/>
      <c r="AD216" s="225"/>
    </row>
    <row r="217">
      <c r="A217" s="225"/>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c r="AA217" s="225"/>
      <c r="AB217" s="225"/>
      <c r="AC217" s="225"/>
      <c r="AD217" s="225"/>
    </row>
    <row r="218">
      <c r="A218" s="225"/>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c r="AA218" s="225"/>
      <c r="AB218" s="225"/>
      <c r="AC218" s="225"/>
      <c r="AD218" s="225"/>
    </row>
    <row r="219">
      <c r="A219" s="225"/>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c r="AA219" s="225"/>
      <c r="AB219" s="225"/>
      <c r="AC219" s="225"/>
      <c r="AD219" s="225"/>
    </row>
    <row r="220">
      <c r="A220" s="225"/>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c r="AA220" s="225"/>
      <c r="AB220" s="225"/>
      <c r="AC220" s="225"/>
      <c r="AD220" s="225"/>
    </row>
    <row r="221">
      <c r="A221" s="225"/>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c r="AA221" s="225"/>
      <c r="AB221" s="225"/>
      <c r="AC221" s="225"/>
      <c r="AD221" s="225"/>
    </row>
    <row r="222">
      <c r="A222" s="225"/>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c r="AA222" s="225"/>
      <c r="AB222" s="225"/>
      <c r="AC222" s="225"/>
      <c r="AD222" s="225"/>
    </row>
    <row r="223">
      <c r="A223" s="225"/>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c r="AA223" s="225"/>
      <c r="AB223" s="225"/>
      <c r="AC223" s="225"/>
      <c r="AD223" s="225"/>
    </row>
    <row r="224">
      <c r="A224" s="225"/>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c r="AA224" s="225"/>
      <c r="AB224" s="225"/>
      <c r="AC224" s="225"/>
      <c r="AD224" s="225"/>
    </row>
    <row r="225">
      <c r="A225" s="225"/>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c r="AA225" s="225"/>
      <c r="AB225" s="225"/>
      <c r="AC225" s="225"/>
      <c r="AD225" s="225"/>
    </row>
    <row r="226">
      <c r="A226" s="225"/>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c r="AA226" s="225"/>
      <c r="AB226" s="225"/>
      <c r="AC226" s="225"/>
      <c r="AD226" s="225"/>
    </row>
    <row r="227">
      <c r="A227" s="225"/>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c r="AA227" s="225"/>
      <c r="AB227" s="225"/>
      <c r="AC227" s="225"/>
      <c r="AD227" s="225"/>
    </row>
    <row r="228">
      <c r="A228" s="225"/>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c r="AA228" s="225"/>
      <c r="AB228" s="225"/>
      <c r="AC228" s="225"/>
      <c r="AD228" s="225"/>
    </row>
    <row r="229">
      <c r="A229" s="225"/>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c r="AA229" s="225"/>
      <c r="AB229" s="225"/>
      <c r="AC229" s="225"/>
      <c r="AD229" s="225"/>
    </row>
    <row r="230">
      <c r="A230" s="225"/>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c r="AA230" s="225"/>
      <c r="AB230" s="225"/>
      <c r="AC230" s="225"/>
      <c r="AD230" s="225"/>
    </row>
    <row r="231">
      <c r="A231" s="225"/>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c r="AA231" s="225"/>
      <c r="AB231" s="225"/>
      <c r="AC231" s="225"/>
      <c r="AD231" s="225"/>
    </row>
    <row r="232">
      <c r="A232" s="225"/>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c r="AA232" s="225"/>
      <c r="AB232" s="225"/>
      <c r="AC232" s="225"/>
      <c r="AD232" s="225"/>
    </row>
    <row r="233">
      <c r="A233" s="225"/>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c r="AA233" s="225"/>
      <c r="AB233" s="225"/>
      <c r="AC233" s="225"/>
      <c r="AD233" s="225"/>
    </row>
    <row r="234">
      <c r="A234" s="225"/>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c r="AA234" s="225"/>
      <c r="AB234" s="225"/>
      <c r="AC234" s="225"/>
      <c r="AD234" s="225"/>
    </row>
    <row r="235">
      <c r="A235" s="225"/>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c r="AA235" s="225"/>
      <c r="AB235" s="225"/>
      <c r="AC235" s="225"/>
      <c r="AD235" s="225"/>
    </row>
    <row r="236">
      <c r="A236" s="225"/>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c r="AA236" s="225"/>
      <c r="AB236" s="225"/>
      <c r="AC236" s="225"/>
      <c r="AD236" s="225"/>
    </row>
    <row r="237">
      <c r="A237" s="225"/>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c r="AA237" s="225"/>
      <c r="AB237" s="225"/>
      <c r="AC237" s="225"/>
      <c r="AD237" s="225"/>
    </row>
    <row r="238">
      <c r="A238" s="225"/>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c r="AA238" s="225"/>
      <c r="AB238" s="225"/>
      <c r="AC238" s="225"/>
      <c r="AD238" s="225"/>
    </row>
    <row r="239">
      <c r="A239" s="225"/>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c r="AA239" s="225"/>
      <c r="AB239" s="225"/>
      <c r="AC239" s="225"/>
      <c r="AD239" s="225"/>
    </row>
    <row r="240">
      <c r="A240" s="225"/>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c r="AA240" s="225"/>
      <c r="AB240" s="225"/>
      <c r="AC240" s="225"/>
      <c r="AD240" s="225"/>
    </row>
    <row r="241">
      <c r="A241" s="225"/>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c r="AA241" s="225"/>
      <c r="AB241" s="225"/>
      <c r="AC241" s="225"/>
      <c r="AD241" s="225"/>
    </row>
    <row r="242">
      <c r="A242" s="225"/>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c r="AA242" s="225"/>
      <c r="AB242" s="225"/>
      <c r="AC242" s="225"/>
      <c r="AD242" s="225"/>
    </row>
    <row r="243">
      <c r="A243" s="225"/>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c r="AA243" s="225"/>
      <c r="AB243" s="225"/>
      <c r="AC243" s="225"/>
      <c r="AD243" s="225"/>
    </row>
    <row r="244">
      <c r="A244" s="225"/>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c r="AA244" s="225"/>
      <c r="AB244" s="225"/>
      <c r="AC244" s="225"/>
      <c r="AD244" s="225"/>
    </row>
    <row r="245">
      <c r="A245" s="225"/>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c r="AA245" s="225"/>
      <c r="AB245" s="225"/>
      <c r="AC245" s="225"/>
      <c r="AD245" s="225"/>
    </row>
    <row r="246">
      <c r="A246" s="225"/>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c r="AA246" s="225"/>
      <c r="AB246" s="225"/>
      <c r="AC246" s="225"/>
      <c r="AD246" s="225"/>
    </row>
    <row r="247">
      <c r="A247" s="225"/>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c r="AA247" s="225"/>
      <c r="AB247" s="225"/>
      <c r="AC247" s="225"/>
      <c r="AD247" s="225"/>
    </row>
    <row r="248">
      <c r="A248" s="225"/>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c r="AA248" s="225"/>
      <c r="AB248" s="225"/>
      <c r="AC248" s="225"/>
      <c r="AD248" s="225"/>
    </row>
    <row r="249">
      <c r="A249" s="225"/>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c r="AA249" s="225"/>
      <c r="AB249" s="225"/>
      <c r="AC249" s="225"/>
      <c r="AD249" s="225"/>
    </row>
    <row r="250">
      <c r="A250" s="225"/>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c r="AA250" s="225"/>
      <c r="AB250" s="225"/>
      <c r="AC250" s="225"/>
      <c r="AD250" s="225"/>
    </row>
    <row r="251">
      <c r="A251" s="225"/>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c r="AA251" s="225"/>
      <c r="AB251" s="225"/>
      <c r="AC251" s="225"/>
      <c r="AD251" s="225"/>
    </row>
    <row r="252">
      <c r="A252" s="225"/>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c r="AA252" s="225"/>
      <c r="AB252" s="225"/>
      <c r="AC252" s="225"/>
      <c r="AD252" s="225"/>
    </row>
    <row r="253">
      <c r="A253" s="225"/>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c r="AA253" s="225"/>
      <c r="AB253" s="225"/>
      <c r="AC253" s="225"/>
      <c r="AD253" s="225"/>
    </row>
    <row r="254">
      <c r="A254" s="225"/>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c r="AA254" s="225"/>
      <c r="AB254" s="225"/>
      <c r="AC254" s="225"/>
      <c r="AD254" s="225"/>
    </row>
    <row r="255">
      <c r="A255" s="225"/>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c r="AA255" s="225"/>
      <c r="AB255" s="225"/>
      <c r="AC255" s="225"/>
      <c r="AD255" s="225"/>
    </row>
    <row r="256">
      <c r="A256" s="225"/>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c r="AA256" s="225"/>
      <c r="AB256" s="225"/>
      <c r="AC256" s="225"/>
      <c r="AD256" s="225"/>
    </row>
    <row r="257">
      <c r="A257" s="225"/>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c r="AA257" s="225"/>
      <c r="AB257" s="225"/>
      <c r="AC257" s="225"/>
      <c r="AD257" s="225"/>
    </row>
    <row r="258">
      <c r="A258" s="225"/>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c r="AA258" s="225"/>
      <c r="AB258" s="225"/>
      <c r="AC258" s="225"/>
      <c r="AD258" s="225"/>
    </row>
    <row r="259">
      <c r="A259" s="225"/>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c r="AA259" s="225"/>
      <c r="AB259" s="225"/>
      <c r="AC259" s="225"/>
      <c r="AD259" s="225"/>
    </row>
    <row r="260">
      <c r="A260" s="225"/>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c r="AA260" s="225"/>
      <c r="AB260" s="225"/>
      <c r="AC260" s="225"/>
      <c r="AD260" s="225"/>
    </row>
    <row r="261">
      <c r="A261" s="225"/>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c r="AA261" s="225"/>
      <c r="AB261" s="225"/>
      <c r="AC261" s="225"/>
      <c r="AD261" s="225"/>
    </row>
    <row r="262">
      <c r="A262" s="225"/>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c r="AA262" s="225"/>
      <c r="AB262" s="225"/>
      <c r="AC262" s="225"/>
      <c r="AD262" s="225"/>
    </row>
    <row r="263">
      <c r="A263" s="225"/>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c r="AA263" s="225"/>
      <c r="AB263" s="225"/>
      <c r="AC263" s="225"/>
      <c r="AD263" s="225"/>
    </row>
    <row r="264">
      <c r="A264" s="225"/>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c r="AA264" s="225"/>
      <c r="AB264" s="225"/>
      <c r="AC264" s="225"/>
      <c r="AD264" s="225"/>
    </row>
    <row r="265">
      <c r="A265" s="225"/>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c r="AA265" s="225"/>
      <c r="AB265" s="225"/>
      <c r="AC265" s="225"/>
      <c r="AD265" s="225"/>
    </row>
    <row r="266">
      <c r="A266" s="225"/>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c r="AA266" s="225"/>
      <c r="AB266" s="225"/>
      <c r="AC266" s="225"/>
      <c r="AD266" s="225"/>
    </row>
    <row r="267">
      <c r="A267" s="225"/>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c r="AA267" s="225"/>
      <c r="AB267" s="225"/>
      <c r="AC267" s="225"/>
      <c r="AD267" s="225"/>
    </row>
    <row r="268">
      <c r="A268" s="225"/>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c r="AA268" s="225"/>
      <c r="AB268" s="225"/>
      <c r="AC268" s="225"/>
      <c r="AD268" s="225"/>
    </row>
    <row r="269">
      <c r="A269" s="225"/>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c r="AA269" s="225"/>
      <c r="AB269" s="225"/>
      <c r="AC269" s="225"/>
      <c r="AD269" s="225"/>
    </row>
    <row r="270">
      <c r="A270" s="225"/>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c r="AA270" s="225"/>
      <c r="AB270" s="225"/>
      <c r="AC270" s="225"/>
      <c r="AD270" s="225"/>
    </row>
    <row r="271">
      <c r="A271" s="225"/>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c r="AA271" s="225"/>
      <c r="AB271" s="225"/>
      <c r="AC271" s="225"/>
      <c r="AD271" s="225"/>
    </row>
    <row r="272">
      <c r="A272" s="225"/>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c r="AA272" s="225"/>
      <c r="AB272" s="225"/>
      <c r="AC272" s="225"/>
      <c r="AD272" s="225"/>
    </row>
    <row r="273">
      <c r="A273" s="225"/>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c r="AA273" s="225"/>
      <c r="AB273" s="225"/>
      <c r="AC273" s="225"/>
      <c r="AD273" s="225"/>
    </row>
    <row r="274">
      <c r="A274" s="225"/>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c r="AA274" s="225"/>
      <c r="AB274" s="225"/>
      <c r="AC274" s="225"/>
      <c r="AD274" s="225"/>
    </row>
    <row r="275">
      <c r="A275" s="225"/>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c r="AA275" s="225"/>
      <c r="AB275" s="225"/>
      <c r="AC275" s="225"/>
      <c r="AD275" s="225"/>
    </row>
    <row r="276">
      <c r="A276" s="225"/>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c r="AA276" s="225"/>
      <c r="AB276" s="225"/>
      <c r="AC276" s="225"/>
      <c r="AD276" s="225"/>
    </row>
    <row r="277">
      <c r="A277" s="225"/>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c r="AA277" s="225"/>
      <c r="AB277" s="225"/>
      <c r="AC277" s="225"/>
      <c r="AD277" s="225"/>
    </row>
    <row r="278">
      <c r="A278" s="225"/>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c r="AA278" s="225"/>
      <c r="AB278" s="225"/>
      <c r="AC278" s="225"/>
      <c r="AD278" s="225"/>
    </row>
    <row r="279">
      <c r="A279" s="225"/>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c r="AA279" s="225"/>
      <c r="AB279" s="225"/>
      <c r="AC279" s="225"/>
      <c r="AD279" s="225"/>
    </row>
    <row r="280">
      <c r="A280" s="225"/>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c r="AA280" s="225"/>
      <c r="AB280" s="225"/>
      <c r="AC280" s="225"/>
      <c r="AD280" s="225"/>
    </row>
    <row r="281">
      <c r="A281" s="225"/>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c r="AA281" s="225"/>
      <c r="AB281" s="225"/>
      <c r="AC281" s="225"/>
      <c r="AD281" s="225"/>
    </row>
    <row r="282">
      <c r="A282" s="225"/>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c r="AA282" s="225"/>
      <c r="AB282" s="225"/>
      <c r="AC282" s="225"/>
      <c r="AD282" s="225"/>
    </row>
    <row r="283">
      <c r="A283" s="225"/>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c r="AA283" s="225"/>
      <c r="AB283" s="225"/>
      <c r="AC283" s="225"/>
      <c r="AD283" s="225"/>
    </row>
    <row r="284">
      <c r="A284" s="225"/>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c r="AA284" s="225"/>
      <c r="AB284" s="225"/>
      <c r="AC284" s="225"/>
      <c r="AD284" s="225"/>
    </row>
    <row r="285">
      <c r="A285" s="225"/>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c r="AA285" s="225"/>
      <c r="AB285" s="225"/>
      <c r="AC285" s="225"/>
      <c r="AD285" s="225"/>
    </row>
    <row r="286">
      <c r="A286" s="225"/>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c r="AA286" s="225"/>
      <c r="AB286" s="225"/>
      <c r="AC286" s="225"/>
      <c r="AD286" s="225"/>
    </row>
    <row r="287">
      <c r="A287" s="225"/>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c r="AA287" s="225"/>
      <c r="AB287" s="225"/>
      <c r="AC287" s="225"/>
      <c r="AD287" s="225"/>
    </row>
    <row r="288">
      <c r="A288" s="225"/>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c r="AA288" s="225"/>
      <c r="AB288" s="225"/>
      <c r="AC288" s="225"/>
      <c r="AD288" s="225"/>
    </row>
    <row r="289">
      <c r="A289" s="225"/>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c r="AA289" s="225"/>
      <c r="AB289" s="225"/>
      <c r="AC289" s="225"/>
      <c r="AD289" s="225"/>
    </row>
    <row r="290">
      <c r="A290" s="225"/>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c r="AA290" s="225"/>
      <c r="AB290" s="225"/>
      <c r="AC290" s="225"/>
      <c r="AD290" s="225"/>
    </row>
    <row r="291">
      <c r="A291" s="225"/>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c r="AA291" s="225"/>
      <c r="AB291" s="225"/>
      <c r="AC291" s="225"/>
      <c r="AD291" s="225"/>
    </row>
    <row r="292">
      <c r="A292" s="225"/>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c r="AA292" s="225"/>
      <c r="AB292" s="225"/>
      <c r="AC292" s="225"/>
      <c r="AD292" s="225"/>
    </row>
    <row r="293">
      <c r="A293" s="225"/>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c r="AA293" s="225"/>
      <c r="AB293" s="225"/>
      <c r="AC293" s="225"/>
      <c r="AD293" s="225"/>
    </row>
    <row r="294">
      <c r="A294" s="225"/>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c r="AA294" s="225"/>
      <c r="AB294" s="225"/>
      <c r="AC294" s="225"/>
      <c r="AD294" s="225"/>
    </row>
    <row r="295">
      <c r="A295" s="225"/>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c r="AA295" s="225"/>
      <c r="AB295" s="225"/>
      <c r="AC295" s="225"/>
      <c r="AD295" s="225"/>
    </row>
    <row r="296">
      <c r="A296" s="225"/>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c r="AA296" s="225"/>
      <c r="AB296" s="225"/>
      <c r="AC296" s="225"/>
      <c r="AD296" s="225"/>
    </row>
    <row r="297">
      <c r="A297" s="225"/>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c r="AA297" s="225"/>
      <c r="AB297" s="225"/>
      <c r="AC297" s="225"/>
      <c r="AD297" s="225"/>
    </row>
    <row r="298">
      <c r="A298" s="225"/>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c r="AA298" s="225"/>
      <c r="AB298" s="225"/>
      <c r="AC298" s="225"/>
      <c r="AD298" s="225"/>
    </row>
    <row r="299">
      <c r="A299" s="225"/>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c r="AA299" s="225"/>
      <c r="AB299" s="225"/>
      <c r="AC299" s="225"/>
      <c r="AD299" s="225"/>
    </row>
    <row r="300">
      <c r="A300" s="225"/>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c r="AA300" s="225"/>
      <c r="AB300" s="225"/>
      <c r="AC300" s="225"/>
      <c r="AD300" s="225"/>
    </row>
    <row r="301">
      <c r="A301" s="225"/>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c r="AA301" s="225"/>
      <c r="AB301" s="225"/>
      <c r="AC301" s="225"/>
      <c r="AD301" s="225"/>
    </row>
    <row r="302">
      <c r="A302" s="225"/>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c r="AA302" s="225"/>
      <c r="AB302" s="225"/>
      <c r="AC302" s="225"/>
      <c r="AD302" s="225"/>
    </row>
    <row r="303">
      <c r="A303" s="225"/>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c r="AA303" s="225"/>
      <c r="AB303" s="225"/>
      <c r="AC303" s="225"/>
      <c r="AD303" s="225"/>
    </row>
    <row r="304">
      <c r="A304" s="225"/>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c r="AA304" s="225"/>
      <c r="AB304" s="225"/>
      <c r="AC304" s="225"/>
      <c r="AD304" s="225"/>
    </row>
    <row r="305">
      <c r="A305" s="225"/>
      <c r="B305" s="225"/>
      <c r="C305" s="225"/>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c r="AA305" s="225"/>
      <c r="AB305" s="225"/>
      <c r="AC305" s="225"/>
      <c r="AD305" s="225"/>
    </row>
    <row r="306">
      <c r="A306" s="225"/>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c r="AA306" s="225"/>
      <c r="AB306" s="225"/>
      <c r="AC306" s="225"/>
      <c r="AD306" s="225"/>
    </row>
    <row r="307">
      <c r="A307" s="225"/>
      <c r="B307" s="225"/>
      <c r="C307" s="225"/>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c r="AA307" s="225"/>
      <c r="AB307" s="225"/>
      <c r="AC307" s="225"/>
      <c r="AD307" s="225"/>
    </row>
    <row r="308">
      <c r="A308" s="225"/>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c r="AA308" s="225"/>
      <c r="AB308" s="225"/>
      <c r="AC308" s="225"/>
      <c r="AD308" s="225"/>
    </row>
    <row r="309">
      <c r="A309" s="225"/>
      <c r="B309" s="225"/>
      <c r="C309" s="225"/>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c r="AA309" s="225"/>
      <c r="AB309" s="225"/>
      <c r="AC309" s="225"/>
      <c r="AD309" s="225"/>
    </row>
    <row r="310">
      <c r="A310" s="225"/>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c r="AA310" s="225"/>
      <c r="AB310" s="225"/>
      <c r="AC310" s="225"/>
      <c r="AD310" s="225"/>
    </row>
    <row r="311">
      <c r="A311" s="225"/>
      <c r="B311" s="225"/>
      <c r="C311" s="225"/>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c r="AA311" s="225"/>
      <c r="AB311" s="225"/>
      <c r="AC311" s="225"/>
      <c r="AD311" s="225"/>
    </row>
    <row r="312">
      <c r="A312" s="225"/>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c r="AA312" s="225"/>
      <c r="AB312" s="225"/>
      <c r="AC312" s="225"/>
      <c r="AD312" s="225"/>
    </row>
    <row r="313">
      <c r="A313" s="225"/>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c r="AA313" s="225"/>
      <c r="AB313" s="225"/>
      <c r="AC313" s="225"/>
      <c r="AD313" s="225"/>
    </row>
    <row r="314">
      <c r="A314" s="225"/>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c r="AA314" s="225"/>
      <c r="AB314" s="225"/>
      <c r="AC314" s="225"/>
      <c r="AD314" s="225"/>
    </row>
    <row r="315">
      <c r="A315" s="225"/>
      <c r="B315" s="225"/>
      <c r="C315" s="225"/>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c r="AA315" s="225"/>
      <c r="AB315" s="225"/>
      <c r="AC315" s="225"/>
      <c r="AD315" s="225"/>
    </row>
    <row r="316">
      <c r="A316" s="225"/>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c r="AA316" s="225"/>
      <c r="AB316" s="225"/>
      <c r="AC316" s="225"/>
      <c r="AD316" s="225"/>
    </row>
    <row r="317">
      <c r="A317" s="225"/>
      <c r="B317" s="225"/>
      <c r="C317" s="225"/>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c r="AA317" s="225"/>
      <c r="AB317" s="225"/>
      <c r="AC317" s="225"/>
      <c r="AD317" s="225"/>
    </row>
    <row r="318">
      <c r="A318" s="225"/>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c r="AA318" s="225"/>
      <c r="AB318" s="225"/>
      <c r="AC318" s="225"/>
      <c r="AD318" s="225"/>
    </row>
    <row r="319">
      <c r="A319" s="225"/>
      <c r="B319" s="225"/>
      <c r="C319" s="225"/>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c r="AA319" s="225"/>
      <c r="AB319" s="225"/>
      <c r="AC319" s="225"/>
      <c r="AD319" s="225"/>
    </row>
    <row r="320">
      <c r="A320" s="225"/>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c r="AA320" s="225"/>
      <c r="AB320" s="225"/>
      <c r="AC320" s="225"/>
      <c r="AD320" s="225"/>
    </row>
    <row r="321">
      <c r="A321" s="225"/>
      <c r="B321" s="225"/>
      <c r="C321" s="225"/>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c r="AA321" s="225"/>
      <c r="AB321" s="225"/>
      <c r="AC321" s="225"/>
      <c r="AD321" s="225"/>
    </row>
    <row r="322">
      <c r="A322" s="225"/>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c r="AA322" s="225"/>
      <c r="AB322" s="225"/>
      <c r="AC322" s="225"/>
      <c r="AD322" s="225"/>
    </row>
    <row r="323">
      <c r="A323" s="225"/>
      <c r="B323" s="225"/>
      <c r="C323" s="225"/>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c r="AA323" s="225"/>
      <c r="AB323" s="225"/>
      <c r="AC323" s="225"/>
      <c r="AD323" s="225"/>
    </row>
    <row r="324">
      <c r="A324" s="225"/>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c r="AA324" s="225"/>
      <c r="AB324" s="225"/>
      <c r="AC324" s="225"/>
      <c r="AD324" s="225"/>
    </row>
    <row r="325">
      <c r="A325" s="225"/>
      <c r="B325" s="225"/>
      <c r="C325" s="225"/>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c r="AA325" s="225"/>
      <c r="AB325" s="225"/>
      <c r="AC325" s="225"/>
      <c r="AD325" s="225"/>
    </row>
    <row r="326">
      <c r="A326" s="225"/>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c r="AA326" s="225"/>
      <c r="AB326" s="225"/>
      <c r="AC326" s="225"/>
      <c r="AD326" s="225"/>
    </row>
    <row r="327">
      <c r="A327" s="225"/>
      <c r="B327" s="225"/>
      <c r="C327" s="225"/>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c r="AA327" s="225"/>
      <c r="AB327" s="225"/>
      <c r="AC327" s="225"/>
      <c r="AD327" s="225"/>
    </row>
    <row r="328">
      <c r="A328" s="225"/>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c r="AA328" s="225"/>
      <c r="AB328" s="225"/>
      <c r="AC328" s="225"/>
      <c r="AD328" s="225"/>
    </row>
    <row r="329">
      <c r="A329" s="225"/>
      <c r="B329" s="225"/>
      <c r="C329" s="225"/>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c r="AA329" s="225"/>
      <c r="AB329" s="225"/>
      <c r="AC329" s="225"/>
      <c r="AD329" s="225"/>
    </row>
    <row r="330">
      <c r="A330" s="225"/>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c r="AA330" s="225"/>
      <c r="AB330" s="225"/>
      <c r="AC330" s="225"/>
      <c r="AD330" s="225"/>
    </row>
    <row r="331">
      <c r="A331" s="225"/>
      <c r="B331" s="225"/>
      <c r="C331" s="225"/>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c r="AA331" s="225"/>
      <c r="AB331" s="225"/>
      <c r="AC331" s="225"/>
      <c r="AD331" s="225"/>
    </row>
    <row r="332">
      <c r="A332" s="225"/>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c r="AA332" s="225"/>
      <c r="AB332" s="225"/>
      <c r="AC332" s="225"/>
      <c r="AD332" s="225"/>
    </row>
    <row r="333">
      <c r="A333" s="225"/>
      <c r="B333" s="225"/>
      <c r="C333" s="225"/>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c r="AA333" s="225"/>
      <c r="AB333" s="225"/>
      <c r="AC333" s="225"/>
      <c r="AD333" s="225"/>
    </row>
    <row r="334">
      <c r="A334" s="225"/>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c r="AA334" s="225"/>
      <c r="AB334" s="225"/>
      <c r="AC334" s="225"/>
      <c r="AD334" s="225"/>
    </row>
    <row r="335">
      <c r="A335" s="225"/>
      <c r="B335" s="225"/>
      <c r="C335" s="225"/>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c r="AA335" s="225"/>
      <c r="AB335" s="225"/>
      <c r="AC335" s="225"/>
      <c r="AD335" s="225"/>
    </row>
    <row r="336">
      <c r="A336" s="225"/>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c r="AA336" s="225"/>
      <c r="AB336" s="225"/>
      <c r="AC336" s="225"/>
      <c r="AD336" s="225"/>
    </row>
    <row r="337">
      <c r="A337" s="225"/>
      <c r="B337" s="225"/>
      <c r="C337" s="225"/>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c r="AA337" s="225"/>
      <c r="AB337" s="225"/>
      <c r="AC337" s="225"/>
      <c r="AD337" s="225"/>
    </row>
    <row r="338">
      <c r="A338" s="225"/>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c r="AA338" s="225"/>
      <c r="AB338" s="225"/>
      <c r="AC338" s="225"/>
      <c r="AD338" s="225"/>
    </row>
    <row r="339">
      <c r="A339" s="225"/>
      <c r="B339" s="225"/>
      <c r="C339" s="225"/>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c r="AA339" s="225"/>
      <c r="AB339" s="225"/>
      <c r="AC339" s="225"/>
      <c r="AD339" s="225"/>
    </row>
    <row r="340">
      <c r="A340" s="225"/>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c r="AA340" s="225"/>
      <c r="AB340" s="225"/>
      <c r="AC340" s="225"/>
      <c r="AD340" s="225"/>
    </row>
    <row r="341">
      <c r="A341" s="225"/>
      <c r="B341" s="225"/>
      <c r="C341" s="225"/>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c r="AA341" s="225"/>
      <c r="AB341" s="225"/>
      <c r="AC341" s="225"/>
      <c r="AD341" s="225"/>
    </row>
    <row r="342">
      <c r="A342" s="225"/>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c r="AA342" s="225"/>
      <c r="AB342" s="225"/>
      <c r="AC342" s="225"/>
      <c r="AD342" s="225"/>
    </row>
    <row r="343">
      <c r="A343" s="225"/>
      <c r="B343" s="225"/>
      <c r="C343" s="225"/>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c r="AA343" s="225"/>
      <c r="AB343" s="225"/>
      <c r="AC343" s="225"/>
      <c r="AD343" s="225"/>
    </row>
    <row r="344">
      <c r="A344" s="225"/>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c r="AA344" s="225"/>
      <c r="AB344" s="225"/>
      <c r="AC344" s="225"/>
      <c r="AD344" s="225"/>
    </row>
    <row r="345">
      <c r="A345" s="225"/>
      <c r="B345" s="225"/>
      <c r="C345" s="225"/>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c r="AA345" s="225"/>
      <c r="AB345" s="225"/>
      <c r="AC345" s="225"/>
      <c r="AD345" s="225"/>
    </row>
    <row r="346">
      <c r="A346" s="225"/>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c r="AA346" s="225"/>
      <c r="AB346" s="225"/>
      <c r="AC346" s="225"/>
      <c r="AD346" s="225"/>
    </row>
    <row r="347">
      <c r="A347" s="225"/>
      <c r="B347" s="225"/>
      <c r="C347" s="225"/>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c r="AA347" s="225"/>
      <c r="AB347" s="225"/>
      <c r="AC347" s="225"/>
      <c r="AD347" s="225"/>
    </row>
    <row r="348">
      <c r="A348" s="225"/>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c r="AA348" s="225"/>
      <c r="AB348" s="225"/>
      <c r="AC348" s="225"/>
      <c r="AD348" s="225"/>
    </row>
    <row r="349">
      <c r="A349" s="225"/>
      <c r="B349" s="225"/>
      <c r="C349" s="225"/>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c r="AA349" s="225"/>
      <c r="AB349" s="225"/>
      <c r="AC349" s="225"/>
      <c r="AD349" s="225"/>
    </row>
    <row r="350">
      <c r="A350" s="225"/>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c r="AA350" s="225"/>
      <c r="AB350" s="225"/>
      <c r="AC350" s="225"/>
      <c r="AD350" s="225"/>
    </row>
    <row r="351">
      <c r="A351" s="225"/>
      <c r="B351" s="225"/>
      <c r="C351" s="225"/>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c r="AA351" s="225"/>
      <c r="AB351" s="225"/>
      <c r="AC351" s="225"/>
      <c r="AD351" s="225"/>
    </row>
    <row r="352">
      <c r="A352" s="225"/>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c r="AA352" s="225"/>
      <c r="AB352" s="225"/>
      <c r="AC352" s="225"/>
      <c r="AD352" s="225"/>
    </row>
    <row r="353">
      <c r="A353" s="225"/>
      <c r="B353" s="225"/>
      <c r="C353" s="225"/>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c r="AA353" s="225"/>
      <c r="AB353" s="225"/>
      <c r="AC353" s="225"/>
      <c r="AD353" s="225"/>
    </row>
    <row r="354">
      <c r="A354" s="225"/>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c r="AA354" s="225"/>
      <c r="AB354" s="225"/>
      <c r="AC354" s="225"/>
      <c r="AD354" s="225"/>
    </row>
    <row r="355">
      <c r="A355" s="225"/>
      <c r="B355" s="225"/>
      <c r="C355" s="225"/>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c r="AA355" s="225"/>
      <c r="AB355" s="225"/>
      <c r="AC355" s="225"/>
      <c r="AD355" s="225"/>
    </row>
    <row r="356">
      <c r="A356" s="225"/>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c r="AA356" s="225"/>
      <c r="AB356" s="225"/>
      <c r="AC356" s="225"/>
      <c r="AD356" s="225"/>
    </row>
    <row r="357">
      <c r="A357" s="225"/>
      <c r="B357" s="225"/>
      <c r="C357" s="225"/>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c r="AA357" s="225"/>
      <c r="AB357" s="225"/>
      <c r="AC357" s="225"/>
      <c r="AD357" s="225"/>
    </row>
    <row r="358">
      <c r="A358" s="225"/>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c r="AA358" s="225"/>
      <c r="AB358" s="225"/>
      <c r="AC358" s="225"/>
      <c r="AD358" s="225"/>
    </row>
    <row r="359">
      <c r="A359" s="225"/>
      <c r="B359" s="225"/>
      <c r="C359" s="225"/>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c r="AA359" s="225"/>
      <c r="AB359" s="225"/>
      <c r="AC359" s="225"/>
      <c r="AD359" s="225"/>
    </row>
    <row r="360">
      <c r="A360" s="225"/>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c r="AA360" s="225"/>
      <c r="AB360" s="225"/>
      <c r="AC360" s="225"/>
      <c r="AD360" s="225"/>
    </row>
    <row r="361">
      <c r="A361" s="225"/>
      <c r="B361" s="225"/>
      <c r="C361" s="225"/>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c r="AA361" s="225"/>
      <c r="AB361" s="225"/>
      <c r="AC361" s="225"/>
      <c r="AD361" s="225"/>
    </row>
    <row r="362">
      <c r="A362" s="225"/>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c r="AA362" s="225"/>
      <c r="AB362" s="225"/>
      <c r="AC362" s="225"/>
      <c r="AD362" s="225"/>
    </row>
    <row r="363">
      <c r="A363" s="225"/>
      <c r="B363" s="225"/>
      <c r="C363" s="225"/>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c r="AA363" s="225"/>
      <c r="AB363" s="225"/>
      <c r="AC363" s="225"/>
      <c r="AD363" s="225"/>
    </row>
    <row r="364">
      <c r="A364" s="225"/>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c r="AA364" s="225"/>
      <c r="AB364" s="225"/>
      <c r="AC364" s="225"/>
      <c r="AD364" s="225"/>
    </row>
    <row r="365">
      <c r="A365" s="225"/>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c r="AA365" s="225"/>
      <c r="AB365" s="225"/>
      <c r="AC365" s="225"/>
      <c r="AD365" s="225"/>
    </row>
    <row r="366">
      <c r="A366" s="225"/>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c r="AA366" s="225"/>
      <c r="AB366" s="225"/>
      <c r="AC366" s="225"/>
      <c r="AD366" s="225"/>
    </row>
    <row r="367">
      <c r="A367" s="225"/>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c r="AA367" s="225"/>
      <c r="AB367" s="225"/>
      <c r="AC367" s="225"/>
      <c r="AD367" s="225"/>
    </row>
    <row r="368">
      <c r="A368" s="225"/>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c r="AA368" s="225"/>
      <c r="AB368" s="225"/>
      <c r="AC368" s="225"/>
      <c r="AD368" s="225"/>
    </row>
    <row r="369">
      <c r="A369" s="225"/>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c r="AA369" s="225"/>
      <c r="AB369" s="225"/>
      <c r="AC369" s="225"/>
      <c r="AD369" s="225"/>
    </row>
    <row r="370">
      <c r="A370" s="225"/>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c r="AA370" s="225"/>
      <c r="AB370" s="225"/>
      <c r="AC370" s="225"/>
      <c r="AD370" s="225"/>
    </row>
    <row r="371">
      <c r="A371" s="225"/>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c r="AA371" s="225"/>
      <c r="AB371" s="225"/>
      <c r="AC371" s="225"/>
      <c r="AD371" s="225"/>
    </row>
    <row r="372">
      <c r="A372" s="225"/>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c r="AA372" s="225"/>
      <c r="AB372" s="225"/>
      <c r="AC372" s="225"/>
      <c r="AD372" s="225"/>
    </row>
    <row r="373">
      <c r="A373" s="225"/>
      <c r="B373" s="225"/>
      <c r="C373" s="225"/>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c r="AA373" s="225"/>
      <c r="AB373" s="225"/>
      <c r="AC373" s="225"/>
      <c r="AD373" s="225"/>
    </row>
    <row r="374">
      <c r="A374" s="225"/>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c r="AA374" s="225"/>
      <c r="AB374" s="225"/>
      <c r="AC374" s="225"/>
      <c r="AD374" s="225"/>
    </row>
    <row r="375">
      <c r="A375" s="225"/>
      <c r="B375" s="225"/>
      <c r="C375" s="225"/>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c r="AA375" s="225"/>
      <c r="AB375" s="225"/>
      <c r="AC375" s="225"/>
      <c r="AD375" s="225"/>
    </row>
    <row r="376">
      <c r="A376" s="225"/>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c r="AA376" s="225"/>
      <c r="AB376" s="225"/>
      <c r="AC376" s="225"/>
      <c r="AD376" s="225"/>
    </row>
    <row r="377">
      <c r="A377" s="225"/>
      <c r="B377" s="225"/>
      <c r="C377" s="225"/>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c r="AA377" s="225"/>
      <c r="AB377" s="225"/>
      <c r="AC377" s="225"/>
      <c r="AD377" s="225"/>
    </row>
    <row r="378">
      <c r="A378" s="225"/>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c r="AA378" s="225"/>
      <c r="AB378" s="225"/>
      <c r="AC378" s="225"/>
      <c r="AD378" s="225"/>
    </row>
    <row r="379">
      <c r="A379" s="225"/>
      <c r="B379" s="225"/>
      <c r="C379" s="225"/>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c r="AA379" s="225"/>
      <c r="AB379" s="225"/>
      <c r="AC379" s="225"/>
      <c r="AD379" s="225"/>
    </row>
    <row r="380">
      <c r="A380" s="225"/>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c r="AA380" s="225"/>
      <c r="AB380" s="225"/>
      <c r="AC380" s="225"/>
      <c r="AD380" s="225"/>
    </row>
    <row r="381">
      <c r="A381" s="225"/>
      <c r="B381" s="225"/>
      <c r="C381" s="225"/>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c r="AA381" s="225"/>
      <c r="AB381" s="225"/>
      <c r="AC381" s="225"/>
      <c r="AD381" s="225"/>
    </row>
    <row r="382">
      <c r="A382" s="225"/>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c r="AA382" s="225"/>
      <c r="AB382" s="225"/>
      <c r="AC382" s="225"/>
      <c r="AD382" s="225"/>
    </row>
    <row r="383">
      <c r="A383" s="225"/>
      <c r="B383" s="225"/>
      <c r="C383" s="225"/>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c r="AA383" s="225"/>
      <c r="AB383" s="225"/>
      <c r="AC383" s="225"/>
      <c r="AD383" s="225"/>
    </row>
    <row r="384">
      <c r="A384" s="225"/>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c r="AA384" s="225"/>
      <c r="AB384" s="225"/>
      <c r="AC384" s="225"/>
      <c r="AD384" s="225"/>
    </row>
    <row r="385">
      <c r="A385" s="225"/>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c r="AA385" s="225"/>
      <c r="AB385" s="225"/>
      <c r="AC385" s="225"/>
      <c r="AD385" s="225"/>
    </row>
    <row r="386">
      <c r="A386" s="225"/>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c r="AA386" s="225"/>
      <c r="AB386" s="225"/>
      <c r="AC386" s="225"/>
      <c r="AD386" s="225"/>
    </row>
    <row r="387">
      <c r="A387" s="225"/>
      <c r="B387" s="225"/>
      <c r="C387" s="225"/>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c r="AA387" s="225"/>
      <c r="AB387" s="225"/>
      <c r="AC387" s="225"/>
      <c r="AD387" s="225"/>
    </row>
    <row r="388">
      <c r="A388" s="225"/>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c r="AA388" s="225"/>
      <c r="AB388" s="225"/>
      <c r="AC388" s="225"/>
      <c r="AD388" s="225"/>
    </row>
    <row r="389">
      <c r="A389" s="225"/>
      <c r="B389" s="225"/>
      <c r="C389" s="225"/>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c r="AA389" s="225"/>
      <c r="AB389" s="225"/>
      <c r="AC389" s="225"/>
      <c r="AD389" s="225"/>
    </row>
    <row r="390">
      <c r="A390" s="225"/>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c r="AA390" s="225"/>
      <c r="AB390" s="225"/>
      <c r="AC390" s="225"/>
      <c r="AD390" s="225"/>
    </row>
    <row r="391">
      <c r="A391" s="225"/>
      <c r="B391" s="225"/>
      <c r="C391" s="225"/>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c r="AA391" s="225"/>
      <c r="AB391" s="225"/>
      <c r="AC391" s="225"/>
      <c r="AD391" s="225"/>
    </row>
    <row r="392">
      <c r="A392" s="225"/>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c r="AA392" s="225"/>
      <c r="AB392" s="225"/>
      <c r="AC392" s="225"/>
      <c r="AD392" s="225"/>
    </row>
    <row r="393">
      <c r="A393" s="225"/>
      <c r="B393" s="225"/>
      <c r="C393" s="225"/>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c r="AA393" s="225"/>
      <c r="AB393" s="225"/>
      <c r="AC393" s="225"/>
      <c r="AD393" s="225"/>
    </row>
    <row r="394">
      <c r="A394" s="225"/>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c r="AA394" s="225"/>
      <c r="AB394" s="225"/>
      <c r="AC394" s="225"/>
      <c r="AD394" s="225"/>
    </row>
    <row r="395">
      <c r="A395" s="225"/>
      <c r="B395" s="225"/>
      <c r="C395" s="225"/>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c r="AA395" s="225"/>
      <c r="AB395" s="225"/>
      <c r="AC395" s="225"/>
      <c r="AD395" s="225"/>
    </row>
    <row r="396">
      <c r="A396" s="225"/>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c r="AA396" s="225"/>
      <c r="AB396" s="225"/>
      <c r="AC396" s="225"/>
      <c r="AD396" s="225"/>
    </row>
    <row r="397">
      <c r="A397" s="225"/>
      <c r="B397" s="225"/>
      <c r="C397" s="225"/>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c r="AA397" s="225"/>
      <c r="AB397" s="225"/>
      <c r="AC397" s="225"/>
      <c r="AD397" s="225"/>
    </row>
    <row r="398">
      <c r="A398" s="225"/>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c r="AA398" s="225"/>
      <c r="AB398" s="225"/>
      <c r="AC398" s="225"/>
      <c r="AD398" s="225"/>
    </row>
    <row r="399">
      <c r="A399" s="225"/>
      <c r="B399" s="225"/>
      <c r="C399" s="225"/>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c r="AA399" s="225"/>
      <c r="AB399" s="225"/>
      <c r="AC399" s="225"/>
      <c r="AD399" s="225"/>
    </row>
    <row r="400">
      <c r="A400" s="225"/>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c r="AA400" s="225"/>
      <c r="AB400" s="225"/>
      <c r="AC400" s="225"/>
      <c r="AD400" s="225"/>
    </row>
    <row r="401">
      <c r="A401" s="225"/>
      <c r="B401" s="225"/>
      <c r="C401" s="225"/>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c r="AA401" s="225"/>
      <c r="AB401" s="225"/>
      <c r="AC401" s="225"/>
      <c r="AD401" s="225"/>
    </row>
    <row r="402">
      <c r="A402" s="225"/>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c r="AA402" s="225"/>
      <c r="AB402" s="225"/>
      <c r="AC402" s="225"/>
      <c r="AD402" s="225"/>
    </row>
    <row r="403">
      <c r="A403" s="225"/>
      <c r="B403" s="225"/>
      <c r="C403" s="225"/>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c r="AA403" s="225"/>
      <c r="AB403" s="225"/>
      <c r="AC403" s="225"/>
      <c r="AD403" s="225"/>
    </row>
    <row r="404">
      <c r="A404" s="225"/>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c r="AA404" s="225"/>
      <c r="AB404" s="225"/>
      <c r="AC404" s="225"/>
      <c r="AD404" s="225"/>
    </row>
    <row r="405">
      <c r="A405" s="225"/>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c r="AA405" s="225"/>
      <c r="AB405" s="225"/>
      <c r="AC405" s="225"/>
      <c r="AD405" s="225"/>
    </row>
    <row r="406">
      <c r="A406" s="225"/>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c r="AA406" s="225"/>
      <c r="AB406" s="225"/>
      <c r="AC406" s="225"/>
      <c r="AD406" s="225"/>
    </row>
    <row r="407">
      <c r="A407" s="225"/>
      <c r="B407" s="225"/>
      <c r="C407" s="225"/>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c r="AA407" s="225"/>
      <c r="AB407" s="225"/>
      <c r="AC407" s="225"/>
      <c r="AD407" s="225"/>
    </row>
    <row r="408">
      <c r="A408" s="225"/>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c r="AA408" s="225"/>
      <c r="AB408" s="225"/>
      <c r="AC408" s="225"/>
      <c r="AD408" s="225"/>
    </row>
    <row r="409">
      <c r="A409" s="225"/>
      <c r="B409" s="225"/>
      <c r="C409" s="225"/>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c r="AA409" s="225"/>
      <c r="AB409" s="225"/>
      <c r="AC409" s="225"/>
      <c r="AD409" s="225"/>
    </row>
    <row r="410">
      <c r="A410" s="225"/>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c r="AA410" s="225"/>
      <c r="AB410" s="225"/>
      <c r="AC410" s="225"/>
      <c r="AD410" s="225"/>
    </row>
    <row r="411">
      <c r="A411" s="225"/>
      <c r="B411" s="225"/>
      <c r="C411" s="225"/>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c r="AA411" s="225"/>
      <c r="AB411" s="225"/>
      <c r="AC411" s="225"/>
      <c r="AD411" s="225"/>
    </row>
    <row r="412">
      <c r="A412" s="225"/>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c r="AA412" s="225"/>
      <c r="AB412" s="225"/>
      <c r="AC412" s="225"/>
      <c r="AD412" s="225"/>
    </row>
    <row r="413">
      <c r="A413" s="225"/>
      <c r="B413" s="225"/>
      <c r="C413" s="225"/>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c r="AA413" s="225"/>
      <c r="AB413" s="225"/>
      <c r="AC413" s="225"/>
      <c r="AD413" s="225"/>
    </row>
    <row r="414">
      <c r="A414" s="225"/>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c r="AA414" s="225"/>
      <c r="AB414" s="225"/>
      <c r="AC414" s="225"/>
      <c r="AD414" s="225"/>
    </row>
    <row r="415">
      <c r="A415" s="225"/>
      <c r="B415" s="225"/>
      <c r="C415" s="225"/>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c r="AA415" s="225"/>
      <c r="AB415" s="225"/>
      <c r="AC415" s="225"/>
      <c r="AD415" s="225"/>
    </row>
    <row r="416">
      <c r="A416" s="225"/>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c r="AA416" s="225"/>
      <c r="AB416" s="225"/>
      <c r="AC416" s="225"/>
      <c r="AD416" s="225"/>
    </row>
    <row r="417">
      <c r="A417" s="225"/>
      <c r="B417" s="225"/>
      <c r="C417" s="225"/>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c r="AA417" s="225"/>
      <c r="AB417" s="225"/>
      <c r="AC417" s="225"/>
      <c r="AD417" s="225"/>
    </row>
    <row r="418">
      <c r="A418" s="225"/>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c r="AA418" s="225"/>
      <c r="AB418" s="225"/>
      <c r="AC418" s="225"/>
      <c r="AD418" s="225"/>
    </row>
    <row r="419">
      <c r="A419" s="225"/>
      <c r="B419" s="225"/>
      <c r="C419" s="225"/>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c r="AA419" s="225"/>
      <c r="AB419" s="225"/>
      <c r="AC419" s="225"/>
      <c r="AD419" s="225"/>
    </row>
    <row r="420">
      <c r="A420" s="225"/>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c r="AA420" s="225"/>
      <c r="AB420" s="225"/>
      <c r="AC420" s="225"/>
      <c r="AD420" s="225"/>
    </row>
    <row r="421">
      <c r="A421" s="225"/>
      <c r="B421" s="225"/>
      <c r="C421" s="225"/>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c r="AA421" s="225"/>
      <c r="AB421" s="225"/>
      <c r="AC421" s="225"/>
      <c r="AD421" s="225"/>
    </row>
    <row r="422">
      <c r="A422" s="225"/>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c r="AA422" s="225"/>
      <c r="AB422" s="225"/>
      <c r="AC422" s="225"/>
      <c r="AD422" s="225"/>
    </row>
    <row r="423">
      <c r="A423" s="225"/>
      <c r="B423" s="225"/>
      <c r="C423" s="225"/>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c r="AA423" s="225"/>
      <c r="AB423" s="225"/>
      <c r="AC423" s="225"/>
      <c r="AD423" s="225"/>
    </row>
    <row r="424">
      <c r="A424" s="225"/>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c r="AA424" s="225"/>
      <c r="AB424" s="225"/>
      <c r="AC424" s="225"/>
      <c r="AD424" s="225"/>
    </row>
    <row r="425">
      <c r="A425" s="225"/>
      <c r="B425" s="225"/>
      <c r="C425" s="225"/>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c r="AA425" s="225"/>
      <c r="AB425" s="225"/>
      <c r="AC425" s="225"/>
      <c r="AD425" s="225"/>
    </row>
    <row r="426">
      <c r="A426" s="225"/>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c r="AA426" s="225"/>
      <c r="AB426" s="225"/>
      <c r="AC426" s="225"/>
      <c r="AD426" s="225"/>
    </row>
    <row r="427">
      <c r="A427" s="225"/>
      <c r="B427" s="225"/>
      <c r="C427" s="225"/>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c r="AA427" s="225"/>
      <c r="AB427" s="225"/>
      <c r="AC427" s="225"/>
      <c r="AD427" s="225"/>
    </row>
    <row r="428">
      <c r="A428" s="225"/>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c r="AA428" s="225"/>
      <c r="AB428" s="225"/>
      <c r="AC428" s="225"/>
      <c r="AD428" s="225"/>
    </row>
    <row r="429">
      <c r="A429" s="225"/>
      <c r="B429" s="225"/>
      <c r="C429" s="225"/>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c r="AA429" s="225"/>
      <c r="AB429" s="225"/>
      <c r="AC429" s="225"/>
      <c r="AD429" s="225"/>
    </row>
    <row r="430">
      <c r="A430" s="225"/>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c r="AA430" s="225"/>
      <c r="AB430" s="225"/>
      <c r="AC430" s="225"/>
      <c r="AD430" s="225"/>
    </row>
    <row r="431">
      <c r="A431" s="225"/>
      <c r="B431" s="225"/>
      <c r="C431" s="225"/>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c r="AA431" s="225"/>
      <c r="AB431" s="225"/>
      <c r="AC431" s="225"/>
      <c r="AD431" s="225"/>
    </row>
    <row r="432">
      <c r="A432" s="225"/>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c r="AA432" s="225"/>
      <c r="AB432" s="225"/>
      <c r="AC432" s="225"/>
      <c r="AD432" s="225"/>
    </row>
    <row r="433">
      <c r="A433" s="225"/>
      <c r="B433" s="225"/>
      <c r="C433" s="225"/>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c r="AA433" s="225"/>
      <c r="AB433" s="225"/>
      <c r="AC433" s="225"/>
      <c r="AD433" s="225"/>
    </row>
    <row r="434">
      <c r="A434" s="225"/>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c r="AA434" s="225"/>
      <c r="AB434" s="225"/>
      <c r="AC434" s="225"/>
      <c r="AD434" s="225"/>
    </row>
    <row r="435">
      <c r="A435" s="225"/>
      <c r="B435" s="225"/>
      <c r="C435" s="225"/>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c r="AA435" s="225"/>
      <c r="AB435" s="225"/>
      <c r="AC435" s="225"/>
      <c r="AD435" s="225"/>
    </row>
    <row r="436">
      <c r="A436" s="225"/>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c r="AA436" s="225"/>
      <c r="AB436" s="225"/>
      <c r="AC436" s="225"/>
      <c r="AD436" s="225"/>
    </row>
    <row r="437">
      <c r="A437" s="225"/>
      <c r="B437" s="225"/>
      <c r="C437" s="225"/>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c r="AA437" s="225"/>
      <c r="AB437" s="225"/>
      <c r="AC437" s="225"/>
      <c r="AD437" s="225"/>
    </row>
    <row r="438">
      <c r="A438" s="225"/>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c r="AA438" s="225"/>
      <c r="AB438" s="225"/>
      <c r="AC438" s="225"/>
      <c r="AD438" s="225"/>
    </row>
    <row r="439">
      <c r="A439" s="225"/>
      <c r="B439" s="225"/>
      <c r="C439" s="225"/>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c r="AA439" s="225"/>
      <c r="AB439" s="225"/>
      <c r="AC439" s="225"/>
      <c r="AD439" s="225"/>
    </row>
    <row r="440">
      <c r="A440" s="225"/>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c r="AA440" s="225"/>
      <c r="AB440" s="225"/>
      <c r="AC440" s="225"/>
      <c r="AD440" s="225"/>
    </row>
    <row r="441">
      <c r="A441" s="225"/>
      <c r="B441" s="225"/>
      <c r="C441" s="225"/>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c r="AA441" s="225"/>
      <c r="AB441" s="225"/>
      <c r="AC441" s="225"/>
      <c r="AD441" s="225"/>
    </row>
    <row r="442">
      <c r="A442" s="225"/>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c r="AA442" s="225"/>
      <c r="AB442" s="225"/>
      <c r="AC442" s="225"/>
      <c r="AD442" s="225"/>
    </row>
    <row r="443">
      <c r="A443" s="225"/>
      <c r="B443" s="225"/>
      <c r="C443" s="225"/>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c r="AA443" s="225"/>
      <c r="AB443" s="225"/>
      <c r="AC443" s="225"/>
      <c r="AD443" s="225"/>
    </row>
    <row r="444">
      <c r="A444" s="225"/>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c r="AA444" s="225"/>
      <c r="AB444" s="225"/>
      <c r="AC444" s="225"/>
      <c r="AD444" s="225"/>
    </row>
    <row r="445">
      <c r="A445" s="225"/>
      <c r="B445" s="225"/>
      <c r="C445" s="225"/>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c r="AA445" s="225"/>
      <c r="AB445" s="225"/>
      <c r="AC445" s="225"/>
      <c r="AD445" s="225"/>
    </row>
    <row r="446">
      <c r="A446" s="225"/>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c r="AA446" s="225"/>
      <c r="AB446" s="225"/>
      <c r="AC446" s="225"/>
      <c r="AD446" s="225"/>
    </row>
    <row r="447">
      <c r="A447" s="225"/>
      <c r="B447" s="225"/>
      <c r="C447" s="225"/>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c r="AA447" s="225"/>
      <c r="AB447" s="225"/>
      <c r="AC447" s="225"/>
      <c r="AD447" s="225"/>
    </row>
    <row r="448">
      <c r="A448" s="225"/>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c r="AA448" s="225"/>
      <c r="AB448" s="225"/>
      <c r="AC448" s="225"/>
      <c r="AD448" s="225"/>
    </row>
    <row r="449">
      <c r="A449" s="225"/>
      <c r="B449" s="225"/>
      <c r="C449" s="225"/>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c r="AA449" s="225"/>
      <c r="AB449" s="225"/>
      <c r="AC449" s="225"/>
      <c r="AD449" s="225"/>
    </row>
    <row r="450">
      <c r="A450" s="225"/>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c r="AA450" s="225"/>
      <c r="AB450" s="225"/>
      <c r="AC450" s="225"/>
      <c r="AD450" s="225"/>
    </row>
    <row r="451">
      <c r="A451" s="225"/>
      <c r="B451" s="225"/>
      <c r="C451" s="225"/>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c r="AA451" s="225"/>
      <c r="AB451" s="225"/>
      <c r="AC451" s="225"/>
      <c r="AD451" s="225"/>
    </row>
    <row r="452">
      <c r="A452" s="225"/>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c r="AA452" s="225"/>
      <c r="AB452" s="225"/>
      <c r="AC452" s="225"/>
      <c r="AD452" s="225"/>
    </row>
    <row r="453">
      <c r="A453" s="225"/>
      <c r="B453" s="225"/>
      <c r="C453" s="225"/>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c r="AA453" s="225"/>
      <c r="AB453" s="225"/>
      <c r="AC453" s="225"/>
      <c r="AD453" s="225"/>
    </row>
    <row r="454">
      <c r="A454" s="225"/>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c r="AA454" s="225"/>
      <c r="AB454" s="225"/>
      <c r="AC454" s="225"/>
      <c r="AD454" s="225"/>
    </row>
    <row r="455">
      <c r="A455" s="225"/>
      <c r="B455" s="225"/>
      <c r="C455" s="225"/>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c r="AA455" s="225"/>
      <c r="AB455" s="225"/>
      <c r="AC455" s="225"/>
      <c r="AD455" s="225"/>
    </row>
    <row r="456">
      <c r="A456" s="225"/>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c r="AA456" s="225"/>
      <c r="AB456" s="225"/>
      <c r="AC456" s="225"/>
      <c r="AD456" s="225"/>
    </row>
    <row r="457">
      <c r="A457" s="225"/>
      <c r="B457" s="225"/>
      <c r="C457" s="225"/>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c r="AA457" s="225"/>
      <c r="AB457" s="225"/>
      <c r="AC457" s="225"/>
      <c r="AD457" s="225"/>
    </row>
    <row r="458">
      <c r="A458" s="225"/>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c r="AA458" s="225"/>
      <c r="AB458" s="225"/>
      <c r="AC458" s="225"/>
      <c r="AD458" s="225"/>
    </row>
    <row r="459">
      <c r="A459" s="225"/>
      <c r="B459" s="225"/>
      <c r="C459" s="225"/>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c r="AA459" s="225"/>
      <c r="AB459" s="225"/>
      <c r="AC459" s="225"/>
      <c r="AD459" s="225"/>
    </row>
    <row r="460">
      <c r="A460" s="225"/>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c r="AA460" s="225"/>
      <c r="AB460" s="225"/>
      <c r="AC460" s="225"/>
      <c r="AD460" s="225"/>
    </row>
    <row r="461">
      <c r="A461" s="225"/>
      <c r="B461" s="225"/>
      <c r="C461" s="225"/>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c r="AA461" s="225"/>
      <c r="AB461" s="225"/>
      <c r="AC461" s="225"/>
      <c r="AD461" s="225"/>
    </row>
    <row r="462">
      <c r="A462" s="225"/>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c r="AA462" s="225"/>
      <c r="AB462" s="225"/>
      <c r="AC462" s="225"/>
      <c r="AD462" s="225"/>
    </row>
    <row r="463">
      <c r="A463" s="225"/>
      <c r="B463" s="225"/>
      <c r="C463" s="225"/>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c r="AA463" s="225"/>
      <c r="AB463" s="225"/>
      <c r="AC463" s="225"/>
      <c r="AD463" s="225"/>
    </row>
    <row r="464">
      <c r="A464" s="225"/>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c r="AA464" s="225"/>
      <c r="AB464" s="225"/>
      <c r="AC464" s="225"/>
      <c r="AD464" s="225"/>
    </row>
    <row r="465">
      <c r="A465" s="225"/>
      <c r="B465" s="225"/>
      <c r="C465" s="225"/>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c r="AA465" s="225"/>
      <c r="AB465" s="225"/>
      <c r="AC465" s="225"/>
      <c r="AD465" s="225"/>
    </row>
    <row r="466">
      <c r="A466" s="225"/>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c r="AA466" s="225"/>
      <c r="AB466" s="225"/>
      <c r="AC466" s="225"/>
      <c r="AD466" s="225"/>
    </row>
    <row r="467">
      <c r="A467" s="225"/>
      <c r="B467" s="225"/>
      <c r="C467" s="225"/>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c r="AA467" s="225"/>
      <c r="AB467" s="225"/>
      <c r="AC467" s="225"/>
      <c r="AD467" s="225"/>
    </row>
    <row r="468">
      <c r="A468" s="225"/>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c r="AA468" s="225"/>
      <c r="AB468" s="225"/>
      <c r="AC468" s="225"/>
      <c r="AD468" s="225"/>
    </row>
    <row r="469">
      <c r="A469" s="225"/>
      <c r="B469" s="225"/>
      <c r="C469" s="225"/>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c r="AA469" s="225"/>
      <c r="AB469" s="225"/>
      <c r="AC469" s="225"/>
      <c r="AD469" s="225"/>
    </row>
    <row r="470">
      <c r="A470" s="225"/>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c r="AA470" s="225"/>
      <c r="AB470" s="225"/>
      <c r="AC470" s="225"/>
      <c r="AD470" s="225"/>
    </row>
    <row r="471">
      <c r="A471" s="225"/>
      <c r="B471" s="225"/>
      <c r="C471" s="225"/>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c r="AA471" s="225"/>
      <c r="AB471" s="225"/>
      <c r="AC471" s="225"/>
      <c r="AD471" s="225"/>
    </row>
    <row r="472">
      <c r="A472" s="225"/>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c r="AA472" s="225"/>
      <c r="AB472" s="225"/>
      <c r="AC472" s="225"/>
      <c r="AD472" s="225"/>
    </row>
    <row r="473">
      <c r="A473" s="225"/>
      <c r="B473" s="225"/>
      <c r="C473" s="225"/>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c r="AA473" s="225"/>
      <c r="AB473" s="225"/>
      <c r="AC473" s="225"/>
      <c r="AD473" s="225"/>
    </row>
    <row r="474">
      <c r="A474" s="225"/>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c r="AA474" s="225"/>
      <c r="AB474" s="225"/>
      <c r="AC474" s="225"/>
      <c r="AD474" s="225"/>
    </row>
    <row r="475">
      <c r="A475" s="225"/>
      <c r="B475" s="225"/>
      <c r="C475" s="225"/>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c r="AA475" s="225"/>
      <c r="AB475" s="225"/>
      <c r="AC475" s="225"/>
      <c r="AD475" s="225"/>
    </row>
    <row r="476">
      <c r="A476" s="225"/>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c r="AA476" s="225"/>
      <c r="AB476" s="225"/>
      <c r="AC476" s="225"/>
      <c r="AD476" s="225"/>
    </row>
    <row r="477">
      <c r="A477" s="225"/>
      <c r="B477" s="225"/>
      <c r="C477" s="225"/>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c r="AA477" s="225"/>
      <c r="AB477" s="225"/>
      <c r="AC477" s="225"/>
      <c r="AD477" s="225"/>
    </row>
    <row r="478">
      <c r="A478" s="225"/>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c r="AA478" s="225"/>
      <c r="AB478" s="225"/>
      <c r="AC478" s="225"/>
      <c r="AD478" s="225"/>
    </row>
    <row r="479">
      <c r="A479" s="225"/>
      <c r="B479" s="225"/>
      <c r="C479" s="225"/>
      <c r="D479" s="225"/>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c r="AA479" s="225"/>
      <c r="AB479" s="225"/>
      <c r="AC479" s="225"/>
      <c r="AD479" s="225"/>
    </row>
    <row r="480">
      <c r="A480" s="225"/>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c r="AA480" s="225"/>
      <c r="AB480" s="225"/>
      <c r="AC480" s="225"/>
      <c r="AD480" s="225"/>
    </row>
    <row r="481">
      <c r="A481" s="225"/>
      <c r="B481" s="225"/>
      <c r="C481" s="225"/>
      <c r="D481" s="225"/>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c r="AA481" s="225"/>
      <c r="AB481" s="225"/>
      <c r="AC481" s="225"/>
      <c r="AD481" s="225"/>
    </row>
    <row r="482">
      <c r="A482" s="225"/>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c r="AA482" s="225"/>
      <c r="AB482" s="225"/>
      <c r="AC482" s="225"/>
      <c r="AD482" s="225"/>
    </row>
    <row r="483">
      <c r="A483" s="225"/>
      <c r="B483" s="225"/>
      <c r="C483" s="225"/>
      <c r="D483" s="225"/>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c r="AA483" s="225"/>
      <c r="AB483" s="225"/>
      <c r="AC483" s="225"/>
      <c r="AD483" s="225"/>
    </row>
    <row r="484">
      <c r="A484" s="225"/>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c r="AA484" s="225"/>
      <c r="AB484" s="225"/>
      <c r="AC484" s="225"/>
      <c r="AD484" s="225"/>
    </row>
    <row r="485">
      <c r="A485" s="225"/>
      <c r="B485" s="225"/>
      <c r="C485" s="225"/>
      <c r="D485" s="225"/>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c r="AA485" s="225"/>
      <c r="AB485" s="225"/>
      <c r="AC485" s="225"/>
      <c r="AD485" s="225"/>
    </row>
    <row r="486">
      <c r="A486" s="225"/>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c r="AA486" s="225"/>
      <c r="AB486" s="225"/>
      <c r="AC486" s="225"/>
      <c r="AD486" s="225"/>
    </row>
    <row r="487">
      <c r="A487" s="225"/>
      <c r="B487" s="225"/>
      <c r="C487" s="225"/>
      <c r="D487" s="225"/>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c r="AA487" s="225"/>
      <c r="AB487" s="225"/>
      <c r="AC487" s="225"/>
      <c r="AD487" s="225"/>
    </row>
    <row r="488">
      <c r="A488" s="225"/>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c r="AA488" s="225"/>
      <c r="AB488" s="225"/>
      <c r="AC488" s="225"/>
      <c r="AD488" s="225"/>
    </row>
    <row r="489">
      <c r="A489" s="225"/>
      <c r="B489" s="225"/>
      <c r="C489" s="225"/>
      <c r="D489" s="225"/>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c r="AA489" s="225"/>
      <c r="AB489" s="225"/>
      <c r="AC489" s="225"/>
      <c r="AD489" s="225"/>
    </row>
    <row r="490">
      <c r="A490" s="225"/>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c r="AA490" s="225"/>
      <c r="AB490" s="225"/>
      <c r="AC490" s="225"/>
      <c r="AD490" s="225"/>
    </row>
    <row r="491">
      <c r="A491" s="225"/>
      <c r="B491" s="225"/>
      <c r="C491" s="225"/>
      <c r="D491" s="225"/>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c r="AA491" s="225"/>
      <c r="AB491" s="225"/>
      <c r="AC491" s="225"/>
      <c r="AD491" s="225"/>
    </row>
    <row r="492">
      <c r="A492" s="225"/>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c r="AA492" s="225"/>
      <c r="AB492" s="225"/>
      <c r="AC492" s="225"/>
      <c r="AD492" s="225"/>
    </row>
    <row r="493">
      <c r="A493" s="225"/>
      <c r="B493" s="225"/>
      <c r="C493" s="225"/>
      <c r="D493" s="225"/>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c r="AA493" s="225"/>
      <c r="AB493" s="225"/>
      <c r="AC493" s="225"/>
      <c r="AD493" s="225"/>
    </row>
    <row r="494">
      <c r="A494" s="225"/>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c r="AA494" s="225"/>
      <c r="AB494" s="225"/>
      <c r="AC494" s="225"/>
      <c r="AD494" s="225"/>
    </row>
    <row r="495">
      <c r="A495" s="225"/>
      <c r="B495" s="225"/>
      <c r="C495" s="225"/>
      <c r="D495" s="225"/>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c r="AA495" s="225"/>
      <c r="AB495" s="225"/>
      <c r="AC495" s="225"/>
      <c r="AD495" s="225"/>
    </row>
    <row r="496">
      <c r="A496" s="225"/>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c r="AA496" s="225"/>
      <c r="AB496" s="225"/>
      <c r="AC496" s="225"/>
      <c r="AD496" s="225"/>
    </row>
    <row r="497">
      <c r="A497" s="225"/>
      <c r="B497" s="225"/>
      <c r="C497" s="225"/>
      <c r="D497" s="225"/>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c r="AA497" s="225"/>
      <c r="AB497" s="225"/>
      <c r="AC497" s="225"/>
      <c r="AD497" s="225"/>
    </row>
    <row r="498">
      <c r="A498" s="225"/>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c r="AA498" s="225"/>
      <c r="AB498" s="225"/>
      <c r="AC498" s="225"/>
      <c r="AD498" s="225"/>
    </row>
    <row r="499">
      <c r="A499" s="225"/>
      <c r="B499" s="225"/>
      <c r="C499" s="225"/>
      <c r="D499" s="225"/>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c r="AA499" s="225"/>
      <c r="AB499" s="225"/>
      <c r="AC499" s="225"/>
      <c r="AD499" s="225"/>
    </row>
    <row r="500">
      <c r="A500" s="225"/>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c r="AA500" s="225"/>
      <c r="AB500" s="225"/>
      <c r="AC500" s="225"/>
      <c r="AD500" s="225"/>
    </row>
    <row r="501">
      <c r="A501" s="225"/>
      <c r="B501" s="225"/>
      <c r="C501" s="225"/>
      <c r="D501" s="225"/>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c r="AA501" s="225"/>
      <c r="AB501" s="225"/>
      <c r="AC501" s="225"/>
      <c r="AD501" s="225"/>
    </row>
    <row r="502">
      <c r="A502" s="225"/>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c r="AA502" s="225"/>
      <c r="AB502" s="225"/>
      <c r="AC502" s="225"/>
      <c r="AD502" s="225"/>
    </row>
    <row r="503">
      <c r="A503" s="225"/>
      <c r="B503" s="225"/>
      <c r="C503" s="225"/>
      <c r="D503" s="225"/>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c r="AA503" s="225"/>
      <c r="AB503" s="225"/>
      <c r="AC503" s="225"/>
      <c r="AD503" s="225"/>
    </row>
    <row r="504">
      <c r="A504" s="225"/>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c r="AA504" s="225"/>
      <c r="AB504" s="225"/>
      <c r="AC504" s="225"/>
      <c r="AD504" s="225"/>
    </row>
    <row r="505">
      <c r="A505" s="225"/>
      <c r="B505" s="225"/>
      <c r="C505" s="225"/>
      <c r="D505" s="225"/>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c r="AA505" s="225"/>
      <c r="AB505" s="225"/>
      <c r="AC505" s="225"/>
      <c r="AD505" s="225"/>
    </row>
    <row r="506">
      <c r="A506" s="225"/>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c r="AA506" s="225"/>
      <c r="AB506" s="225"/>
      <c r="AC506" s="225"/>
      <c r="AD506" s="225"/>
    </row>
    <row r="507">
      <c r="A507" s="225"/>
      <c r="B507" s="225"/>
      <c r="C507" s="225"/>
      <c r="D507" s="225"/>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c r="AA507" s="225"/>
      <c r="AB507" s="225"/>
      <c r="AC507" s="225"/>
      <c r="AD507" s="225"/>
    </row>
    <row r="508">
      <c r="A508" s="225"/>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c r="AA508" s="225"/>
      <c r="AB508" s="225"/>
      <c r="AC508" s="225"/>
      <c r="AD508" s="225"/>
    </row>
    <row r="509">
      <c r="A509" s="225"/>
      <c r="B509" s="225"/>
      <c r="C509" s="225"/>
      <c r="D509" s="225"/>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c r="AA509" s="225"/>
      <c r="AB509" s="225"/>
      <c r="AC509" s="225"/>
      <c r="AD509" s="225"/>
    </row>
    <row r="510">
      <c r="A510" s="225"/>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c r="AA510" s="225"/>
      <c r="AB510" s="225"/>
      <c r="AC510" s="225"/>
      <c r="AD510" s="225"/>
    </row>
    <row r="511">
      <c r="A511" s="225"/>
      <c r="B511" s="225"/>
      <c r="C511" s="225"/>
      <c r="D511" s="225"/>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c r="AA511" s="225"/>
      <c r="AB511" s="225"/>
      <c r="AC511" s="225"/>
      <c r="AD511" s="225"/>
    </row>
    <row r="512">
      <c r="A512" s="225"/>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c r="AA512" s="225"/>
      <c r="AB512" s="225"/>
      <c r="AC512" s="225"/>
      <c r="AD512" s="225"/>
    </row>
    <row r="513">
      <c r="A513" s="225"/>
      <c r="B513" s="225"/>
      <c r="C513" s="225"/>
      <c r="D513" s="225"/>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c r="AA513" s="225"/>
      <c r="AB513" s="225"/>
      <c r="AC513" s="225"/>
      <c r="AD513" s="225"/>
    </row>
    <row r="514">
      <c r="A514" s="225"/>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c r="AA514" s="225"/>
      <c r="AB514" s="225"/>
      <c r="AC514" s="225"/>
      <c r="AD514" s="225"/>
    </row>
    <row r="515">
      <c r="A515" s="225"/>
      <c r="B515" s="225"/>
      <c r="C515" s="225"/>
      <c r="D515" s="225"/>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c r="AA515" s="225"/>
      <c r="AB515" s="225"/>
      <c r="AC515" s="225"/>
      <c r="AD515" s="225"/>
    </row>
    <row r="516">
      <c r="A516" s="225"/>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c r="AA516" s="225"/>
      <c r="AB516" s="225"/>
      <c r="AC516" s="225"/>
      <c r="AD516" s="225"/>
    </row>
    <row r="517">
      <c r="A517" s="225"/>
      <c r="B517" s="225"/>
      <c r="C517" s="225"/>
      <c r="D517" s="225"/>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c r="AA517" s="225"/>
      <c r="AB517" s="225"/>
      <c r="AC517" s="225"/>
      <c r="AD517" s="225"/>
    </row>
    <row r="518">
      <c r="A518" s="225"/>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c r="AA518" s="225"/>
      <c r="AB518" s="225"/>
      <c r="AC518" s="225"/>
      <c r="AD518" s="225"/>
    </row>
    <row r="519">
      <c r="A519" s="225"/>
      <c r="B519" s="225"/>
      <c r="C519" s="225"/>
      <c r="D519" s="225"/>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c r="AA519" s="225"/>
      <c r="AB519" s="225"/>
      <c r="AC519" s="225"/>
      <c r="AD519" s="225"/>
    </row>
    <row r="520">
      <c r="A520" s="225"/>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c r="AA520" s="225"/>
      <c r="AB520" s="225"/>
      <c r="AC520" s="225"/>
      <c r="AD520" s="225"/>
    </row>
    <row r="521">
      <c r="A521" s="225"/>
      <c r="B521" s="225"/>
      <c r="C521" s="225"/>
      <c r="D521" s="225"/>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c r="AA521" s="225"/>
      <c r="AB521" s="225"/>
      <c r="AC521" s="225"/>
      <c r="AD521" s="225"/>
    </row>
    <row r="522">
      <c r="A522" s="225"/>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c r="AA522" s="225"/>
      <c r="AB522" s="225"/>
      <c r="AC522" s="225"/>
      <c r="AD522" s="225"/>
    </row>
    <row r="523">
      <c r="A523" s="225"/>
      <c r="B523" s="225"/>
      <c r="C523" s="225"/>
      <c r="D523" s="225"/>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c r="AA523" s="225"/>
      <c r="AB523" s="225"/>
      <c r="AC523" s="225"/>
      <c r="AD523" s="225"/>
    </row>
    <row r="524">
      <c r="A524" s="225"/>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c r="AA524" s="225"/>
      <c r="AB524" s="225"/>
      <c r="AC524" s="225"/>
      <c r="AD524" s="225"/>
    </row>
    <row r="525">
      <c r="A525" s="225"/>
      <c r="B525" s="225"/>
      <c r="C525" s="225"/>
      <c r="D525" s="225"/>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c r="AA525" s="225"/>
      <c r="AB525" s="225"/>
      <c r="AC525" s="225"/>
      <c r="AD525" s="225"/>
    </row>
    <row r="526">
      <c r="A526" s="225"/>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c r="AA526" s="225"/>
      <c r="AB526" s="225"/>
      <c r="AC526" s="225"/>
      <c r="AD526" s="225"/>
    </row>
    <row r="527">
      <c r="A527" s="225"/>
      <c r="B527" s="225"/>
      <c r="C527" s="225"/>
      <c r="D527" s="225"/>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c r="AA527" s="225"/>
      <c r="AB527" s="225"/>
      <c r="AC527" s="225"/>
      <c r="AD527" s="225"/>
    </row>
    <row r="528">
      <c r="A528" s="225"/>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c r="AA528" s="225"/>
      <c r="AB528" s="225"/>
      <c r="AC528" s="225"/>
      <c r="AD528" s="225"/>
    </row>
    <row r="529">
      <c r="A529" s="225"/>
      <c r="B529" s="225"/>
      <c r="C529" s="225"/>
      <c r="D529" s="225"/>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c r="AA529" s="225"/>
      <c r="AB529" s="225"/>
      <c r="AC529" s="225"/>
      <c r="AD529" s="225"/>
    </row>
    <row r="530">
      <c r="A530" s="225"/>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c r="AA530" s="225"/>
      <c r="AB530" s="225"/>
      <c r="AC530" s="225"/>
      <c r="AD530" s="225"/>
    </row>
    <row r="531">
      <c r="A531" s="225"/>
      <c r="B531" s="225"/>
      <c r="C531" s="225"/>
      <c r="D531" s="225"/>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c r="AA531" s="225"/>
      <c r="AB531" s="225"/>
      <c r="AC531" s="225"/>
      <c r="AD531" s="225"/>
    </row>
    <row r="532">
      <c r="A532" s="225"/>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c r="AA532" s="225"/>
      <c r="AB532" s="225"/>
      <c r="AC532" s="225"/>
      <c r="AD532" s="225"/>
    </row>
    <row r="533">
      <c r="A533" s="225"/>
      <c r="B533" s="225"/>
      <c r="C533" s="225"/>
      <c r="D533" s="225"/>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c r="AA533" s="225"/>
      <c r="AB533" s="225"/>
      <c r="AC533" s="225"/>
      <c r="AD533" s="225"/>
    </row>
    <row r="534">
      <c r="A534" s="225"/>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c r="AA534" s="225"/>
      <c r="AB534" s="225"/>
      <c r="AC534" s="225"/>
      <c r="AD534" s="225"/>
    </row>
    <row r="535">
      <c r="A535" s="225"/>
      <c r="B535" s="225"/>
      <c r="C535" s="225"/>
      <c r="D535" s="225"/>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c r="AA535" s="225"/>
      <c r="AB535" s="225"/>
      <c r="AC535" s="225"/>
      <c r="AD535" s="225"/>
    </row>
    <row r="536">
      <c r="A536" s="225"/>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c r="AA536" s="225"/>
      <c r="AB536" s="225"/>
      <c r="AC536" s="225"/>
      <c r="AD536" s="225"/>
    </row>
    <row r="537">
      <c r="A537" s="225"/>
      <c r="B537" s="225"/>
      <c r="C537" s="225"/>
      <c r="D537" s="225"/>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c r="AA537" s="225"/>
      <c r="AB537" s="225"/>
      <c r="AC537" s="225"/>
      <c r="AD537" s="225"/>
    </row>
    <row r="538">
      <c r="A538" s="225"/>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c r="AA538" s="225"/>
      <c r="AB538" s="225"/>
      <c r="AC538" s="225"/>
      <c r="AD538" s="225"/>
    </row>
    <row r="539">
      <c r="A539" s="225"/>
      <c r="B539" s="225"/>
      <c r="C539" s="225"/>
      <c r="D539" s="225"/>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c r="AA539" s="225"/>
      <c r="AB539" s="225"/>
      <c r="AC539" s="225"/>
      <c r="AD539" s="225"/>
    </row>
    <row r="540">
      <c r="A540" s="225"/>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c r="AA540" s="225"/>
      <c r="AB540" s="225"/>
      <c r="AC540" s="225"/>
      <c r="AD540" s="225"/>
    </row>
    <row r="541">
      <c r="A541" s="225"/>
      <c r="B541" s="225"/>
      <c r="C541" s="225"/>
      <c r="D541" s="225"/>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c r="AA541" s="225"/>
      <c r="AB541" s="225"/>
      <c r="AC541" s="225"/>
      <c r="AD541" s="225"/>
    </row>
    <row r="542">
      <c r="A542" s="225"/>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c r="AA542" s="225"/>
      <c r="AB542" s="225"/>
      <c r="AC542" s="225"/>
      <c r="AD542" s="225"/>
    </row>
    <row r="543">
      <c r="A543" s="225"/>
      <c r="B543" s="225"/>
      <c r="C543" s="225"/>
      <c r="D543" s="225"/>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c r="AA543" s="225"/>
      <c r="AB543" s="225"/>
      <c r="AC543" s="225"/>
      <c r="AD543" s="225"/>
    </row>
    <row r="544">
      <c r="A544" s="225"/>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c r="AA544" s="225"/>
      <c r="AB544" s="225"/>
      <c r="AC544" s="225"/>
      <c r="AD544" s="225"/>
    </row>
    <row r="545">
      <c r="A545" s="225"/>
      <c r="B545" s="225"/>
      <c r="C545" s="225"/>
      <c r="D545" s="225"/>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c r="AA545" s="225"/>
      <c r="AB545" s="225"/>
      <c r="AC545" s="225"/>
      <c r="AD545" s="225"/>
    </row>
    <row r="546">
      <c r="A546" s="225"/>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c r="AA546" s="225"/>
      <c r="AB546" s="225"/>
      <c r="AC546" s="225"/>
      <c r="AD546" s="225"/>
    </row>
    <row r="547">
      <c r="A547" s="225"/>
      <c r="B547" s="225"/>
      <c r="C547" s="225"/>
      <c r="D547" s="225"/>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c r="AA547" s="225"/>
      <c r="AB547" s="225"/>
      <c r="AC547" s="225"/>
      <c r="AD547" s="225"/>
    </row>
    <row r="548">
      <c r="A548" s="225"/>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c r="AA548" s="225"/>
      <c r="AB548" s="225"/>
      <c r="AC548" s="225"/>
      <c r="AD548" s="225"/>
    </row>
    <row r="549">
      <c r="A549" s="225"/>
      <c r="B549" s="225"/>
      <c r="C549" s="225"/>
      <c r="D549" s="225"/>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c r="AA549" s="225"/>
      <c r="AB549" s="225"/>
      <c r="AC549" s="225"/>
      <c r="AD549" s="225"/>
    </row>
    <row r="550">
      <c r="A550" s="225"/>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c r="AA550" s="225"/>
      <c r="AB550" s="225"/>
      <c r="AC550" s="225"/>
      <c r="AD550" s="225"/>
    </row>
    <row r="551">
      <c r="A551" s="225"/>
      <c r="B551" s="225"/>
      <c r="C551" s="225"/>
      <c r="D551" s="225"/>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c r="AA551" s="225"/>
      <c r="AB551" s="225"/>
      <c r="AC551" s="225"/>
      <c r="AD551" s="225"/>
    </row>
    <row r="552">
      <c r="A552" s="225"/>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c r="AA552" s="225"/>
      <c r="AB552" s="225"/>
      <c r="AC552" s="225"/>
      <c r="AD552" s="225"/>
    </row>
    <row r="553">
      <c r="A553" s="225"/>
      <c r="B553" s="225"/>
      <c r="C553" s="225"/>
      <c r="D553" s="225"/>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c r="AA553" s="225"/>
      <c r="AB553" s="225"/>
      <c r="AC553" s="225"/>
      <c r="AD553" s="225"/>
    </row>
    <row r="554">
      <c r="A554" s="225"/>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c r="AA554" s="225"/>
      <c r="AB554" s="225"/>
      <c r="AC554" s="225"/>
      <c r="AD554" s="225"/>
    </row>
    <row r="555">
      <c r="A555" s="225"/>
      <c r="B555" s="225"/>
      <c r="C555" s="225"/>
      <c r="D555" s="225"/>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c r="AA555" s="225"/>
      <c r="AB555" s="225"/>
      <c r="AC555" s="225"/>
      <c r="AD555" s="225"/>
    </row>
    <row r="556">
      <c r="A556" s="225"/>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c r="AA556" s="225"/>
      <c r="AB556" s="225"/>
      <c r="AC556" s="225"/>
      <c r="AD556" s="225"/>
    </row>
    <row r="557">
      <c r="A557" s="225"/>
      <c r="B557" s="225"/>
      <c r="C557" s="225"/>
      <c r="D557" s="225"/>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c r="AA557" s="225"/>
      <c r="AB557" s="225"/>
      <c r="AC557" s="225"/>
      <c r="AD557" s="225"/>
    </row>
    <row r="558">
      <c r="A558" s="225"/>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c r="AA558" s="225"/>
      <c r="AB558" s="225"/>
      <c r="AC558" s="225"/>
      <c r="AD558" s="225"/>
    </row>
    <row r="559">
      <c r="A559" s="225"/>
      <c r="B559" s="225"/>
      <c r="C559" s="225"/>
      <c r="D559" s="225"/>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c r="AA559" s="225"/>
      <c r="AB559" s="225"/>
      <c r="AC559" s="225"/>
      <c r="AD559" s="225"/>
    </row>
    <row r="560">
      <c r="A560" s="225"/>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c r="AA560" s="225"/>
      <c r="AB560" s="225"/>
      <c r="AC560" s="225"/>
      <c r="AD560" s="225"/>
    </row>
    <row r="561">
      <c r="A561" s="225"/>
      <c r="B561" s="225"/>
      <c r="C561" s="225"/>
      <c r="D561" s="225"/>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c r="AA561" s="225"/>
      <c r="AB561" s="225"/>
      <c r="AC561" s="225"/>
      <c r="AD561" s="225"/>
    </row>
    <row r="562">
      <c r="A562" s="225"/>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c r="AA562" s="225"/>
      <c r="AB562" s="225"/>
      <c r="AC562" s="225"/>
      <c r="AD562" s="225"/>
    </row>
    <row r="563">
      <c r="A563" s="225"/>
      <c r="B563" s="225"/>
      <c r="C563" s="225"/>
      <c r="D563" s="225"/>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c r="AA563" s="225"/>
      <c r="AB563" s="225"/>
      <c r="AC563" s="225"/>
      <c r="AD563" s="225"/>
    </row>
    <row r="564">
      <c r="A564" s="225"/>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c r="AA564" s="225"/>
      <c r="AB564" s="225"/>
      <c r="AC564" s="225"/>
      <c r="AD564" s="225"/>
    </row>
    <row r="565">
      <c r="A565" s="225"/>
      <c r="B565" s="225"/>
      <c r="C565" s="225"/>
      <c r="D565" s="225"/>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c r="AA565" s="225"/>
      <c r="AB565" s="225"/>
      <c r="AC565" s="225"/>
      <c r="AD565" s="225"/>
    </row>
    <row r="566">
      <c r="A566" s="225"/>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c r="AA566" s="225"/>
      <c r="AB566" s="225"/>
      <c r="AC566" s="225"/>
      <c r="AD566" s="225"/>
    </row>
    <row r="567">
      <c r="A567" s="225"/>
      <c r="B567" s="225"/>
      <c r="C567" s="225"/>
      <c r="D567" s="225"/>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c r="AA567" s="225"/>
      <c r="AB567" s="225"/>
      <c r="AC567" s="225"/>
      <c r="AD567" s="225"/>
    </row>
    <row r="568">
      <c r="A568" s="225"/>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c r="AA568" s="225"/>
      <c r="AB568" s="225"/>
      <c r="AC568" s="225"/>
      <c r="AD568" s="225"/>
    </row>
    <row r="569">
      <c r="A569" s="225"/>
      <c r="B569" s="225"/>
      <c r="C569" s="225"/>
      <c r="D569" s="225"/>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c r="AA569" s="225"/>
      <c r="AB569" s="225"/>
      <c r="AC569" s="225"/>
      <c r="AD569" s="225"/>
    </row>
    <row r="570">
      <c r="A570" s="225"/>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c r="AA570" s="225"/>
      <c r="AB570" s="225"/>
      <c r="AC570" s="225"/>
      <c r="AD570" s="225"/>
    </row>
    <row r="571">
      <c r="A571" s="225"/>
      <c r="B571" s="225"/>
      <c r="C571" s="225"/>
      <c r="D571" s="225"/>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c r="AA571" s="225"/>
      <c r="AB571" s="225"/>
      <c r="AC571" s="225"/>
      <c r="AD571" s="225"/>
    </row>
    <row r="572">
      <c r="A572" s="225"/>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c r="AA572" s="225"/>
      <c r="AB572" s="225"/>
      <c r="AC572" s="225"/>
      <c r="AD572" s="225"/>
    </row>
    <row r="573">
      <c r="A573" s="225"/>
      <c r="B573" s="225"/>
      <c r="C573" s="225"/>
      <c r="D573" s="225"/>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c r="AA573" s="225"/>
      <c r="AB573" s="225"/>
      <c r="AC573" s="225"/>
      <c r="AD573" s="225"/>
    </row>
    <row r="574">
      <c r="A574" s="225"/>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c r="AA574" s="225"/>
      <c r="AB574" s="225"/>
      <c r="AC574" s="225"/>
      <c r="AD574" s="225"/>
    </row>
    <row r="575">
      <c r="A575" s="225"/>
      <c r="B575" s="225"/>
      <c r="C575" s="225"/>
      <c r="D575" s="225"/>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c r="AA575" s="225"/>
      <c r="AB575" s="225"/>
      <c r="AC575" s="225"/>
      <c r="AD575" s="225"/>
    </row>
    <row r="576">
      <c r="A576" s="225"/>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c r="AA576" s="225"/>
      <c r="AB576" s="225"/>
      <c r="AC576" s="225"/>
      <c r="AD576" s="225"/>
    </row>
    <row r="577">
      <c r="A577" s="225"/>
      <c r="B577" s="225"/>
      <c r="C577" s="225"/>
      <c r="D577" s="225"/>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c r="AA577" s="225"/>
      <c r="AB577" s="225"/>
      <c r="AC577" s="225"/>
      <c r="AD577" s="225"/>
    </row>
    <row r="578">
      <c r="A578" s="225"/>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c r="AA578" s="225"/>
      <c r="AB578" s="225"/>
      <c r="AC578" s="225"/>
      <c r="AD578" s="225"/>
    </row>
    <row r="579">
      <c r="A579" s="225"/>
      <c r="B579" s="225"/>
      <c r="C579" s="225"/>
      <c r="D579" s="225"/>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c r="AA579" s="225"/>
      <c r="AB579" s="225"/>
      <c r="AC579" s="225"/>
      <c r="AD579" s="225"/>
    </row>
    <row r="580">
      <c r="A580" s="225"/>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c r="AA580" s="225"/>
      <c r="AB580" s="225"/>
      <c r="AC580" s="225"/>
      <c r="AD580" s="225"/>
    </row>
    <row r="581">
      <c r="A581" s="225"/>
      <c r="B581" s="225"/>
      <c r="C581" s="225"/>
      <c r="D581" s="225"/>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c r="AA581" s="225"/>
      <c r="AB581" s="225"/>
      <c r="AC581" s="225"/>
      <c r="AD581" s="225"/>
    </row>
    <row r="582">
      <c r="A582" s="225"/>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c r="AA582" s="225"/>
      <c r="AB582" s="225"/>
      <c r="AC582" s="225"/>
      <c r="AD582" s="225"/>
    </row>
    <row r="583">
      <c r="A583" s="225"/>
      <c r="B583" s="225"/>
      <c r="C583" s="225"/>
      <c r="D583" s="225"/>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c r="AA583" s="225"/>
      <c r="AB583" s="225"/>
      <c r="AC583" s="225"/>
      <c r="AD583" s="225"/>
    </row>
    <row r="584">
      <c r="A584" s="225"/>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c r="AA584" s="225"/>
      <c r="AB584" s="225"/>
      <c r="AC584" s="225"/>
      <c r="AD584" s="225"/>
    </row>
    <row r="585">
      <c r="A585" s="225"/>
      <c r="B585" s="225"/>
      <c r="C585" s="225"/>
      <c r="D585" s="225"/>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c r="AA585" s="225"/>
      <c r="AB585" s="225"/>
      <c r="AC585" s="225"/>
      <c r="AD585" s="225"/>
    </row>
    <row r="586">
      <c r="A586" s="225"/>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c r="AA586" s="225"/>
      <c r="AB586" s="225"/>
      <c r="AC586" s="225"/>
      <c r="AD586" s="225"/>
    </row>
    <row r="587">
      <c r="A587" s="225"/>
      <c r="B587" s="225"/>
      <c r="C587" s="225"/>
      <c r="D587" s="225"/>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c r="AA587" s="225"/>
      <c r="AB587" s="225"/>
      <c r="AC587" s="225"/>
      <c r="AD587" s="225"/>
    </row>
    <row r="588">
      <c r="A588" s="225"/>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c r="AA588" s="225"/>
      <c r="AB588" s="225"/>
      <c r="AC588" s="225"/>
      <c r="AD588" s="225"/>
    </row>
    <row r="589">
      <c r="A589" s="225"/>
      <c r="B589" s="225"/>
      <c r="C589" s="225"/>
      <c r="D589" s="225"/>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c r="AA589" s="225"/>
      <c r="AB589" s="225"/>
      <c r="AC589" s="225"/>
      <c r="AD589" s="225"/>
    </row>
    <row r="590">
      <c r="A590" s="225"/>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c r="AA590" s="225"/>
      <c r="AB590" s="225"/>
      <c r="AC590" s="225"/>
      <c r="AD590" s="225"/>
    </row>
    <row r="591">
      <c r="A591" s="225"/>
      <c r="B591" s="225"/>
      <c r="C591" s="225"/>
      <c r="D591" s="225"/>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c r="AA591" s="225"/>
      <c r="AB591" s="225"/>
      <c r="AC591" s="225"/>
      <c r="AD591" s="225"/>
    </row>
    <row r="592">
      <c r="A592" s="225"/>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c r="AA592" s="225"/>
      <c r="AB592" s="225"/>
      <c r="AC592" s="225"/>
      <c r="AD592" s="225"/>
    </row>
    <row r="593">
      <c r="A593" s="225"/>
      <c r="B593" s="225"/>
      <c r="C593" s="225"/>
      <c r="D593" s="225"/>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c r="AA593" s="225"/>
      <c r="AB593" s="225"/>
      <c r="AC593" s="225"/>
      <c r="AD593" s="225"/>
    </row>
    <row r="594">
      <c r="A594" s="225"/>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c r="AA594" s="225"/>
      <c r="AB594" s="225"/>
      <c r="AC594" s="225"/>
      <c r="AD594" s="225"/>
    </row>
    <row r="595">
      <c r="A595" s="225"/>
      <c r="B595" s="225"/>
      <c r="C595" s="225"/>
      <c r="D595" s="225"/>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c r="AA595" s="225"/>
      <c r="AB595" s="225"/>
      <c r="AC595" s="225"/>
      <c r="AD595" s="225"/>
    </row>
    <row r="596">
      <c r="A596" s="225"/>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c r="AA596" s="225"/>
      <c r="AB596" s="225"/>
      <c r="AC596" s="225"/>
      <c r="AD596" s="225"/>
    </row>
    <row r="597">
      <c r="A597" s="225"/>
      <c r="B597" s="225"/>
      <c r="C597" s="225"/>
      <c r="D597" s="225"/>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c r="AA597" s="225"/>
      <c r="AB597" s="225"/>
      <c r="AC597" s="225"/>
      <c r="AD597" s="225"/>
    </row>
    <row r="598">
      <c r="A598" s="225"/>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c r="AA598" s="225"/>
      <c r="AB598" s="225"/>
      <c r="AC598" s="225"/>
      <c r="AD598" s="225"/>
    </row>
    <row r="599">
      <c r="A599" s="225"/>
      <c r="B599" s="225"/>
      <c r="C599" s="225"/>
      <c r="D599" s="225"/>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c r="AA599" s="225"/>
      <c r="AB599" s="225"/>
      <c r="AC599" s="225"/>
      <c r="AD599" s="225"/>
    </row>
    <row r="600">
      <c r="A600" s="225"/>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c r="AA600" s="225"/>
      <c r="AB600" s="225"/>
      <c r="AC600" s="225"/>
      <c r="AD600" s="225"/>
    </row>
    <row r="601">
      <c r="A601" s="225"/>
      <c r="B601" s="225"/>
      <c r="C601" s="225"/>
      <c r="D601" s="225"/>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c r="AA601" s="225"/>
      <c r="AB601" s="225"/>
      <c r="AC601" s="225"/>
      <c r="AD601" s="225"/>
    </row>
    <row r="602">
      <c r="A602" s="225"/>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c r="AA602" s="225"/>
      <c r="AB602" s="225"/>
      <c r="AC602" s="225"/>
      <c r="AD602" s="225"/>
    </row>
    <row r="603">
      <c r="A603" s="225"/>
      <c r="B603" s="225"/>
      <c r="C603" s="225"/>
      <c r="D603" s="225"/>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c r="AA603" s="225"/>
      <c r="AB603" s="225"/>
      <c r="AC603" s="225"/>
      <c r="AD603" s="225"/>
    </row>
    <row r="604">
      <c r="A604" s="225"/>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c r="AA604" s="225"/>
      <c r="AB604" s="225"/>
      <c r="AC604" s="225"/>
      <c r="AD604" s="225"/>
    </row>
    <row r="605">
      <c r="A605" s="225"/>
      <c r="B605" s="225"/>
      <c r="C605" s="225"/>
      <c r="D605" s="225"/>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c r="AA605" s="225"/>
      <c r="AB605" s="225"/>
      <c r="AC605" s="225"/>
      <c r="AD605" s="225"/>
    </row>
    <row r="606">
      <c r="A606" s="225"/>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c r="AA606" s="225"/>
      <c r="AB606" s="225"/>
      <c r="AC606" s="225"/>
      <c r="AD606" s="225"/>
    </row>
    <row r="607">
      <c r="A607" s="225"/>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c r="AA607" s="225"/>
      <c r="AB607" s="225"/>
      <c r="AC607" s="225"/>
      <c r="AD607" s="225"/>
    </row>
    <row r="608">
      <c r="A608" s="225"/>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c r="AA608" s="225"/>
      <c r="AB608" s="225"/>
      <c r="AC608" s="225"/>
      <c r="AD608" s="225"/>
    </row>
    <row r="609">
      <c r="A609" s="225"/>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c r="AA609" s="225"/>
      <c r="AB609" s="225"/>
      <c r="AC609" s="225"/>
      <c r="AD609" s="225"/>
    </row>
    <row r="610">
      <c r="A610" s="225"/>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c r="AA610" s="225"/>
      <c r="AB610" s="225"/>
      <c r="AC610" s="225"/>
      <c r="AD610" s="225"/>
    </row>
    <row r="611">
      <c r="A611" s="225"/>
      <c r="B611" s="225"/>
      <c r="C611" s="225"/>
      <c r="D611" s="225"/>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c r="AA611" s="225"/>
      <c r="AB611" s="225"/>
      <c r="AC611" s="225"/>
      <c r="AD611" s="225"/>
    </row>
    <row r="612">
      <c r="A612" s="225"/>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c r="AA612" s="225"/>
      <c r="AB612" s="225"/>
      <c r="AC612" s="225"/>
      <c r="AD612" s="225"/>
    </row>
    <row r="613">
      <c r="A613" s="225"/>
      <c r="B613" s="225"/>
      <c r="C613" s="225"/>
      <c r="D613" s="225"/>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c r="AA613" s="225"/>
      <c r="AB613" s="225"/>
      <c r="AC613" s="225"/>
      <c r="AD613" s="225"/>
    </row>
    <row r="614">
      <c r="A614" s="225"/>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c r="AA614" s="225"/>
      <c r="AB614" s="225"/>
      <c r="AC614" s="225"/>
      <c r="AD614" s="225"/>
    </row>
    <row r="615">
      <c r="A615" s="225"/>
      <c r="B615" s="225"/>
      <c r="C615" s="225"/>
      <c r="D615" s="225"/>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c r="AA615" s="225"/>
      <c r="AB615" s="225"/>
      <c r="AC615" s="225"/>
      <c r="AD615" s="225"/>
    </row>
    <row r="616">
      <c r="A616" s="225"/>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c r="AA616" s="225"/>
      <c r="AB616" s="225"/>
      <c r="AC616" s="225"/>
      <c r="AD616" s="225"/>
    </row>
    <row r="617">
      <c r="A617" s="225"/>
      <c r="B617" s="225"/>
      <c r="C617" s="225"/>
      <c r="D617" s="225"/>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c r="AA617" s="225"/>
      <c r="AB617" s="225"/>
      <c r="AC617" s="225"/>
      <c r="AD617" s="225"/>
    </row>
    <row r="618">
      <c r="A618" s="225"/>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c r="AA618" s="225"/>
      <c r="AB618" s="225"/>
      <c r="AC618" s="225"/>
      <c r="AD618" s="225"/>
    </row>
    <row r="619">
      <c r="A619" s="225"/>
      <c r="B619" s="225"/>
      <c r="C619" s="225"/>
      <c r="D619" s="225"/>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c r="AA619" s="225"/>
      <c r="AB619" s="225"/>
      <c r="AC619" s="225"/>
      <c r="AD619" s="225"/>
    </row>
    <row r="620">
      <c r="A620" s="225"/>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c r="AA620" s="225"/>
      <c r="AB620" s="225"/>
      <c r="AC620" s="225"/>
      <c r="AD620" s="225"/>
    </row>
    <row r="621">
      <c r="A621" s="225"/>
      <c r="B621" s="225"/>
      <c r="C621" s="225"/>
      <c r="D621" s="225"/>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c r="AA621" s="225"/>
      <c r="AB621" s="225"/>
      <c r="AC621" s="225"/>
      <c r="AD621" s="225"/>
    </row>
    <row r="622">
      <c r="A622" s="225"/>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c r="AA622" s="225"/>
      <c r="AB622" s="225"/>
      <c r="AC622" s="225"/>
      <c r="AD622" s="225"/>
    </row>
    <row r="623">
      <c r="A623" s="225"/>
      <c r="B623" s="225"/>
      <c r="C623" s="225"/>
      <c r="D623" s="225"/>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c r="AA623" s="225"/>
      <c r="AB623" s="225"/>
      <c r="AC623" s="225"/>
      <c r="AD623" s="225"/>
    </row>
    <row r="624">
      <c r="A624" s="225"/>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c r="AA624" s="225"/>
      <c r="AB624" s="225"/>
      <c r="AC624" s="225"/>
      <c r="AD624" s="225"/>
    </row>
    <row r="625">
      <c r="A625" s="225"/>
      <c r="B625" s="225"/>
      <c r="C625" s="225"/>
      <c r="D625" s="225"/>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c r="AA625" s="225"/>
      <c r="AB625" s="225"/>
      <c r="AC625" s="225"/>
      <c r="AD625" s="225"/>
    </row>
    <row r="626">
      <c r="A626" s="225"/>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c r="AA626" s="225"/>
      <c r="AB626" s="225"/>
      <c r="AC626" s="225"/>
      <c r="AD626" s="225"/>
    </row>
    <row r="627">
      <c r="A627" s="225"/>
      <c r="B627" s="225"/>
      <c r="C627" s="225"/>
      <c r="D627" s="225"/>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c r="AA627" s="225"/>
      <c r="AB627" s="225"/>
      <c r="AC627" s="225"/>
      <c r="AD627" s="225"/>
    </row>
    <row r="628">
      <c r="A628" s="225"/>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c r="AA628" s="225"/>
      <c r="AB628" s="225"/>
      <c r="AC628" s="225"/>
      <c r="AD628" s="225"/>
    </row>
    <row r="629">
      <c r="A629" s="225"/>
      <c r="B629" s="225"/>
      <c r="C629" s="225"/>
      <c r="D629" s="225"/>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c r="AA629" s="225"/>
      <c r="AB629" s="225"/>
      <c r="AC629" s="225"/>
      <c r="AD629" s="225"/>
    </row>
    <row r="630">
      <c r="A630" s="225"/>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c r="AA630" s="225"/>
      <c r="AB630" s="225"/>
      <c r="AC630" s="225"/>
      <c r="AD630" s="225"/>
    </row>
    <row r="631">
      <c r="A631" s="225"/>
      <c r="B631" s="225"/>
      <c r="C631" s="225"/>
      <c r="D631" s="225"/>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c r="AA631" s="225"/>
      <c r="AB631" s="225"/>
      <c r="AC631" s="225"/>
      <c r="AD631" s="225"/>
    </row>
    <row r="632">
      <c r="A632" s="225"/>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c r="AA632" s="225"/>
      <c r="AB632" s="225"/>
      <c r="AC632" s="225"/>
      <c r="AD632" s="225"/>
    </row>
    <row r="633">
      <c r="A633" s="225"/>
      <c r="B633" s="225"/>
      <c r="C633" s="225"/>
      <c r="D633" s="225"/>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c r="AA633" s="225"/>
      <c r="AB633" s="225"/>
      <c r="AC633" s="225"/>
      <c r="AD633" s="225"/>
    </row>
    <row r="634">
      <c r="A634" s="225"/>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c r="AA634" s="225"/>
      <c r="AB634" s="225"/>
      <c r="AC634" s="225"/>
      <c r="AD634" s="225"/>
    </row>
    <row r="635">
      <c r="A635" s="225"/>
      <c r="B635" s="225"/>
      <c r="C635" s="225"/>
      <c r="D635" s="225"/>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c r="AA635" s="225"/>
      <c r="AB635" s="225"/>
      <c r="AC635" s="225"/>
      <c r="AD635" s="225"/>
    </row>
    <row r="636">
      <c r="A636" s="225"/>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c r="AA636" s="225"/>
      <c r="AB636" s="225"/>
      <c r="AC636" s="225"/>
      <c r="AD636" s="225"/>
    </row>
    <row r="637">
      <c r="A637" s="225"/>
      <c r="B637" s="225"/>
      <c r="C637" s="225"/>
      <c r="D637" s="225"/>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c r="AA637" s="225"/>
      <c r="AB637" s="225"/>
      <c r="AC637" s="225"/>
      <c r="AD637" s="225"/>
    </row>
    <row r="638">
      <c r="A638" s="225"/>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c r="AA638" s="225"/>
      <c r="AB638" s="225"/>
      <c r="AC638" s="225"/>
      <c r="AD638" s="225"/>
    </row>
    <row r="639">
      <c r="A639" s="225"/>
      <c r="B639" s="225"/>
      <c r="C639" s="225"/>
      <c r="D639" s="225"/>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c r="AA639" s="225"/>
      <c r="AB639" s="225"/>
      <c r="AC639" s="225"/>
      <c r="AD639" s="225"/>
    </row>
    <row r="640">
      <c r="A640" s="225"/>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c r="AA640" s="225"/>
      <c r="AB640" s="225"/>
      <c r="AC640" s="225"/>
      <c r="AD640" s="225"/>
    </row>
    <row r="641">
      <c r="A641" s="225"/>
      <c r="B641" s="225"/>
      <c r="C641" s="225"/>
      <c r="D641" s="225"/>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c r="AA641" s="225"/>
      <c r="AB641" s="225"/>
      <c r="AC641" s="225"/>
      <c r="AD641" s="225"/>
    </row>
    <row r="642">
      <c r="A642" s="225"/>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c r="AA642" s="225"/>
      <c r="AB642" s="225"/>
      <c r="AC642" s="225"/>
      <c r="AD642" s="225"/>
    </row>
    <row r="643">
      <c r="A643" s="225"/>
      <c r="B643" s="225"/>
      <c r="C643" s="225"/>
      <c r="D643" s="225"/>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c r="AA643" s="225"/>
      <c r="AB643" s="225"/>
      <c r="AC643" s="225"/>
      <c r="AD643" s="225"/>
    </row>
    <row r="644">
      <c r="A644" s="225"/>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c r="AA644" s="225"/>
      <c r="AB644" s="225"/>
      <c r="AC644" s="225"/>
      <c r="AD644" s="225"/>
    </row>
    <row r="645">
      <c r="A645" s="225"/>
      <c r="B645" s="225"/>
      <c r="C645" s="225"/>
      <c r="D645" s="225"/>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c r="AA645" s="225"/>
      <c r="AB645" s="225"/>
      <c r="AC645" s="225"/>
      <c r="AD645" s="225"/>
    </row>
    <row r="646">
      <c r="A646" s="225"/>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c r="AA646" s="225"/>
      <c r="AB646" s="225"/>
      <c r="AC646" s="225"/>
      <c r="AD646" s="225"/>
    </row>
    <row r="647">
      <c r="A647" s="225"/>
      <c r="B647" s="225"/>
      <c r="C647" s="225"/>
      <c r="D647" s="225"/>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c r="AA647" s="225"/>
      <c r="AB647" s="225"/>
      <c r="AC647" s="225"/>
      <c r="AD647" s="225"/>
    </row>
    <row r="648">
      <c r="A648" s="225"/>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c r="AA648" s="225"/>
      <c r="AB648" s="225"/>
      <c r="AC648" s="225"/>
      <c r="AD648" s="225"/>
    </row>
    <row r="649">
      <c r="A649" s="225"/>
      <c r="B649" s="225"/>
      <c r="C649" s="225"/>
      <c r="D649" s="225"/>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c r="AA649" s="225"/>
      <c r="AB649" s="225"/>
      <c r="AC649" s="225"/>
      <c r="AD649" s="225"/>
    </row>
    <row r="650">
      <c r="A650" s="225"/>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c r="AA650" s="225"/>
      <c r="AB650" s="225"/>
      <c r="AC650" s="225"/>
      <c r="AD650" s="225"/>
    </row>
    <row r="651">
      <c r="A651" s="225"/>
      <c r="B651" s="225"/>
      <c r="C651" s="225"/>
      <c r="D651" s="225"/>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c r="AA651" s="225"/>
      <c r="AB651" s="225"/>
      <c r="AC651" s="225"/>
      <c r="AD651" s="225"/>
    </row>
    <row r="652">
      <c r="A652" s="225"/>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c r="AA652" s="225"/>
      <c r="AB652" s="225"/>
      <c r="AC652" s="225"/>
      <c r="AD652" s="225"/>
    </row>
    <row r="653">
      <c r="A653" s="225"/>
      <c r="B653" s="225"/>
      <c r="C653" s="225"/>
      <c r="D653" s="225"/>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c r="AA653" s="225"/>
      <c r="AB653" s="225"/>
      <c r="AC653" s="225"/>
      <c r="AD653" s="225"/>
    </row>
    <row r="654">
      <c r="A654" s="225"/>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c r="AA654" s="225"/>
      <c r="AB654" s="225"/>
      <c r="AC654" s="225"/>
      <c r="AD654" s="225"/>
    </row>
    <row r="655">
      <c r="A655" s="225"/>
      <c r="B655" s="225"/>
      <c r="C655" s="225"/>
      <c r="D655" s="225"/>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c r="AA655" s="225"/>
      <c r="AB655" s="225"/>
      <c r="AC655" s="225"/>
      <c r="AD655" s="225"/>
    </row>
    <row r="656">
      <c r="A656" s="225"/>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c r="AA656" s="225"/>
      <c r="AB656" s="225"/>
      <c r="AC656" s="225"/>
      <c r="AD656" s="225"/>
    </row>
    <row r="657">
      <c r="A657" s="225"/>
      <c r="B657" s="225"/>
      <c r="C657" s="225"/>
      <c r="D657" s="225"/>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c r="AA657" s="225"/>
      <c r="AB657" s="225"/>
      <c r="AC657" s="225"/>
      <c r="AD657" s="225"/>
    </row>
    <row r="658">
      <c r="A658" s="225"/>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c r="AA658" s="225"/>
      <c r="AB658" s="225"/>
      <c r="AC658" s="225"/>
      <c r="AD658" s="225"/>
    </row>
    <row r="659">
      <c r="A659" s="225"/>
      <c r="B659" s="225"/>
      <c r="C659" s="225"/>
      <c r="D659" s="225"/>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c r="AA659" s="225"/>
      <c r="AB659" s="225"/>
      <c r="AC659" s="225"/>
      <c r="AD659" s="225"/>
    </row>
    <row r="660">
      <c r="A660" s="225"/>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c r="AA660" s="225"/>
      <c r="AB660" s="225"/>
      <c r="AC660" s="225"/>
      <c r="AD660" s="225"/>
    </row>
    <row r="661">
      <c r="A661" s="225"/>
      <c r="B661" s="225"/>
      <c r="C661" s="225"/>
      <c r="D661" s="225"/>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c r="AA661" s="225"/>
      <c r="AB661" s="225"/>
      <c r="AC661" s="225"/>
      <c r="AD661" s="225"/>
    </row>
    <row r="662">
      <c r="A662" s="225"/>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c r="AA662" s="225"/>
      <c r="AB662" s="225"/>
      <c r="AC662" s="225"/>
      <c r="AD662" s="225"/>
    </row>
    <row r="663">
      <c r="A663" s="225"/>
      <c r="B663" s="225"/>
      <c r="C663" s="225"/>
      <c r="D663" s="225"/>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c r="AA663" s="225"/>
      <c r="AB663" s="225"/>
      <c r="AC663" s="225"/>
      <c r="AD663" s="225"/>
    </row>
    <row r="664">
      <c r="A664" s="225"/>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c r="AA664" s="225"/>
      <c r="AB664" s="225"/>
      <c r="AC664" s="225"/>
      <c r="AD664" s="225"/>
    </row>
    <row r="665">
      <c r="A665" s="225"/>
      <c r="B665" s="225"/>
      <c r="C665" s="225"/>
      <c r="D665" s="225"/>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c r="AA665" s="225"/>
      <c r="AB665" s="225"/>
      <c r="AC665" s="225"/>
      <c r="AD665" s="225"/>
    </row>
    <row r="666">
      <c r="A666" s="225"/>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c r="AA666" s="225"/>
      <c r="AB666" s="225"/>
      <c r="AC666" s="225"/>
      <c r="AD666" s="225"/>
    </row>
    <row r="667">
      <c r="A667" s="225"/>
      <c r="B667" s="225"/>
      <c r="C667" s="225"/>
      <c r="D667" s="225"/>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c r="AA667" s="225"/>
      <c r="AB667" s="225"/>
      <c r="AC667" s="225"/>
      <c r="AD667" s="225"/>
    </row>
    <row r="668">
      <c r="A668" s="225"/>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c r="AA668" s="225"/>
      <c r="AB668" s="225"/>
      <c r="AC668" s="225"/>
      <c r="AD668" s="225"/>
    </row>
    <row r="669">
      <c r="A669" s="225"/>
      <c r="B669" s="225"/>
      <c r="C669" s="225"/>
      <c r="D669" s="225"/>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c r="AA669" s="225"/>
      <c r="AB669" s="225"/>
      <c r="AC669" s="225"/>
      <c r="AD669" s="225"/>
    </row>
    <row r="670">
      <c r="A670" s="225"/>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c r="AA670" s="225"/>
      <c r="AB670" s="225"/>
      <c r="AC670" s="225"/>
      <c r="AD670" s="225"/>
    </row>
    <row r="671">
      <c r="A671" s="225"/>
      <c r="B671" s="225"/>
      <c r="C671" s="225"/>
      <c r="D671" s="225"/>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c r="AA671" s="225"/>
      <c r="AB671" s="225"/>
      <c r="AC671" s="225"/>
      <c r="AD671" s="225"/>
    </row>
    <row r="672">
      <c r="A672" s="225"/>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c r="AA672" s="225"/>
      <c r="AB672" s="225"/>
      <c r="AC672" s="225"/>
      <c r="AD672" s="225"/>
    </row>
    <row r="673">
      <c r="A673" s="225"/>
      <c r="B673" s="225"/>
      <c r="C673" s="225"/>
      <c r="D673" s="225"/>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c r="AA673" s="225"/>
      <c r="AB673" s="225"/>
      <c r="AC673" s="225"/>
      <c r="AD673" s="225"/>
    </row>
    <row r="674">
      <c r="A674" s="225"/>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c r="AA674" s="225"/>
      <c r="AB674" s="225"/>
      <c r="AC674" s="225"/>
      <c r="AD674" s="225"/>
    </row>
    <row r="675">
      <c r="A675" s="225"/>
      <c r="B675" s="225"/>
      <c r="C675" s="225"/>
      <c r="D675" s="225"/>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c r="AA675" s="225"/>
      <c r="AB675" s="225"/>
      <c r="AC675" s="225"/>
      <c r="AD675" s="225"/>
    </row>
    <row r="676">
      <c r="A676" s="225"/>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c r="AA676" s="225"/>
      <c r="AB676" s="225"/>
      <c r="AC676" s="225"/>
      <c r="AD676" s="225"/>
    </row>
    <row r="677">
      <c r="A677" s="225"/>
      <c r="B677" s="225"/>
      <c r="C677" s="225"/>
      <c r="D677" s="225"/>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c r="AA677" s="225"/>
      <c r="AB677" s="225"/>
      <c r="AC677" s="225"/>
      <c r="AD677" s="225"/>
    </row>
    <row r="678">
      <c r="A678" s="225"/>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c r="AA678" s="225"/>
      <c r="AB678" s="225"/>
      <c r="AC678" s="225"/>
      <c r="AD678" s="225"/>
    </row>
    <row r="679">
      <c r="A679" s="225"/>
      <c r="B679" s="225"/>
      <c r="C679" s="225"/>
      <c r="D679" s="225"/>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c r="AA679" s="225"/>
      <c r="AB679" s="225"/>
      <c r="AC679" s="225"/>
      <c r="AD679" s="225"/>
    </row>
    <row r="680">
      <c r="A680" s="225"/>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c r="AA680" s="225"/>
      <c r="AB680" s="225"/>
      <c r="AC680" s="225"/>
      <c r="AD680" s="225"/>
    </row>
    <row r="681">
      <c r="A681" s="225"/>
      <c r="B681" s="225"/>
      <c r="C681" s="225"/>
      <c r="D681" s="225"/>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c r="AA681" s="225"/>
      <c r="AB681" s="225"/>
      <c r="AC681" s="225"/>
      <c r="AD681" s="225"/>
    </row>
    <row r="682">
      <c r="A682" s="225"/>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c r="AA682" s="225"/>
      <c r="AB682" s="225"/>
      <c r="AC682" s="225"/>
      <c r="AD682" s="225"/>
    </row>
    <row r="683">
      <c r="A683" s="225"/>
      <c r="B683" s="225"/>
      <c r="C683" s="225"/>
      <c r="D683" s="225"/>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c r="AA683" s="225"/>
      <c r="AB683" s="225"/>
      <c r="AC683" s="225"/>
      <c r="AD683" s="225"/>
    </row>
    <row r="684">
      <c r="A684" s="225"/>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c r="AA684" s="225"/>
      <c r="AB684" s="225"/>
      <c r="AC684" s="225"/>
      <c r="AD684" s="225"/>
    </row>
    <row r="685">
      <c r="A685" s="225"/>
      <c r="B685" s="225"/>
      <c r="C685" s="225"/>
      <c r="D685" s="225"/>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c r="AA685" s="225"/>
      <c r="AB685" s="225"/>
      <c r="AC685" s="225"/>
      <c r="AD685" s="225"/>
    </row>
    <row r="686">
      <c r="A686" s="225"/>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c r="AA686" s="225"/>
      <c r="AB686" s="225"/>
      <c r="AC686" s="225"/>
      <c r="AD686" s="225"/>
    </row>
    <row r="687">
      <c r="A687" s="225"/>
      <c r="B687" s="225"/>
      <c r="C687" s="225"/>
      <c r="D687" s="225"/>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c r="AA687" s="225"/>
      <c r="AB687" s="225"/>
      <c r="AC687" s="225"/>
      <c r="AD687" s="225"/>
    </row>
    <row r="688">
      <c r="A688" s="225"/>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c r="AA688" s="225"/>
      <c r="AB688" s="225"/>
      <c r="AC688" s="225"/>
      <c r="AD688" s="225"/>
    </row>
    <row r="689">
      <c r="A689" s="225"/>
      <c r="B689" s="225"/>
      <c r="C689" s="225"/>
      <c r="D689" s="225"/>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c r="AA689" s="225"/>
      <c r="AB689" s="225"/>
      <c r="AC689" s="225"/>
      <c r="AD689" s="225"/>
    </row>
    <row r="690">
      <c r="A690" s="225"/>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c r="AA690" s="225"/>
      <c r="AB690" s="225"/>
      <c r="AC690" s="225"/>
      <c r="AD690" s="225"/>
    </row>
    <row r="691">
      <c r="A691" s="225"/>
      <c r="B691" s="225"/>
      <c r="C691" s="225"/>
      <c r="D691" s="225"/>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c r="AA691" s="225"/>
      <c r="AB691" s="225"/>
      <c r="AC691" s="225"/>
      <c r="AD691" s="225"/>
    </row>
    <row r="692">
      <c r="A692" s="225"/>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c r="AA692" s="225"/>
      <c r="AB692" s="225"/>
      <c r="AC692" s="225"/>
      <c r="AD692" s="225"/>
    </row>
    <row r="693">
      <c r="A693" s="225"/>
      <c r="B693" s="225"/>
      <c r="C693" s="225"/>
      <c r="D693" s="225"/>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c r="AA693" s="225"/>
      <c r="AB693" s="225"/>
      <c r="AC693" s="225"/>
      <c r="AD693" s="225"/>
    </row>
    <row r="694">
      <c r="A694" s="225"/>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c r="AA694" s="225"/>
      <c r="AB694" s="225"/>
      <c r="AC694" s="225"/>
      <c r="AD694" s="225"/>
    </row>
    <row r="695">
      <c r="A695" s="225"/>
      <c r="B695" s="225"/>
      <c r="C695" s="225"/>
      <c r="D695" s="225"/>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c r="AA695" s="225"/>
      <c r="AB695" s="225"/>
      <c r="AC695" s="225"/>
      <c r="AD695" s="225"/>
    </row>
    <row r="696">
      <c r="A696" s="225"/>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c r="AA696" s="225"/>
      <c r="AB696" s="225"/>
      <c r="AC696" s="225"/>
      <c r="AD696" s="225"/>
    </row>
    <row r="697">
      <c r="A697" s="225"/>
      <c r="B697" s="225"/>
      <c r="C697" s="225"/>
      <c r="D697" s="225"/>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c r="AA697" s="225"/>
      <c r="AB697" s="225"/>
      <c r="AC697" s="225"/>
      <c r="AD697" s="225"/>
    </row>
    <row r="698">
      <c r="A698" s="225"/>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c r="AA698" s="225"/>
      <c r="AB698" s="225"/>
      <c r="AC698" s="225"/>
      <c r="AD698" s="225"/>
    </row>
    <row r="699">
      <c r="A699" s="225"/>
      <c r="B699" s="225"/>
      <c r="C699" s="225"/>
      <c r="D699" s="225"/>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c r="AA699" s="225"/>
      <c r="AB699" s="225"/>
      <c r="AC699" s="225"/>
      <c r="AD699" s="225"/>
    </row>
    <row r="700">
      <c r="A700" s="225"/>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c r="AA700" s="225"/>
      <c r="AB700" s="225"/>
      <c r="AC700" s="225"/>
      <c r="AD700" s="225"/>
    </row>
    <row r="701">
      <c r="A701" s="225"/>
      <c r="B701" s="225"/>
      <c r="C701" s="225"/>
      <c r="D701" s="225"/>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c r="AA701" s="225"/>
      <c r="AB701" s="225"/>
      <c r="AC701" s="225"/>
      <c r="AD701" s="225"/>
    </row>
    <row r="702">
      <c r="A702" s="225"/>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c r="AA702" s="225"/>
      <c r="AB702" s="225"/>
      <c r="AC702" s="225"/>
      <c r="AD702" s="225"/>
    </row>
    <row r="703">
      <c r="A703" s="225"/>
      <c r="B703" s="225"/>
      <c r="C703" s="225"/>
      <c r="D703" s="225"/>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c r="AA703" s="225"/>
      <c r="AB703" s="225"/>
      <c r="AC703" s="225"/>
      <c r="AD703" s="225"/>
    </row>
    <row r="704">
      <c r="A704" s="225"/>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c r="AA704" s="225"/>
      <c r="AB704" s="225"/>
      <c r="AC704" s="225"/>
      <c r="AD704" s="225"/>
    </row>
    <row r="705">
      <c r="A705" s="225"/>
      <c r="B705" s="225"/>
      <c r="C705" s="225"/>
      <c r="D705" s="225"/>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c r="AA705" s="225"/>
      <c r="AB705" s="225"/>
      <c r="AC705" s="225"/>
      <c r="AD705" s="225"/>
    </row>
    <row r="706">
      <c r="A706" s="225"/>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c r="AA706" s="225"/>
      <c r="AB706" s="225"/>
      <c r="AC706" s="225"/>
      <c r="AD706" s="225"/>
    </row>
    <row r="707">
      <c r="A707" s="225"/>
      <c r="B707" s="225"/>
      <c r="C707" s="225"/>
      <c r="D707" s="225"/>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c r="AA707" s="225"/>
      <c r="AB707" s="225"/>
      <c r="AC707" s="225"/>
      <c r="AD707" s="225"/>
    </row>
    <row r="708">
      <c r="A708" s="225"/>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c r="AA708" s="225"/>
      <c r="AB708" s="225"/>
      <c r="AC708" s="225"/>
      <c r="AD708" s="225"/>
    </row>
    <row r="709">
      <c r="A709" s="225"/>
      <c r="B709" s="225"/>
      <c r="C709" s="225"/>
      <c r="D709" s="225"/>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c r="AA709" s="225"/>
      <c r="AB709" s="225"/>
      <c r="AC709" s="225"/>
      <c r="AD709" s="225"/>
    </row>
    <row r="710">
      <c r="A710" s="225"/>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c r="AA710" s="225"/>
      <c r="AB710" s="225"/>
      <c r="AC710" s="225"/>
      <c r="AD710" s="225"/>
    </row>
    <row r="711">
      <c r="A711" s="225"/>
      <c r="B711" s="225"/>
      <c r="C711" s="225"/>
      <c r="D711" s="225"/>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c r="AA711" s="225"/>
      <c r="AB711" s="225"/>
      <c r="AC711" s="225"/>
      <c r="AD711" s="225"/>
    </row>
    <row r="712">
      <c r="A712" s="225"/>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c r="AA712" s="225"/>
      <c r="AB712" s="225"/>
      <c r="AC712" s="225"/>
      <c r="AD712" s="225"/>
    </row>
    <row r="713">
      <c r="A713" s="225"/>
      <c r="B713" s="225"/>
      <c r="C713" s="225"/>
      <c r="D713" s="225"/>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c r="AA713" s="225"/>
      <c r="AB713" s="225"/>
      <c r="AC713" s="225"/>
      <c r="AD713" s="225"/>
    </row>
    <row r="714">
      <c r="A714" s="225"/>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c r="AA714" s="225"/>
      <c r="AB714" s="225"/>
      <c r="AC714" s="225"/>
      <c r="AD714" s="225"/>
    </row>
    <row r="715">
      <c r="A715" s="225"/>
      <c r="B715" s="225"/>
      <c r="C715" s="225"/>
      <c r="D715" s="225"/>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c r="AA715" s="225"/>
      <c r="AB715" s="225"/>
      <c r="AC715" s="225"/>
      <c r="AD715" s="225"/>
    </row>
    <row r="716">
      <c r="A716" s="225"/>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c r="AA716" s="225"/>
      <c r="AB716" s="225"/>
      <c r="AC716" s="225"/>
      <c r="AD716" s="225"/>
    </row>
    <row r="717">
      <c r="A717" s="225"/>
      <c r="B717" s="225"/>
      <c r="C717" s="225"/>
      <c r="D717" s="225"/>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c r="AA717" s="225"/>
      <c r="AB717" s="225"/>
      <c r="AC717" s="225"/>
      <c r="AD717" s="225"/>
    </row>
    <row r="718">
      <c r="A718" s="225"/>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c r="AA718" s="225"/>
      <c r="AB718" s="225"/>
      <c r="AC718" s="225"/>
      <c r="AD718" s="225"/>
    </row>
    <row r="719">
      <c r="A719" s="225"/>
      <c r="B719" s="225"/>
      <c r="C719" s="225"/>
      <c r="D719" s="225"/>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c r="AA719" s="225"/>
      <c r="AB719" s="225"/>
      <c r="AC719" s="225"/>
      <c r="AD719" s="225"/>
    </row>
    <row r="720">
      <c r="A720" s="225"/>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c r="AA720" s="225"/>
      <c r="AB720" s="225"/>
      <c r="AC720" s="225"/>
      <c r="AD720" s="225"/>
    </row>
    <row r="721">
      <c r="A721" s="225"/>
      <c r="B721" s="225"/>
      <c r="C721" s="225"/>
      <c r="D721" s="225"/>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c r="AA721" s="225"/>
      <c r="AB721" s="225"/>
      <c r="AC721" s="225"/>
      <c r="AD721" s="225"/>
    </row>
    <row r="722">
      <c r="A722" s="225"/>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c r="AA722" s="225"/>
      <c r="AB722" s="225"/>
      <c r="AC722" s="225"/>
      <c r="AD722" s="225"/>
    </row>
    <row r="723">
      <c r="A723" s="225"/>
      <c r="B723" s="225"/>
      <c r="C723" s="225"/>
      <c r="D723" s="225"/>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c r="AA723" s="225"/>
      <c r="AB723" s="225"/>
      <c r="AC723" s="225"/>
      <c r="AD723" s="225"/>
    </row>
    <row r="724">
      <c r="A724" s="225"/>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c r="AA724" s="225"/>
      <c r="AB724" s="225"/>
      <c r="AC724" s="225"/>
      <c r="AD724" s="225"/>
    </row>
    <row r="725">
      <c r="A725" s="225"/>
      <c r="B725" s="225"/>
      <c r="C725" s="225"/>
      <c r="D725" s="225"/>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c r="AA725" s="225"/>
      <c r="AB725" s="225"/>
      <c r="AC725" s="225"/>
      <c r="AD725" s="225"/>
    </row>
    <row r="726">
      <c r="A726" s="225"/>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c r="AA726" s="225"/>
      <c r="AB726" s="225"/>
      <c r="AC726" s="225"/>
      <c r="AD726" s="225"/>
    </row>
    <row r="727">
      <c r="A727" s="225"/>
      <c r="B727" s="225"/>
      <c r="C727" s="225"/>
      <c r="D727" s="225"/>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c r="AA727" s="225"/>
      <c r="AB727" s="225"/>
      <c r="AC727" s="225"/>
      <c r="AD727" s="225"/>
    </row>
    <row r="728">
      <c r="A728" s="225"/>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c r="AA728" s="225"/>
      <c r="AB728" s="225"/>
      <c r="AC728" s="225"/>
      <c r="AD728" s="225"/>
    </row>
    <row r="729">
      <c r="A729" s="225"/>
      <c r="B729" s="225"/>
      <c r="C729" s="225"/>
      <c r="D729" s="225"/>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c r="AA729" s="225"/>
      <c r="AB729" s="225"/>
      <c r="AC729" s="225"/>
      <c r="AD729" s="225"/>
    </row>
    <row r="730">
      <c r="A730" s="225"/>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c r="AA730" s="225"/>
      <c r="AB730" s="225"/>
      <c r="AC730" s="225"/>
      <c r="AD730" s="225"/>
    </row>
    <row r="731">
      <c r="A731" s="225"/>
      <c r="B731" s="225"/>
      <c r="C731" s="225"/>
      <c r="D731" s="225"/>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c r="AA731" s="225"/>
      <c r="AB731" s="225"/>
      <c r="AC731" s="225"/>
      <c r="AD731" s="225"/>
    </row>
    <row r="732">
      <c r="A732" s="225"/>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c r="AA732" s="225"/>
      <c r="AB732" s="225"/>
      <c r="AC732" s="225"/>
      <c r="AD732" s="225"/>
    </row>
    <row r="733">
      <c r="A733" s="225"/>
      <c r="B733" s="225"/>
      <c r="C733" s="225"/>
      <c r="D733" s="225"/>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c r="AA733" s="225"/>
      <c r="AB733" s="225"/>
      <c r="AC733" s="225"/>
      <c r="AD733" s="225"/>
    </row>
    <row r="734">
      <c r="A734" s="225"/>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c r="AA734" s="225"/>
      <c r="AB734" s="225"/>
      <c r="AC734" s="225"/>
      <c r="AD734" s="225"/>
    </row>
    <row r="735">
      <c r="A735" s="225"/>
      <c r="B735" s="225"/>
      <c r="C735" s="225"/>
      <c r="D735" s="225"/>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c r="AA735" s="225"/>
      <c r="AB735" s="225"/>
      <c r="AC735" s="225"/>
      <c r="AD735" s="225"/>
    </row>
    <row r="736">
      <c r="A736" s="225"/>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c r="AA736" s="225"/>
      <c r="AB736" s="225"/>
      <c r="AC736" s="225"/>
      <c r="AD736" s="225"/>
    </row>
    <row r="737">
      <c r="A737" s="225"/>
      <c r="B737" s="225"/>
      <c r="C737" s="225"/>
      <c r="D737" s="225"/>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c r="AA737" s="225"/>
      <c r="AB737" s="225"/>
      <c r="AC737" s="225"/>
      <c r="AD737" s="225"/>
    </row>
    <row r="738">
      <c r="A738" s="225"/>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c r="AA738" s="225"/>
      <c r="AB738" s="225"/>
      <c r="AC738" s="225"/>
      <c r="AD738" s="225"/>
    </row>
    <row r="739">
      <c r="A739" s="225"/>
      <c r="B739" s="225"/>
      <c r="C739" s="225"/>
      <c r="D739" s="225"/>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c r="AA739" s="225"/>
      <c r="AB739" s="225"/>
      <c r="AC739" s="225"/>
      <c r="AD739" s="225"/>
    </row>
    <row r="740">
      <c r="A740" s="225"/>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c r="AA740" s="225"/>
      <c r="AB740" s="225"/>
      <c r="AC740" s="225"/>
      <c r="AD740" s="225"/>
    </row>
    <row r="741">
      <c r="A741" s="225"/>
      <c r="B741" s="225"/>
      <c r="C741" s="225"/>
      <c r="D741" s="225"/>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c r="AA741" s="225"/>
      <c r="AB741" s="225"/>
      <c r="AC741" s="225"/>
      <c r="AD741" s="225"/>
    </row>
    <row r="742">
      <c r="A742" s="225"/>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c r="AA742" s="225"/>
      <c r="AB742" s="225"/>
      <c r="AC742" s="225"/>
      <c r="AD742" s="225"/>
    </row>
    <row r="743">
      <c r="A743" s="225"/>
      <c r="B743" s="225"/>
      <c r="C743" s="225"/>
      <c r="D743" s="225"/>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c r="AA743" s="225"/>
      <c r="AB743" s="225"/>
      <c r="AC743" s="225"/>
      <c r="AD743" s="225"/>
    </row>
    <row r="744">
      <c r="A744" s="225"/>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c r="AA744" s="225"/>
      <c r="AB744" s="225"/>
      <c r="AC744" s="225"/>
      <c r="AD744" s="225"/>
    </row>
    <row r="745">
      <c r="A745" s="225"/>
      <c r="B745" s="225"/>
      <c r="C745" s="225"/>
      <c r="D745" s="225"/>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c r="AA745" s="225"/>
      <c r="AB745" s="225"/>
      <c r="AC745" s="225"/>
      <c r="AD745" s="225"/>
    </row>
    <row r="746">
      <c r="A746" s="225"/>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c r="AA746" s="225"/>
      <c r="AB746" s="225"/>
      <c r="AC746" s="225"/>
      <c r="AD746" s="225"/>
    </row>
    <row r="747">
      <c r="A747" s="225"/>
      <c r="B747" s="225"/>
      <c r="C747" s="225"/>
      <c r="D747" s="225"/>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c r="AA747" s="225"/>
      <c r="AB747" s="225"/>
      <c r="AC747" s="225"/>
      <c r="AD747" s="225"/>
    </row>
    <row r="748">
      <c r="A748" s="225"/>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c r="AA748" s="225"/>
      <c r="AB748" s="225"/>
      <c r="AC748" s="225"/>
      <c r="AD748" s="225"/>
    </row>
    <row r="749">
      <c r="A749" s="225"/>
      <c r="B749" s="225"/>
      <c r="C749" s="225"/>
      <c r="D749" s="225"/>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c r="AA749" s="225"/>
      <c r="AB749" s="225"/>
      <c r="AC749" s="225"/>
      <c r="AD749" s="225"/>
    </row>
    <row r="750">
      <c r="A750" s="225"/>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c r="AA750" s="225"/>
      <c r="AB750" s="225"/>
      <c r="AC750" s="225"/>
      <c r="AD750" s="225"/>
    </row>
    <row r="751">
      <c r="A751" s="225"/>
      <c r="B751" s="225"/>
      <c r="C751" s="225"/>
      <c r="D751" s="225"/>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c r="AA751" s="225"/>
      <c r="AB751" s="225"/>
      <c r="AC751" s="225"/>
      <c r="AD751" s="225"/>
    </row>
    <row r="752">
      <c r="A752" s="225"/>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c r="AA752" s="225"/>
      <c r="AB752" s="225"/>
      <c r="AC752" s="225"/>
      <c r="AD752" s="225"/>
    </row>
    <row r="753">
      <c r="A753" s="225"/>
      <c r="B753" s="225"/>
      <c r="C753" s="225"/>
      <c r="D753" s="225"/>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c r="AA753" s="225"/>
      <c r="AB753" s="225"/>
      <c r="AC753" s="225"/>
      <c r="AD753" s="225"/>
    </row>
    <row r="754">
      <c r="A754" s="225"/>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c r="AA754" s="225"/>
      <c r="AB754" s="225"/>
      <c r="AC754" s="225"/>
      <c r="AD754" s="225"/>
    </row>
    <row r="755">
      <c r="A755" s="225"/>
      <c r="B755" s="225"/>
      <c r="C755" s="225"/>
      <c r="D755" s="225"/>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c r="AA755" s="225"/>
      <c r="AB755" s="225"/>
      <c r="AC755" s="225"/>
      <c r="AD755" s="225"/>
    </row>
    <row r="756">
      <c r="A756" s="225"/>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c r="AA756" s="225"/>
      <c r="AB756" s="225"/>
      <c r="AC756" s="225"/>
      <c r="AD756" s="225"/>
    </row>
    <row r="757">
      <c r="A757" s="225"/>
      <c r="B757" s="225"/>
      <c r="C757" s="225"/>
      <c r="D757" s="225"/>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c r="AA757" s="225"/>
      <c r="AB757" s="225"/>
      <c r="AC757" s="225"/>
      <c r="AD757" s="225"/>
    </row>
    <row r="758">
      <c r="A758" s="225"/>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c r="AA758" s="225"/>
      <c r="AB758" s="225"/>
      <c r="AC758" s="225"/>
      <c r="AD758" s="225"/>
    </row>
    <row r="759">
      <c r="A759" s="225"/>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c r="AA759" s="225"/>
      <c r="AB759" s="225"/>
      <c r="AC759" s="225"/>
      <c r="AD759" s="225"/>
    </row>
    <row r="760">
      <c r="A760" s="225"/>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c r="AA760" s="225"/>
      <c r="AB760" s="225"/>
      <c r="AC760" s="225"/>
      <c r="AD760" s="225"/>
    </row>
    <row r="761">
      <c r="A761" s="225"/>
      <c r="B761" s="225"/>
      <c r="C761" s="225"/>
      <c r="D761" s="225"/>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c r="AA761" s="225"/>
      <c r="AB761" s="225"/>
      <c r="AC761" s="225"/>
      <c r="AD761" s="225"/>
    </row>
    <row r="762">
      <c r="A762" s="225"/>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c r="AA762" s="225"/>
      <c r="AB762" s="225"/>
      <c r="AC762" s="225"/>
      <c r="AD762" s="225"/>
    </row>
    <row r="763">
      <c r="A763" s="225"/>
      <c r="B763" s="225"/>
      <c r="C763" s="225"/>
      <c r="D763" s="225"/>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c r="AA763" s="225"/>
      <c r="AB763" s="225"/>
      <c r="AC763" s="225"/>
      <c r="AD763" s="225"/>
    </row>
    <row r="764">
      <c r="A764" s="225"/>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c r="AA764" s="225"/>
      <c r="AB764" s="225"/>
      <c r="AC764" s="225"/>
      <c r="AD764" s="225"/>
    </row>
    <row r="765">
      <c r="A765" s="225"/>
      <c r="B765" s="225"/>
      <c r="C765" s="225"/>
      <c r="D765" s="225"/>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c r="AA765" s="225"/>
      <c r="AB765" s="225"/>
      <c r="AC765" s="225"/>
      <c r="AD765" s="225"/>
    </row>
    <row r="766">
      <c r="A766" s="225"/>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c r="AA766" s="225"/>
      <c r="AB766" s="225"/>
      <c r="AC766" s="225"/>
      <c r="AD766" s="225"/>
    </row>
    <row r="767">
      <c r="A767" s="225"/>
      <c r="B767" s="225"/>
      <c r="C767" s="225"/>
      <c r="D767" s="225"/>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c r="AA767" s="225"/>
      <c r="AB767" s="225"/>
      <c r="AC767" s="225"/>
      <c r="AD767" s="225"/>
    </row>
    <row r="768">
      <c r="A768" s="225"/>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c r="AA768" s="225"/>
      <c r="AB768" s="225"/>
      <c r="AC768" s="225"/>
      <c r="AD768" s="225"/>
    </row>
    <row r="769">
      <c r="A769" s="225"/>
      <c r="B769" s="225"/>
      <c r="C769" s="225"/>
      <c r="D769" s="225"/>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c r="AA769" s="225"/>
      <c r="AB769" s="225"/>
      <c r="AC769" s="225"/>
      <c r="AD769" s="225"/>
    </row>
    <row r="770">
      <c r="A770" s="225"/>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c r="AA770" s="225"/>
      <c r="AB770" s="225"/>
      <c r="AC770" s="225"/>
      <c r="AD770" s="225"/>
    </row>
    <row r="771">
      <c r="A771" s="225"/>
      <c r="B771" s="225"/>
      <c r="C771" s="225"/>
      <c r="D771" s="225"/>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c r="AA771" s="225"/>
      <c r="AB771" s="225"/>
      <c r="AC771" s="225"/>
      <c r="AD771" s="225"/>
    </row>
    <row r="772">
      <c r="A772" s="225"/>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c r="AA772" s="225"/>
      <c r="AB772" s="225"/>
      <c r="AC772" s="225"/>
      <c r="AD772" s="225"/>
    </row>
    <row r="773">
      <c r="A773" s="225"/>
      <c r="B773" s="225"/>
      <c r="C773" s="225"/>
      <c r="D773" s="225"/>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c r="AA773" s="225"/>
      <c r="AB773" s="225"/>
      <c r="AC773" s="225"/>
      <c r="AD773" s="225"/>
    </row>
    <row r="774">
      <c r="A774" s="225"/>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c r="AA774" s="225"/>
      <c r="AB774" s="225"/>
      <c r="AC774" s="225"/>
      <c r="AD774" s="225"/>
    </row>
    <row r="775">
      <c r="A775" s="225"/>
      <c r="B775" s="225"/>
      <c r="C775" s="225"/>
      <c r="D775" s="225"/>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c r="AA775" s="225"/>
      <c r="AB775" s="225"/>
      <c r="AC775" s="225"/>
      <c r="AD775" s="225"/>
    </row>
    <row r="776">
      <c r="A776" s="225"/>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c r="AA776" s="225"/>
      <c r="AB776" s="225"/>
      <c r="AC776" s="225"/>
      <c r="AD776" s="225"/>
    </row>
    <row r="777">
      <c r="A777" s="225"/>
      <c r="B777" s="225"/>
      <c r="C777" s="225"/>
      <c r="D777" s="225"/>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c r="AA777" s="225"/>
      <c r="AB777" s="225"/>
      <c r="AC777" s="225"/>
      <c r="AD777" s="225"/>
    </row>
    <row r="778">
      <c r="A778" s="225"/>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c r="AA778" s="225"/>
      <c r="AB778" s="225"/>
      <c r="AC778" s="225"/>
      <c r="AD778" s="225"/>
    </row>
    <row r="779">
      <c r="A779" s="225"/>
      <c r="B779" s="225"/>
      <c r="C779" s="225"/>
      <c r="D779" s="225"/>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c r="AA779" s="225"/>
      <c r="AB779" s="225"/>
      <c r="AC779" s="225"/>
      <c r="AD779" s="225"/>
    </row>
    <row r="780">
      <c r="A780" s="225"/>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c r="AA780" s="225"/>
      <c r="AB780" s="225"/>
      <c r="AC780" s="225"/>
      <c r="AD780" s="225"/>
    </row>
    <row r="781">
      <c r="A781" s="225"/>
      <c r="B781" s="225"/>
      <c r="C781" s="225"/>
      <c r="D781" s="225"/>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c r="AA781" s="225"/>
      <c r="AB781" s="225"/>
      <c r="AC781" s="225"/>
      <c r="AD781" s="225"/>
    </row>
    <row r="782">
      <c r="A782" s="225"/>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c r="AA782" s="225"/>
      <c r="AB782" s="225"/>
      <c r="AC782" s="225"/>
      <c r="AD782" s="225"/>
    </row>
    <row r="783">
      <c r="A783" s="225"/>
      <c r="B783" s="225"/>
      <c r="C783" s="225"/>
      <c r="D783" s="225"/>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c r="AA783" s="225"/>
      <c r="AB783" s="225"/>
      <c r="AC783" s="225"/>
      <c r="AD783" s="225"/>
    </row>
    <row r="784">
      <c r="A784" s="225"/>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c r="AA784" s="225"/>
      <c r="AB784" s="225"/>
      <c r="AC784" s="225"/>
      <c r="AD784" s="225"/>
    </row>
    <row r="785">
      <c r="A785" s="225"/>
      <c r="B785" s="225"/>
      <c r="C785" s="225"/>
      <c r="D785" s="225"/>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c r="AA785" s="225"/>
      <c r="AB785" s="225"/>
      <c r="AC785" s="225"/>
      <c r="AD785" s="225"/>
    </row>
    <row r="786">
      <c r="A786" s="225"/>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c r="AA786" s="225"/>
      <c r="AB786" s="225"/>
      <c r="AC786" s="225"/>
      <c r="AD786" s="225"/>
    </row>
    <row r="787">
      <c r="A787" s="225"/>
      <c r="B787" s="225"/>
      <c r="C787" s="225"/>
      <c r="D787" s="225"/>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c r="AA787" s="225"/>
      <c r="AB787" s="225"/>
      <c r="AC787" s="225"/>
      <c r="AD787" s="225"/>
    </row>
    <row r="788">
      <c r="A788" s="225"/>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c r="AA788" s="225"/>
      <c r="AB788" s="225"/>
      <c r="AC788" s="225"/>
      <c r="AD788" s="225"/>
    </row>
    <row r="789">
      <c r="A789" s="225"/>
      <c r="B789" s="225"/>
      <c r="C789" s="225"/>
      <c r="D789" s="225"/>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c r="AA789" s="225"/>
      <c r="AB789" s="225"/>
      <c r="AC789" s="225"/>
      <c r="AD789" s="225"/>
    </row>
    <row r="790">
      <c r="A790" s="225"/>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c r="AA790" s="225"/>
      <c r="AB790" s="225"/>
      <c r="AC790" s="225"/>
      <c r="AD790" s="225"/>
    </row>
    <row r="791">
      <c r="A791" s="225"/>
      <c r="B791" s="225"/>
      <c r="C791" s="225"/>
      <c r="D791" s="225"/>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c r="AA791" s="225"/>
      <c r="AB791" s="225"/>
      <c r="AC791" s="225"/>
      <c r="AD791" s="225"/>
    </row>
    <row r="792">
      <c r="A792" s="225"/>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c r="AA792" s="225"/>
      <c r="AB792" s="225"/>
      <c r="AC792" s="225"/>
      <c r="AD792" s="225"/>
    </row>
    <row r="793">
      <c r="A793" s="225"/>
      <c r="B793" s="225"/>
      <c r="C793" s="225"/>
      <c r="D793" s="225"/>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c r="AA793" s="225"/>
      <c r="AB793" s="225"/>
      <c r="AC793" s="225"/>
      <c r="AD793" s="225"/>
    </row>
    <row r="794">
      <c r="A794" s="225"/>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c r="AA794" s="225"/>
      <c r="AB794" s="225"/>
      <c r="AC794" s="225"/>
      <c r="AD794" s="225"/>
    </row>
    <row r="795">
      <c r="A795" s="225"/>
      <c r="B795" s="225"/>
      <c r="C795" s="225"/>
      <c r="D795" s="225"/>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c r="AA795" s="225"/>
      <c r="AB795" s="225"/>
      <c r="AC795" s="225"/>
      <c r="AD795" s="225"/>
    </row>
    <row r="796">
      <c r="A796" s="225"/>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c r="AA796" s="225"/>
      <c r="AB796" s="225"/>
      <c r="AC796" s="225"/>
      <c r="AD796" s="225"/>
    </row>
    <row r="797">
      <c r="A797" s="225"/>
      <c r="B797" s="225"/>
      <c r="C797" s="225"/>
      <c r="D797" s="225"/>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c r="AA797" s="225"/>
      <c r="AB797" s="225"/>
      <c r="AC797" s="225"/>
      <c r="AD797" s="225"/>
    </row>
    <row r="798">
      <c r="A798" s="225"/>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c r="AA798" s="225"/>
      <c r="AB798" s="225"/>
      <c r="AC798" s="225"/>
      <c r="AD798" s="225"/>
    </row>
    <row r="799">
      <c r="A799" s="225"/>
      <c r="B799" s="225"/>
      <c r="C799" s="225"/>
      <c r="D799" s="225"/>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c r="AA799" s="225"/>
      <c r="AB799" s="225"/>
      <c r="AC799" s="225"/>
      <c r="AD799" s="225"/>
    </row>
    <row r="800">
      <c r="A800" s="225"/>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c r="AA800" s="225"/>
      <c r="AB800" s="225"/>
      <c r="AC800" s="225"/>
      <c r="AD800" s="225"/>
    </row>
    <row r="801">
      <c r="A801" s="225"/>
      <c r="B801" s="225"/>
      <c r="C801" s="225"/>
      <c r="D801" s="225"/>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c r="AA801" s="225"/>
      <c r="AB801" s="225"/>
      <c r="AC801" s="225"/>
      <c r="AD801" s="225"/>
    </row>
    <row r="802">
      <c r="A802" s="225"/>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c r="AA802" s="225"/>
      <c r="AB802" s="225"/>
      <c r="AC802" s="225"/>
      <c r="AD802" s="225"/>
    </row>
    <row r="803">
      <c r="A803" s="225"/>
      <c r="B803" s="225"/>
      <c r="C803" s="225"/>
      <c r="D803" s="225"/>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c r="AA803" s="225"/>
      <c r="AB803" s="225"/>
      <c r="AC803" s="225"/>
      <c r="AD803" s="225"/>
    </row>
    <row r="804">
      <c r="A804" s="225"/>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c r="AA804" s="225"/>
      <c r="AB804" s="225"/>
      <c r="AC804" s="225"/>
      <c r="AD804" s="225"/>
    </row>
    <row r="805">
      <c r="A805" s="225"/>
      <c r="B805" s="225"/>
      <c r="C805" s="225"/>
      <c r="D805" s="225"/>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c r="AA805" s="225"/>
      <c r="AB805" s="225"/>
      <c r="AC805" s="225"/>
      <c r="AD805" s="225"/>
    </row>
    <row r="806">
      <c r="A806" s="225"/>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c r="AA806" s="225"/>
      <c r="AB806" s="225"/>
      <c r="AC806" s="225"/>
      <c r="AD806" s="225"/>
    </row>
    <row r="807">
      <c r="A807" s="225"/>
      <c r="B807" s="225"/>
      <c r="C807" s="225"/>
      <c r="D807" s="225"/>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c r="AA807" s="225"/>
      <c r="AB807" s="225"/>
      <c r="AC807" s="225"/>
      <c r="AD807" s="225"/>
    </row>
    <row r="808">
      <c r="A808" s="225"/>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c r="AA808" s="225"/>
      <c r="AB808" s="225"/>
      <c r="AC808" s="225"/>
      <c r="AD808" s="225"/>
    </row>
    <row r="809">
      <c r="A809" s="225"/>
      <c r="B809" s="225"/>
      <c r="C809" s="225"/>
      <c r="D809" s="225"/>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c r="AA809" s="225"/>
      <c r="AB809" s="225"/>
      <c r="AC809" s="225"/>
      <c r="AD809" s="225"/>
    </row>
    <row r="810">
      <c r="A810" s="225"/>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c r="AA810" s="225"/>
      <c r="AB810" s="225"/>
      <c r="AC810" s="225"/>
      <c r="AD810" s="225"/>
    </row>
    <row r="811">
      <c r="A811" s="225"/>
      <c r="B811" s="225"/>
      <c r="C811" s="225"/>
      <c r="D811" s="225"/>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c r="AA811" s="225"/>
      <c r="AB811" s="225"/>
      <c r="AC811" s="225"/>
      <c r="AD811" s="225"/>
    </row>
    <row r="812">
      <c r="A812" s="225"/>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c r="AA812" s="225"/>
      <c r="AB812" s="225"/>
      <c r="AC812" s="225"/>
      <c r="AD812" s="225"/>
    </row>
    <row r="813">
      <c r="A813" s="225"/>
      <c r="B813" s="225"/>
      <c r="C813" s="225"/>
      <c r="D813" s="225"/>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c r="AA813" s="225"/>
      <c r="AB813" s="225"/>
      <c r="AC813" s="225"/>
      <c r="AD813" s="225"/>
    </row>
    <row r="814">
      <c r="A814" s="225"/>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c r="AA814" s="225"/>
      <c r="AB814" s="225"/>
      <c r="AC814" s="225"/>
      <c r="AD814" s="225"/>
    </row>
    <row r="815">
      <c r="A815" s="225"/>
      <c r="B815" s="225"/>
      <c r="C815" s="225"/>
      <c r="D815" s="225"/>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c r="AA815" s="225"/>
      <c r="AB815" s="225"/>
      <c r="AC815" s="225"/>
      <c r="AD815" s="225"/>
    </row>
    <row r="816">
      <c r="A816" s="225"/>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c r="AA816" s="225"/>
      <c r="AB816" s="225"/>
      <c r="AC816" s="225"/>
      <c r="AD816" s="225"/>
    </row>
    <row r="817">
      <c r="A817" s="225"/>
      <c r="B817" s="225"/>
      <c r="C817" s="225"/>
      <c r="D817" s="225"/>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c r="AA817" s="225"/>
      <c r="AB817" s="225"/>
      <c r="AC817" s="225"/>
      <c r="AD817" s="225"/>
    </row>
    <row r="818">
      <c r="A818" s="225"/>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c r="AA818" s="225"/>
      <c r="AB818" s="225"/>
      <c r="AC818" s="225"/>
      <c r="AD818" s="225"/>
    </row>
    <row r="819">
      <c r="A819" s="225"/>
      <c r="B819" s="225"/>
      <c r="C819" s="225"/>
      <c r="D819" s="225"/>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c r="AA819" s="225"/>
      <c r="AB819" s="225"/>
      <c r="AC819" s="225"/>
      <c r="AD819" s="225"/>
    </row>
    <row r="820">
      <c r="A820" s="225"/>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c r="AA820" s="225"/>
      <c r="AB820" s="225"/>
      <c r="AC820" s="225"/>
      <c r="AD820" s="225"/>
    </row>
    <row r="821">
      <c r="A821" s="225"/>
      <c r="B821" s="225"/>
      <c r="C821" s="225"/>
      <c r="D821" s="225"/>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c r="AA821" s="225"/>
      <c r="AB821" s="225"/>
      <c r="AC821" s="225"/>
      <c r="AD821" s="225"/>
    </row>
    <row r="822">
      <c r="A822" s="225"/>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c r="AA822" s="225"/>
      <c r="AB822" s="225"/>
      <c r="AC822" s="225"/>
      <c r="AD822" s="225"/>
    </row>
    <row r="823">
      <c r="A823" s="225"/>
      <c r="B823" s="225"/>
      <c r="C823" s="225"/>
      <c r="D823" s="225"/>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c r="AA823" s="225"/>
      <c r="AB823" s="225"/>
      <c r="AC823" s="225"/>
      <c r="AD823" s="225"/>
    </row>
    <row r="824">
      <c r="A824" s="225"/>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c r="AA824" s="225"/>
      <c r="AB824" s="225"/>
      <c r="AC824" s="225"/>
      <c r="AD824" s="225"/>
    </row>
    <row r="825">
      <c r="A825" s="225"/>
      <c r="B825" s="225"/>
      <c r="C825" s="225"/>
      <c r="D825" s="225"/>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c r="AA825" s="225"/>
      <c r="AB825" s="225"/>
      <c r="AC825" s="225"/>
      <c r="AD825" s="225"/>
    </row>
    <row r="826">
      <c r="A826" s="225"/>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c r="AA826" s="225"/>
      <c r="AB826" s="225"/>
      <c r="AC826" s="225"/>
      <c r="AD826" s="225"/>
    </row>
    <row r="827">
      <c r="A827" s="225"/>
      <c r="B827" s="225"/>
      <c r="C827" s="225"/>
      <c r="D827" s="225"/>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c r="AA827" s="225"/>
      <c r="AB827" s="225"/>
      <c r="AC827" s="225"/>
      <c r="AD827" s="225"/>
    </row>
    <row r="828">
      <c r="A828" s="225"/>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c r="AA828" s="225"/>
      <c r="AB828" s="225"/>
      <c r="AC828" s="225"/>
      <c r="AD828" s="225"/>
    </row>
    <row r="829">
      <c r="A829" s="225"/>
      <c r="B829" s="225"/>
      <c r="C829" s="225"/>
      <c r="D829" s="225"/>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c r="AA829" s="225"/>
      <c r="AB829" s="225"/>
      <c r="AC829" s="225"/>
      <c r="AD829" s="225"/>
    </row>
    <row r="830">
      <c r="A830" s="225"/>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c r="AA830" s="225"/>
      <c r="AB830" s="225"/>
      <c r="AC830" s="225"/>
      <c r="AD830" s="225"/>
    </row>
    <row r="831">
      <c r="A831" s="225"/>
      <c r="B831" s="225"/>
      <c r="C831" s="225"/>
      <c r="D831" s="225"/>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c r="AA831" s="225"/>
      <c r="AB831" s="225"/>
      <c r="AC831" s="225"/>
      <c r="AD831" s="225"/>
    </row>
    <row r="832">
      <c r="A832" s="225"/>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c r="AA832" s="225"/>
      <c r="AB832" s="225"/>
      <c r="AC832" s="225"/>
      <c r="AD832" s="225"/>
    </row>
    <row r="833">
      <c r="A833" s="225"/>
      <c r="B833" s="225"/>
      <c r="C833" s="225"/>
      <c r="D833" s="225"/>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c r="AA833" s="225"/>
      <c r="AB833" s="225"/>
      <c r="AC833" s="225"/>
      <c r="AD833" s="225"/>
    </row>
    <row r="834">
      <c r="A834" s="225"/>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c r="AA834" s="225"/>
      <c r="AB834" s="225"/>
      <c r="AC834" s="225"/>
      <c r="AD834" s="225"/>
    </row>
    <row r="835">
      <c r="A835" s="225"/>
      <c r="B835" s="225"/>
      <c r="C835" s="225"/>
      <c r="D835" s="225"/>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c r="AA835" s="225"/>
      <c r="AB835" s="225"/>
      <c r="AC835" s="225"/>
      <c r="AD835" s="225"/>
    </row>
    <row r="836">
      <c r="A836" s="225"/>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c r="AA836" s="225"/>
      <c r="AB836" s="225"/>
      <c r="AC836" s="225"/>
      <c r="AD836" s="225"/>
    </row>
    <row r="837">
      <c r="A837" s="225"/>
      <c r="B837" s="225"/>
      <c r="C837" s="225"/>
      <c r="D837" s="225"/>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c r="AA837" s="225"/>
      <c r="AB837" s="225"/>
      <c r="AC837" s="225"/>
      <c r="AD837" s="225"/>
    </row>
    <row r="838">
      <c r="A838" s="225"/>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c r="AA838" s="225"/>
      <c r="AB838" s="225"/>
      <c r="AC838" s="225"/>
      <c r="AD838" s="225"/>
    </row>
    <row r="839">
      <c r="A839" s="225"/>
      <c r="B839" s="225"/>
      <c r="C839" s="225"/>
      <c r="D839" s="225"/>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c r="AA839" s="225"/>
      <c r="AB839" s="225"/>
      <c r="AC839" s="225"/>
      <c r="AD839" s="225"/>
    </row>
    <row r="840">
      <c r="A840" s="225"/>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c r="AA840" s="225"/>
      <c r="AB840" s="225"/>
      <c r="AC840" s="225"/>
      <c r="AD840" s="225"/>
    </row>
    <row r="841">
      <c r="A841" s="225"/>
      <c r="B841" s="225"/>
      <c r="C841" s="225"/>
      <c r="D841" s="225"/>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c r="AA841" s="225"/>
      <c r="AB841" s="225"/>
      <c r="AC841" s="225"/>
      <c r="AD841" s="225"/>
    </row>
    <row r="842">
      <c r="A842" s="225"/>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c r="AA842" s="225"/>
      <c r="AB842" s="225"/>
      <c r="AC842" s="225"/>
      <c r="AD842" s="225"/>
    </row>
    <row r="843">
      <c r="A843" s="225"/>
      <c r="B843" s="225"/>
      <c r="C843" s="225"/>
      <c r="D843" s="225"/>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c r="AA843" s="225"/>
      <c r="AB843" s="225"/>
      <c r="AC843" s="225"/>
      <c r="AD843" s="225"/>
    </row>
    <row r="844">
      <c r="A844" s="225"/>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c r="AA844" s="225"/>
      <c r="AB844" s="225"/>
      <c r="AC844" s="225"/>
      <c r="AD844" s="225"/>
    </row>
    <row r="845">
      <c r="A845" s="225"/>
      <c r="B845" s="225"/>
      <c r="C845" s="225"/>
      <c r="D845" s="225"/>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c r="AA845" s="225"/>
      <c r="AB845" s="225"/>
      <c r="AC845" s="225"/>
      <c r="AD845" s="225"/>
    </row>
    <row r="846">
      <c r="A846" s="225"/>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c r="AA846" s="225"/>
      <c r="AB846" s="225"/>
      <c r="AC846" s="225"/>
      <c r="AD846" s="225"/>
    </row>
    <row r="847">
      <c r="A847" s="225"/>
      <c r="B847" s="225"/>
      <c r="C847" s="225"/>
      <c r="D847" s="225"/>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c r="AA847" s="225"/>
      <c r="AB847" s="225"/>
      <c r="AC847" s="225"/>
      <c r="AD847" s="225"/>
    </row>
    <row r="848">
      <c r="A848" s="225"/>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c r="AA848" s="225"/>
      <c r="AB848" s="225"/>
      <c r="AC848" s="225"/>
      <c r="AD848" s="225"/>
    </row>
    <row r="849">
      <c r="A849" s="225"/>
      <c r="B849" s="225"/>
      <c r="C849" s="225"/>
      <c r="D849" s="225"/>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c r="AA849" s="225"/>
      <c r="AB849" s="225"/>
      <c r="AC849" s="225"/>
      <c r="AD849" s="225"/>
    </row>
    <row r="850">
      <c r="A850" s="225"/>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c r="AA850" s="225"/>
      <c r="AB850" s="225"/>
      <c r="AC850" s="225"/>
      <c r="AD850" s="225"/>
    </row>
    <row r="851">
      <c r="A851" s="225"/>
      <c r="B851" s="225"/>
      <c r="C851" s="225"/>
      <c r="D851" s="225"/>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c r="AA851" s="225"/>
      <c r="AB851" s="225"/>
      <c r="AC851" s="225"/>
      <c r="AD851" s="225"/>
    </row>
    <row r="852">
      <c r="A852" s="225"/>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c r="AA852" s="225"/>
      <c r="AB852" s="225"/>
      <c r="AC852" s="225"/>
      <c r="AD852" s="225"/>
    </row>
    <row r="853">
      <c r="A853" s="225"/>
      <c r="B853" s="225"/>
      <c r="C853" s="225"/>
      <c r="D853" s="225"/>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c r="AA853" s="225"/>
      <c r="AB853" s="225"/>
      <c r="AC853" s="225"/>
      <c r="AD853" s="225"/>
    </row>
    <row r="854">
      <c r="A854" s="225"/>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c r="AA854" s="225"/>
      <c r="AB854" s="225"/>
      <c r="AC854" s="225"/>
      <c r="AD854" s="225"/>
    </row>
    <row r="855">
      <c r="A855" s="225"/>
      <c r="B855" s="225"/>
      <c r="C855" s="225"/>
      <c r="D855" s="225"/>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c r="AA855" s="225"/>
      <c r="AB855" s="225"/>
      <c r="AC855" s="225"/>
      <c r="AD855" s="225"/>
    </row>
    <row r="856">
      <c r="A856" s="225"/>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c r="AA856" s="225"/>
      <c r="AB856" s="225"/>
      <c r="AC856" s="225"/>
      <c r="AD856" s="225"/>
    </row>
    <row r="857">
      <c r="A857" s="225"/>
      <c r="B857" s="225"/>
      <c r="C857" s="225"/>
      <c r="D857" s="225"/>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c r="AA857" s="225"/>
      <c r="AB857" s="225"/>
      <c r="AC857" s="225"/>
      <c r="AD857" s="225"/>
    </row>
    <row r="858">
      <c r="A858" s="225"/>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c r="AA858" s="225"/>
      <c r="AB858" s="225"/>
      <c r="AC858" s="225"/>
      <c r="AD858" s="225"/>
    </row>
    <row r="859">
      <c r="A859" s="225"/>
      <c r="B859" s="225"/>
      <c r="C859" s="225"/>
      <c r="D859" s="225"/>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c r="AA859" s="225"/>
      <c r="AB859" s="225"/>
      <c r="AC859" s="225"/>
      <c r="AD859" s="225"/>
    </row>
    <row r="860">
      <c r="A860" s="225"/>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c r="AA860" s="225"/>
      <c r="AB860" s="225"/>
      <c r="AC860" s="225"/>
      <c r="AD860" s="225"/>
    </row>
    <row r="861">
      <c r="A861" s="225"/>
      <c r="B861" s="225"/>
      <c r="C861" s="225"/>
      <c r="D861" s="225"/>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c r="AA861" s="225"/>
      <c r="AB861" s="225"/>
      <c r="AC861" s="225"/>
      <c r="AD861" s="225"/>
    </row>
    <row r="862">
      <c r="A862" s="225"/>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c r="AA862" s="225"/>
      <c r="AB862" s="225"/>
      <c r="AC862" s="225"/>
      <c r="AD862" s="225"/>
    </row>
    <row r="863">
      <c r="A863" s="225"/>
      <c r="B863" s="225"/>
      <c r="C863" s="225"/>
      <c r="D863" s="225"/>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c r="AA863" s="225"/>
      <c r="AB863" s="225"/>
      <c r="AC863" s="225"/>
      <c r="AD863" s="225"/>
    </row>
    <row r="864">
      <c r="A864" s="225"/>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c r="AA864" s="225"/>
      <c r="AB864" s="225"/>
      <c r="AC864" s="225"/>
      <c r="AD864" s="225"/>
    </row>
    <row r="865">
      <c r="A865" s="225"/>
      <c r="B865" s="225"/>
      <c r="C865" s="225"/>
      <c r="D865" s="225"/>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c r="AA865" s="225"/>
      <c r="AB865" s="225"/>
      <c r="AC865" s="225"/>
      <c r="AD865" s="225"/>
    </row>
    <row r="866">
      <c r="A866" s="225"/>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c r="AA866" s="225"/>
      <c r="AB866" s="225"/>
      <c r="AC866" s="225"/>
      <c r="AD866" s="225"/>
    </row>
    <row r="867">
      <c r="A867" s="225"/>
      <c r="B867" s="225"/>
      <c r="C867" s="225"/>
      <c r="D867" s="225"/>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c r="AA867" s="225"/>
      <c r="AB867" s="225"/>
      <c r="AC867" s="225"/>
      <c r="AD867" s="225"/>
    </row>
    <row r="868">
      <c r="A868" s="225"/>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c r="AA868" s="225"/>
      <c r="AB868" s="225"/>
      <c r="AC868" s="225"/>
      <c r="AD868" s="225"/>
    </row>
    <row r="869">
      <c r="A869" s="225"/>
      <c r="B869" s="225"/>
      <c r="C869" s="225"/>
      <c r="D869" s="225"/>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c r="AA869" s="225"/>
      <c r="AB869" s="225"/>
      <c r="AC869" s="225"/>
      <c r="AD869" s="225"/>
    </row>
    <row r="870">
      <c r="A870" s="225"/>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c r="AA870" s="225"/>
      <c r="AB870" s="225"/>
      <c r="AC870" s="225"/>
      <c r="AD870" s="225"/>
    </row>
    <row r="871">
      <c r="A871" s="225"/>
      <c r="B871" s="225"/>
      <c r="C871" s="225"/>
      <c r="D871" s="225"/>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c r="AA871" s="225"/>
      <c r="AB871" s="225"/>
      <c r="AC871" s="225"/>
      <c r="AD871" s="225"/>
    </row>
    <row r="872">
      <c r="A872" s="225"/>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c r="AA872" s="225"/>
      <c r="AB872" s="225"/>
      <c r="AC872" s="225"/>
      <c r="AD872" s="225"/>
    </row>
    <row r="873">
      <c r="A873" s="225"/>
      <c r="B873" s="225"/>
      <c r="C873" s="225"/>
      <c r="D873" s="225"/>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c r="AA873" s="225"/>
      <c r="AB873" s="225"/>
      <c r="AC873" s="225"/>
      <c r="AD873" s="225"/>
    </row>
    <row r="874">
      <c r="A874" s="225"/>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c r="AA874" s="225"/>
      <c r="AB874" s="225"/>
      <c r="AC874" s="225"/>
      <c r="AD874" s="225"/>
    </row>
    <row r="875">
      <c r="A875" s="225"/>
      <c r="B875" s="225"/>
      <c r="C875" s="225"/>
      <c r="D875" s="225"/>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c r="AA875" s="225"/>
      <c r="AB875" s="225"/>
      <c r="AC875" s="225"/>
      <c r="AD875" s="225"/>
    </row>
    <row r="876">
      <c r="A876" s="225"/>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c r="AA876" s="225"/>
      <c r="AB876" s="225"/>
      <c r="AC876" s="225"/>
      <c r="AD876" s="225"/>
    </row>
    <row r="877">
      <c r="A877" s="225"/>
      <c r="B877" s="225"/>
      <c r="C877" s="225"/>
      <c r="D877" s="225"/>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c r="AA877" s="225"/>
      <c r="AB877" s="225"/>
      <c r="AC877" s="225"/>
      <c r="AD877" s="225"/>
    </row>
    <row r="878">
      <c r="A878" s="225"/>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c r="AA878" s="225"/>
      <c r="AB878" s="225"/>
      <c r="AC878" s="225"/>
      <c r="AD878" s="225"/>
    </row>
    <row r="879">
      <c r="A879" s="225"/>
      <c r="B879" s="225"/>
      <c r="C879" s="225"/>
      <c r="D879" s="225"/>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c r="AA879" s="225"/>
      <c r="AB879" s="225"/>
      <c r="AC879" s="225"/>
      <c r="AD879" s="225"/>
    </row>
    <row r="880">
      <c r="A880" s="225"/>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c r="AA880" s="225"/>
      <c r="AB880" s="225"/>
      <c r="AC880" s="225"/>
      <c r="AD880" s="225"/>
    </row>
    <row r="881">
      <c r="A881" s="225"/>
      <c r="B881" s="225"/>
      <c r="C881" s="225"/>
      <c r="D881" s="225"/>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c r="AA881" s="225"/>
      <c r="AB881" s="225"/>
      <c r="AC881" s="225"/>
      <c r="AD881" s="225"/>
    </row>
    <row r="882">
      <c r="A882" s="225"/>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c r="AA882" s="225"/>
      <c r="AB882" s="225"/>
      <c r="AC882" s="225"/>
      <c r="AD882" s="225"/>
    </row>
    <row r="883">
      <c r="A883" s="225"/>
      <c r="B883" s="225"/>
      <c r="C883" s="225"/>
      <c r="D883" s="225"/>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c r="AA883" s="225"/>
      <c r="AB883" s="225"/>
      <c r="AC883" s="225"/>
      <c r="AD883" s="225"/>
    </row>
    <row r="884">
      <c r="A884" s="225"/>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c r="AA884" s="225"/>
      <c r="AB884" s="225"/>
      <c r="AC884" s="225"/>
      <c r="AD884" s="225"/>
    </row>
    <row r="885">
      <c r="A885" s="225"/>
      <c r="B885" s="225"/>
      <c r="C885" s="225"/>
      <c r="D885" s="225"/>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c r="AA885" s="225"/>
      <c r="AB885" s="225"/>
      <c r="AC885" s="225"/>
      <c r="AD885" s="225"/>
    </row>
    <row r="886">
      <c r="A886" s="225"/>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c r="AA886" s="225"/>
      <c r="AB886" s="225"/>
      <c r="AC886" s="225"/>
      <c r="AD886" s="225"/>
    </row>
    <row r="887">
      <c r="A887" s="225"/>
      <c r="B887" s="225"/>
      <c r="C887" s="225"/>
      <c r="D887" s="225"/>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c r="AA887" s="225"/>
      <c r="AB887" s="225"/>
      <c r="AC887" s="225"/>
      <c r="AD887" s="225"/>
    </row>
    <row r="888">
      <c r="A888" s="225"/>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c r="AA888" s="225"/>
      <c r="AB888" s="225"/>
      <c r="AC888" s="225"/>
      <c r="AD888" s="225"/>
    </row>
    <row r="889">
      <c r="A889" s="225"/>
      <c r="B889" s="225"/>
      <c r="C889" s="225"/>
      <c r="D889" s="225"/>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c r="AA889" s="225"/>
      <c r="AB889" s="225"/>
      <c r="AC889" s="225"/>
      <c r="AD889" s="225"/>
    </row>
    <row r="890">
      <c r="A890" s="225"/>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c r="AA890" s="225"/>
      <c r="AB890" s="225"/>
      <c r="AC890" s="225"/>
      <c r="AD890" s="225"/>
    </row>
    <row r="891">
      <c r="A891" s="225"/>
      <c r="B891" s="225"/>
      <c r="C891" s="225"/>
      <c r="D891" s="225"/>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c r="AA891" s="225"/>
      <c r="AB891" s="225"/>
      <c r="AC891" s="225"/>
      <c r="AD891" s="225"/>
    </row>
    <row r="892">
      <c r="A892" s="225"/>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c r="AA892" s="225"/>
      <c r="AB892" s="225"/>
      <c r="AC892" s="225"/>
      <c r="AD892" s="225"/>
    </row>
    <row r="893">
      <c r="A893" s="225"/>
      <c r="B893" s="225"/>
      <c r="C893" s="225"/>
      <c r="D893" s="225"/>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c r="AA893" s="225"/>
      <c r="AB893" s="225"/>
      <c r="AC893" s="225"/>
      <c r="AD893" s="225"/>
    </row>
    <row r="894">
      <c r="A894" s="225"/>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c r="AA894" s="225"/>
      <c r="AB894" s="225"/>
      <c r="AC894" s="225"/>
      <c r="AD894" s="225"/>
    </row>
    <row r="895">
      <c r="A895" s="225"/>
      <c r="B895" s="225"/>
      <c r="C895" s="225"/>
      <c r="D895" s="225"/>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c r="AA895" s="225"/>
      <c r="AB895" s="225"/>
      <c r="AC895" s="225"/>
      <c r="AD895" s="225"/>
    </row>
    <row r="896">
      <c r="A896" s="225"/>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c r="AA896" s="225"/>
      <c r="AB896" s="225"/>
      <c r="AC896" s="225"/>
      <c r="AD896" s="225"/>
    </row>
    <row r="897">
      <c r="A897" s="225"/>
      <c r="B897" s="225"/>
      <c r="C897" s="225"/>
      <c r="D897" s="225"/>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c r="AA897" s="225"/>
      <c r="AB897" s="225"/>
      <c r="AC897" s="225"/>
      <c r="AD897" s="225"/>
    </row>
    <row r="898">
      <c r="A898" s="225"/>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c r="AA898" s="225"/>
      <c r="AB898" s="225"/>
      <c r="AC898" s="225"/>
      <c r="AD898" s="225"/>
    </row>
    <row r="899">
      <c r="A899" s="225"/>
      <c r="B899" s="225"/>
      <c r="C899" s="225"/>
      <c r="D899" s="225"/>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c r="AA899" s="225"/>
      <c r="AB899" s="225"/>
      <c r="AC899" s="225"/>
      <c r="AD899" s="225"/>
    </row>
    <row r="900">
      <c r="A900" s="225"/>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c r="AA900" s="225"/>
      <c r="AB900" s="225"/>
      <c r="AC900" s="225"/>
      <c r="AD900" s="225"/>
    </row>
    <row r="901">
      <c r="A901" s="225"/>
      <c r="B901" s="225"/>
      <c r="C901" s="225"/>
      <c r="D901" s="225"/>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c r="AA901" s="225"/>
      <c r="AB901" s="225"/>
      <c r="AC901" s="225"/>
      <c r="AD901" s="225"/>
    </row>
    <row r="902">
      <c r="A902" s="225"/>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c r="AA902" s="225"/>
      <c r="AB902" s="225"/>
      <c r="AC902" s="225"/>
      <c r="AD902" s="225"/>
    </row>
    <row r="903">
      <c r="A903" s="225"/>
      <c r="B903" s="225"/>
      <c r="C903" s="225"/>
      <c r="D903" s="225"/>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c r="AA903" s="225"/>
      <c r="AB903" s="225"/>
      <c r="AC903" s="225"/>
      <c r="AD903" s="225"/>
    </row>
    <row r="904">
      <c r="A904" s="225"/>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c r="AA904" s="225"/>
      <c r="AB904" s="225"/>
      <c r="AC904" s="225"/>
      <c r="AD904" s="225"/>
    </row>
    <row r="905">
      <c r="A905" s="225"/>
      <c r="B905" s="225"/>
      <c r="C905" s="225"/>
      <c r="D905" s="225"/>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c r="AA905" s="225"/>
      <c r="AB905" s="225"/>
      <c r="AC905" s="225"/>
      <c r="AD905" s="225"/>
    </row>
    <row r="906">
      <c r="A906" s="225"/>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c r="AA906" s="225"/>
      <c r="AB906" s="225"/>
      <c r="AC906" s="225"/>
      <c r="AD906" s="225"/>
    </row>
    <row r="907">
      <c r="A907" s="225"/>
      <c r="B907" s="225"/>
      <c r="C907" s="225"/>
      <c r="D907" s="225"/>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c r="AA907" s="225"/>
      <c r="AB907" s="225"/>
      <c r="AC907" s="225"/>
      <c r="AD907" s="225"/>
    </row>
    <row r="908">
      <c r="A908" s="225"/>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c r="AA908" s="225"/>
      <c r="AB908" s="225"/>
      <c r="AC908" s="225"/>
      <c r="AD908" s="225"/>
    </row>
    <row r="909">
      <c r="A909" s="225"/>
      <c r="B909" s="225"/>
      <c r="C909" s="225"/>
      <c r="D909" s="225"/>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c r="AA909" s="225"/>
      <c r="AB909" s="225"/>
      <c r="AC909" s="225"/>
      <c r="AD909" s="225"/>
    </row>
    <row r="910">
      <c r="A910" s="225"/>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c r="AA910" s="225"/>
      <c r="AB910" s="225"/>
      <c r="AC910" s="225"/>
      <c r="AD910" s="225"/>
    </row>
    <row r="911">
      <c r="A911" s="225"/>
      <c r="B911" s="225"/>
      <c r="C911" s="225"/>
      <c r="D911" s="225"/>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c r="AA911" s="225"/>
      <c r="AB911" s="225"/>
      <c r="AC911" s="225"/>
      <c r="AD911" s="225"/>
    </row>
    <row r="912">
      <c r="A912" s="225"/>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c r="AA912" s="225"/>
      <c r="AB912" s="225"/>
      <c r="AC912" s="225"/>
      <c r="AD912" s="225"/>
    </row>
    <row r="913">
      <c r="A913" s="225"/>
      <c r="B913" s="225"/>
      <c r="C913" s="225"/>
      <c r="D913" s="225"/>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c r="AA913" s="225"/>
      <c r="AB913" s="225"/>
      <c r="AC913" s="225"/>
      <c r="AD913" s="225"/>
    </row>
    <row r="914">
      <c r="A914" s="225"/>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c r="AA914" s="225"/>
      <c r="AB914" s="225"/>
      <c r="AC914" s="225"/>
      <c r="AD914" s="225"/>
    </row>
    <row r="915">
      <c r="A915" s="225"/>
      <c r="B915" s="225"/>
      <c r="C915" s="225"/>
      <c r="D915" s="225"/>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c r="AA915" s="225"/>
      <c r="AB915" s="225"/>
      <c r="AC915" s="225"/>
      <c r="AD915" s="225"/>
    </row>
    <row r="916">
      <c r="A916" s="225"/>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c r="AA916" s="225"/>
      <c r="AB916" s="225"/>
      <c r="AC916" s="225"/>
      <c r="AD916" s="225"/>
    </row>
    <row r="917">
      <c r="A917" s="225"/>
      <c r="B917" s="225"/>
      <c r="C917" s="225"/>
      <c r="D917" s="225"/>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c r="AA917" s="225"/>
      <c r="AB917" s="225"/>
      <c r="AC917" s="225"/>
      <c r="AD917" s="225"/>
    </row>
    <row r="918">
      <c r="A918" s="225"/>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c r="AA918" s="225"/>
      <c r="AB918" s="225"/>
      <c r="AC918" s="225"/>
      <c r="AD918" s="225"/>
    </row>
    <row r="919">
      <c r="A919" s="225"/>
      <c r="B919" s="225"/>
      <c r="C919" s="225"/>
      <c r="D919" s="225"/>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c r="AA919" s="225"/>
      <c r="AB919" s="225"/>
      <c r="AC919" s="225"/>
      <c r="AD919" s="225"/>
    </row>
    <row r="920">
      <c r="A920" s="225"/>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c r="AA920" s="225"/>
      <c r="AB920" s="225"/>
      <c r="AC920" s="225"/>
      <c r="AD920" s="225"/>
    </row>
    <row r="921">
      <c r="A921" s="225"/>
      <c r="B921" s="225"/>
      <c r="C921" s="225"/>
      <c r="D921" s="225"/>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c r="AA921" s="225"/>
      <c r="AB921" s="225"/>
      <c r="AC921" s="225"/>
      <c r="AD921" s="225"/>
    </row>
    <row r="922">
      <c r="A922" s="225"/>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c r="AA922" s="225"/>
      <c r="AB922" s="225"/>
      <c r="AC922" s="225"/>
      <c r="AD922" s="225"/>
    </row>
    <row r="923">
      <c r="A923" s="225"/>
      <c r="B923" s="225"/>
      <c r="C923" s="225"/>
      <c r="D923" s="225"/>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c r="AA923" s="225"/>
      <c r="AB923" s="225"/>
      <c r="AC923" s="225"/>
      <c r="AD923" s="225"/>
    </row>
    <row r="924">
      <c r="A924" s="225"/>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c r="AA924" s="225"/>
      <c r="AB924" s="225"/>
      <c r="AC924" s="225"/>
      <c r="AD924" s="225"/>
    </row>
    <row r="925">
      <c r="A925" s="225"/>
      <c r="B925" s="225"/>
      <c r="C925" s="225"/>
      <c r="D925" s="225"/>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c r="AA925" s="225"/>
      <c r="AB925" s="225"/>
      <c r="AC925" s="225"/>
      <c r="AD925" s="225"/>
    </row>
    <row r="926">
      <c r="A926" s="225"/>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c r="AA926" s="225"/>
      <c r="AB926" s="225"/>
      <c r="AC926" s="225"/>
      <c r="AD926" s="225"/>
    </row>
    <row r="927">
      <c r="A927" s="225"/>
      <c r="B927" s="225"/>
      <c r="C927" s="225"/>
      <c r="D927" s="225"/>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c r="AA927" s="225"/>
      <c r="AB927" s="225"/>
      <c r="AC927" s="225"/>
      <c r="AD927" s="225"/>
    </row>
    <row r="928">
      <c r="A928" s="225"/>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c r="AA928" s="225"/>
      <c r="AB928" s="225"/>
      <c r="AC928" s="225"/>
      <c r="AD928" s="225"/>
    </row>
    <row r="929">
      <c r="A929" s="225"/>
      <c r="B929" s="225"/>
      <c r="C929" s="225"/>
      <c r="D929" s="225"/>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c r="AA929" s="225"/>
      <c r="AB929" s="225"/>
      <c r="AC929" s="225"/>
      <c r="AD929" s="225"/>
    </row>
    <row r="930">
      <c r="A930" s="225"/>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c r="AA930" s="225"/>
      <c r="AB930" s="225"/>
      <c r="AC930" s="225"/>
      <c r="AD930" s="225"/>
    </row>
    <row r="931">
      <c r="A931" s="225"/>
      <c r="B931" s="225"/>
      <c r="C931" s="225"/>
      <c r="D931" s="225"/>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c r="AA931" s="225"/>
      <c r="AB931" s="225"/>
      <c r="AC931" s="225"/>
      <c r="AD931" s="225"/>
    </row>
    <row r="932">
      <c r="A932" s="225"/>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c r="AA932" s="225"/>
      <c r="AB932" s="225"/>
      <c r="AC932" s="225"/>
      <c r="AD932" s="225"/>
    </row>
    <row r="933">
      <c r="A933" s="225"/>
      <c r="B933" s="225"/>
      <c r="C933" s="225"/>
      <c r="D933" s="225"/>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c r="AA933" s="225"/>
      <c r="AB933" s="225"/>
      <c r="AC933" s="225"/>
      <c r="AD933" s="225"/>
    </row>
    <row r="934">
      <c r="A934" s="225"/>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c r="AA934" s="225"/>
      <c r="AB934" s="225"/>
      <c r="AC934" s="225"/>
      <c r="AD934" s="225"/>
    </row>
    <row r="935">
      <c r="A935" s="225"/>
      <c r="B935" s="225"/>
      <c r="C935" s="225"/>
      <c r="D935" s="225"/>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c r="AA935" s="225"/>
      <c r="AB935" s="225"/>
      <c r="AC935" s="225"/>
      <c r="AD935" s="225"/>
    </row>
    <row r="936">
      <c r="A936" s="225"/>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c r="AA936" s="225"/>
      <c r="AB936" s="225"/>
      <c r="AC936" s="225"/>
      <c r="AD936" s="225"/>
    </row>
    <row r="937">
      <c r="A937" s="225"/>
      <c r="B937" s="225"/>
      <c r="C937" s="225"/>
      <c r="D937" s="225"/>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c r="AA937" s="225"/>
      <c r="AB937" s="225"/>
      <c r="AC937" s="225"/>
      <c r="AD937" s="225"/>
    </row>
    <row r="938">
      <c r="A938" s="225"/>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c r="AA938" s="225"/>
      <c r="AB938" s="225"/>
      <c r="AC938" s="225"/>
      <c r="AD938" s="225"/>
    </row>
    <row r="939">
      <c r="A939" s="225"/>
      <c r="B939" s="225"/>
      <c r="C939" s="225"/>
      <c r="D939" s="225"/>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c r="AA939" s="225"/>
      <c r="AB939" s="225"/>
      <c r="AC939" s="225"/>
      <c r="AD939" s="225"/>
    </row>
    <row r="940">
      <c r="A940" s="225"/>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c r="AA940" s="225"/>
      <c r="AB940" s="225"/>
      <c r="AC940" s="225"/>
      <c r="AD940" s="225"/>
    </row>
    <row r="941">
      <c r="A941" s="225"/>
      <c r="B941" s="225"/>
      <c r="C941" s="225"/>
      <c r="D941" s="225"/>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c r="AA941" s="225"/>
      <c r="AB941" s="225"/>
      <c r="AC941" s="225"/>
      <c r="AD941" s="225"/>
    </row>
    <row r="942">
      <c r="A942" s="225"/>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c r="AA942" s="225"/>
      <c r="AB942" s="225"/>
      <c r="AC942" s="225"/>
      <c r="AD942" s="225"/>
    </row>
    <row r="943">
      <c r="A943" s="225"/>
      <c r="B943" s="225"/>
      <c r="C943" s="225"/>
      <c r="D943" s="225"/>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c r="AA943" s="225"/>
      <c r="AB943" s="225"/>
      <c r="AC943" s="225"/>
      <c r="AD943" s="225"/>
    </row>
    <row r="944">
      <c r="A944" s="225"/>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c r="AA944" s="225"/>
      <c r="AB944" s="225"/>
      <c r="AC944" s="225"/>
      <c r="AD944" s="225"/>
    </row>
    <row r="945">
      <c r="A945" s="225"/>
      <c r="B945" s="225"/>
      <c r="C945" s="225"/>
      <c r="D945" s="225"/>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c r="AA945" s="225"/>
      <c r="AB945" s="225"/>
      <c r="AC945" s="225"/>
      <c r="AD945" s="225"/>
    </row>
    <row r="946">
      <c r="A946" s="225"/>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c r="AA946" s="225"/>
      <c r="AB946" s="225"/>
      <c r="AC946" s="225"/>
      <c r="AD946" s="225"/>
    </row>
    <row r="947">
      <c r="A947" s="225"/>
      <c r="B947" s="225"/>
      <c r="C947" s="225"/>
      <c r="D947" s="225"/>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c r="AA947" s="225"/>
      <c r="AB947" s="225"/>
      <c r="AC947" s="225"/>
      <c r="AD947" s="225"/>
    </row>
    <row r="948">
      <c r="A948" s="225"/>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c r="AA948" s="225"/>
      <c r="AB948" s="225"/>
      <c r="AC948" s="225"/>
      <c r="AD948" s="225"/>
    </row>
    <row r="949">
      <c r="A949" s="225"/>
      <c r="B949" s="225"/>
      <c r="C949" s="225"/>
      <c r="D949" s="225"/>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c r="AA949" s="225"/>
      <c r="AB949" s="225"/>
      <c r="AC949" s="225"/>
      <c r="AD949" s="225"/>
    </row>
    <row r="950">
      <c r="A950" s="225"/>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c r="AA950" s="225"/>
      <c r="AB950" s="225"/>
      <c r="AC950" s="225"/>
      <c r="AD950" s="225"/>
    </row>
    <row r="951">
      <c r="A951" s="225"/>
      <c r="B951" s="225"/>
      <c r="C951" s="225"/>
      <c r="D951" s="225"/>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c r="AA951" s="225"/>
      <c r="AB951" s="225"/>
      <c r="AC951" s="225"/>
      <c r="AD951" s="225"/>
    </row>
    <row r="952">
      <c r="A952" s="225"/>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c r="AA952" s="225"/>
      <c r="AB952" s="225"/>
      <c r="AC952" s="225"/>
      <c r="AD952" s="225"/>
    </row>
    <row r="953">
      <c r="A953" s="225"/>
      <c r="B953" s="225"/>
      <c r="C953" s="225"/>
      <c r="D953" s="225"/>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c r="AA953" s="225"/>
      <c r="AB953" s="225"/>
      <c r="AC953" s="225"/>
      <c r="AD953" s="225"/>
    </row>
    <row r="954">
      <c r="A954" s="225"/>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c r="AA954" s="225"/>
      <c r="AB954" s="225"/>
      <c r="AC954" s="225"/>
      <c r="AD954" s="225"/>
    </row>
    <row r="955">
      <c r="A955" s="225"/>
      <c r="B955" s="225"/>
      <c r="C955" s="225"/>
      <c r="D955" s="225"/>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c r="AA955" s="225"/>
      <c r="AB955" s="225"/>
      <c r="AC955" s="225"/>
      <c r="AD955" s="225"/>
    </row>
    <row r="956">
      <c r="A956" s="225"/>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c r="AA956" s="225"/>
      <c r="AB956" s="225"/>
      <c r="AC956" s="225"/>
      <c r="AD956" s="225"/>
    </row>
    <row r="957">
      <c r="A957" s="225"/>
      <c r="B957" s="225"/>
      <c r="C957" s="225"/>
      <c r="D957" s="225"/>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c r="AA957" s="225"/>
      <c r="AB957" s="225"/>
      <c r="AC957" s="225"/>
      <c r="AD957" s="225"/>
    </row>
    <row r="958">
      <c r="A958" s="225"/>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c r="AA958" s="225"/>
      <c r="AB958" s="225"/>
      <c r="AC958" s="225"/>
      <c r="AD958" s="225"/>
    </row>
    <row r="959">
      <c r="A959" s="225"/>
      <c r="B959" s="225"/>
      <c r="C959" s="225"/>
      <c r="D959" s="225"/>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c r="AA959" s="225"/>
      <c r="AB959" s="225"/>
      <c r="AC959" s="225"/>
      <c r="AD959" s="225"/>
    </row>
    <row r="960">
      <c r="A960" s="225"/>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c r="AA960" s="225"/>
      <c r="AB960" s="225"/>
      <c r="AC960" s="225"/>
      <c r="AD960" s="225"/>
    </row>
    <row r="961">
      <c r="A961" s="225"/>
      <c r="B961" s="225"/>
      <c r="C961" s="225"/>
      <c r="D961" s="225"/>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c r="AA961" s="225"/>
      <c r="AB961" s="225"/>
      <c r="AC961" s="225"/>
      <c r="AD961" s="225"/>
    </row>
    <row r="962">
      <c r="A962" s="225"/>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c r="AA962" s="225"/>
      <c r="AB962" s="225"/>
      <c r="AC962" s="225"/>
      <c r="AD962" s="225"/>
    </row>
    <row r="963">
      <c r="A963" s="225"/>
      <c r="B963" s="225"/>
      <c r="C963" s="225"/>
      <c r="D963" s="225"/>
      <c r="E963" s="225"/>
      <c r="F963" s="225"/>
      <c r="G963" s="225"/>
      <c r="H963" s="225"/>
      <c r="I963" s="225"/>
      <c r="J963" s="225"/>
      <c r="K963" s="225"/>
      <c r="L963" s="225"/>
      <c r="M963" s="225"/>
      <c r="N963" s="225"/>
      <c r="O963" s="225"/>
      <c r="P963" s="225"/>
      <c r="Q963" s="225"/>
      <c r="R963" s="225"/>
      <c r="S963" s="225"/>
      <c r="T963" s="225"/>
      <c r="U963" s="225"/>
      <c r="V963" s="225"/>
      <c r="W963" s="225"/>
      <c r="X963" s="225"/>
      <c r="Y963" s="225"/>
      <c r="Z963" s="225"/>
      <c r="AA963" s="225"/>
      <c r="AB963" s="225"/>
      <c r="AC963" s="225"/>
      <c r="AD963" s="225"/>
    </row>
    <row r="964">
      <c r="A964" s="225"/>
      <c r="B964" s="225"/>
      <c r="C964" s="225"/>
      <c r="D964" s="225"/>
      <c r="E964" s="225"/>
      <c r="F964" s="225"/>
      <c r="G964" s="225"/>
      <c r="H964" s="225"/>
      <c r="I964" s="225"/>
      <c r="J964" s="225"/>
      <c r="K964" s="225"/>
      <c r="L964" s="225"/>
      <c r="M964" s="225"/>
      <c r="N964" s="225"/>
      <c r="O964" s="225"/>
      <c r="P964" s="225"/>
      <c r="Q964" s="225"/>
      <c r="R964" s="225"/>
      <c r="S964" s="225"/>
      <c r="T964" s="225"/>
      <c r="U964" s="225"/>
      <c r="V964" s="225"/>
      <c r="W964" s="225"/>
      <c r="X964" s="225"/>
      <c r="Y964" s="225"/>
      <c r="Z964" s="225"/>
      <c r="AA964" s="225"/>
      <c r="AB964" s="225"/>
      <c r="AC964" s="225"/>
      <c r="AD964" s="225"/>
    </row>
    <row r="965">
      <c r="A965" s="225"/>
      <c r="B965" s="225"/>
      <c r="C965" s="225"/>
      <c r="D965" s="225"/>
      <c r="E965" s="225"/>
      <c r="F965" s="225"/>
      <c r="G965" s="225"/>
      <c r="H965" s="225"/>
      <c r="I965" s="225"/>
      <c r="J965" s="225"/>
      <c r="K965" s="225"/>
      <c r="L965" s="225"/>
      <c r="M965" s="225"/>
      <c r="N965" s="225"/>
      <c r="O965" s="225"/>
      <c r="P965" s="225"/>
      <c r="Q965" s="225"/>
      <c r="R965" s="225"/>
      <c r="S965" s="225"/>
      <c r="T965" s="225"/>
      <c r="U965" s="225"/>
      <c r="V965" s="225"/>
      <c r="W965" s="225"/>
      <c r="X965" s="225"/>
      <c r="Y965" s="225"/>
      <c r="Z965" s="225"/>
      <c r="AA965" s="225"/>
      <c r="AB965" s="225"/>
      <c r="AC965" s="225"/>
      <c r="AD965" s="225"/>
    </row>
    <row r="966">
      <c r="A966" s="225"/>
      <c r="B966" s="225"/>
      <c r="C966" s="225"/>
      <c r="D966" s="225"/>
      <c r="E966" s="225"/>
      <c r="F966" s="225"/>
      <c r="G966" s="225"/>
      <c r="H966" s="225"/>
      <c r="I966" s="225"/>
      <c r="J966" s="225"/>
      <c r="K966" s="225"/>
      <c r="L966" s="225"/>
      <c r="M966" s="225"/>
      <c r="N966" s="225"/>
      <c r="O966" s="225"/>
      <c r="P966" s="225"/>
      <c r="Q966" s="225"/>
      <c r="R966" s="225"/>
      <c r="S966" s="225"/>
      <c r="T966" s="225"/>
      <c r="U966" s="225"/>
      <c r="V966" s="225"/>
      <c r="W966" s="225"/>
      <c r="X966" s="225"/>
      <c r="Y966" s="225"/>
      <c r="Z966" s="225"/>
      <c r="AA966" s="225"/>
      <c r="AB966" s="225"/>
      <c r="AC966" s="225"/>
      <c r="AD966" s="225"/>
    </row>
    <row r="967">
      <c r="A967" s="225"/>
      <c r="B967" s="225"/>
      <c r="C967" s="225"/>
      <c r="D967" s="225"/>
      <c r="E967" s="225"/>
      <c r="F967" s="225"/>
      <c r="G967" s="225"/>
      <c r="H967" s="225"/>
      <c r="I967" s="225"/>
      <c r="J967" s="225"/>
      <c r="K967" s="225"/>
      <c r="L967" s="225"/>
      <c r="M967" s="225"/>
      <c r="N967" s="225"/>
      <c r="O967" s="225"/>
      <c r="P967" s="225"/>
      <c r="Q967" s="225"/>
      <c r="R967" s="225"/>
      <c r="S967" s="225"/>
      <c r="T967" s="225"/>
      <c r="U967" s="225"/>
      <c r="V967" s="225"/>
      <c r="W967" s="225"/>
      <c r="X967" s="225"/>
      <c r="Y967" s="225"/>
      <c r="Z967" s="225"/>
      <c r="AA967" s="225"/>
      <c r="AB967" s="225"/>
      <c r="AC967" s="225"/>
      <c r="AD967" s="225"/>
    </row>
    <row r="968">
      <c r="A968" s="225"/>
      <c r="B968" s="225"/>
      <c r="C968" s="225"/>
      <c r="D968" s="225"/>
      <c r="E968" s="225"/>
      <c r="F968" s="225"/>
      <c r="G968" s="225"/>
      <c r="H968" s="225"/>
      <c r="I968" s="225"/>
      <c r="J968" s="225"/>
      <c r="K968" s="225"/>
      <c r="L968" s="225"/>
      <c r="M968" s="225"/>
      <c r="N968" s="225"/>
      <c r="O968" s="225"/>
      <c r="P968" s="225"/>
      <c r="Q968" s="225"/>
      <c r="R968" s="225"/>
      <c r="S968" s="225"/>
      <c r="T968" s="225"/>
      <c r="U968" s="225"/>
      <c r="V968" s="225"/>
      <c r="W968" s="225"/>
      <c r="X968" s="225"/>
      <c r="Y968" s="225"/>
      <c r="Z968" s="225"/>
      <c r="AA968" s="225"/>
      <c r="AB968" s="225"/>
      <c r="AC968" s="225"/>
      <c r="AD968" s="225"/>
    </row>
    <row r="969">
      <c r="A969" s="225"/>
      <c r="B969" s="225"/>
      <c r="C969" s="225"/>
      <c r="D969" s="225"/>
      <c r="E969" s="225"/>
      <c r="F969" s="225"/>
      <c r="G969" s="225"/>
      <c r="H969" s="225"/>
      <c r="I969" s="225"/>
      <c r="J969" s="225"/>
      <c r="K969" s="225"/>
      <c r="L969" s="225"/>
      <c r="M969" s="225"/>
      <c r="N969" s="225"/>
      <c r="O969" s="225"/>
      <c r="P969" s="225"/>
      <c r="Q969" s="225"/>
      <c r="R969" s="225"/>
      <c r="S969" s="225"/>
      <c r="T969" s="225"/>
      <c r="U969" s="225"/>
      <c r="V969" s="225"/>
      <c r="W969" s="225"/>
      <c r="X969" s="225"/>
      <c r="Y969" s="225"/>
      <c r="Z969" s="225"/>
      <c r="AA969" s="225"/>
      <c r="AB969" s="225"/>
      <c r="AC969" s="225"/>
      <c r="AD969" s="225"/>
    </row>
    <row r="970">
      <c r="A970" s="225"/>
      <c r="B970" s="225"/>
      <c r="C970" s="225"/>
      <c r="D970" s="225"/>
      <c r="E970" s="225"/>
      <c r="F970" s="225"/>
      <c r="G970" s="225"/>
      <c r="H970" s="225"/>
      <c r="I970" s="225"/>
      <c r="J970" s="225"/>
      <c r="K970" s="225"/>
      <c r="L970" s="225"/>
      <c r="M970" s="225"/>
      <c r="N970" s="225"/>
      <c r="O970" s="225"/>
      <c r="P970" s="225"/>
      <c r="Q970" s="225"/>
      <c r="R970" s="225"/>
      <c r="S970" s="225"/>
      <c r="T970" s="225"/>
      <c r="U970" s="225"/>
      <c r="V970" s="225"/>
      <c r="W970" s="225"/>
      <c r="X970" s="225"/>
      <c r="Y970" s="225"/>
      <c r="Z970" s="225"/>
      <c r="AA970" s="225"/>
      <c r="AB970" s="225"/>
      <c r="AC970" s="225"/>
      <c r="AD970" s="225"/>
    </row>
    <row r="971">
      <c r="A971" s="225"/>
      <c r="B971" s="225"/>
      <c r="C971" s="225"/>
      <c r="D971" s="225"/>
      <c r="E971" s="225"/>
      <c r="F971" s="225"/>
      <c r="G971" s="225"/>
      <c r="H971" s="225"/>
      <c r="I971" s="225"/>
      <c r="J971" s="225"/>
      <c r="K971" s="225"/>
      <c r="L971" s="225"/>
      <c r="M971" s="225"/>
      <c r="N971" s="225"/>
      <c r="O971" s="225"/>
      <c r="P971" s="225"/>
      <c r="Q971" s="225"/>
      <c r="R971" s="225"/>
      <c r="S971" s="225"/>
      <c r="T971" s="225"/>
      <c r="U971" s="225"/>
      <c r="V971" s="225"/>
      <c r="W971" s="225"/>
      <c r="X971" s="225"/>
      <c r="Y971" s="225"/>
      <c r="Z971" s="225"/>
      <c r="AA971" s="225"/>
      <c r="AB971" s="225"/>
      <c r="AC971" s="225"/>
      <c r="AD971" s="225"/>
    </row>
    <row r="972">
      <c r="A972" s="225"/>
      <c r="B972" s="225"/>
      <c r="C972" s="225"/>
      <c r="D972" s="225"/>
      <c r="E972" s="225"/>
      <c r="F972" s="225"/>
      <c r="G972" s="225"/>
      <c r="H972" s="225"/>
      <c r="I972" s="225"/>
      <c r="J972" s="225"/>
      <c r="K972" s="225"/>
      <c r="L972" s="225"/>
      <c r="M972" s="225"/>
      <c r="N972" s="225"/>
      <c r="O972" s="225"/>
      <c r="P972" s="225"/>
      <c r="Q972" s="225"/>
      <c r="R972" s="225"/>
      <c r="S972" s="225"/>
      <c r="T972" s="225"/>
      <c r="U972" s="225"/>
      <c r="V972" s="225"/>
      <c r="W972" s="225"/>
      <c r="X972" s="225"/>
      <c r="Y972" s="225"/>
      <c r="Z972" s="225"/>
      <c r="AA972" s="225"/>
      <c r="AB972" s="225"/>
      <c r="AC972" s="225"/>
      <c r="AD972" s="225"/>
    </row>
    <row r="973">
      <c r="A973" s="225"/>
      <c r="B973" s="225"/>
      <c r="C973" s="225"/>
      <c r="D973" s="225"/>
      <c r="E973" s="225"/>
      <c r="F973" s="225"/>
      <c r="G973" s="225"/>
      <c r="H973" s="225"/>
      <c r="I973" s="225"/>
      <c r="J973" s="225"/>
      <c r="K973" s="225"/>
      <c r="L973" s="225"/>
      <c r="M973" s="225"/>
      <c r="N973" s="225"/>
      <c r="O973" s="225"/>
      <c r="P973" s="225"/>
      <c r="Q973" s="225"/>
      <c r="R973" s="225"/>
      <c r="S973" s="225"/>
      <c r="T973" s="225"/>
      <c r="U973" s="225"/>
      <c r="V973" s="225"/>
      <c r="W973" s="225"/>
      <c r="X973" s="225"/>
      <c r="Y973" s="225"/>
      <c r="Z973" s="225"/>
      <c r="AA973" s="225"/>
      <c r="AB973" s="225"/>
      <c r="AC973" s="225"/>
      <c r="AD973" s="225"/>
    </row>
    <row r="974">
      <c r="A974" s="225"/>
      <c r="B974" s="225"/>
      <c r="C974" s="225"/>
      <c r="D974" s="225"/>
      <c r="E974" s="225"/>
      <c r="F974" s="225"/>
      <c r="G974" s="225"/>
      <c r="H974" s="225"/>
      <c r="I974" s="225"/>
      <c r="J974" s="225"/>
      <c r="K974" s="225"/>
      <c r="L974" s="225"/>
      <c r="M974" s="225"/>
      <c r="N974" s="225"/>
      <c r="O974" s="225"/>
      <c r="P974" s="225"/>
      <c r="Q974" s="225"/>
      <c r="R974" s="225"/>
      <c r="S974" s="225"/>
      <c r="T974" s="225"/>
      <c r="U974" s="225"/>
      <c r="V974" s="225"/>
      <c r="W974" s="225"/>
      <c r="X974" s="225"/>
      <c r="Y974" s="225"/>
      <c r="Z974" s="225"/>
      <c r="AA974" s="225"/>
      <c r="AB974" s="225"/>
      <c r="AC974" s="225"/>
      <c r="AD974" s="225"/>
    </row>
    <row r="975">
      <c r="A975" s="225"/>
      <c r="B975" s="225"/>
      <c r="C975" s="225"/>
      <c r="D975" s="225"/>
      <c r="E975" s="225"/>
      <c r="F975" s="225"/>
      <c r="G975" s="225"/>
      <c r="H975" s="225"/>
      <c r="I975" s="225"/>
      <c r="J975" s="225"/>
      <c r="K975" s="225"/>
      <c r="L975" s="225"/>
      <c r="M975" s="225"/>
      <c r="N975" s="225"/>
      <c r="O975" s="225"/>
      <c r="P975" s="225"/>
      <c r="Q975" s="225"/>
      <c r="R975" s="225"/>
      <c r="S975" s="225"/>
      <c r="T975" s="225"/>
      <c r="U975" s="225"/>
      <c r="V975" s="225"/>
      <c r="W975" s="225"/>
      <c r="X975" s="225"/>
      <c r="Y975" s="225"/>
      <c r="Z975" s="225"/>
      <c r="AA975" s="225"/>
      <c r="AB975" s="225"/>
      <c r="AC975" s="225"/>
      <c r="AD975" s="225"/>
    </row>
    <row r="976">
      <c r="A976" s="225"/>
      <c r="B976" s="225"/>
      <c r="C976" s="225"/>
      <c r="D976" s="225"/>
      <c r="E976" s="225"/>
      <c r="F976" s="225"/>
      <c r="G976" s="225"/>
      <c r="H976" s="225"/>
      <c r="I976" s="225"/>
      <c r="J976" s="225"/>
      <c r="K976" s="225"/>
      <c r="L976" s="225"/>
      <c r="M976" s="225"/>
      <c r="N976" s="225"/>
      <c r="O976" s="225"/>
      <c r="P976" s="225"/>
      <c r="Q976" s="225"/>
      <c r="R976" s="225"/>
      <c r="S976" s="225"/>
      <c r="T976" s="225"/>
      <c r="U976" s="225"/>
      <c r="V976" s="225"/>
      <c r="W976" s="225"/>
      <c r="X976" s="225"/>
      <c r="Y976" s="225"/>
      <c r="Z976" s="225"/>
      <c r="AA976" s="225"/>
      <c r="AB976" s="225"/>
      <c r="AC976" s="225"/>
      <c r="AD976" s="225"/>
    </row>
    <row r="977">
      <c r="A977" s="225"/>
      <c r="B977" s="225"/>
      <c r="C977" s="225"/>
      <c r="D977" s="225"/>
      <c r="E977" s="225"/>
      <c r="F977" s="225"/>
      <c r="G977" s="225"/>
      <c r="H977" s="225"/>
      <c r="I977" s="225"/>
      <c r="J977" s="225"/>
      <c r="K977" s="225"/>
      <c r="L977" s="225"/>
      <c r="M977" s="225"/>
      <c r="N977" s="225"/>
      <c r="O977" s="225"/>
      <c r="P977" s="225"/>
      <c r="Q977" s="225"/>
      <c r="R977" s="225"/>
      <c r="S977" s="225"/>
      <c r="T977" s="225"/>
      <c r="U977" s="225"/>
      <c r="V977" s="225"/>
      <c r="W977" s="225"/>
      <c r="X977" s="225"/>
      <c r="Y977" s="225"/>
      <c r="Z977" s="225"/>
      <c r="AA977" s="225"/>
      <c r="AB977" s="225"/>
      <c r="AC977" s="225"/>
      <c r="AD977" s="225"/>
    </row>
    <row r="978">
      <c r="A978" s="225"/>
      <c r="B978" s="225"/>
      <c r="C978" s="225"/>
      <c r="D978" s="225"/>
      <c r="E978" s="225"/>
      <c r="F978" s="225"/>
      <c r="G978" s="225"/>
      <c r="H978" s="225"/>
      <c r="I978" s="225"/>
      <c r="J978" s="225"/>
      <c r="K978" s="225"/>
      <c r="L978" s="225"/>
      <c r="M978" s="225"/>
      <c r="N978" s="225"/>
      <c r="O978" s="225"/>
      <c r="P978" s="225"/>
      <c r="Q978" s="225"/>
      <c r="R978" s="225"/>
      <c r="S978" s="225"/>
      <c r="T978" s="225"/>
      <c r="U978" s="225"/>
      <c r="V978" s="225"/>
      <c r="W978" s="225"/>
      <c r="X978" s="225"/>
      <c r="Y978" s="225"/>
      <c r="Z978" s="225"/>
      <c r="AA978" s="225"/>
      <c r="AB978" s="225"/>
      <c r="AC978" s="225"/>
      <c r="AD978" s="225"/>
    </row>
    <row r="979">
      <c r="A979" s="225"/>
      <c r="B979" s="225"/>
      <c r="C979" s="225"/>
      <c r="D979" s="225"/>
      <c r="E979" s="225"/>
      <c r="F979" s="225"/>
      <c r="G979" s="225"/>
      <c r="H979" s="225"/>
      <c r="I979" s="225"/>
      <c r="J979" s="225"/>
      <c r="K979" s="225"/>
      <c r="L979" s="225"/>
      <c r="M979" s="225"/>
      <c r="N979" s="225"/>
      <c r="O979" s="225"/>
      <c r="P979" s="225"/>
      <c r="Q979" s="225"/>
      <c r="R979" s="225"/>
      <c r="S979" s="225"/>
      <c r="T979" s="225"/>
      <c r="U979" s="225"/>
      <c r="V979" s="225"/>
      <c r="W979" s="225"/>
      <c r="X979" s="225"/>
      <c r="Y979" s="225"/>
      <c r="Z979" s="225"/>
      <c r="AA979" s="225"/>
      <c r="AB979" s="225"/>
      <c r="AC979" s="225"/>
      <c r="AD979" s="225"/>
    </row>
    <row r="980">
      <c r="A980" s="225"/>
      <c r="B980" s="225"/>
      <c r="C980" s="225"/>
      <c r="D980" s="225"/>
      <c r="E980" s="225"/>
      <c r="F980" s="225"/>
      <c r="G980" s="225"/>
      <c r="H980" s="225"/>
      <c r="I980" s="225"/>
      <c r="J980" s="225"/>
      <c r="K980" s="225"/>
      <c r="L980" s="225"/>
      <c r="M980" s="225"/>
      <c r="N980" s="225"/>
      <c r="O980" s="225"/>
      <c r="P980" s="225"/>
      <c r="Q980" s="225"/>
      <c r="R980" s="225"/>
      <c r="S980" s="225"/>
      <c r="T980" s="225"/>
      <c r="U980" s="225"/>
      <c r="V980" s="225"/>
      <c r="W980" s="225"/>
      <c r="X980" s="225"/>
      <c r="Y980" s="225"/>
      <c r="Z980" s="225"/>
      <c r="AA980" s="225"/>
      <c r="AB980" s="225"/>
      <c r="AC980" s="225"/>
      <c r="AD980" s="225"/>
    </row>
    <row r="981">
      <c r="A981" s="225"/>
      <c r="B981" s="225"/>
      <c r="C981" s="225"/>
      <c r="D981" s="225"/>
      <c r="E981" s="225"/>
      <c r="F981" s="225"/>
      <c r="G981" s="225"/>
      <c r="H981" s="225"/>
      <c r="I981" s="225"/>
      <c r="J981" s="225"/>
      <c r="K981" s="225"/>
      <c r="L981" s="225"/>
      <c r="M981" s="225"/>
      <c r="N981" s="225"/>
      <c r="O981" s="225"/>
      <c r="P981" s="225"/>
      <c r="Q981" s="225"/>
      <c r="R981" s="225"/>
      <c r="S981" s="225"/>
      <c r="T981" s="225"/>
      <c r="U981" s="225"/>
      <c r="V981" s="225"/>
      <c r="W981" s="225"/>
      <c r="X981" s="225"/>
      <c r="Y981" s="225"/>
      <c r="Z981" s="225"/>
      <c r="AA981" s="225"/>
      <c r="AB981" s="225"/>
      <c r="AC981" s="225"/>
      <c r="AD981" s="225"/>
    </row>
    <row r="982">
      <c r="A982" s="225"/>
      <c r="B982" s="225"/>
      <c r="C982" s="225"/>
      <c r="D982" s="225"/>
      <c r="E982" s="225"/>
      <c r="F982" s="225"/>
      <c r="G982" s="225"/>
      <c r="H982" s="225"/>
      <c r="I982" s="225"/>
      <c r="J982" s="225"/>
      <c r="K982" s="225"/>
      <c r="L982" s="225"/>
      <c r="M982" s="225"/>
      <c r="N982" s="225"/>
      <c r="O982" s="225"/>
      <c r="P982" s="225"/>
      <c r="Q982" s="225"/>
      <c r="R982" s="225"/>
      <c r="S982" s="225"/>
      <c r="T982" s="225"/>
      <c r="U982" s="225"/>
      <c r="V982" s="225"/>
      <c r="W982" s="225"/>
      <c r="X982" s="225"/>
      <c r="Y982" s="225"/>
      <c r="Z982" s="225"/>
      <c r="AA982" s="225"/>
      <c r="AB982" s="225"/>
      <c r="AC982" s="225"/>
      <c r="AD982" s="225"/>
    </row>
    <row r="983">
      <c r="A983" s="225"/>
      <c r="B983" s="225"/>
      <c r="C983" s="225"/>
      <c r="D983" s="225"/>
      <c r="E983" s="225"/>
      <c r="F983" s="225"/>
      <c r="G983" s="225"/>
      <c r="H983" s="225"/>
      <c r="I983" s="225"/>
      <c r="J983" s="225"/>
      <c r="K983" s="225"/>
      <c r="L983" s="225"/>
      <c r="M983" s="225"/>
      <c r="N983" s="225"/>
      <c r="O983" s="225"/>
      <c r="P983" s="225"/>
      <c r="Q983" s="225"/>
      <c r="R983" s="225"/>
      <c r="S983" s="225"/>
      <c r="T983" s="225"/>
      <c r="U983" s="225"/>
      <c r="V983" s="225"/>
      <c r="W983" s="225"/>
      <c r="X983" s="225"/>
      <c r="Y983" s="225"/>
      <c r="Z983" s="225"/>
      <c r="AA983" s="225"/>
      <c r="AB983" s="225"/>
      <c r="AC983" s="225"/>
      <c r="AD983" s="225"/>
    </row>
    <row r="984">
      <c r="A984" s="225"/>
      <c r="B984" s="225"/>
      <c r="C984" s="225"/>
      <c r="D984" s="225"/>
      <c r="E984" s="225"/>
      <c r="F984" s="225"/>
      <c r="G984" s="225"/>
      <c r="H984" s="225"/>
      <c r="I984" s="225"/>
      <c r="J984" s="225"/>
      <c r="K984" s="225"/>
      <c r="L984" s="225"/>
      <c r="M984" s="225"/>
      <c r="N984" s="225"/>
      <c r="O984" s="225"/>
      <c r="P984" s="225"/>
      <c r="Q984" s="225"/>
      <c r="R984" s="225"/>
      <c r="S984" s="225"/>
      <c r="T984" s="225"/>
      <c r="U984" s="225"/>
      <c r="V984" s="225"/>
      <c r="W984" s="225"/>
      <c r="X984" s="225"/>
      <c r="Y984" s="225"/>
      <c r="Z984" s="225"/>
      <c r="AA984" s="225"/>
      <c r="AB984" s="225"/>
      <c r="AC984" s="225"/>
      <c r="AD984" s="225"/>
    </row>
    <row r="985">
      <c r="A985" s="225"/>
      <c r="B985" s="225"/>
      <c r="C985" s="225"/>
      <c r="D985" s="225"/>
      <c r="E985" s="225"/>
      <c r="F985" s="225"/>
      <c r="G985" s="225"/>
      <c r="H985" s="225"/>
      <c r="I985" s="225"/>
      <c r="J985" s="225"/>
      <c r="K985" s="225"/>
      <c r="L985" s="225"/>
      <c r="M985" s="225"/>
      <c r="N985" s="225"/>
      <c r="O985" s="225"/>
      <c r="P985" s="225"/>
      <c r="Q985" s="225"/>
      <c r="R985" s="225"/>
      <c r="S985" s="225"/>
      <c r="T985" s="225"/>
      <c r="U985" s="225"/>
      <c r="V985" s="225"/>
      <c r="W985" s="225"/>
      <c r="X985" s="225"/>
      <c r="Y985" s="225"/>
      <c r="Z985" s="225"/>
      <c r="AA985" s="225"/>
      <c r="AB985" s="225"/>
      <c r="AC985" s="225"/>
      <c r="AD985" s="225"/>
    </row>
    <row r="986">
      <c r="A986" s="225"/>
      <c r="B986" s="225"/>
      <c r="C986" s="225"/>
      <c r="D986" s="225"/>
      <c r="E986" s="225"/>
      <c r="F986" s="225"/>
      <c r="G986" s="225"/>
      <c r="H986" s="225"/>
      <c r="I986" s="225"/>
      <c r="J986" s="225"/>
      <c r="K986" s="225"/>
      <c r="L986" s="225"/>
      <c r="M986" s="225"/>
      <c r="N986" s="225"/>
      <c r="O986" s="225"/>
      <c r="P986" s="225"/>
      <c r="Q986" s="225"/>
      <c r="R986" s="225"/>
      <c r="S986" s="225"/>
      <c r="T986" s="225"/>
      <c r="U986" s="225"/>
      <c r="V986" s="225"/>
      <c r="W986" s="225"/>
      <c r="X986" s="225"/>
      <c r="Y986" s="225"/>
      <c r="Z986" s="225"/>
      <c r="AA986" s="225"/>
      <c r="AB986" s="225"/>
      <c r="AC986" s="225"/>
      <c r="AD986" s="225"/>
    </row>
    <row r="987">
      <c r="A987" s="225"/>
      <c r="B987" s="225"/>
      <c r="C987" s="225"/>
      <c r="D987" s="225"/>
      <c r="E987" s="225"/>
      <c r="F987" s="225"/>
      <c r="G987" s="225"/>
      <c r="H987" s="225"/>
      <c r="I987" s="225"/>
      <c r="J987" s="225"/>
      <c r="K987" s="225"/>
      <c r="L987" s="225"/>
      <c r="M987" s="225"/>
      <c r="N987" s="225"/>
      <c r="O987" s="225"/>
      <c r="P987" s="225"/>
      <c r="Q987" s="225"/>
      <c r="R987" s="225"/>
      <c r="S987" s="225"/>
      <c r="T987" s="225"/>
      <c r="U987" s="225"/>
      <c r="V987" s="225"/>
      <c r="W987" s="225"/>
      <c r="X987" s="225"/>
      <c r="Y987" s="225"/>
      <c r="Z987" s="225"/>
      <c r="AA987" s="225"/>
      <c r="AB987" s="225"/>
      <c r="AC987" s="225"/>
      <c r="AD987" s="225"/>
    </row>
    <row r="988">
      <c r="A988" s="225"/>
      <c r="B988" s="225"/>
      <c r="C988" s="225"/>
      <c r="D988" s="225"/>
      <c r="E988" s="225"/>
      <c r="F988" s="225"/>
      <c r="G988" s="225"/>
      <c r="H988" s="225"/>
      <c r="I988" s="225"/>
      <c r="J988" s="225"/>
      <c r="K988" s="225"/>
      <c r="L988" s="225"/>
      <c r="M988" s="225"/>
      <c r="N988" s="225"/>
      <c r="O988" s="225"/>
      <c r="P988" s="225"/>
      <c r="Q988" s="225"/>
      <c r="R988" s="225"/>
      <c r="S988" s="225"/>
      <c r="T988" s="225"/>
      <c r="U988" s="225"/>
      <c r="V988" s="225"/>
      <c r="W988" s="225"/>
      <c r="X988" s="225"/>
      <c r="Y988" s="225"/>
      <c r="Z988" s="225"/>
      <c r="AA988" s="225"/>
      <c r="AB988" s="225"/>
      <c r="AC988" s="225"/>
      <c r="AD988" s="225"/>
    </row>
    <row r="989">
      <c r="A989" s="225"/>
      <c r="B989" s="225"/>
      <c r="C989" s="225"/>
      <c r="D989" s="225"/>
      <c r="E989" s="225"/>
      <c r="F989" s="225"/>
      <c r="G989" s="225"/>
      <c r="H989" s="225"/>
      <c r="I989" s="225"/>
      <c r="J989" s="225"/>
      <c r="K989" s="225"/>
      <c r="L989" s="225"/>
      <c r="M989" s="225"/>
      <c r="N989" s="225"/>
      <c r="O989" s="225"/>
      <c r="P989" s="225"/>
      <c r="Q989" s="225"/>
      <c r="R989" s="225"/>
      <c r="S989" s="225"/>
      <c r="T989" s="225"/>
      <c r="U989" s="225"/>
      <c r="V989" s="225"/>
      <c r="W989" s="225"/>
      <c r="X989" s="225"/>
      <c r="Y989" s="225"/>
      <c r="Z989" s="225"/>
      <c r="AA989" s="225"/>
      <c r="AB989" s="225"/>
      <c r="AC989" s="225"/>
      <c r="AD989" s="225"/>
    </row>
    <row r="990">
      <c r="A990" s="225"/>
      <c r="B990" s="225"/>
      <c r="C990" s="225"/>
      <c r="D990" s="225"/>
      <c r="E990" s="225"/>
      <c r="F990" s="225"/>
      <c r="G990" s="225"/>
      <c r="H990" s="225"/>
      <c r="I990" s="225"/>
      <c r="J990" s="225"/>
      <c r="K990" s="225"/>
      <c r="L990" s="225"/>
      <c r="M990" s="225"/>
      <c r="N990" s="225"/>
      <c r="O990" s="225"/>
      <c r="P990" s="225"/>
      <c r="Q990" s="225"/>
      <c r="R990" s="225"/>
      <c r="S990" s="225"/>
      <c r="T990" s="225"/>
      <c r="U990" s="225"/>
      <c r="V990" s="225"/>
      <c r="W990" s="225"/>
      <c r="X990" s="225"/>
      <c r="Y990" s="225"/>
      <c r="Z990" s="225"/>
      <c r="AA990" s="225"/>
      <c r="AB990" s="225"/>
      <c r="AC990" s="225"/>
      <c r="AD990" s="225"/>
    </row>
    <row r="991">
      <c r="A991" s="225"/>
      <c r="B991" s="225"/>
      <c r="C991" s="225"/>
      <c r="D991" s="225"/>
      <c r="E991" s="225"/>
      <c r="F991" s="225"/>
      <c r="G991" s="225"/>
      <c r="H991" s="225"/>
      <c r="I991" s="225"/>
      <c r="J991" s="225"/>
      <c r="K991" s="225"/>
      <c r="L991" s="225"/>
      <c r="M991" s="225"/>
      <c r="N991" s="225"/>
      <c r="O991" s="225"/>
      <c r="P991" s="225"/>
      <c r="Q991" s="225"/>
      <c r="R991" s="225"/>
      <c r="S991" s="225"/>
      <c r="T991" s="225"/>
      <c r="U991" s="225"/>
      <c r="V991" s="225"/>
      <c r="W991" s="225"/>
      <c r="X991" s="225"/>
      <c r="Y991" s="225"/>
      <c r="Z991" s="225"/>
      <c r="AA991" s="225"/>
      <c r="AB991" s="225"/>
      <c r="AC991" s="225"/>
      <c r="AD991" s="225"/>
    </row>
    <row r="992">
      <c r="A992" s="225"/>
      <c r="B992" s="225"/>
      <c r="C992" s="225"/>
      <c r="D992" s="225"/>
      <c r="E992" s="225"/>
      <c r="F992" s="225"/>
      <c r="G992" s="225"/>
      <c r="H992" s="225"/>
      <c r="I992" s="225"/>
      <c r="J992" s="225"/>
      <c r="K992" s="225"/>
      <c r="L992" s="225"/>
      <c r="M992" s="225"/>
      <c r="N992" s="225"/>
      <c r="O992" s="225"/>
      <c r="P992" s="225"/>
      <c r="Q992" s="225"/>
      <c r="R992" s="225"/>
      <c r="S992" s="225"/>
      <c r="T992" s="225"/>
      <c r="U992" s="225"/>
      <c r="V992" s="225"/>
      <c r="W992" s="225"/>
      <c r="X992" s="225"/>
      <c r="Y992" s="225"/>
      <c r="Z992" s="225"/>
      <c r="AA992" s="225"/>
      <c r="AB992" s="225"/>
      <c r="AC992" s="225"/>
      <c r="AD992" s="225"/>
    </row>
    <row r="993">
      <c r="A993" s="225"/>
      <c r="B993" s="225"/>
      <c r="C993" s="225"/>
      <c r="D993" s="225"/>
      <c r="E993" s="225"/>
      <c r="F993" s="225"/>
      <c r="G993" s="225"/>
      <c r="H993" s="225"/>
      <c r="I993" s="225"/>
      <c r="J993" s="225"/>
      <c r="K993" s="225"/>
      <c r="L993" s="225"/>
      <c r="M993" s="225"/>
      <c r="N993" s="225"/>
      <c r="O993" s="225"/>
      <c r="P993" s="225"/>
      <c r="Q993" s="225"/>
      <c r="R993" s="225"/>
      <c r="S993" s="225"/>
      <c r="T993" s="225"/>
      <c r="U993" s="225"/>
      <c r="V993" s="225"/>
      <c r="W993" s="225"/>
      <c r="X993" s="225"/>
      <c r="Y993" s="225"/>
      <c r="Z993" s="225"/>
      <c r="AA993" s="225"/>
      <c r="AB993" s="225"/>
      <c r="AC993" s="225"/>
      <c r="AD993" s="225"/>
    </row>
    <row r="994">
      <c r="A994" s="225"/>
      <c r="B994" s="225"/>
      <c r="C994" s="225"/>
      <c r="D994" s="225"/>
      <c r="E994" s="225"/>
      <c r="F994" s="225"/>
      <c r="G994" s="225"/>
      <c r="H994" s="225"/>
      <c r="I994" s="225"/>
      <c r="J994" s="225"/>
      <c r="K994" s="225"/>
      <c r="L994" s="225"/>
      <c r="M994" s="225"/>
      <c r="N994" s="225"/>
      <c r="O994" s="225"/>
      <c r="P994" s="225"/>
      <c r="Q994" s="225"/>
      <c r="R994" s="225"/>
      <c r="S994" s="225"/>
      <c r="T994" s="225"/>
      <c r="U994" s="225"/>
      <c r="V994" s="225"/>
      <c r="W994" s="225"/>
      <c r="X994" s="225"/>
      <c r="Y994" s="225"/>
      <c r="Z994" s="225"/>
      <c r="AA994" s="225"/>
      <c r="AB994" s="225"/>
      <c r="AC994" s="225"/>
      <c r="AD994" s="225"/>
    </row>
    <row r="995">
      <c r="A995" s="225"/>
      <c r="B995" s="225"/>
      <c r="C995" s="225"/>
      <c r="D995" s="225"/>
      <c r="E995" s="225"/>
      <c r="F995" s="225"/>
      <c r="G995" s="225"/>
      <c r="H995" s="225"/>
      <c r="I995" s="225"/>
      <c r="J995" s="225"/>
      <c r="K995" s="225"/>
      <c r="L995" s="225"/>
      <c r="M995" s="225"/>
      <c r="N995" s="225"/>
      <c r="O995" s="225"/>
      <c r="P995" s="225"/>
      <c r="Q995" s="225"/>
      <c r="R995" s="225"/>
      <c r="S995" s="225"/>
      <c r="T995" s="225"/>
      <c r="U995" s="225"/>
      <c r="V995" s="225"/>
      <c r="W995" s="225"/>
      <c r="X995" s="225"/>
      <c r="Y995" s="225"/>
      <c r="Z995" s="225"/>
      <c r="AA995" s="225"/>
      <c r="AB995" s="225"/>
      <c r="AC995" s="225"/>
      <c r="AD995" s="225"/>
    </row>
    <row r="996">
      <c r="A996" s="225"/>
      <c r="B996" s="225"/>
      <c r="C996" s="225"/>
      <c r="D996" s="225"/>
      <c r="E996" s="225"/>
      <c r="F996" s="225"/>
      <c r="G996" s="225"/>
      <c r="H996" s="225"/>
      <c r="I996" s="225"/>
      <c r="J996" s="225"/>
      <c r="K996" s="225"/>
      <c r="L996" s="225"/>
      <c r="M996" s="225"/>
      <c r="N996" s="225"/>
      <c r="O996" s="225"/>
      <c r="P996" s="225"/>
      <c r="Q996" s="225"/>
      <c r="R996" s="225"/>
      <c r="S996" s="225"/>
      <c r="T996" s="225"/>
      <c r="U996" s="225"/>
      <c r="V996" s="225"/>
      <c r="W996" s="225"/>
      <c r="X996" s="225"/>
      <c r="Y996" s="225"/>
      <c r="Z996" s="225"/>
      <c r="AA996" s="225"/>
      <c r="AB996" s="225"/>
      <c r="AC996" s="225"/>
      <c r="AD996" s="225"/>
    </row>
    <row r="997">
      <c r="A997" s="225"/>
      <c r="B997" s="225"/>
      <c r="C997" s="225"/>
      <c r="D997" s="225"/>
      <c r="E997" s="225"/>
      <c r="F997" s="225"/>
      <c r="G997" s="225"/>
      <c r="H997" s="225"/>
      <c r="I997" s="225"/>
      <c r="J997" s="225"/>
      <c r="K997" s="225"/>
      <c r="L997" s="225"/>
      <c r="M997" s="225"/>
      <c r="N997" s="225"/>
      <c r="O997" s="225"/>
      <c r="P997" s="225"/>
      <c r="Q997" s="225"/>
      <c r="R997" s="225"/>
      <c r="S997" s="225"/>
      <c r="T997" s="225"/>
      <c r="U997" s="225"/>
      <c r="V997" s="225"/>
      <c r="W997" s="225"/>
      <c r="X997" s="225"/>
      <c r="Y997" s="225"/>
      <c r="Z997" s="225"/>
      <c r="AA997" s="225"/>
      <c r="AB997" s="225"/>
      <c r="AC997" s="225"/>
      <c r="AD997" s="225"/>
    </row>
    <row r="998">
      <c r="A998" s="225"/>
      <c r="B998" s="225"/>
      <c r="C998" s="225"/>
      <c r="D998" s="225"/>
      <c r="E998" s="225"/>
      <c r="F998" s="225"/>
      <c r="G998" s="225"/>
      <c r="H998" s="225"/>
      <c r="I998" s="225"/>
      <c r="J998" s="225"/>
      <c r="K998" s="225"/>
      <c r="L998" s="225"/>
      <c r="M998" s="225"/>
      <c r="N998" s="225"/>
      <c r="O998" s="225"/>
      <c r="P998" s="225"/>
      <c r="Q998" s="225"/>
      <c r="R998" s="225"/>
      <c r="S998" s="225"/>
      <c r="T998" s="225"/>
      <c r="U998" s="225"/>
      <c r="V998" s="225"/>
      <c r="W998" s="225"/>
      <c r="X998" s="225"/>
      <c r="Y998" s="225"/>
      <c r="Z998" s="225"/>
      <c r="AA998" s="225"/>
      <c r="AB998" s="225"/>
      <c r="AC998" s="225"/>
      <c r="AD998" s="225"/>
    </row>
    <row r="999">
      <c r="A999" s="225"/>
      <c r="B999" s="225"/>
      <c r="C999" s="225"/>
      <c r="D999" s="225"/>
      <c r="E999" s="225"/>
      <c r="F999" s="225"/>
      <c r="G999" s="225"/>
      <c r="H999" s="225"/>
      <c r="I999" s="225"/>
      <c r="J999" s="225"/>
      <c r="K999" s="225"/>
      <c r="L999" s="225"/>
      <c r="M999" s="225"/>
      <c r="N999" s="225"/>
      <c r="O999" s="225"/>
      <c r="P999" s="225"/>
      <c r="Q999" s="225"/>
      <c r="R999" s="225"/>
      <c r="S999" s="225"/>
      <c r="T999" s="225"/>
      <c r="U999" s="225"/>
      <c r="V999" s="225"/>
      <c r="W999" s="225"/>
      <c r="X999" s="225"/>
      <c r="Y999" s="225"/>
      <c r="Z999" s="225"/>
      <c r="AA999" s="225"/>
      <c r="AB999" s="225"/>
      <c r="AC999" s="225"/>
      <c r="AD999" s="225"/>
    </row>
    <row r="1000">
      <c r="A1000" s="225"/>
      <c r="B1000" s="225"/>
      <c r="C1000" s="225"/>
      <c r="D1000" s="225"/>
      <c r="E1000" s="225"/>
      <c r="F1000" s="225"/>
      <c r="G1000" s="225"/>
      <c r="H1000" s="225"/>
      <c r="I1000" s="225"/>
      <c r="J1000" s="225"/>
      <c r="K1000" s="225"/>
      <c r="L1000" s="225"/>
      <c r="M1000" s="225"/>
      <c r="N1000" s="225"/>
      <c r="O1000" s="225"/>
      <c r="P1000" s="225"/>
      <c r="Q1000" s="225"/>
      <c r="R1000" s="225"/>
      <c r="S1000" s="225"/>
      <c r="T1000" s="225"/>
      <c r="U1000" s="225"/>
      <c r="V1000" s="225"/>
      <c r="W1000" s="225"/>
      <c r="X1000" s="225"/>
      <c r="Y1000" s="225"/>
      <c r="Z1000" s="225"/>
      <c r="AA1000" s="225"/>
      <c r="AB1000" s="225"/>
      <c r="AC1000" s="225"/>
      <c r="AD1000" s="22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8" t="str">
        <f t="shared" ref="A1:O1" si="1">'Municipality Case Trends'!A5</f>
        <v>#REF!</v>
      </c>
      <c r="B1" s="208" t="str">
        <f t="shared" si="1"/>
        <v>#REF!</v>
      </c>
      <c r="C1" s="208" t="str">
        <f t="shared" si="1"/>
        <v>#REF!</v>
      </c>
      <c r="D1" s="208" t="str">
        <f t="shared" si="1"/>
        <v>#REF!</v>
      </c>
      <c r="E1" s="208" t="str">
        <f t="shared" si="1"/>
        <v>#REF!</v>
      </c>
      <c r="F1" s="208" t="str">
        <f t="shared" si="1"/>
        <v>#REF!</v>
      </c>
      <c r="G1" s="208" t="str">
        <f t="shared" si="1"/>
        <v>#REF!</v>
      </c>
      <c r="H1" s="208" t="str">
        <f t="shared" si="1"/>
        <v>#REF!</v>
      </c>
      <c r="I1" s="208" t="str">
        <f t="shared" si="1"/>
        <v>#REF!</v>
      </c>
      <c r="J1" s="208" t="str">
        <f t="shared" si="1"/>
        <v>#REF!</v>
      </c>
      <c r="K1" s="208" t="str">
        <f t="shared" si="1"/>
        <v>#REF!</v>
      </c>
      <c r="L1" s="208" t="str">
        <f t="shared" si="1"/>
        <v>#REF!</v>
      </c>
      <c r="M1" s="208" t="str">
        <f t="shared" si="1"/>
        <v>#REF!</v>
      </c>
      <c r="N1" s="208" t="str">
        <f t="shared" si="1"/>
        <v>#REF!</v>
      </c>
      <c r="O1" s="208" t="str">
        <f t="shared" si="1"/>
        <v>#REF!</v>
      </c>
      <c r="P1" s="208" t="str">
        <f t="shared" ref="P1:Z1" si="2">#REF!</f>
        <v>#REF!</v>
      </c>
      <c r="Q1" s="208" t="str">
        <f t="shared" si="2"/>
        <v>#REF!</v>
      </c>
      <c r="R1" s="208" t="str">
        <f t="shared" si="2"/>
        <v>#REF!</v>
      </c>
      <c r="S1" s="208" t="str">
        <f t="shared" si="2"/>
        <v>#REF!</v>
      </c>
      <c r="T1" s="208" t="str">
        <f t="shared" si="2"/>
        <v>#REF!</v>
      </c>
      <c r="U1" s="208" t="str">
        <f t="shared" si="2"/>
        <v>#REF!</v>
      </c>
      <c r="V1" s="208" t="str">
        <f t="shared" si="2"/>
        <v>#REF!</v>
      </c>
      <c r="W1" s="208" t="str">
        <f t="shared" si="2"/>
        <v>#REF!</v>
      </c>
      <c r="X1" s="208" t="str">
        <f t="shared" si="2"/>
        <v>#REF!</v>
      </c>
      <c r="Y1" s="208" t="str">
        <f t="shared" si="2"/>
        <v>#REF!</v>
      </c>
      <c r="Z1" s="208" t="str">
        <f t="shared" si="2"/>
        <v>#REF!</v>
      </c>
    </row>
    <row r="2">
      <c r="A2" s="208" t="str">
        <f t="shared" ref="A2:O2" si="3">'Municipality Case Trends'!A6</f>
        <v>#REF!</v>
      </c>
      <c r="B2" s="208" t="str">
        <f t="shared" si="3"/>
        <v>#REF!</v>
      </c>
      <c r="C2" s="208" t="str">
        <f t="shared" si="3"/>
        <v>#REF!</v>
      </c>
      <c r="D2" s="208" t="str">
        <f t="shared" si="3"/>
        <v>#REF!</v>
      </c>
      <c r="E2" s="208" t="str">
        <f t="shared" si="3"/>
        <v>#REF!</v>
      </c>
      <c r="F2" s="208" t="str">
        <f t="shared" si="3"/>
        <v>#REF!</v>
      </c>
      <c r="G2" s="208" t="str">
        <f t="shared" si="3"/>
        <v>#REF!</v>
      </c>
      <c r="H2" s="208" t="str">
        <f t="shared" si="3"/>
        <v>#REF!</v>
      </c>
      <c r="I2" s="208" t="str">
        <f t="shared" si="3"/>
        <v>#REF!</v>
      </c>
      <c r="J2" s="208" t="str">
        <f t="shared" si="3"/>
        <v>#REF!</v>
      </c>
      <c r="K2" s="208" t="str">
        <f t="shared" si="3"/>
        <v>#REF!</v>
      </c>
      <c r="L2" s="208" t="str">
        <f t="shared" si="3"/>
        <v>#REF!</v>
      </c>
      <c r="M2" s="208" t="str">
        <f t="shared" si="3"/>
        <v>#REF!</v>
      </c>
      <c r="N2" s="208" t="str">
        <f t="shared" si="3"/>
        <v>#REF!</v>
      </c>
      <c r="O2" s="208" t="str">
        <f t="shared" si="3"/>
        <v>#REF!</v>
      </c>
      <c r="P2" s="208" t="str">
        <f t="shared" ref="P2:X2" si="4">#REF!</f>
        <v>#REF!</v>
      </c>
      <c r="Q2" s="208" t="str">
        <f t="shared" si="4"/>
        <v>#REF!</v>
      </c>
      <c r="R2" s="208" t="str">
        <f t="shared" si="4"/>
        <v>#REF!</v>
      </c>
      <c r="S2" s="208" t="str">
        <f t="shared" si="4"/>
        <v>#REF!</v>
      </c>
      <c r="T2" s="208" t="str">
        <f t="shared" si="4"/>
        <v>#REF!</v>
      </c>
      <c r="U2" s="208" t="str">
        <f t="shared" si="4"/>
        <v>#REF!</v>
      </c>
      <c r="V2" s="208" t="str">
        <f t="shared" si="4"/>
        <v>#REF!</v>
      </c>
      <c r="W2" s="208" t="str">
        <f t="shared" si="4"/>
        <v>#REF!</v>
      </c>
      <c r="X2" s="208" t="str">
        <f t="shared" si="4"/>
        <v>#REF!</v>
      </c>
    </row>
    <row r="3">
      <c r="A3" s="208" t="str">
        <f t="shared" ref="A3:O3" si="5">'Municipality Case Trends'!A7</f>
        <v>#REF!</v>
      </c>
      <c r="B3" s="208" t="str">
        <f t="shared" si="5"/>
        <v>#REF!</v>
      </c>
      <c r="C3" s="208" t="str">
        <f t="shared" si="5"/>
        <v>#REF!</v>
      </c>
      <c r="D3" s="208" t="str">
        <f t="shared" si="5"/>
        <v>#REF!</v>
      </c>
      <c r="E3" s="208" t="str">
        <f t="shared" si="5"/>
        <v>#REF!</v>
      </c>
      <c r="F3" s="208" t="str">
        <f t="shared" si="5"/>
        <v>#REF!</v>
      </c>
      <c r="G3" s="208" t="str">
        <f t="shared" si="5"/>
        <v>#REF!</v>
      </c>
      <c r="H3" s="208" t="str">
        <f t="shared" si="5"/>
        <v>#REF!</v>
      </c>
      <c r="I3" s="208" t="str">
        <f t="shared" si="5"/>
        <v>#REF!</v>
      </c>
      <c r="J3" s="208" t="str">
        <f t="shared" si="5"/>
        <v>#REF!</v>
      </c>
      <c r="K3" s="208" t="str">
        <f t="shared" si="5"/>
        <v>#REF!</v>
      </c>
      <c r="L3" s="208" t="str">
        <f t="shared" si="5"/>
        <v>#REF!</v>
      </c>
      <c r="M3" s="208" t="str">
        <f t="shared" si="5"/>
        <v>#REF!</v>
      </c>
      <c r="N3" s="208" t="str">
        <f t="shared" si="5"/>
        <v>#REF!</v>
      </c>
      <c r="O3" s="208" t="str">
        <f t="shared" si="5"/>
        <v>#REF!</v>
      </c>
      <c r="P3" s="208" t="str">
        <f t="shared" ref="P3:X3" si="6">#REF!</f>
        <v>#REF!</v>
      </c>
      <c r="Q3" s="208" t="str">
        <f t="shared" si="6"/>
        <v>#REF!</v>
      </c>
      <c r="R3" s="208" t="str">
        <f t="shared" si="6"/>
        <v>#REF!</v>
      </c>
      <c r="S3" s="208" t="str">
        <f t="shared" si="6"/>
        <v>#REF!</v>
      </c>
      <c r="T3" s="208" t="str">
        <f t="shared" si="6"/>
        <v>#REF!</v>
      </c>
      <c r="U3" s="208" t="str">
        <f t="shared" si="6"/>
        <v>#REF!</v>
      </c>
      <c r="V3" s="208" t="str">
        <f t="shared" si="6"/>
        <v>#REF!</v>
      </c>
      <c r="W3" s="208" t="str">
        <f t="shared" si="6"/>
        <v>#REF!</v>
      </c>
      <c r="X3" s="208" t="str">
        <f t="shared" si="6"/>
        <v>#REF!</v>
      </c>
    </row>
    <row r="4">
      <c r="A4" s="208" t="str">
        <f t="shared" ref="A4:O4" si="7">'Municipality Case Trends'!A8</f>
        <v>#REF!</v>
      </c>
      <c r="B4" s="208" t="str">
        <f t="shared" si="7"/>
        <v>#REF!</v>
      </c>
      <c r="C4" s="208" t="str">
        <f t="shared" si="7"/>
        <v>#REF!</v>
      </c>
      <c r="D4" s="208" t="str">
        <f t="shared" si="7"/>
        <v>#REF!</v>
      </c>
      <c r="E4" s="208" t="str">
        <f t="shared" si="7"/>
        <v>#REF!</v>
      </c>
      <c r="F4" s="208" t="str">
        <f t="shared" si="7"/>
        <v>#REF!</v>
      </c>
      <c r="G4" s="208" t="str">
        <f t="shared" si="7"/>
        <v>#REF!</v>
      </c>
      <c r="H4" s="208" t="str">
        <f t="shared" si="7"/>
        <v>#REF!</v>
      </c>
      <c r="I4" s="208" t="str">
        <f t="shared" si="7"/>
        <v>#REF!</v>
      </c>
      <c r="J4" s="208" t="str">
        <f t="shared" si="7"/>
        <v>#REF!</v>
      </c>
      <c r="K4" s="208" t="str">
        <f t="shared" si="7"/>
        <v>#REF!</v>
      </c>
      <c r="L4" s="208" t="str">
        <f t="shared" si="7"/>
        <v>#REF!</v>
      </c>
      <c r="M4" s="208" t="str">
        <f t="shared" si="7"/>
        <v>#REF!</v>
      </c>
      <c r="N4" s="208" t="str">
        <f t="shared" si="7"/>
        <v>#REF!</v>
      </c>
      <c r="O4" s="208" t="str">
        <f t="shared" si="7"/>
        <v>#REF!</v>
      </c>
      <c r="P4" s="208" t="str">
        <f t="shared" ref="P4:X4" si="8">#REF!</f>
        <v>#REF!</v>
      </c>
      <c r="Q4" s="208" t="str">
        <f t="shared" si="8"/>
        <v>#REF!</v>
      </c>
      <c r="R4" s="208" t="str">
        <f t="shared" si="8"/>
        <v>#REF!</v>
      </c>
      <c r="S4" s="208" t="str">
        <f t="shared" si="8"/>
        <v>#REF!</v>
      </c>
      <c r="T4" s="208" t="str">
        <f t="shared" si="8"/>
        <v>#REF!</v>
      </c>
      <c r="U4" s="208" t="str">
        <f t="shared" si="8"/>
        <v>#REF!</v>
      </c>
      <c r="V4" s="208" t="str">
        <f t="shared" si="8"/>
        <v>#REF!</v>
      </c>
      <c r="W4" s="208" t="str">
        <f t="shared" si="8"/>
        <v>#REF!</v>
      </c>
      <c r="X4" s="208" t="str">
        <f t="shared" si="8"/>
        <v>#REF!</v>
      </c>
    </row>
    <row r="5">
      <c r="A5" s="208" t="str">
        <f t="shared" ref="A5:O5" si="9">'Municipality Case Trends'!A9</f>
        <v>#REF!</v>
      </c>
      <c r="B5" s="208" t="str">
        <f t="shared" si="9"/>
        <v>#REF!</v>
      </c>
      <c r="C5" s="208" t="str">
        <f t="shared" si="9"/>
        <v>#REF!</v>
      </c>
      <c r="D5" s="208" t="str">
        <f t="shared" si="9"/>
        <v>#REF!</v>
      </c>
      <c r="E5" s="208" t="str">
        <f t="shared" si="9"/>
        <v>#REF!</v>
      </c>
      <c r="F5" s="208" t="str">
        <f t="shared" si="9"/>
        <v>#REF!</v>
      </c>
      <c r="G5" s="208" t="str">
        <f t="shared" si="9"/>
        <v>#REF!</v>
      </c>
      <c r="H5" s="208" t="str">
        <f t="shared" si="9"/>
        <v>#REF!</v>
      </c>
      <c r="I5" s="208" t="str">
        <f t="shared" si="9"/>
        <v>#REF!</v>
      </c>
      <c r="J5" s="208" t="str">
        <f t="shared" si="9"/>
        <v>#REF!</v>
      </c>
      <c r="K5" s="208" t="str">
        <f t="shared" si="9"/>
        <v>#REF!</v>
      </c>
      <c r="L5" s="208" t="str">
        <f t="shared" si="9"/>
        <v>#REF!</v>
      </c>
      <c r="M5" s="208" t="str">
        <f t="shared" si="9"/>
        <v>#REF!</v>
      </c>
      <c r="N5" s="208" t="str">
        <f t="shared" si="9"/>
        <v>#REF!</v>
      </c>
      <c r="O5" s="208" t="str">
        <f t="shared" si="9"/>
        <v>#REF!</v>
      </c>
      <c r="P5" s="208" t="str">
        <f t="shared" ref="P5:X5" si="10">#REF!</f>
        <v>#REF!</v>
      </c>
      <c r="Q5" s="208" t="str">
        <f t="shared" si="10"/>
        <v>#REF!</v>
      </c>
      <c r="R5" s="208" t="str">
        <f t="shared" si="10"/>
        <v>#REF!</v>
      </c>
      <c r="S5" s="208" t="str">
        <f t="shared" si="10"/>
        <v>#REF!</v>
      </c>
      <c r="T5" s="208" t="str">
        <f t="shared" si="10"/>
        <v>#REF!</v>
      </c>
      <c r="U5" s="208" t="str">
        <f t="shared" si="10"/>
        <v>#REF!</v>
      </c>
      <c r="V5" s="208" t="str">
        <f t="shared" si="10"/>
        <v>#REF!</v>
      </c>
      <c r="W5" s="208" t="str">
        <f t="shared" si="10"/>
        <v>#REF!</v>
      </c>
      <c r="X5" s="208" t="str">
        <f t="shared" si="10"/>
        <v>#REF!</v>
      </c>
    </row>
    <row r="6">
      <c r="A6" s="208" t="str">
        <f t="shared" ref="A6:O6" si="11">'Municipality Case Trends'!A10</f>
        <v>#REF!</v>
      </c>
      <c r="B6" s="208" t="str">
        <f t="shared" si="11"/>
        <v>#REF!</v>
      </c>
      <c r="C6" s="208" t="str">
        <f t="shared" si="11"/>
        <v>#REF!</v>
      </c>
      <c r="D6" s="208" t="str">
        <f t="shared" si="11"/>
        <v>#REF!</v>
      </c>
      <c r="E6" s="208" t="str">
        <f t="shared" si="11"/>
        <v>#REF!</v>
      </c>
      <c r="F6" s="208" t="str">
        <f t="shared" si="11"/>
        <v>#REF!</v>
      </c>
      <c r="G6" s="208" t="str">
        <f t="shared" si="11"/>
        <v>#REF!</v>
      </c>
      <c r="H6" s="208" t="str">
        <f t="shared" si="11"/>
        <v>#REF!</v>
      </c>
      <c r="I6" s="208" t="str">
        <f t="shared" si="11"/>
        <v>#REF!</v>
      </c>
      <c r="J6" s="208" t="str">
        <f t="shared" si="11"/>
        <v>#REF!</v>
      </c>
      <c r="K6" s="208" t="str">
        <f t="shared" si="11"/>
        <v>#REF!</v>
      </c>
      <c r="L6" s="208" t="str">
        <f t="shared" si="11"/>
        <v>#REF!</v>
      </c>
      <c r="M6" s="208" t="str">
        <f t="shared" si="11"/>
        <v>#REF!</v>
      </c>
      <c r="N6" s="208" t="str">
        <f t="shared" si="11"/>
        <v>#REF!</v>
      </c>
      <c r="O6" s="208" t="str">
        <f t="shared" si="11"/>
        <v>#REF!</v>
      </c>
      <c r="P6" s="208" t="str">
        <f t="shared" ref="P6:X6" si="12">#REF!</f>
        <v>#REF!</v>
      </c>
      <c r="Q6" s="208" t="str">
        <f t="shared" si="12"/>
        <v>#REF!</v>
      </c>
      <c r="R6" s="208" t="str">
        <f t="shared" si="12"/>
        <v>#REF!</v>
      </c>
      <c r="S6" s="208" t="str">
        <f t="shared" si="12"/>
        <v>#REF!</v>
      </c>
      <c r="T6" s="208" t="str">
        <f t="shared" si="12"/>
        <v>#REF!</v>
      </c>
      <c r="U6" s="208" t="str">
        <f t="shared" si="12"/>
        <v>#REF!</v>
      </c>
      <c r="V6" s="208" t="str">
        <f t="shared" si="12"/>
        <v>#REF!</v>
      </c>
      <c r="W6" s="208" t="str">
        <f t="shared" si="12"/>
        <v>#REF!</v>
      </c>
      <c r="X6" s="208" t="str">
        <f t="shared" si="12"/>
        <v>#REF!</v>
      </c>
    </row>
    <row r="7">
      <c r="A7" s="208" t="str">
        <f t="shared" ref="A7:O7" si="13">'Municipality Case Trends'!A11</f>
        <v>#REF!</v>
      </c>
      <c r="B7" s="208" t="str">
        <f t="shared" si="13"/>
        <v>#REF!</v>
      </c>
      <c r="C7" s="208" t="str">
        <f t="shared" si="13"/>
        <v>#REF!</v>
      </c>
      <c r="D7" s="208" t="str">
        <f t="shared" si="13"/>
        <v>#REF!</v>
      </c>
      <c r="E7" s="208" t="str">
        <f t="shared" si="13"/>
        <v>#REF!</v>
      </c>
      <c r="F7" s="208" t="str">
        <f t="shared" si="13"/>
        <v>#REF!</v>
      </c>
      <c r="G7" s="208" t="str">
        <f t="shared" si="13"/>
        <v>#REF!</v>
      </c>
      <c r="H7" s="208" t="str">
        <f t="shared" si="13"/>
        <v>#REF!</v>
      </c>
      <c r="I7" s="208" t="str">
        <f t="shared" si="13"/>
        <v>#REF!</v>
      </c>
      <c r="J7" s="208" t="str">
        <f t="shared" si="13"/>
        <v>#REF!</v>
      </c>
      <c r="K7" s="208" t="str">
        <f t="shared" si="13"/>
        <v>#REF!</v>
      </c>
      <c r="L7" s="208" t="str">
        <f t="shared" si="13"/>
        <v>#REF!</v>
      </c>
      <c r="M7" s="208" t="str">
        <f t="shared" si="13"/>
        <v>#REF!</v>
      </c>
      <c r="N7" s="208" t="str">
        <f t="shared" si="13"/>
        <v>#REF!</v>
      </c>
      <c r="O7" s="208" t="str">
        <f t="shared" si="13"/>
        <v>#REF!</v>
      </c>
      <c r="P7" s="208" t="str">
        <f t="shared" ref="P7:X7" si="14">#REF!</f>
        <v>#REF!</v>
      </c>
      <c r="Q7" s="208" t="str">
        <f t="shared" si="14"/>
        <v>#REF!</v>
      </c>
      <c r="R7" s="208" t="str">
        <f t="shared" si="14"/>
        <v>#REF!</v>
      </c>
      <c r="S7" s="208" t="str">
        <f t="shared" si="14"/>
        <v>#REF!</v>
      </c>
      <c r="T7" s="208" t="str">
        <f t="shared" si="14"/>
        <v>#REF!</v>
      </c>
      <c r="U7" s="208" t="str">
        <f t="shared" si="14"/>
        <v>#REF!</v>
      </c>
      <c r="V7" s="208" t="str">
        <f t="shared" si="14"/>
        <v>#REF!</v>
      </c>
      <c r="W7" s="208" t="str">
        <f t="shared" si="14"/>
        <v>#REF!</v>
      </c>
      <c r="X7" s="208" t="str">
        <f t="shared" si="14"/>
        <v>#REF!</v>
      </c>
    </row>
    <row r="8">
      <c r="A8" s="208" t="str">
        <f t="shared" ref="A8:O8" si="15">'Municipality Case Trends'!A12</f>
        <v>#REF!</v>
      </c>
      <c r="B8" s="208" t="str">
        <f t="shared" si="15"/>
        <v>#REF!</v>
      </c>
      <c r="C8" s="208" t="str">
        <f t="shared" si="15"/>
        <v>#REF!</v>
      </c>
      <c r="D8" s="208" t="str">
        <f t="shared" si="15"/>
        <v>#REF!</v>
      </c>
      <c r="E8" s="208" t="str">
        <f t="shared" si="15"/>
        <v>#REF!</v>
      </c>
      <c r="F8" s="208" t="str">
        <f t="shared" si="15"/>
        <v>#REF!</v>
      </c>
      <c r="G8" s="208" t="str">
        <f t="shared" si="15"/>
        <v>#REF!</v>
      </c>
      <c r="H8" s="208" t="str">
        <f t="shared" si="15"/>
        <v>#REF!</v>
      </c>
      <c r="I8" s="208" t="str">
        <f t="shared" si="15"/>
        <v>#REF!</v>
      </c>
      <c r="J8" s="208" t="str">
        <f t="shared" si="15"/>
        <v>#REF!</v>
      </c>
      <c r="K8" s="208" t="str">
        <f t="shared" si="15"/>
        <v>#REF!</v>
      </c>
      <c r="L8" s="208" t="str">
        <f t="shared" si="15"/>
        <v>#REF!</v>
      </c>
      <c r="M8" s="208" t="str">
        <f t="shared" si="15"/>
        <v>#REF!</v>
      </c>
      <c r="N8" s="208" t="str">
        <f t="shared" si="15"/>
        <v>#REF!</v>
      </c>
      <c r="O8" s="208" t="str">
        <f t="shared" si="15"/>
        <v>#REF!</v>
      </c>
      <c r="P8" s="208" t="str">
        <f t="shared" ref="P8:X8" si="16">#REF!</f>
        <v>#REF!</v>
      </c>
      <c r="Q8" s="208" t="str">
        <f t="shared" si="16"/>
        <v>#REF!</v>
      </c>
      <c r="R8" s="208" t="str">
        <f t="shared" si="16"/>
        <v>#REF!</v>
      </c>
      <c r="S8" s="208" t="str">
        <f t="shared" si="16"/>
        <v>#REF!</v>
      </c>
      <c r="T8" s="208" t="str">
        <f t="shared" si="16"/>
        <v>#REF!</v>
      </c>
      <c r="U8" s="208" t="str">
        <f t="shared" si="16"/>
        <v>#REF!</v>
      </c>
      <c r="V8" s="208" t="str">
        <f t="shared" si="16"/>
        <v>#REF!</v>
      </c>
      <c r="W8" s="208" t="str">
        <f t="shared" si="16"/>
        <v>#REF!</v>
      </c>
      <c r="X8" s="208" t="str">
        <f t="shared" si="16"/>
        <v>#REF!</v>
      </c>
    </row>
    <row r="9">
      <c r="A9" s="208" t="str">
        <f t="shared" ref="A9:O9" si="17">'Municipality Case Trends'!A13</f>
        <v>#REF!</v>
      </c>
      <c r="B9" s="208" t="str">
        <f t="shared" si="17"/>
        <v>#REF!</v>
      </c>
      <c r="C9" s="208" t="str">
        <f t="shared" si="17"/>
        <v>#REF!</v>
      </c>
      <c r="D9" s="208" t="str">
        <f t="shared" si="17"/>
        <v>#REF!</v>
      </c>
      <c r="E9" s="208" t="str">
        <f t="shared" si="17"/>
        <v>#REF!</v>
      </c>
      <c r="F9" s="208" t="str">
        <f t="shared" si="17"/>
        <v>#REF!</v>
      </c>
      <c r="G9" s="208" t="str">
        <f t="shared" si="17"/>
        <v>#REF!</v>
      </c>
      <c r="H9" s="208" t="str">
        <f t="shared" si="17"/>
        <v>#REF!</v>
      </c>
      <c r="I9" s="208" t="str">
        <f t="shared" si="17"/>
        <v>#REF!</v>
      </c>
      <c r="J9" s="208" t="str">
        <f t="shared" si="17"/>
        <v>#REF!</v>
      </c>
      <c r="K9" s="208" t="str">
        <f t="shared" si="17"/>
        <v>#REF!</v>
      </c>
      <c r="L9" s="208" t="str">
        <f t="shared" si="17"/>
        <v>#REF!</v>
      </c>
      <c r="M9" s="208" t="str">
        <f t="shared" si="17"/>
        <v>#REF!</v>
      </c>
      <c r="N9" s="208" t="str">
        <f t="shared" si="17"/>
        <v>#REF!</v>
      </c>
      <c r="O9" s="208" t="str">
        <f t="shared" si="17"/>
        <v>#REF!</v>
      </c>
      <c r="P9" s="208" t="str">
        <f t="shared" ref="P9:X9" si="18">#REF!</f>
        <v>#REF!</v>
      </c>
      <c r="Q9" s="208" t="str">
        <f t="shared" si="18"/>
        <v>#REF!</v>
      </c>
      <c r="R9" s="208" t="str">
        <f t="shared" si="18"/>
        <v>#REF!</v>
      </c>
      <c r="S9" s="208" t="str">
        <f t="shared" si="18"/>
        <v>#REF!</v>
      </c>
      <c r="T9" s="208" t="str">
        <f t="shared" si="18"/>
        <v>#REF!</v>
      </c>
      <c r="U9" s="208" t="str">
        <f t="shared" si="18"/>
        <v>#REF!</v>
      </c>
      <c r="V9" s="208" t="str">
        <f t="shared" si="18"/>
        <v>#REF!</v>
      </c>
      <c r="W9" s="208" t="str">
        <f t="shared" si="18"/>
        <v>#REF!</v>
      </c>
      <c r="X9" s="208" t="str">
        <f t="shared" si="18"/>
        <v>#REF!</v>
      </c>
    </row>
    <row r="10">
      <c r="A10" s="208" t="str">
        <f t="shared" ref="A10:O10" si="19">'Municipality Case Trends'!A14</f>
        <v>#REF!</v>
      </c>
      <c r="B10" s="208" t="str">
        <f t="shared" si="19"/>
        <v>#REF!</v>
      </c>
      <c r="C10" s="208" t="str">
        <f t="shared" si="19"/>
        <v>#REF!</v>
      </c>
      <c r="D10" s="208" t="str">
        <f t="shared" si="19"/>
        <v>#REF!</v>
      </c>
      <c r="E10" s="208" t="str">
        <f t="shared" si="19"/>
        <v>#REF!</v>
      </c>
      <c r="F10" s="208" t="str">
        <f t="shared" si="19"/>
        <v>#REF!</v>
      </c>
      <c r="G10" s="208" t="str">
        <f t="shared" si="19"/>
        <v>#REF!</v>
      </c>
      <c r="H10" s="208" t="str">
        <f t="shared" si="19"/>
        <v>#REF!</v>
      </c>
      <c r="I10" s="208" t="str">
        <f t="shared" si="19"/>
        <v>#REF!</v>
      </c>
      <c r="J10" s="208" t="str">
        <f t="shared" si="19"/>
        <v>#REF!</v>
      </c>
      <c r="K10" s="208" t="str">
        <f t="shared" si="19"/>
        <v>#REF!</v>
      </c>
      <c r="L10" s="208" t="str">
        <f t="shared" si="19"/>
        <v>#REF!</v>
      </c>
      <c r="M10" s="208" t="str">
        <f t="shared" si="19"/>
        <v>#REF!</v>
      </c>
      <c r="N10" s="208" t="str">
        <f t="shared" si="19"/>
        <v>#REF!</v>
      </c>
      <c r="O10" s="208" t="str">
        <f t="shared" si="19"/>
        <v>#REF!</v>
      </c>
      <c r="P10" s="208" t="str">
        <f t="shared" ref="P10:X10" si="20">#REF!</f>
        <v>#REF!</v>
      </c>
      <c r="Q10" s="208" t="str">
        <f t="shared" si="20"/>
        <v>#REF!</v>
      </c>
      <c r="R10" s="208" t="str">
        <f t="shared" si="20"/>
        <v>#REF!</v>
      </c>
      <c r="S10" s="208" t="str">
        <f t="shared" si="20"/>
        <v>#REF!</v>
      </c>
      <c r="T10" s="208" t="str">
        <f t="shared" si="20"/>
        <v>#REF!</v>
      </c>
      <c r="U10" s="208" t="str">
        <f t="shared" si="20"/>
        <v>#REF!</v>
      </c>
      <c r="V10" s="208" t="str">
        <f t="shared" si="20"/>
        <v>#REF!</v>
      </c>
      <c r="W10" s="208" t="str">
        <f t="shared" si="20"/>
        <v>#REF!</v>
      </c>
      <c r="X10" s="208" t="str">
        <f t="shared" si="20"/>
        <v>#REF!</v>
      </c>
    </row>
    <row r="11">
      <c r="A11" s="208" t="str">
        <f t="shared" ref="A11:O11" si="21">'Municipality Case Trends'!A15</f>
        <v>#REF!</v>
      </c>
      <c r="B11" s="208" t="str">
        <f t="shared" si="21"/>
        <v>#REF!</v>
      </c>
      <c r="C11" s="208" t="str">
        <f t="shared" si="21"/>
        <v>#REF!</v>
      </c>
      <c r="D11" s="208" t="str">
        <f t="shared" si="21"/>
        <v>#REF!</v>
      </c>
      <c r="E11" s="208" t="str">
        <f t="shared" si="21"/>
        <v>#REF!</v>
      </c>
      <c r="F11" s="208" t="str">
        <f t="shared" si="21"/>
        <v>#REF!</v>
      </c>
      <c r="G11" s="208" t="str">
        <f t="shared" si="21"/>
        <v>#REF!</v>
      </c>
      <c r="H11" s="208" t="str">
        <f t="shared" si="21"/>
        <v>#REF!</v>
      </c>
      <c r="I11" s="208" t="str">
        <f t="shared" si="21"/>
        <v>#REF!</v>
      </c>
      <c r="J11" s="208" t="str">
        <f t="shared" si="21"/>
        <v>#REF!</v>
      </c>
      <c r="K11" s="208" t="str">
        <f t="shared" si="21"/>
        <v>#REF!</v>
      </c>
      <c r="L11" s="208" t="str">
        <f t="shared" si="21"/>
        <v>#REF!</v>
      </c>
      <c r="M11" s="208" t="str">
        <f t="shared" si="21"/>
        <v>#REF!</v>
      </c>
      <c r="N11" s="208" t="str">
        <f t="shared" si="21"/>
        <v>#REF!</v>
      </c>
      <c r="O11" s="208" t="str">
        <f t="shared" si="21"/>
        <v>#REF!</v>
      </c>
      <c r="P11" s="208" t="str">
        <f t="shared" ref="P11:X11" si="22">#REF!</f>
        <v>#REF!</v>
      </c>
      <c r="Q11" s="208" t="str">
        <f t="shared" si="22"/>
        <v>#REF!</v>
      </c>
      <c r="R11" s="208" t="str">
        <f t="shared" si="22"/>
        <v>#REF!</v>
      </c>
      <c r="S11" s="208" t="str">
        <f t="shared" si="22"/>
        <v>#REF!</v>
      </c>
      <c r="T11" s="208" t="str">
        <f t="shared" si="22"/>
        <v>#REF!</v>
      </c>
      <c r="U11" s="208" t="str">
        <f t="shared" si="22"/>
        <v>#REF!</v>
      </c>
      <c r="V11" s="208" t="str">
        <f t="shared" si="22"/>
        <v>#REF!</v>
      </c>
      <c r="W11" s="208" t="str">
        <f t="shared" si="22"/>
        <v>#REF!</v>
      </c>
      <c r="X11" s="208" t="str">
        <f t="shared" si="22"/>
        <v>#REF!</v>
      </c>
    </row>
    <row r="12">
      <c r="A12" s="208" t="str">
        <f t="shared" ref="A12:O12" si="23">'Municipality Case Trends'!A16</f>
        <v>#REF!</v>
      </c>
      <c r="B12" s="208" t="str">
        <f t="shared" si="23"/>
        <v>#REF!</v>
      </c>
      <c r="C12" s="208" t="str">
        <f t="shared" si="23"/>
        <v>#REF!</v>
      </c>
      <c r="D12" s="208" t="str">
        <f t="shared" si="23"/>
        <v>#REF!</v>
      </c>
      <c r="E12" s="208" t="str">
        <f t="shared" si="23"/>
        <v>#REF!</v>
      </c>
      <c r="F12" s="208" t="str">
        <f t="shared" si="23"/>
        <v>#REF!</v>
      </c>
      <c r="G12" s="208" t="str">
        <f t="shared" si="23"/>
        <v>#REF!</v>
      </c>
      <c r="H12" s="208" t="str">
        <f t="shared" si="23"/>
        <v>#REF!</v>
      </c>
      <c r="I12" s="208" t="str">
        <f t="shared" si="23"/>
        <v>#REF!</v>
      </c>
      <c r="J12" s="208" t="str">
        <f t="shared" si="23"/>
        <v>#REF!</v>
      </c>
      <c r="K12" s="208" t="str">
        <f t="shared" si="23"/>
        <v>#REF!</v>
      </c>
      <c r="L12" s="208" t="str">
        <f t="shared" si="23"/>
        <v>#REF!</v>
      </c>
      <c r="M12" s="208" t="str">
        <f t="shared" si="23"/>
        <v>#REF!</v>
      </c>
      <c r="N12" s="208" t="str">
        <f t="shared" si="23"/>
        <v>#REF!</v>
      </c>
      <c r="O12" s="208" t="str">
        <f t="shared" si="23"/>
        <v>#REF!</v>
      </c>
      <c r="P12" s="208" t="str">
        <f t="shared" ref="P12:X12" si="24">#REF!</f>
        <v>#REF!</v>
      </c>
      <c r="Q12" s="208" t="str">
        <f t="shared" si="24"/>
        <v>#REF!</v>
      </c>
      <c r="R12" s="208" t="str">
        <f t="shared" si="24"/>
        <v>#REF!</v>
      </c>
      <c r="S12" s="208" t="str">
        <f t="shared" si="24"/>
        <v>#REF!</v>
      </c>
      <c r="T12" s="208" t="str">
        <f t="shared" si="24"/>
        <v>#REF!</v>
      </c>
      <c r="U12" s="208" t="str">
        <f t="shared" si="24"/>
        <v>#REF!</v>
      </c>
      <c r="V12" s="208" t="str">
        <f t="shared" si="24"/>
        <v>#REF!</v>
      </c>
      <c r="W12" s="208" t="str">
        <f t="shared" si="24"/>
        <v>#REF!</v>
      </c>
      <c r="X12" s="208" t="str">
        <f t="shared" si="24"/>
        <v>#REF!</v>
      </c>
    </row>
    <row r="13">
      <c r="A13" s="208" t="str">
        <f t="shared" ref="A13:O13" si="25">'Municipality Case Trends'!A17</f>
        <v>#REF!</v>
      </c>
      <c r="B13" s="208" t="str">
        <f t="shared" si="25"/>
        <v>#REF!</v>
      </c>
      <c r="C13" s="208" t="str">
        <f t="shared" si="25"/>
        <v>#REF!</v>
      </c>
      <c r="D13" s="208" t="str">
        <f t="shared" si="25"/>
        <v>#REF!</v>
      </c>
      <c r="E13" s="208" t="str">
        <f t="shared" si="25"/>
        <v>#REF!</v>
      </c>
      <c r="F13" s="208" t="str">
        <f t="shared" si="25"/>
        <v>#REF!</v>
      </c>
      <c r="G13" s="208" t="str">
        <f t="shared" si="25"/>
        <v>#REF!</v>
      </c>
      <c r="H13" s="208" t="str">
        <f t="shared" si="25"/>
        <v>#REF!</v>
      </c>
      <c r="I13" s="208" t="str">
        <f t="shared" si="25"/>
        <v>#REF!</v>
      </c>
      <c r="J13" s="208" t="str">
        <f t="shared" si="25"/>
        <v>#REF!</v>
      </c>
      <c r="K13" s="208" t="str">
        <f t="shared" si="25"/>
        <v>#REF!</v>
      </c>
      <c r="L13" s="208" t="str">
        <f t="shared" si="25"/>
        <v>#REF!</v>
      </c>
      <c r="M13" s="208" t="str">
        <f t="shared" si="25"/>
        <v>#REF!</v>
      </c>
      <c r="N13" s="208" t="str">
        <f t="shared" si="25"/>
        <v>#REF!</v>
      </c>
      <c r="O13" s="208" t="str">
        <f t="shared" si="25"/>
        <v>#REF!</v>
      </c>
      <c r="P13" s="208" t="str">
        <f t="shared" ref="P13:X13" si="26">#REF!</f>
        <v>#REF!</v>
      </c>
      <c r="Q13" s="208" t="str">
        <f t="shared" si="26"/>
        <v>#REF!</v>
      </c>
      <c r="R13" s="208" t="str">
        <f t="shared" si="26"/>
        <v>#REF!</v>
      </c>
      <c r="S13" s="208" t="str">
        <f t="shared" si="26"/>
        <v>#REF!</v>
      </c>
      <c r="T13" s="208" t="str">
        <f t="shared" si="26"/>
        <v>#REF!</v>
      </c>
      <c r="U13" s="208" t="str">
        <f t="shared" si="26"/>
        <v>#REF!</v>
      </c>
      <c r="V13" s="208" t="str">
        <f t="shared" si="26"/>
        <v>#REF!</v>
      </c>
      <c r="W13" s="208" t="str">
        <f t="shared" si="26"/>
        <v>#REF!</v>
      </c>
      <c r="X13" s="208" t="str">
        <f t="shared" si="26"/>
        <v>#REF!</v>
      </c>
    </row>
    <row r="14">
      <c r="A14" s="208" t="str">
        <f t="shared" ref="A14:O14" si="27">'Municipality Case Trends'!A18</f>
        <v>#REF!</v>
      </c>
      <c r="B14" s="208" t="str">
        <f t="shared" si="27"/>
        <v>#REF!</v>
      </c>
      <c r="C14" s="208" t="str">
        <f t="shared" si="27"/>
        <v>#REF!</v>
      </c>
      <c r="D14" s="208" t="str">
        <f t="shared" si="27"/>
        <v>#REF!</v>
      </c>
      <c r="E14" s="208" t="str">
        <f t="shared" si="27"/>
        <v>#REF!</v>
      </c>
      <c r="F14" s="208" t="str">
        <f t="shared" si="27"/>
        <v>#REF!</v>
      </c>
      <c r="G14" s="208" t="str">
        <f t="shared" si="27"/>
        <v>#REF!</v>
      </c>
      <c r="H14" s="208" t="str">
        <f t="shared" si="27"/>
        <v>#REF!</v>
      </c>
      <c r="I14" s="208" t="str">
        <f t="shared" si="27"/>
        <v>#REF!</v>
      </c>
      <c r="J14" s="208" t="str">
        <f t="shared" si="27"/>
        <v>#REF!</v>
      </c>
      <c r="K14" s="208" t="str">
        <f t="shared" si="27"/>
        <v>#REF!</v>
      </c>
      <c r="L14" s="208" t="str">
        <f t="shared" si="27"/>
        <v>#REF!</v>
      </c>
      <c r="M14" s="208" t="str">
        <f t="shared" si="27"/>
        <v>#REF!</v>
      </c>
      <c r="N14" s="208" t="str">
        <f t="shared" si="27"/>
        <v>#REF!</v>
      </c>
      <c r="O14" s="208" t="str">
        <f t="shared" si="27"/>
        <v>#REF!</v>
      </c>
      <c r="P14" s="208" t="str">
        <f t="shared" ref="P14:X14" si="28">#REF!</f>
        <v>#REF!</v>
      </c>
      <c r="Q14" s="208" t="str">
        <f t="shared" si="28"/>
        <v>#REF!</v>
      </c>
      <c r="R14" s="208" t="str">
        <f t="shared" si="28"/>
        <v>#REF!</v>
      </c>
      <c r="S14" s="208" t="str">
        <f t="shared" si="28"/>
        <v>#REF!</v>
      </c>
      <c r="T14" s="208" t="str">
        <f t="shared" si="28"/>
        <v>#REF!</v>
      </c>
      <c r="U14" s="208" t="str">
        <f t="shared" si="28"/>
        <v>#REF!</v>
      </c>
      <c r="V14" s="208" t="str">
        <f t="shared" si="28"/>
        <v>#REF!</v>
      </c>
      <c r="W14" s="208" t="str">
        <f t="shared" si="28"/>
        <v>#REF!</v>
      </c>
      <c r="X14" s="208" t="str">
        <f t="shared" si="28"/>
        <v>#REF!</v>
      </c>
    </row>
    <row r="15">
      <c r="A15" s="208" t="str">
        <f t="shared" ref="A15:O15" si="29">'Municipality Case Trends'!A19</f>
        <v>#REF!</v>
      </c>
      <c r="B15" s="208" t="str">
        <f t="shared" si="29"/>
        <v>#REF!</v>
      </c>
      <c r="C15" s="208" t="str">
        <f t="shared" si="29"/>
        <v>#REF!</v>
      </c>
      <c r="D15" s="208" t="str">
        <f t="shared" si="29"/>
        <v>#REF!</v>
      </c>
      <c r="E15" s="208" t="str">
        <f t="shared" si="29"/>
        <v>#REF!</v>
      </c>
      <c r="F15" s="208" t="str">
        <f t="shared" si="29"/>
        <v>#REF!</v>
      </c>
      <c r="G15" s="208" t="str">
        <f t="shared" si="29"/>
        <v>#REF!</v>
      </c>
      <c r="H15" s="208" t="str">
        <f t="shared" si="29"/>
        <v>#REF!</v>
      </c>
      <c r="I15" s="208" t="str">
        <f t="shared" si="29"/>
        <v>#REF!</v>
      </c>
      <c r="J15" s="208" t="str">
        <f t="shared" si="29"/>
        <v>#REF!</v>
      </c>
      <c r="K15" s="208" t="str">
        <f t="shared" si="29"/>
        <v>#REF!</v>
      </c>
      <c r="L15" s="208" t="str">
        <f t="shared" si="29"/>
        <v>#REF!</v>
      </c>
      <c r="M15" s="208" t="str">
        <f t="shared" si="29"/>
        <v>#REF!</v>
      </c>
      <c r="N15" s="208" t="str">
        <f t="shared" si="29"/>
        <v>#REF!</v>
      </c>
      <c r="O15" s="208" t="str">
        <f t="shared" si="29"/>
        <v>#REF!</v>
      </c>
      <c r="P15" s="208" t="str">
        <f t="shared" ref="P15:X15" si="30">#REF!</f>
        <v>#REF!</v>
      </c>
      <c r="Q15" s="208" t="str">
        <f t="shared" si="30"/>
        <v>#REF!</v>
      </c>
      <c r="R15" s="208" t="str">
        <f t="shared" si="30"/>
        <v>#REF!</v>
      </c>
      <c r="S15" s="208" t="str">
        <f t="shared" si="30"/>
        <v>#REF!</v>
      </c>
      <c r="T15" s="208" t="str">
        <f t="shared" si="30"/>
        <v>#REF!</v>
      </c>
      <c r="U15" s="208" t="str">
        <f t="shared" si="30"/>
        <v>#REF!</v>
      </c>
      <c r="V15" s="208" t="str">
        <f t="shared" si="30"/>
        <v>#REF!</v>
      </c>
      <c r="W15" s="208" t="str">
        <f t="shared" si="30"/>
        <v>#REF!</v>
      </c>
      <c r="X15" s="208" t="str">
        <f t="shared" si="30"/>
        <v>#REF!</v>
      </c>
    </row>
    <row r="16">
      <c r="A16" s="208" t="str">
        <f t="shared" ref="A16:O16" si="31">'Municipality Case Trends'!A20</f>
        <v>#REF!</v>
      </c>
      <c r="B16" s="208" t="str">
        <f t="shared" si="31"/>
        <v>#REF!</v>
      </c>
      <c r="C16" s="208" t="str">
        <f t="shared" si="31"/>
        <v>#REF!</v>
      </c>
      <c r="D16" s="208" t="str">
        <f t="shared" si="31"/>
        <v>#REF!</v>
      </c>
      <c r="E16" s="208" t="str">
        <f t="shared" si="31"/>
        <v>#REF!</v>
      </c>
      <c r="F16" s="208" t="str">
        <f t="shared" si="31"/>
        <v>#REF!</v>
      </c>
      <c r="G16" s="208" t="str">
        <f t="shared" si="31"/>
        <v>#REF!</v>
      </c>
      <c r="H16" s="208" t="str">
        <f t="shared" si="31"/>
        <v>#REF!</v>
      </c>
      <c r="I16" s="208" t="str">
        <f t="shared" si="31"/>
        <v>#REF!</v>
      </c>
      <c r="J16" s="208" t="str">
        <f t="shared" si="31"/>
        <v>#REF!</v>
      </c>
      <c r="K16" s="208" t="str">
        <f t="shared" si="31"/>
        <v>#REF!</v>
      </c>
      <c r="L16" s="208" t="str">
        <f t="shared" si="31"/>
        <v>#REF!</v>
      </c>
      <c r="M16" s="208" t="str">
        <f t="shared" si="31"/>
        <v>#REF!</v>
      </c>
      <c r="N16" s="208" t="str">
        <f t="shared" si="31"/>
        <v>#REF!</v>
      </c>
      <c r="O16" s="208" t="str">
        <f t="shared" si="31"/>
        <v>#REF!</v>
      </c>
      <c r="P16" s="208" t="str">
        <f t="shared" ref="P16:X16" si="32">#REF!</f>
        <v>#REF!</v>
      </c>
      <c r="Q16" s="208" t="str">
        <f t="shared" si="32"/>
        <v>#REF!</v>
      </c>
      <c r="R16" s="208" t="str">
        <f t="shared" si="32"/>
        <v>#REF!</v>
      </c>
      <c r="S16" s="208" t="str">
        <f t="shared" si="32"/>
        <v>#REF!</v>
      </c>
      <c r="T16" s="208" t="str">
        <f t="shared" si="32"/>
        <v>#REF!</v>
      </c>
      <c r="U16" s="208" t="str">
        <f t="shared" si="32"/>
        <v>#REF!</v>
      </c>
      <c r="V16" s="208" t="str">
        <f t="shared" si="32"/>
        <v>#REF!</v>
      </c>
      <c r="W16" s="208" t="str">
        <f t="shared" si="32"/>
        <v>#REF!</v>
      </c>
      <c r="X16" s="208" t="str">
        <f t="shared" si="32"/>
        <v>#REF!</v>
      </c>
    </row>
    <row r="17">
      <c r="A17" s="208" t="str">
        <f t="shared" ref="A17:O17" si="33">'Municipality Case Trends'!A21</f>
        <v>#REF!</v>
      </c>
      <c r="B17" s="208" t="str">
        <f t="shared" si="33"/>
        <v>#REF!</v>
      </c>
      <c r="C17" s="208" t="str">
        <f t="shared" si="33"/>
        <v>#REF!</v>
      </c>
      <c r="D17" s="208" t="str">
        <f t="shared" si="33"/>
        <v>#REF!</v>
      </c>
      <c r="E17" s="208" t="str">
        <f t="shared" si="33"/>
        <v>#REF!</v>
      </c>
      <c r="F17" s="208" t="str">
        <f t="shared" si="33"/>
        <v>#REF!</v>
      </c>
      <c r="G17" s="208" t="str">
        <f t="shared" si="33"/>
        <v>#REF!</v>
      </c>
      <c r="H17" s="208" t="str">
        <f t="shared" si="33"/>
        <v>#REF!</v>
      </c>
      <c r="I17" s="208" t="str">
        <f t="shared" si="33"/>
        <v>#REF!</v>
      </c>
      <c r="J17" s="208" t="str">
        <f t="shared" si="33"/>
        <v>#REF!</v>
      </c>
      <c r="K17" s="208" t="str">
        <f t="shared" si="33"/>
        <v>#REF!</v>
      </c>
      <c r="L17" s="208" t="str">
        <f t="shared" si="33"/>
        <v>#REF!</v>
      </c>
      <c r="M17" s="208" t="str">
        <f t="shared" si="33"/>
        <v>#REF!</v>
      </c>
      <c r="N17" s="208" t="str">
        <f t="shared" si="33"/>
        <v>#REF!</v>
      </c>
      <c r="O17" s="208" t="str">
        <f t="shared" si="33"/>
        <v>#REF!</v>
      </c>
      <c r="P17" s="208" t="str">
        <f t="shared" ref="P17:X17" si="34">#REF!</f>
        <v>#REF!</v>
      </c>
      <c r="Q17" s="208" t="str">
        <f t="shared" si="34"/>
        <v>#REF!</v>
      </c>
      <c r="R17" s="208" t="str">
        <f t="shared" si="34"/>
        <v>#REF!</v>
      </c>
      <c r="S17" s="208" t="str">
        <f t="shared" si="34"/>
        <v>#REF!</v>
      </c>
      <c r="T17" s="208" t="str">
        <f t="shared" si="34"/>
        <v>#REF!</v>
      </c>
      <c r="U17" s="208" t="str">
        <f t="shared" si="34"/>
        <v>#REF!</v>
      </c>
      <c r="V17" s="208" t="str">
        <f t="shared" si="34"/>
        <v>#REF!</v>
      </c>
      <c r="W17" s="208" t="str">
        <f t="shared" si="34"/>
        <v>#REF!</v>
      </c>
      <c r="X17" s="208" t="str">
        <f t="shared" si="34"/>
        <v>#REF!</v>
      </c>
    </row>
    <row r="18">
      <c r="A18" s="208" t="str">
        <f t="shared" ref="A18:O18" si="35">'Municipality Case Trends'!A22</f>
        <v>#REF!</v>
      </c>
      <c r="B18" s="208" t="str">
        <f t="shared" si="35"/>
        <v>#REF!</v>
      </c>
      <c r="C18" s="208" t="str">
        <f t="shared" si="35"/>
        <v>#REF!</v>
      </c>
      <c r="D18" s="208" t="str">
        <f t="shared" si="35"/>
        <v>#REF!</v>
      </c>
      <c r="E18" s="208" t="str">
        <f t="shared" si="35"/>
        <v>#REF!</v>
      </c>
      <c r="F18" s="208" t="str">
        <f t="shared" si="35"/>
        <v>#REF!</v>
      </c>
      <c r="G18" s="208" t="str">
        <f t="shared" si="35"/>
        <v>#REF!</v>
      </c>
      <c r="H18" s="208" t="str">
        <f t="shared" si="35"/>
        <v>#REF!</v>
      </c>
      <c r="I18" s="208" t="str">
        <f t="shared" si="35"/>
        <v>#REF!</v>
      </c>
      <c r="J18" s="208" t="str">
        <f t="shared" si="35"/>
        <v>#REF!</v>
      </c>
      <c r="K18" s="208" t="str">
        <f t="shared" si="35"/>
        <v>#REF!</v>
      </c>
      <c r="L18" s="208" t="str">
        <f t="shared" si="35"/>
        <v>#REF!</v>
      </c>
      <c r="M18" s="208" t="str">
        <f t="shared" si="35"/>
        <v>#REF!</v>
      </c>
      <c r="N18" s="208" t="str">
        <f t="shared" si="35"/>
        <v>#REF!</v>
      </c>
      <c r="O18" s="208" t="str">
        <f t="shared" si="35"/>
        <v>#REF!</v>
      </c>
      <c r="P18" s="208" t="str">
        <f t="shared" ref="P18:X18" si="36">#REF!</f>
        <v>#REF!</v>
      </c>
      <c r="Q18" s="208" t="str">
        <f t="shared" si="36"/>
        <v>#REF!</v>
      </c>
      <c r="R18" s="208" t="str">
        <f t="shared" si="36"/>
        <v>#REF!</v>
      </c>
      <c r="S18" s="208" t="str">
        <f t="shared" si="36"/>
        <v>#REF!</v>
      </c>
      <c r="T18" s="208" t="str">
        <f t="shared" si="36"/>
        <v>#REF!</v>
      </c>
      <c r="U18" s="208" t="str">
        <f t="shared" si="36"/>
        <v>#REF!</v>
      </c>
      <c r="V18" s="208" t="str">
        <f t="shared" si="36"/>
        <v>#REF!</v>
      </c>
      <c r="W18" s="208" t="str">
        <f t="shared" si="36"/>
        <v>#REF!</v>
      </c>
      <c r="X18" s="208" t="str">
        <f t="shared" si="36"/>
        <v>#REF!</v>
      </c>
    </row>
    <row r="19">
      <c r="A19" s="208" t="str">
        <f t="shared" ref="A19:O19" si="37">'Municipality Case Trends'!A23</f>
        <v>#REF!</v>
      </c>
      <c r="B19" s="208" t="str">
        <f t="shared" si="37"/>
        <v>#REF!</v>
      </c>
      <c r="C19" s="208" t="str">
        <f t="shared" si="37"/>
        <v>#REF!</v>
      </c>
      <c r="D19" s="208" t="str">
        <f t="shared" si="37"/>
        <v>#REF!</v>
      </c>
      <c r="E19" s="208" t="str">
        <f t="shared" si="37"/>
        <v>#REF!</v>
      </c>
      <c r="F19" s="208" t="str">
        <f t="shared" si="37"/>
        <v>#REF!</v>
      </c>
      <c r="G19" s="208" t="str">
        <f t="shared" si="37"/>
        <v>#REF!</v>
      </c>
      <c r="H19" s="208" t="str">
        <f t="shared" si="37"/>
        <v>#REF!</v>
      </c>
      <c r="I19" s="208" t="str">
        <f t="shared" si="37"/>
        <v>#REF!</v>
      </c>
      <c r="J19" s="208" t="str">
        <f t="shared" si="37"/>
        <v>#REF!</v>
      </c>
      <c r="K19" s="208" t="str">
        <f t="shared" si="37"/>
        <v>#REF!</v>
      </c>
      <c r="L19" s="208" t="str">
        <f t="shared" si="37"/>
        <v>#REF!</v>
      </c>
      <c r="M19" s="208" t="str">
        <f t="shared" si="37"/>
        <v>#REF!</v>
      </c>
      <c r="N19" s="208" t="str">
        <f t="shared" si="37"/>
        <v>#REF!</v>
      </c>
      <c r="O19" s="208" t="str">
        <f t="shared" si="37"/>
        <v>#REF!</v>
      </c>
      <c r="P19" s="208" t="str">
        <f t="shared" ref="P19:X19" si="38">#REF!</f>
        <v>#REF!</v>
      </c>
      <c r="Q19" s="208" t="str">
        <f t="shared" si="38"/>
        <v>#REF!</v>
      </c>
      <c r="R19" s="208" t="str">
        <f t="shared" si="38"/>
        <v>#REF!</v>
      </c>
      <c r="S19" s="208" t="str">
        <f t="shared" si="38"/>
        <v>#REF!</v>
      </c>
      <c r="T19" s="208" t="str">
        <f t="shared" si="38"/>
        <v>#REF!</v>
      </c>
      <c r="U19" s="208" t="str">
        <f t="shared" si="38"/>
        <v>#REF!</v>
      </c>
      <c r="V19" s="208" t="str">
        <f t="shared" si="38"/>
        <v>#REF!</v>
      </c>
      <c r="W19" s="208" t="str">
        <f t="shared" si="38"/>
        <v>#REF!</v>
      </c>
      <c r="X19" s="208" t="str">
        <f t="shared" si="38"/>
        <v>#REF!</v>
      </c>
    </row>
    <row r="20">
      <c r="A20" s="208" t="str">
        <f t="shared" ref="A20:O20" si="39">'Municipality Case Trends'!A24</f>
        <v>#REF!</v>
      </c>
      <c r="B20" s="208" t="str">
        <f t="shared" si="39"/>
        <v>#REF!</v>
      </c>
      <c r="C20" s="208" t="str">
        <f t="shared" si="39"/>
        <v>#REF!</v>
      </c>
      <c r="D20" s="208" t="str">
        <f t="shared" si="39"/>
        <v>#REF!</v>
      </c>
      <c r="E20" s="208" t="str">
        <f t="shared" si="39"/>
        <v>#REF!</v>
      </c>
      <c r="F20" s="208" t="str">
        <f t="shared" si="39"/>
        <v>#REF!</v>
      </c>
      <c r="G20" s="208" t="str">
        <f t="shared" si="39"/>
        <v>#REF!</v>
      </c>
      <c r="H20" s="208" t="str">
        <f t="shared" si="39"/>
        <v>#REF!</v>
      </c>
      <c r="I20" s="208" t="str">
        <f t="shared" si="39"/>
        <v>#REF!</v>
      </c>
      <c r="J20" s="208" t="str">
        <f t="shared" si="39"/>
        <v>#REF!</v>
      </c>
      <c r="K20" s="208" t="str">
        <f t="shared" si="39"/>
        <v>#REF!</v>
      </c>
      <c r="L20" s="208" t="str">
        <f t="shared" si="39"/>
        <v>#REF!</v>
      </c>
      <c r="M20" s="208" t="str">
        <f t="shared" si="39"/>
        <v>#REF!</v>
      </c>
      <c r="N20" s="208" t="str">
        <f t="shared" si="39"/>
        <v>#REF!</v>
      </c>
      <c r="O20" s="208" t="str">
        <f t="shared" si="39"/>
        <v>#REF!</v>
      </c>
      <c r="P20" s="208" t="str">
        <f t="shared" ref="P20:X20" si="40">#REF!</f>
        <v>#REF!</v>
      </c>
      <c r="Q20" s="208" t="str">
        <f t="shared" si="40"/>
        <v>#REF!</v>
      </c>
      <c r="R20" s="208" t="str">
        <f t="shared" si="40"/>
        <v>#REF!</v>
      </c>
      <c r="S20" s="208" t="str">
        <f t="shared" si="40"/>
        <v>#REF!</v>
      </c>
      <c r="T20" s="208" t="str">
        <f t="shared" si="40"/>
        <v>#REF!</v>
      </c>
      <c r="U20" s="208" t="str">
        <f t="shared" si="40"/>
        <v>#REF!</v>
      </c>
      <c r="V20" s="208" t="str">
        <f t="shared" si="40"/>
        <v>#REF!</v>
      </c>
      <c r="W20" s="208" t="str">
        <f t="shared" si="40"/>
        <v>#REF!</v>
      </c>
      <c r="X20" s="208" t="str">
        <f t="shared" si="40"/>
        <v>#REF!</v>
      </c>
    </row>
    <row r="21">
      <c r="A21" s="208" t="str">
        <f t="shared" ref="A21:O21" si="41">'Municipality Case Trends'!A25</f>
        <v>#REF!</v>
      </c>
      <c r="B21" s="208" t="str">
        <f t="shared" si="41"/>
        <v>#REF!</v>
      </c>
      <c r="C21" s="208" t="str">
        <f t="shared" si="41"/>
        <v>#REF!</v>
      </c>
      <c r="D21" s="208" t="str">
        <f t="shared" si="41"/>
        <v>#REF!</v>
      </c>
      <c r="E21" s="208" t="str">
        <f t="shared" si="41"/>
        <v>#REF!</v>
      </c>
      <c r="F21" s="208" t="str">
        <f t="shared" si="41"/>
        <v>#REF!</v>
      </c>
      <c r="G21" s="208" t="str">
        <f t="shared" si="41"/>
        <v>#REF!</v>
      </c>
      <c r="H21" s="208" t="str">
        <f t="shared" si="41"/>
        <v>#REF!</v>
      </c>
      <c r="I21" s="208" t="str">
        <f t="shared" si="41"/>
        <v>#REF!</v>
      </c>
      <c r="J21" s="208" t="str">
        <f t="shared" si="41"/>
        <v>#REF!</v>
      </c>
      <c r="K21" s="208" t="str">
        <f t="shared" si="41"/>
        <v>#REF!</v>
      </c>
      <c r="L21" s="208" t="str">
        <f t="shared" si="41"/>
        <v>#REF!</v>
      </c>
      <c r="M21" s="208" t="str">
        <f t="shared" si="41"/>
        <v>#REF!</v>
      </c>
      <c r="N21" s="208" t="str">
        <f t="shared" si="41"/>
        <v>#REF!</v>
      </c>
      <c r="O21" s="208" t="str">
        <f t="shared" si="41"/>
        <v>#REF!</v>
      </c>
      <c r="P21" s="208" t="str">
        <f t="shared" ref="P21:X21" si="42">#REF!</f>
        <v>#REF!</v>
      </c>
      <c r="Q21" s="208" t="str">
        <f t="shared" si="42"/>
        <v>#REF!</v>
      </c>
      <c r="R21" s="208" t="str">
        <f t="shared" si="42"/>
        <v>#REF!</v>
      </c>
      <c r="S21" s="208" t="str">
        <f t="shared" si="42"/>
        <v>#REF!</v>
      </c>
      <c r="T21" s="208" t="str">
        <f t="shared" si="42"/>
        <v>#REF!</v>
      </c>
      <c r="U21" s="208" t="str">
        <f t="shared" si="42"/>
        <v>#REF!</v>
      </c>
      <c r="V21" s="208" t="str">
        <f t="shared" si="42"/>
        <v>#REF!</v>
      </c>
      <c r="W21" s="208" t="str">
        <f t="shared" si="42"/>
        <v>#REF!</v>
      </c>
      <c r="X21" s="208" t="str">
        <f t="shared" si="42"/>
        <v>#REF!</v>
      </c>
    </row>
    <row r="22">
      <c r="A22" s="208" t="str">
        <f t="shared" ref="A22:O22" si="43">'Municipality Case Trends'!A26</f>
        <v>#REF!</v>
      </c>
      <c r="B22" s="208" t="str">
        <f t="shared" si="43"/>
        <v>#REF!</v>
      </c>
      <c r="C22" s="208" t="str">
        <f t="shared" si="43"/>
        <v>#REF!</v>
      </c>
      <c r="D22" s="208" t="str">
        <f t="shared" si="43"/>
        <v>#REF!</v>
      </c>
      <c r="E22" s="208" t="str">
        <f t="shared" si="43"/>
        <v>#REF!</v>
      </c>
      <c r="F22" s="208" t="str">
        <f t="shared" si="43"/>
        <v>#REF!</v>
      </c>
      <c r="G22" s="208" t="str">
        <f t="shared" si="43"/>
        <v>#REF!</v>
      </c>
      <c r="H22" s="208" t="str">
        <f t="shared" si="43"/>
        <v>#REF!</v>
      </c>
      <c r="I22" s="208" t="str">
        <f t="shared" si="43"/>
        <v>#REF!</v>
      </c>
      <c r="J22" s="208" t="str">
        <f t="shared" si="43"/>
        <v>#REF!</v>
      </c>
      <c r="K22" s="208" t="str">
        <f t="shared" si="43"/>
        <v>#REF!</v>
      </c>
      <c r="L22" s="208" t="str">
        <f t="shared" si="43"/>
        <v>#REF!</v>
      </c>
      <c r="M22" s="208" t="str">
        <f t="shared" si="43"/>
        <v>#REF!</v>
      </c>
      <c r="N22" s="208" t="str">
        <f t="shared" si="43"/>
        <v>#REF!</v>
      </c>
      <c r="O22" s="208" t="str">
        <f t="shared" si="43"/>
        <v>#REF!</v>
      </c>
      <c r="P22" s="208" t="str">
        <f t="shared" ref="P22:X22" si="44">#REF!</f>
        <v>#REF!</v>
      </c>
      <c r="Q22" s="208" t="str">
        <f t="shared" si="44"/>
        <v>#REF!</v>
      </c>
      <c r="R22" s="208" t="str">
        <f t="shared" si="44"/>
        <v>#REF!</v>
      </c>
      <c r="S22" s="208" t="str">
        <f t="shared" si="44"/>
        <v>#REF!</v>
      </c>
      <c r="T22" s="208" t="str">
        <f t="shared" si="44"/>
        <v>#REF!</v>
      </c>
      <c r="U22" s="208" t="str">
        <f t="shared" si="44"/>
        <v>#REF!</v>
      </c>
      <c r="V22" s="208" t="str">
        <f t="shared" si="44"/>
        <v>#REF!</v>
      </c>
      <c r="W22" s="208" t="str">
        <f t="shared" si="44"/>
        <v>#REF!</v>
      </c>
      <c r="X22" s="208" t="str">
        <f t="shared" si="44"/>
        <v>#REF!</v>
      </c>
    </row>
    <row r="23">
      <c r="A23" s="208" t="str">
        <f t="shared" ref="A23:O23" si="45">'Municipality Case Trends'!A27</f>
        <v>#REF!</v>
      </c>
      <c r="B23" s="208" t="str">
        <f t="shared" si="45"/>
        <v>#REF!</v>
      </c>
      <c r="C23" s="208" t="str">
        <f t="shared" si="45"/>
        <v>#REF!</v>
      </c>
      <c r="D23" s="208" t="str">
        <f t="shared" si="45"/>
        <v>#REF!</v>
      </c>
      <c r="E23" s="208" t="str">
        <f t="shared" si="45"/>
        <v>#REF!</v>
      </c>
      <c r="F23" s="208" t="str">
        <f t="shared" si="45"/>
        <v>#REF!</v>
      </c>
      <c r="G23" s="208" t="str">
        <f t="shared" si="45"/>
        <v>#REF!</v>
      </c>
      <c r="H23" s="208" t="str">
        <f t="shared" si="45"/>
        <v>#REF!</v>
      </c>
      <c r="I23" s="208" t="str">
        <f t="shared" si="45"/>
        <v>#REF!</v>
      </c>
      <c r="J23" s="208" t="str">
        <f t="shared" si="45"/>
        <v>#REF!</v>
      </c>
      <c r="K23" s="208" t="str">
        <f t="shared" si="45"/>
        <v>#REF!</v>
      </c>
      <c r="L23" s="208" t="str">
        <f t="shared" si="45"/>
        <v>#REF!</v>
      </c>
      <c r="M23" s="208" t="str">
        <f t="shared" si="45"/>
        <v>#REF!</v>
      </c>
      <c r="N23" s="208" t="str">
        <f t="shared" si="45"/>
        <v>#REF!</v>
      </c>
      <c r="O23" s="208" t="str">
        <f t="shared" si="45"/>
        <v>#REF!</v>
      </c>
      <c r="P23" s="208" t="str">
        <f t="shared" ref="P23:X23" si="46">#REF!</f>
        <v>#REF!</v>
      </c>
      <c r="Q23" s="208" t="str">
        <f t="shared" si="46"/>
        <v>#REF!</v>
      </c>
      <c r="R23" s="208" t="str">
        <f t="shared" si="46"/>
        <v>#REF!</v>
      </c>
      <c r="S23" s="208" t="str">
        <f t="shared" si="46"/>
        <v>#REF!</v>
      </c>
      <c r="T23" s="208" t="str">
        <f t="shared" si="46"/>
        <v>#REF!</v>
      </c>
      <c r="U23" s="208" t="str">
        <f t="shared" si="46"/>
        <v>#REF!</v>
      </c>
      <c r="V23" s="208" t="str">
        <f t="shared" si="46"/>
        <v>#REF!</v>
      </c>
      <c r="W23" s="208" t="str">
        <f t="shared" si="46"/>
        <v>#REF!</v>
      </c>
      <c r="X23" s="208" t="str">
        <f t="shared" si="46"/>
        <v>#REF!</v>
      </c>
    </row>
    <row r="24">
      <c r="A24" s="208" t="str">
        <f t="shared" ref="A24:O24" si="47">'Municipality Case Trends'!A28</f>
        <v>#REF!</v>
      </c>
      <c r="B24" s="208" t="str">
        <f t="shared" si="47"/>
        <v>#REF!</v>
      </c>
      <c r="C24" s="208" t="str">
        <f t="shared" si="47"/>
        <v>#REF!</v>
      </c>
      <c r="D24" s="208" t="str">
        <f t="shared" si="47"/>
        <v>#REF!</v>
      </c>
      <c r="E24" s="208" t="str">
        <f t="shared" si="47"/>
        <v>#REF!</v>
      </c>
      <c r="F24" s="208" t="str">
        <f t="shared" si="47"/>
        <v>#REF!</v>
      </c>
      <c r="G24" s="208" t="str">
        <f t="shared" si="47"/>
        <v>#REF!</v>
      </c>
      <c r="H24" s="208" t="str">
        <f t="shared" si="47"/>
        <v>#REF!</v>
      </c>
      <c r="I24" s="208" t="str">
        <f t="shared" si="47"/>
        <v>#REF!</v>
      </c>
      <c r="J24" s="208" t="str">
        <f t="shared" si="47"/>
        <v>#REF!</v>
      </c>
      <c r="K24" s="208" t="str">
        <f t="shared" si="47"/>
        <v>#REF!</v>
      </c>
      <c r="L24" s="208" t="str">
        <f t="shared" si="47"/>
        <v>#REF!</v>
      </c>
      <c r="M24" s="208" t="str">
        <f t="shared" si="47"/>
        <v>#REF!</v>
      </c>
      <c r="N24" s="208" t="str">
        <f t="shared" si="47"/>
        <v>#REF!</v>
      </c>
      <c r="O24" s="208" t="str">
        <f t="shared" si="47"/>
        <v>#REF!</v>
      </c>
      <c r="P24" s="208" t="str">
        <f t="shared" ref="P24:X24" si="48">#REF!</f>
        <v>#REF!</v>
      </c>
      <c r="Q24" s="208" t="str">
        <f t="shared" si="48"/>
        <v>#REF!</v>
      </c>
      <c r="R24" s="208" t="str">
        <f t="shared" si="48"/>
        <v>#REF!</v>
      </c>
      <c r="S24" s="208" t="str">
        <f t="shared" si="48"/>
        <v>#REF!</v>
      </c>
      <c r="T24" s="208" t="str">
        <f t="shared" si="48"/>
        <v>#REF!</v>
      </c>
      <c r="U24" s="208" t="str">
        <f t="shared" si="48"/>
        <v>#REF!</v>
      </c>
      <c r="V24" s="208" t="str">
        <f t="shared" si="48"/>
        <v>#REF!</v>
      </c>
      <c r="W24" s="208" t="str">
        <f t="shared" si="48"/>
        <v>#REF!</v>
      </c>
      <c r="X24" s="208" t="str">
        <f t="shared" si="48"/>
        <v>#REF!</v>
      </c>
    </row>
    <row r="25">
      <c r="A25" s="208" t="str">
        <f t="shared" ref="A25:O25" si="49">'Municipality Case Trends'!A29</f>
        <v>#REF!</v>
      </c>
      <c r="B25" s="208" t="str">
        <f t="shared" si="49"/>
        <v>#REF!</v>
      </c>
      <c r="C25" s="208" t="str">
        <f t="shared" si="49"/>
        <v>#REF!</v>
      </c>
      <c r="D25" s="208" t="str">
        <f t="shared" si="49"/>
        <v>#REF!</v>
      </c>
      <c r="E25" s="208" t="str">
        <f t="shared" si="49"/>
        <v>#REF!</v>
      </c>
      <c r="F25" s="208" t="str">
        <f t="shared" si="49"/>
        <v>#REF!</v>
      </c>
      <c r="G25" s="208" t="str">
        <f t="shared" si="49"/>
        <v>#REF!</v>
      </c>
      <c r="H25" s="208" t="str">
        <f t="shared" si="49"/>
        <v>#REF!</v>
      </c>
      <c r="I25" s="208" t="str">
        <f t="shared" si="49"/>
        <v>#REF!</v>
      </c>
      <c r="J25" s="208" t="str">
        <f t="shared" si="49"/>
        <v>#REF!</v>
      </c>
      <c r="K25" s="208" t="str">
        <f t="shared" si="49"/>
        <v>#REF!</v>
      </c>
      <c r="L25" s="208" t="str">
        <f t="shared" si="49"/>
        <v>#REF!</v>
      </c>
      <c r="M25" s="208" t="str">
        <f t="shared" si="49"/>
        <v>#REF!</v>
      </c>
      <c r="N25" s="208" t="str">
        <f t="shared" si="49"/>
        <v>#REF!</v>
      </c>
      <c r="O25" s="208" t="str">
        <f t="shared" si="49"/>
        <v>#REF!</v>
      </c>
      <c r="P25" s="208" t="str">
        <f t="shared" ref="P25:X25" si="50">#REF!</f>
        <v>#REF!</v>
      </c>
      <c r="Q25" s="208" t="str">
        <f t="shared" si="50"/>
        <v>#REF!</v>
      </c>
      <c r="R25" s="208" t="str">
        <f t="shared" si="50"/>
        <v>#REF!</v>
      </c>
      <c r="S25" s="208" t="str">
        <f t="shared" si="50"/>
        <v>#REF!</v>
      </c>
      <c r="T25" s="208" t="str">
        <f t="shared" si="50"/>
        <v>#REF!</v>
      </c>
      <c r="U25" s="208" t="str">
        <f t="shared" si="50"/>
        <v>#REF!</v>
      </c>
      <c r="V25" s="208" t="str">
        <f t="shared" si="50"/>
        <v>#REF!</v>
      </c>
      <c r="W25" s="208" t="str">
        <f t="shared" si="50"/>
        <v>#REF!</v>
      </c>
      <c r="X25" s="208" t="str">
        <f t="shared" si="50"/>
        <v>#REF!</v>
      </c>
    </row>
    <row r="26">
      <c r="A26" s="208" t="str">
        <f t="shared" ref="A26:O26" si="51">'Municipality Case Trends'!A30</f>
        <v>#REF!</v>
      </c>
      <c r="B26" s="208" t="str">
        <f t="shared" si="51"/>
        <v>#REF!</v>
      </c>
      <c r="C26" s="208" t="str">
        <f t="shared" si="51"/>
        <v>#REF!</v>
      </c>
      <c r="D26" s="208" t="str">
        <f t="shared" si="51"/>
        <v>#REF!</v>
      </c>
      <c r="E26" s="208" t="str">
        <f t="shared" si="51"/>
        <v>#REF!</v>
      </c>
      <c r="F26" s="208" t="str">
        <f t="shared" si="51"/>
        <v>#REF!</v>
      </c>
      <c r="G26" s="208" t="str">
        <f t="shared" si="51"/>
        <v>#REF!</v>
      </c>
      <c r="H26" s="208" t="str">
        <f t="shared" si="51"/>
        <v>#REF!</v>
      </c>
      <c r="I26" s="208" t="str">
        <f t="shared" si="51"/>
        <v>#REF!</v>
      </c>
      <c r="J26" s="208" t="str">
        <f t="shared" si="51"/>
        <v>#REF!</v>
      </c>
      <c r="K26" s="208" t="str">
        <f t="shared" si="51"/>
        <v>#REF!</v>
      </c>
      <c r="L26" s="208" t="str">
        <f t="shared" si="51"/>
        <v>#REF!</v>
      </c>
      <c r="M26" s="208" t="str">
        <f t="shared" si="51"/>
        <v>#REF!</v>
      </c>
      <c r="N26" s="208" t="str">
        <f t="shared" si="51"/>
        <v>#REF!</v>
      </c>
      <c r="O26" s="208" t="str">
        <f t="shared" si="51"/>
        <v>#REF!</v>
      </c>
      <c r="P26" s="208" t="str">
        <f t="shared" ref="P26:X26" si="52">#REF!</f>
        <v>#REF!</v>
      </c>
      <c r="Q26" s="208" t="str">
        <f t="shared" si="52"/>
        <v>#REF!</v>
      </c>
      <c r="R26" s="208" t="str">
        <f t="shared" si="52"/>
        <v>#REF!</v>
      </c>
      <c r="S26" s="208" t="str">
        <f t="shared" si="52"/>
        <v>#REF!</v>
      </c>
      <c r="T26" s="208" t="str">
        <f t="shared" si="52"/>
        <v>#REF!</v>
      </c>
      <c r="U26" s="208" t="str">
        <f t="shared" si="52"/>
        <v>#REF!</v>
      </c>
      <c r="V26" s="208" t="str">
        <f t="shared" si="52"/>
        <v>#REF!</v>
      </c>
      <c r="W26" s="208" t="str">
        <f t="shared" si="52"/>
        <v>#REF!</v>
      </c>
      <c r="X26" s="208" t="str">
        <f t="shared" si="52"/>
        <v>#REF!</v>
      </c>
    </row>
    <row r="27">
      <c r="A27" s="208" t="str">
        <f t="shared" ref="A27:O27" si="53">'Municipality Case Trends'!A31</f>
        <v>#REF!</v>
      </c>
      <c r="B27" s="208" t="str">
        <f t="shared" si="53"/>
        <v>#REF!</v>
      </c>
      <c r="C27" s="208" t="str">
        <f t="shared" si="53"/>
        <v>#REF!</v>
      </c>
      <c r="D27" s="208" t="str">
        <f t="shared" si="53"/>
        <v>#REF!</v>
      </c>
      <c r="E27" s="208" t="str">
        <f t="shared" si="53"/>
        <v>#REF!</v>
      </c>
      <c r="F27" s="208" t="str">
        <f t="shared" si="53"/>
        <v>#REF!</v>
      </c>
      <c r="G27" s="208" t="str">
        <f t="shared" si="53"/>
        <v>#REF!</v>
      </c>
      <c r="H27" s="208" t="str">
        <f t="shared" si="53"/>
        <v>#REF!</v>
      </c>
      <c r="I27" s="208" t="str">
        <f t="shared" si="53"/>
        <v>#REF!</v>
      </c>
      <c r="J27" s="208" t="str">
        <f t="shared" si="53"/>
        <v>#REF!</v>
      </c>
      <c r="K27" s="208" t="str">
        <f t="shared" si="53"/>
        <v>#REF!</v>
      </c>
      <c r="L27" s="208" t="str">
        <f t="shared" si="53"/>
        <v>#REF!</v>
      </c>
      <c r="M27" s="208" t="str">
        <f t="shared" si="53"/>
        <v>#REF!</v>
      </c>
      <c r="N27" s="208" t="str">
        <f t="shared" si="53"/>
        <v>#REF!</v>
      </c>
      <c r="O27" s="208" t="str">
        <f t="shared" si="53"/>
        <v>#REF!</v>
      </c>
      <c r="P27" s="208" t="str">
        <f t="shared" ref="P27:X27" si="54">#REF!</f>
        <v>#REF!</v>
      </c>
      <c r="Q27" s="208" t="str">
        <f t="shared" si="54"/>
        <v>#REF!</v>
      </c>
      <c r="R27" s="208" t="str">
        <f t="shared" si="54"/>
        <v>#REF!</v>
      </c>
      <c r="S27" s="208" t="str">
        <f t="shared" si="54"/>
        <v>#REF!</v>
      </c>
      <c r="T27" s="208" t="str">
        <f t="shared" si="54"/>
        <v>#REF!</v>
      </c>
      <c r="U27" s="208" t="str">
        <f t="shared" si="54"/>
        <v>#REF!</v>
      </c>
      <c r="V27" s="208" t="str">
        <f t="shared" si="54"/>
        <v>#REF!</v>
      </c>
      <c r="W27" s="208" t="str">
        <f t="shared" si="54"/>
        <v>#REF!</v>
      </c>
      <c r="X27" s="208" t="str">
        <f t="shared" si="54"/>
        <v>#REF!</v>
      </c>
    </row>
    <row r="28">
      <c r="A28" s="208" t="str">
        <f t="shared" ref="A28:O28" si="55">'Municipality Case Trends'!A32</f>
        <v>#REF!</v>
      </c>
      <c r="B28" s="208" t="str">
        <f t="shared" si="55"/>
        <v>#REF!</v>
      </c>
      <c r="C28" s="208" t="str">
        <f t="shared" si="55"/>
        <v>#REF!</v>
      </c>
      <c r="D28" s="208" t="str">
        <f t="shared" si="55"/>
        <v>#REF!</v>
      </c>
      <c r="E28" s="208" t="str">
        <f t="shared" si="55"/>
        <v>#REF!</v>
      </c>
      <c r="F28" s="208" t="str">
        <f t="shared" si="55"/>
        <v>#REF!</v>
      </c>
      <c r="G28" s="208" t="str">
        <f t="shared" si="55"/>
        <v>#REF!</v>
      </c>
      <c r="H28" s="208" t="str">
        <f t="shared" si="55"/>
        <v>#REF!</v>
      </c>
      <c r="I28" s="208" t="str">
        <f t="shared" si="55"/>
        <v>#REF!</v>
      </c>
      <c r="J28" s="208" t="str">
        <f t="shared" si="55"/>
        <v>#REF!</v>
      </c>
      <c r="K28" s="208" t="str">
        <f t="shared" si="55"/>
        <v>#REF!</v>
      </c>
      <c r="L28" s="208" t="str">
        <f t="shared" si="55"/>
        <v>#REF!</v>
      </c>
      <c r="M28" s="208" t="str">
        <f t="shared" si="55"/>
        <v>#REF!</v>
      </c>
      <c r="N28" s="208" t="str">
        <f t="shared" si="55"/>
        <v>#REF!</v>
      </c>
      <c r="O28" s="208" t="str">
        <f t="shared" si="55"/>
        <v>#REF!</v>
      </c>
      <c r="P28" s="208" t="str">
        <f t="shared" ref="P28:X28" si="56">#REF!</f>
        <v>#REF!</v>
      </c>
      <c r="Q28" s="208" t="str">
        <f t="shared" si="56"/>
        <v>#REF!</v>
      </c>
      <c r="R28" s="208" t="str">
        <f t="shared" si="56"/>
        <v>#REF!</v>
      </c>
      <c r="S28" s="208" t="str">
        <f t="shared" si="56"/>
        <v>#REF!</v>
      </c>
      <c r="T28" s="208" t="str">
        <f t="shared" si="56"/>
        <v>#REF!</v>
      </c>
      <c r="U28" s="208" t="str">
        <f t="shared" si="56"/>
        <v>#REF!</v>
      </c>
      <c r="V28" s="208" t="str">
        <f t="shared" si="56"/>
        <v>#REF!</v>
      </c>
      <c r="W28" s="208" t="str">
        <f t="shared" si="56"/>
        <v>#REF!</v>
      </c>
      <c r="X28" s="208" t="str">
        <f t="shared" si="56"/>
        <v>#REF!</v>
      </c>
    </row>
    <row r="29">
      <c r="A29" s="208" t="str">
        <f t="shared" ref="A29:O29" si="57">'Municipality Case Trends'!A33</f>
        <v>#REF!</v>
      </c>
      <c r="B29" s="208" t="str">
        <f t="shared" si="57"/>
        <v>#REF!</v>
      </c>
      <c r="C29" s="208" t="str">
        <f t="shared" si="57"/>
        <v>#REF!</v>
      </c>
      <c r="D29" s="208" t="str">
        <f t="shared" si="57"/>
        <v>#REF!</v>
      </c>
      <c r="E29" s="208" t="str">
        <f t="shared" si="57"/>
        <v>#REF!</v>
      </c>
      <c r="F29" s="208" t="str">
        <f t="shared" si="57"/>
        <v>#REF!</v>
      </c>
      <c r="G29" s="208" t="str">
        <f t="shared" si="57"/>
        <v>#REF!</v>
      </c>
      <c r="H29" s="208" t="str">
        <f t="shared" si="57"/>
        <v>#REF!</v>
      </c>
      <c r="I29" s="208" t="str">
        <f t="shared" si="57"/>
        <v>#REF!</v>
      </c>
      <c r="J29" s="208" t="str">
        <f t="shared" si="57"/>
        <v>#REF!</v>
      </c>
      <c r="K29" s="208" t="str">
        <f t="shared" si="57"/>
        <v>#REF!</v>
      </c>
      <c r="L29" s="208" t="str">
        <f t="shared" si="57"/>
        <v>#REF!</v>
      </c>
      <c r="M29" s="208" t="str">
        <f t="shared" si="57"/>
        <v>#REF!</v>
      </c>
      <c r="N29" s="208" t="str">
        <f t="shared" si="57"/>
        <v>#REF!</v>
      </c>
      <c r="O29" s="208" t="str">
        <f t="shared" si="57"/>
        <v>#REF!</v>
      </c>
      <c r="P29" s="208" t="str">
        <f t="shared" ref="P29:X29" si="58">#REF!</f>
        <v>#REF!</v>
      </c>
      <c r="Q29" s="208" t="str">
        <f t="shared" si="58"/>
        <v>#REF!</v>
      </c>
      <c r="R29" s="208" t="str">
        <f t="shared" si="58"/>
        <v>#REF!</v>
      </c>
      <c r="S29" s="208" t="str">
        <f t="shared" si="58"/>
        <v>#REF!</v>
      </c>
      <c r="T29" s="208" t="str">
        <f t="shared" si="58"/>
        <v>#REF!</v>
      </c>
      <c r="U29" s="208" t="str">
        <f t="shared" si="58"/>
        <v>#REF!</v>
      </c>
      <c r="V29" s="208" t="str">
        <f t="shared" si="58"/>
        <v>#REF!</v>
      </c>
      <c r="W29" s="208" t="str">
        <f t="shared" si="58"/>
        <v>#REF!</v>
      </c>
      <c r="X29" s="208" t="str">
        <f t="shared" si="58"/>
        <v>#REF!</v>
      </c>
    </row>
    <row r="30">
      <c r="A30" s="208" t="str">
        <f t="shared" ref="A30:O30" si="59">'Municipality Case Trends'!A34</f>
        <v>#REF!</v>
      </c>
      <c r="B30" s="208" t="str">
        <f t="shared" si="59"/>
        <v>#REF!</v>
      </c>
      <c r="C30" s="208" t="str">
        <f t="shared" si="59"/>
        <v>#REF!</v>
      </c>
      <c r="D30" s="208" t="str">
        <f t="shared" si="59"/>
        <v>#REF!</v>
      </c>
      <c r="E30" s="208" t="str">
        <f t="shared" si="59"/>
        <v>#REF!</v>
      </c>
      <c r="F30" s="208" t="str">
        <f t="shared" si="59"/>
        <v>#REF!</v>
      </c>
      <c r="G30" s="208" t="str">
        <f t="shared" si="59"/>
        <v>#REF!</v>
      </c>
      <c r="H30" s="208" t="str">
        <f t="shared" si="59"/>
        <v>#REF!</v>
      </c>
      <c r="I30" s="208" t="str">
        <f t="shared" si="59"/>
        <v>#REF!</v>
      </c>
      <c r="J30" s="208" t="str">
        <f t="shared" si="59"/>
        <v>#REF!</v>
      </c>
      <c r="K30" s="208" t="str">
        <f t="shared" si="59"/>
        <v>#REF!</v>
      </c>
      <c r="L30" s="208" t="str">
        <f t="shared" si="59"/>
        <v>#REF!</v>
      </c>
      <c r="M30" s="208" t="str">
        <f t="shared" si="59"/>
        <v>#REF!</v>
      </c>
      <c r="N30" s="208" t="str">
        <f t="shared" si="59"/>
        <v>#REF!</v>
      </c>
      <c r="O30" s="208" t="str">
        <f t="shared" si="59"/>
        <v>#REF!</v>
      </c>
      <c r="P30" s="208" t="str">
        <f t="shared" ref="P30:X30" si="60">#REF!</f>
        <v>#REF!</v>
      </c>
      <c r="Q30" s="208" t="str">
        <f t="shared" si="60"/>
        <v>#REF!</v>
      </c>
      <c r="R30" s="208" t="str">
        <f t="shared" si="60"/>
        <v>#REF!</v>
      </c>
      <c r="S30" s="208" t="str">
        <f t="shared" si="60"/>
        <v>#REF!</v>
      </c>
      <c r="T30" s="208" t="str">
        <f t="shared" si="60"/>
        <v>#REF!</v>
      </c>
      <c r="U30" s="208" t="str">
        <f t="shared" si="60"/>
        <v>#REF!</v>
      </c>
      <c r="V30" s="208" t="str">
        <f t="shared" si="60"/>
        <v>#REF!</v>
      </c>
      <c r="W30" s="208" t="str">
        <f t="shared" si="60"/>
        <v>#REF!</v>
      </c>
      <c r="X30" s="208" t="str">
        <f t="shared" si="60"/>
        <v>#REF!</v>
      </c>
    </row>
    <row r="31">
      <c r="A31" s="208" t="str">
        <f t="shared" ref="A31:O31" si="61">'Municipality Case Trends'!A35</f>
        <v>#REF!</v>
      </c>
      <c r="B31" s="208" t="str">
        <f t="shared" si="61"/>
        <v>#REF!</v>
      </c>
      <c r="C31" s="208" t="str">
        <f t="shared" si="61"/>
        <v>#REF!</v>
      </c>
      <c r="D31" s="208" t="str">
        <f t="shared" si="61"/>
        <v>#REF!</v>
      </c>
      <c r="E31" s="208" t="str">
        <f t="shared" si="61"/>
        <v>#REF!</v>
      </c>
      <c r="F31" s="208" t="str">
        <f t="shared" si="61"/>
        <v>#REF!</v>
      </c>
      <c r="G31" s="208" t="str">
        <f t="shared" si="61"/>
        <v>#REF!</v>
      </c>
      <c r="H31" s="208" t="str">
        <f t="shared" si="61"/>
        <v>#REF!</v>
      </c>
      <c r="I31" s="208" t="str">
        <f t="shared" si="61"/>
        <v>#REF!</v>
      </c>
      <c r="J31" s="208" t="str">
        <f t="shared" si="61"/>
        <v>#REF!</v>
      </c>
      <c r="K31" s="208" t="str">
        <f t="shared" si="61"/>
        <v>#REF!</v>
      </c>
      <c r="L31" s="208" t="str">
        <f t="shared" si="61"/>
        <v>#REF!</v>
      </c>
      <c r="M31" s="208" t="str">
        <f t="shared" si="61"/>
        <v>#REF!</v>
      </c>
      <c r="N31" s="208" t="str">
        <f t="shared" si="61"/>
        <v>#REF!</v>
      </c>
      <c r="O31" s="208" t="str">
        <f t="shared" si="61"/>
        <v>#REF!</v>
      </c>
      <c r="P31" s="208" t="str">
        <f t="shared" ref="P31:X31" si="62">#REF!</f>
        <v>#REF!</v>
      </c>
      <c r="Q31" s="208" t="str">
        <f t="shared" si="62"/>
        <v>#REF!</v>
      </c>
      <c r="R31" s="208" t="str">
        <f t="shared" si="62"/>
        <v>#REF!</v>
      </c>
      <c r="S31" s="208" t="str">
        <f t="shared" si="62"/>
        <v>#REF!</v>
      </c>
      <c r="T31" s="208" t="str">
        <f t="shared" si="62"/>
        <v>#REF!</v>
      </c>
      <c r="U31" s="208" t="str">
        <f t="shared" si="62"/>
        <v>#REF!</v>
      </c>
      <c r="V31" s="208" t="str">
        <f t="shared" si="62"/>
        <v>#REF!</v>
      </c>
      <c r="W31" s="208" t="str">
        <f t="shared" si="62"/>
        <v>#REF!</v>
      </c>
      <c r="X31" s="208" t="str">
        <f t="shared" si="62"/>
        <v>#REF!</v>
      </c>
    </row>
    <row r="32">
      <c r="A32" s="208" t="str">
        <f t="shared" ref="A32:O32" si="63">'Municipality Case Trends'!A36</f>
        <v>#REF!</v>
      </c>
      <c r="B32" s="208" t="str">
        <f t="shared" si="63"/>
        <v>#REF!</v>
      </c>
      <c r="C32" s="208" t="str">
        <f t="shared" si="63"/>
        <v>#REF!</v>
      </c>
      <c r="D32" s="208" t="str">
        <f t="shared" si="63"/>
        <v>#REF!</v>
      </c>
      <c r="E32" s="208" t="str">
        <f t="shared" si="63"/>
        <v>#REF!</v>
      </c>
      <c r="F32" s="208" t="str">
        <f t="shared" si="63"/>
        <v>#REF!</v>
      </c>
      <c r="G32" s="208" t="str">
        <f t="shared" si="63"/>
        <v>#REF!</v>
      </c>
      <c r="H32" s="208" t="str">
        <f t="shared" si="63"/>
        <v>#REF!</v>
      </c>
      <c r="I32" s="208" t="str">
        <f t="shared" si="63"/>
        <v>#REF!</v>
      </c>
      <c r="J32" s="208" t="str">
        <f t="shared" si="63"/>
        <v>#REF!</v>
      </c>
      <c r="K32" s="208" t="str">
        <f t="shared" si="63"/>
        <v>#REF!</v>
      </c>
      <c r="L32" s="208" t="str">
        <f t="shared" si="63"/>
        <v>#REF!</v>
      </c>
      <c r="M32" s="208" t="str">
        <f t="shared" si="63"/>
        <v>#REF!</v>
      </c>
      <c r="N32" s="208" t="str">
        <f t="shared" si="63"/>
        <v>#REF!</v>
      </c>
      <c r="O32" s="208" t="str">
        <f t="shared" si="63"/>
        <v>#REF!</v>
      </c>
      <c r="P32" s="208" t="str">
        <f t="shared" ref="P32:X32" si="64">#REF!</f>
        <v>#REF!</v>
      </c>
      <c r="Q32" s="208" t="str">
        <f t="shared" si="64"/>
        <v>#REF!</v>
      </c>
      <c r="R32" s="208" t="str">
        <f t="shared" si="64"/>
        <v>#REF!</v>
      </c>
      <c r="S32" s="208" t="str">
        <f t="shared" si="64"/>
        <v>#REF!</v>
      </c>
      <c r="T32" s="208" t="str">
        <f t="shared" si="64"/>
        <v>#REF!</v>
      </c>
      <c r="U32" s="208" t="str">
        <f t="shared" si="64"/>
        <v>#REF!</v>
      </c>
      <c r="V32" s="208" t="str">
        <f t="shared" si="64"/>
        <v>#REF!</v>
      </c>
      <c r="W32" s="208" t="str">
        <f t="shared" si="64"/>
        <v>#REF!</v>
      </c>
      <c r="X32" s="208" t="str">
        <f t="shared" si="64"/>
        <v>#REF!</v>
      </c>
    </row>
    <row r="33">
      <c r="A33" s="208" t="str">
        <f t="shared" ref="A33:O33" si="65">'Municipality Case Trends'!A37</f>
        <v>#REF!</v>
      </c>
      <c r="B33" s="208" t="str">
        <f t="shared" si="65"/>
        <v>#REF!</v>
      </c>
      <c r="C33" s="208" t="str">
        <f t="shared" si="65"/>
        <v>#REF!</v>
      </c>
      <c r="D33" s="208" t="str">
        <f t="shared" si="65"/>
        <v>#REF!</v>
      </c>
      <c r="E33" s="208" t="str">
        <f t="shared" si="65"/>
        <v>#REF!</v>
      </c>
      <c r="F33" s="208" t="str">
        <f t="shared" si="65"/>
        <v>#REF!</v>
      </c>
      <c r="G33" s="208" t="str">
        <f t="shared" si="65"/>
        <v>#REF!</v>
      </c>
      <c r="H33" s="208" t="str">
        <f t="shared" si="65"/>
        <v>#REF!</v>
      </c>
      <c r="I33" s="208" t="str">
        <f t="shared" si="65"/>
        <v>#REF!</v>
      </c>
      <c r="J33" s="208" t="str">
        <f t="shared" si="65"/>
        <v>#REF!</v>
      </c>
      <c r="K33" s="208" t="str">
        <f t="shared" si="65"/>
        <v>#REF!</v>
      </c>
      <c r="L33" s="208" t="str">
        <f t="shared" si="65"/>
        <v>#REF!</v>
      </c>
      <c r="M33" s="208" t="str">
        <f t="shared" si="65"/>
        <v>#REF!</v>
      </c>
      <c r="N33" s="208" t="str">
        <f t="shared" si="65"/>
        <v>#REF!</v>
      </c>
      <c r="O33" s="208" t="str">
        <f t="shared" si="65"/>
        <v>#REF!</v>
      </c>
      <c r="P33" s="208" t="str">
        <f t="shared" ref="P33:X33" si="66">#REF!</f>
        <v>#REF!</v>
      </c>
      <c r="Q33" s="208" t="str">
        <f t="shared" si="66"/>
        <v>#REF!</v>
      </c>
      <c r="R33" s="208" t="str">
        <f t="shared" si="66"/>
        <v>#REF!</v>
      </c>
      <c r="S33" s="208" t="str">
        <f t="shared" si="66"/>
        <v>#REF!</v>
      </c>
      <c r="T33" s="208" t="str">
        <f t="shared" si="66"/>
        <v>#REF!</v>
      </c>
      <c r="U33" s="208" t="str">
        <f t="shared" si="66"/>
        <v>#REF!</v>
      </c>
      <c r="V33" s="208" t="str">
        <f t="shared" si="66"/>
        <v>#REF!</v>
      </c>
      <c r="W33" s="208" t="str">
        <f t="shared" si="66"/>
        <v>#REF!</v>
      </c>
      <c r="X33" s="208" t="str">
        <f t="shared" si="66"/>
        <v>#REF!</v>
      </c>
    </row>
    <row r="34">
      <c r="A34" s="208" t="str">
        <f t="shared" ref="A34:O34" si="67">'Municipality Case Trends'!A38</f>
        <v>#REF!</v>
      </c>
      <c r="B34" s="208" t="str">
        <f t="shared" si="67"/>
        <v>#REF!</v>
      </c>
      <c r="C34" s="208" t="str">
        <f t="shared" si="67"/>
        <v>#REF!</v>
      </c>
      <c r="D34" s="208" t="str">
        <f t="shared" si="67"/>
        <v>#REF!</v>
      </c>
      <c r="E34" s="208" t="str">
        <f t="shared" si="67"/>
        <v>#REF!</v>
      </c>
      <c r="F34" s="208" t="str">
        <f t="shared" si="67"/>
        <v>#REF!</v>
      </c>
      <c r="G34" s="208" t="str">
        <f t="shared" si="67"/>
        <v>#REF!</v>
      </c>
      <c r="H34" s="208" t="str">
        <f t="shared" si="67"/>
        <v>#REF!</v>
      </c>
      <c r="I34" s="208" t="str">
        <f t="shared" si="67"/>
        <v>#REF!</v>
      </c>
      <c r="J34" s="208" t="str">
        <f t="shared" si="67"/>
        <v>#REF!</v>
      </c>
      <c r="K34" s="208" t="str">
        <f t="shared" si="67"/>
        <v>#REF!</v>
      </c>
      <c r="L34" s="208" t="str">
        <f t="shared" si="67"/>
        <v>#REF!</v>
      </c>
      <c r="M34" s="208" t="str">
        <f t="shared" si="67"/>
        <v>#REF!</v>
      </c>
      <c r="N34" s="208" t="str">
        <f t="shared" si="67"/>
        <v>#REF!</v>
      </c>
      <c r="O34" s="208" t="str">
        <f t="shared" si="67"/>
        <v>#REF!</v>
      </c>
      <c r="P34" s="208" t="str">
        <f t="shared" ref="P34:X34" si="68">#REF!</f>
        <v>#REF!</v>
      </c>
      <c r="Q34" s="208" t="str">
        <f t="shared" si="68"/>
        <v>#REF!</v>
      </c>
      <c r="R34" s="208" t="str">
        <f t="shared" si="68"/>
        <v>#REF!</v>
      </c>
      <c r="S34" s="208" t="str">
        <f t="shared" si="68"/>
        <v>#REF!</v>
      </c>
      <c r="T34" s="208" t="str">
        <f t="shared" si="68"/>
        <v>#REF!</v>
      </c>
      <c r="U34" s="208" t="str">
        <f t="shared" si="68"/>
        <v>#REF!</v>
      </c>
      <c r="V34" s="208" t="str">
        <f t="shared" si="68"/>
        <v>#REF!</v>
      </c>
      <c r="W34" s="208" t="str">
        <f t="shared" si="68"/>
        <v>#REF!</v>
      </c>
      <c r="X34" s="208" t="str">
        <f t="shared" si="68"/>
        <v>#REF!</v>
      </c>
    </row>
    <row r="35">
      <c r="A35" s="208" t="str">
        <f t="shared" ref="A35:O35" si="69">'Municipality Case Trends'!A39</f>
        <v>#REF!</v>
      </c>
      <c r="B35" s="208" t="str">
        <f t="shared" si="69"/>
        <v>#REF!</v>
      </c>
      <c r="C35" s="208" t="str">
        <f t="shared" si="69"/>
        <v>#REF!</v>
      </c>
      <c r="D35" s="208" t="str">
        <f t="shared" si="69"/>
        <v>#REF!</v>
      </c>
      <c r="E35" s="208" t="str">
        <f t="shared" si="69"/>
        <v>#REF!</v>
      </c>
      <c r="F35" s="208" t="str">
        <f t="shared" si="69"/>
        <v>#REF!</v>
      </c>
      <c r="G35" s="208" t="str">
        <f t="shared" si="69"/>
        <v>#REF!</v>
      </c>
      <c r="H35" s="208" t="str">
        <f t="shared" si="69"/>
        <v>#REF!</v>
      </c>
      <c r="I35" s="208" t="str">
        <f t="shared" si="69"/>
        <v>#REF!</v>
      </c>
      <c r="J35" s="208" t="str">
        <f t="shared" si="69"/>
        <v>#REF!</v>
      </c>
      <c r="K35" s="208" t="str">
        <f t="shared" si="69"/>
        <v>#REF!</v>
      </c>
      <c r="L35" s="208" t="str">
        <f t="shared" si="69"/>
        <v>#REF!</v>
      </c>
      <c r="M35" s="208" t="str">
        <f t="shared" si="69"/>
        <v>#REF!</v>
      </c>
      <c r="N35" s="208" t="str">
        <f t="shared" si="69"/>
        <v>#REF!</v>
      </c>
      <c r="O35" s="208" t="str">
        <f t="shared" si="69"/>
        <v>#REF!</v>
      </c>
      <c r="P35" s="208" t="str">
        <f t="shared" ref="P35:X35" si="70">#REF!</f>
        <v>#REF!</v>
      </c>
      <c r="Q35" s="208" t="str">
        <f t="shared" si="70"/>
        <v>#REF!</v>
      </c>
      <c r="R35" s="208" t="str">
        <f t="shared" si="70"/>
        <v>#REF!</v>
      </c>
      <c r="S35" s="208" t="str">
        <f t="shared" si="70"/>
        <v>#REF!</v>
      </c>
      <c r="T35" s="208" t="str">
        <f t="shared" si="70"/>
        <v>#REF!</v>
      </c>
      <c r="U35" s="208" t="str">
        <f t="shared" si="70"/>
        <v>#REF!</v>
      </c>
      <c r="V35" s="208" t="str">
        <f t="shared" si="70"/>
        <v>#REF!</v>
      </c>
      <c r="W35" s="208" t="str">
        <f t="shared" si="70"/>
        <v>#REF!</v>
      </c>
      <c r="X35" s="208" t="str">
        <f t="shared" si="70"/>
        <v>#REF!</v>
      </c>
    </row>
    <row r="36">
      <c r="A36" s="208" t="str">
        <f t="shared" ref="A36:O36" si="71">'Municipality Case Trends'!A40</f>
        <v>#REF!</v>
      </c>
      <c r="B36" s="208" t="str">
        <f t="shared" si="71"/>
        <v>#REF!</v>
      </c>
      <c r="C36" s="208" t="str">
        <f t="shared" si="71"/>
        <v>#REF!</v>
      </c>
      <c r="D36" s="208" t="str">
        <f t="shared" si="71"/>
        <v>#REF!</v>
      </c>
      <c r="E36" s="208" t="str">
        <f t="shared" si="71"/>
        <v>#REF!</v>
      </c>
      <c r="F36" s="208" t="str">
        <f t="shared" si="71"/>
        <v>#REF!</v>
      </c>
      <c r="G36" s="208" t="str">
        <f t="shared" si="71"/>
        <v>#REF!</v>
      </c>
      <c r="H36" s="208" t="str">
        <f t="shared" si="71"/>
        <v>#REF!</v>
      </c>
      <c r="I36" s="208" t="str">
        <f t="shared" si="71"/>
        <v>#REF!</v>
      </c>
      <c r="J36" s="208" t="str">
        <f t="shared" si="71"/>
        <v>#REF!</v>
      </c>
      <c r="K36" s="208" t="str">
        <f t="shared" si="71"/>
        <v>#REF!</v>
      </c>
      <c r="L36" s="208" t="str">
        <f t="shared" si="71"/>
        <v>#REF!</v>
      </c>
      <c r="M36" s="208" t="str">
        <f t="shared" si="71"/>
        <v>#REF!</v>
      </c>
      <c r="N36" s="208" t="str">
        <f t="shared" si="71"/>
        <v>#REF!</v>
      </c>
      <c r="O36" s="208" t="str">
        <f t="shared" si="71"/>
        <v>#REF!</v>
      </c>
      <c r="P36" s="208" t="str">
        <f t="shared" ref="P36:X36" si="72">#REF!</f>
        <v>#REF!</v>
      </c>
      <c r="Q36" s="208" t="str">
        <f t="shared" si="72"/>
        <v>#REF!</v>
      </c>
      <c r="R36" s="208" t="str">
        <f t="shared" si="72"/>
        <v>#REF!</v>
      </c>
      <c r="S36" s="208" t="str">
        <f t="shared" si="72"/>
        <v>#REF!</v>
      </c>
      <c r="T36" s="208" t="str">
        <f t="shared" si="72"/>
        <v>#REF!</v>
      </c>
      <c r="U36" s="208" t="str">
        <f t="shared" si="72"/>
        <v>#REF!</v>
      </c>
      <c r="V36" s="208" t="str">
        <f t="shared" si="72"/>
        <v>#REF!</v>
      </c>
      <c r="W36" s="208" t="str">
        <f t="shared" si="72"/>
        <v>#REF!</v>
      </c>
      <c r="X36" s="208" t="str">
        <f t="shared" si="72"/>
        <v>#REF!</v>
      </c>
    </row>
    <row r="37">
      <c r="A37" s="208" t="str">
        <f t="shared" ref="A37:O37" si="73">'Municipality Case Trends'!A41</f>
        <v>#REF!</v>
      </c>
      <c r="B37" s="208" t="str">
        <f t="shared" si="73"/>
        <v>#REF!</v>
      </c>
      <c r="C37" s="208" t="str">
        <f t="shared" si="73"/>
        <v>#REF!</v>
      </c>
      <c r="D37" s="208" t="str">
        <f t="shared" si="73"/>
        <v>#REF!</v>
      </c>
      <c r="E37" s="208" t="str">
        <f t="shared" si="73"/>
        <v>#REF!</v>
      </c>
      <c r="F37" s="208" t="str">
        <f t="shared" si="73"/>
        <v>#REF!</v>
      </c>
      <c r="G37" s="208" t="str">
        <f t="shared" si="73"/>
        <v>#REF!</v>
      </c>
      <c r="H37" s="208" t="str">
        <f t="shared" si="73"/>
        <v>#REF!</v>
      </c>
      <c r="I37" s="208" t="str">
        <f t="shared" si="73"/>
        <v>#REF!</v>
      </c>
      <c r="J37" s="208" t="str">
        <f t="shared" si="73"/>
        <v>#REF!</v>
      </c>
      <c r="K37" s="208" t="str">
        <f t="shared" si="73"/>
        <v>#REF!</v>
      </c>
      <c r="L37" s="208" t="str">
        <f t="shared" si="73"/>
        <v>#REF!</v>
      </c>
      <c r="M37" s="208" t="str">
        <f t="shared" si="73"/>
        <v>#REF!</v>
      </c>
      <c r="N37" s="208" t="str">
        <f t="shared" si="73"/>
        <v>#REF!</v>
      </c>
      <c r="O37" s="208" t="str">
        <f t="shared" si="73"/>
        <v>#REF!</v>
      </c>
      <c r="P37" s="208" t="str">
        <f t="shared" ref="P37:X37" si="74">#REF!</f>
        <v>#REF!</v>
      </c>
      <c r="Q37" s="208" t="str">
        <f t="shared" si="74"/>
        <v>#REF!</v>
      </c>
      <c r="R37" s="208" t="str">
        <f t="shared" si="74"/>
        <v>#REF!</v>
      </c>
      <c r="S37" s="208" t="str">
        <f t="shared" si="74"/>
        <v>#REF!</v>
      </c>
      <c r="T37" s="208" t="str">
        <f t="shared" si="74"/>
        <v>#REF!</v>
      </c>
      <c r="U37" s="208" t="str">
        <f t="shared" si="74"/>
        <v>#REF!</v>
      </c>
      <c r="V37" s="208" t="str">
        <f t="shared" si="74"/>
        <v>#REF!</v>
      </c>
      <c r="W37" s="208" t="str">
        <f t="shared" si="74"/>
        <v>#REF!</v>
      </c>
      <c r="X37" s="208" t="str">
        <f t="shared" si="74"/>
        <v>#REF!</v>
      </c>
    </row>
    <row r="38">
      <c r="A38" s="208" t="str">
        <f t="shared" ref="A38:O38" si="75">'Municipality Case Trends'!A42</f>
        <v>#REF!</v>
      </c>
      <c r="B38" s="208" t="str">
        <f t="shared" si="75"/>
        <v>#REF!</v>
      </c>
      <c r="C38" s="208" t="str">
        <f t="shared" si="75"/>
        <v>#REF!</v>
      </c>
      <c r="D38" s="208" t="str">
        <f t="shared" si="75"/>
        <v>#REF!</v>
      </c>
      <c r="E38" s="208" t="str">
        <f t="shared" si="75"/>
        <v>#REF!</v>
      </c>
      <c r="F38" s="208" t="str">
        <f t="shared" si="75"/>
        <v>#REF!</v>
      </c>
      <c r="G38" s="208" t="str">
        <f t="shared" si="75"/>
        <v>#REF!</v>
      </c>
      <c r="H38" s="208" t="str">
        <f t="shared" si="75"/>
        <v>#REF!</v>
      </c>
      <c r="I38" s="208" t="str">
        <f t="shared" si="75"/>
        <v>#REF!</v>
      </c>
      <c r="J38" s="208" t="str">
        <f t="shared" si="75"/>
        <v>#REF!</v>
      </c>
      <c r="K38" s="208" t="str">
        <f t="shared" si="75"/>
        <v>#REF!</v>
      </c>
      <c r="L38" s="208" t="str">
        <f t="shared" si="75"/>
        <v>#REF!</v>
      </c>
      <c r="M38" s="208" t="str">
        <f t="shared" si="75"/>
        <v>#REF!</v>
      </c>
      <c r="N38" s="208" t="str">
        <f t="shared" si="75"/>
        <v>#REF!</v>
      </c>
      <c r="O38" s="208" t="str">
        <f t="shared" si="75"/>
        <v>#REF!</v>
      </c>
      <c r="P38" s="208" t="str">
        <f t="shared" ref="P38:X38" si="76">#REF!</f>
        <v>#REF!</v>
      </c>
      <c r="Q38" s="208" t="str">
        <f t="shared" si="76"/>
        <v>#REF!</v>
      </c>
      <c r="R38" s="208" t="str">
        <f t="shared" si="76"/>
        <v>#REF!</v>
      </c>
      <c r="S38" s="208" t="str">
        <f t="shared" si="76"/>
        <v>#REF!</v>
      </c>
      <c r="T38" s="208" t="str">
        <f t="shared" si="76"/>
        <v>#REF!</v>
      </c>
      <c r="U38" s="208" t="str">
        <f t="shared" si="76"/>
        <v>#REF!</v>
      </c>
      <c r="V38" s="208" t="str">
        <f t="shared" si="76"/>
        <v>#REF!</v>
      </c>
      <c r="W38" s="208" t="str">
        <f t="shared" si="76"/>
        <v>#REF!</v>
      </c>
      <c r="X38" s="208" t="str">
        <f t="shared" si="76"/>
        <v>#REF!</v>
      </c>
    </row>
    <row r="39">
      <c r="A39" s="208" t="str">
        <f t="shared" ref="A39:O39" si="77">'Municipality Case Trends'!A43</f>
        <v>#REF!</v>
      </c>
      <c r="B39" s="208" t="str">
        <f t="shared" si="77"/>
        <v>#REF!</v>
      </c>
      <c r="C39" s="208" t="str">
        <f t="shared" si="77"/>
        <v>#REF!</v>
      </c>
      <c r="D39" s="208" t="str">
        <f t="shared" si="77"/>
        <v>#REF!</v>
      </c>
      <c r="E39" s="208" t="str">
        <f t="shared" si="77"/>
        <v>#REF!</v>
      </c>
      <c r="F39" s="208" t="str">
        <f t="shared" si="77"/>
        <v>#REF!</v>
      </c>
      <c r="G39" s="208" t="str">
        <f t="shared" si="77"/>
        <v>#REF!</v>
      </c>
      <c r="H39" s="208" t="str">
        <f t="shared" si="77"/>
        <v>#REF!</v>
      </c>
      <c r="I39" s="208" t="str">
        <f t="shared" si="77"/>
        <v>#REF!</v>
      </c>
      <c r="J39" s="208" t="str">
        <f t="shared" si="77"/>
        <v>#REF!</v>
      </c>
      <c r="K39" s="208" t="str">
        <f t="shared" si="77"/>
        <v>#REF!</v>
      </c>
      <c r="L39" s="208" t="str">
        <f t="shared" si="77"/>
        <v>#REF!</v>
      </c>
      <c r="M39" s="208" t="str">
        <f t="shared" si="77"/>
        <v>#REF!</v>
      </c>
      <c r="N39" s="208" t="str">
        <f t="shared" si="77"/>
        <v>#REF!</v>
      </c>
      <c r="O39" s="208" t="str">
        <f t="shared" si="77"/>
        <v>#REF!</v>
      </c>
      <c r="P39" s="208" t="str">
        <f t="shared" ref="P39:X39" si="78">#REF!</f>
        <v>#REF!</v>
      </c>
      <c r="Q39" s="208" t="str">
        <f t="shared" si="78"/>
        <v>#REF!</v>
      </c>
      <c r="R39" s="208" t="str">
        <f t="shared" si="78"/>
        <v>#REF!</v>
      </c>
      <c r="S39" s="208" t="str">
        <f t="shared" si="78"/>
        <v>#REF!</v>
      </c>
      <c r="T39" s="208" t="str">
        <f t="shared" si="78"/>
        <v>#REF!</v>
      </c>
      <c r="U39" s="208" t="str">
        <f t="shared" si="78"/>
        <v>#REF!</v>
      </c>
      <c r="V39" s="208" t="str">
        <f t="shared" si="78"/>
        <v>#REF!</v>
      </c>
      <c r="W39" s="208" t="str">
        <f t="shared" si="78"/>
        <v>#REF!</v>
      </c>
      <c r="X39" s="208" t="str">
        <f t="shared" si="78"/>
        <v>#REF!</v>
      </c>
    </row>
    <row r="40">
      <c r="A40" s="208" t="str">
        <f t="shared" ref="A40:O40" si="79">'Municipality Case Trends'!A44</f>
        <v>#REF!</v>
      </c>
      <c r="B40" s="208" t="str">
        <f t="shared" si="79"/>
        <v>#REF!</v>
      </c>
      <c r="C40" s="208" t="str">
        <f t="shared" si="79"/>
        <v>#REF!</v>
      </c>
      <c r="D40" s="208" t="str">
        <f t="shared" si="79"/>
        <v>#REF!</v>
      </c>
      <c r="E40" s="208" t="str">
        <f t="shared" si="79"/>
        <v>#REF!</v>
      </c>
      <c r="F40" s="208" t="str">
        <f t="shared" si="79"/>
        <v>#REF!</v>
      </c>
      <c r="G40" s="208" t="str">
        <f t="shared" si="79"/>
        <v>#REF!</v>
      </c>
      <c r="H40" s="208" t="str">
        <f t="shared" si="79"/>
        <v>#REF!</v>
      </c>
      <c r="I40" s="208" t="str">
        <f t="shared" si="79"/>
        <v>#REF!</v>
      </c>
      <c r="J40" s="208" t="str">
        <f t="shared" si="79"/>
        <v>#REF!</v>
      </c>
      <c r="K40" s="208" t="str">
        <f t="shared" si="79"/>
        <v>#REF!</v>
      </c>
      <c r="L40" s="208" t="str">
        <f t="shared" si="79"/>
        <v>#REF!</v>
      </c>
      <c r="M40" s="208" t="str">
        <f t="shared" si="79"/>
        <v>#REF!</v>
      </c>
      <c r="N40" s="208" t="str">
        <f t="shared" si="79"/>
        <v>#REF!</v>
      </c>
      <c r="O40" s="208" t="str">
        <f t="shared" si="79"/>
        <v>#REF!</v>
      </c>
      <c r="P40" s="208" t="str">
        <f t="shared" ref="P40:X40" si="80">#REF!</f>
        <v>#REF!</v>
      </c>
      <c r="Q40" s="208" t="str">
        <f t="shared" si="80"/>
        <v>#REF!</v>
      </c>
      <c r="R40" s="208" t="str">
        <f t="shared" si="80"/>
        <v>#REF!</v>
      </c>
      <c r="S40" s="208" t="str">
        <f t="shared" si="80"/>
        <v>#REF!</v>
      </c>
      <c r="T40" s="208" t="str">
        <f t="shared" si="80"/>
        <v>#REF!</v>
      </c>
      <c r="U40" s="208" t="str">
        <f t="shared" si="80"/>
        <v>#REF!</v>
      </c>
      <c r="V40" s="208" t="str">
        <f t="shared" si="80"/>
        <v>#REF!</v>
      </c>
      <c r="W40" s="208" t="str">
        <f t="shared" si="80"/>
        <v>#REF!</v>
      </c>
      <c r="X40" s="208" t="str">
        <f t="shared" si="80"/>
        <v>#REF!</v>
      </c>
    </row>
    <row r="41">
      <c r="A41" s="208" t="str">
        <f t="shared" ref="A41:O41" si="81">'Municipality Case Trends'!A45</f>
        <v>#REF!</v>
      </c>
      <c r="B41" s="208" t="str">
        <f t="shared" si="81"/>
        <v>#REF!</v>
      </c>
      <c r="C41" s="208" t="str">
        <f t="shared" si="81"/>
        <v>#REF!</v>
      </c>
      <c r="D41" s="208" t="str">
        <f t="shared" si="81"/>
        <v>#REF!</v>
      </c>
      <c r="E41" s="208" t="str">
        <f t="shared" si="81"/>
        <v>#REF!</v>
      </c>
      <c r="F41" s="208" t="str">
        <f t="shared" si="81"/>
        <v>#REF!</v>
      </c>
      <c r="G41" s="208" t="str">
        <f t="shared" si="81"/>
        <v>#REF!</v>
      </c>
      <c r="H41" s="208" t="str">
        <f t="shared" si="81"/>
        <v>#REF!</v>
      </c>
      <c r="I41" s="208" t="str">
        <f t="shared" si="81"/>
        <v>#REF!</v>
      </c>
      <c r="J41" s="208" t="str">
        <f t="shared" si="81"/>
        <v>#REF!</v>
      </c>
      <c r="K41" s="208" t="str">
        <f t="shared" si="81"/>
        <v>#REF!</v>
      </c>
      <c r="L41" s="208" t="str">
        <f t="shared" si="81"/>
        <v>#REF!</v>
      </c>
      <c r="M41" s="208" t="str">
        <f t="shared" si="81"/>
        <v>#REF!</v>
      </c>
      <c r="N41" s="208" t="str">
        <f t="shared" si="81"/>
        <v>#REF!</v>
      </c>
      <c r="O41" s="208" t="str">
        <f t="shared" si="81"/>
        <v>#REF!</v>
      </c>
      <c r="P41" s="208" t="str">
        <f t="shared" ref="P41:X41" si="82">#REF!</f>
        <v>#REF!</v>
      </c>
      <c r="Q41" s="208" t="str">
        <f t="shared" si="82"/>
        <v>#REF!</v>
      </c>
      <c r="R41" s="208" t="str">
        <f t="shared" si="82"/>
        <v>#REF!</v>
      </c>
      <c r="S41" s="208" t="str">
        <f t="shared" si="82"/>
        <v>#REF!</v>
      </c>
      <c r="T41" s="208" t="str">
        <f t="shared" si="82"/>
        <v>#REF!</v>
      </c>
      <c r="U41" s="208" t="str">
        <f t="shared" si="82"/>
        <v>#REF!</v>
      </c>
      <c r="V41" s="208" t="str">
        <f t="shared" si="82"/>
        <v>#REF!</v>
      </c>
      <c r="W41" s="208" t="str">
        <f t="shared" si="82"/>
        <v>#REF!</v>
      </c>
      <c r="X41" s="208" t="str">
        <f t="shared" si="82"/>
        <v>#REF!</v>
      </c>
    </row>
    <row r="42">
      <c r="A42" s="208" t="str">
        <f t="shared" ref="A42:O42" si="83">'Municipality Case Trends'!A46</f>
        <v>#REF!</v>
      </c>
      <c r="B42" s="208" t="str">
        <f t="shared" si="83"/>
        <v>#REF!</v>
      </c>
      <c r="C42" s="208" t="str">
        <f t="shared" si="83"/>
        <v>#REF!</v>
      </c>
      <c r="D42" s="208" t="str">
        <f t="shared" si="83"/>
        <v>#REF!</v>
      </c>
      <c r="E42" s="208" t="str">
        <f t="shared" si="83"/>
        <v>#REF!</v>
      </c>
      <c r="F42" s="208" t="str">
        <f t="shared" si="83"/>
        <v>#REF!</v>
      </c>
      <c r="G42" s="208" t="str">
        <f t="shared" si="83"/>
        <v>#REF!</v>
      </c>
      <c r="H42" s="208" t="str">
        <f t="shared" si="83"/>
        <v>#REF!</v>
      </c>
      <c r="I42" s="208" t="str">
        <f t="shared" si="83"/>
        <v>#REF!</v>
      </c>
      <c r="J42" s="208" t="str">
        <f t="shared" si="83"/>
        <v>#REF!</v>
      </c>
      <c r="K42" s="208" t="str">
        <f t="shared" si="83"/>
        <v>#REF!</v>
      </c>
      <c r="L42" s="208" t="str">
        <f t="shared" si="83"/>
        <v>#REF!</v>
      </c>
      <c r="M42" s="208" t="str">
        <f t="shared" si="83"/>
        <v>#REF!</v>
      </c>
      <c r="N42" s="208" t="str">
        <f t="shared" si="83"/>
        <v>#REF!</v>
      </c>
      <c r="O42" s="208" t="str">
        <f t="shared" si="83"/>
        <v>#REF!</v>
      </c>
      <c r="P42" s="208" t="str">
        <f t="shared" ref="P42:X42" si="84">#REF!</f>
        <v>#REF!</v>
      </c>
      <c r="Q42" s="208" t="str">
        <f t="shared" si="84"/>
        <v>#REF!</v>
      </c>
      <c r="R42" s="208" t="str">
        <f t="shared" si="84"/>
        <v>#REF!</v>
      </c>
      <c r="S42" s="208" t="str">
        <f t="shared" si="84"/>
        <v>#REF!</v>
      </c>
      <c r="T42" s="208" t="str">
        <f t="shared" si="84"/>
        <v>#REF!</v>
      </c>
      <c r="U42" s="208" t="str">
        <f t="shared" si="84"/>
        <v>#REF!</v>
      </c>
      <c r="V42" s="208" t="str">
        <f t="shared" si="84"/>
        <v>#REF!</v>
      </c>
      <c r="W42" s="208" t="str">
        <f t="shared" si="84"/>
        <v>#REF!</v>
      </c>
      <c r="X42" s="208" t="str">
        <f t="shared" si="84"/>
        <v>#REF!</v>
      </c>
    </row>
    <row r="43">
      <c r="A43" s="208" t="str">
        <f>#REF!</f>
        <v>#REF!</v>
      </c>
    </row>
    <row r="44">
      <c r="A44" s="208" t="str">
        <f>'Municipality Case Trends'!A4</f>
        <v>#REF!</v>
      </c>
    </row>
    <row r="45">
      <c r="A45" s="208" t="str">
        <f t="shared" ref="A45:A57" si="85">#REF!</f>
        <v>#REF!</v>
      </c>
    </row>
    <row r="46">
      <c r="A46" s="208" t="str">
        <f t="shared" si="85"/>
        <v>#REF!</v>
      </c>
    </row>
    <row r="47">
      <c r="A47" s="208" t="str">
        <f t="shared" si="85"/>
        <v>#REF!</v>
      </c>
    </row>
    <row r="48">
      <c r="A48" s="208" t="str">
        <f t="shared" si="85"/>
        <v>#REF!</v>
      </c>
    </row>
    <row r="49">
      <c r="A49" s="208" t="str">
        <f t="shared" si="85"/>
        <v>#REF!</v>
      </c>
    </row>
    <row r="50">
      <c r="A50" s="208" t="str">
        <f t="shared" si="85"/>
        <v>#REF!</v>
      </c>
    </row>
    <row r="51">
      <c r="A51" s="208" t="str">
        <f t="shared" si="85"/>
        <v>#REF!</v>
      </c>
    </row>
    <row r="52">
      <c r="A52" s="208" t="str">
        <f t="shared" si="85"/>
        <v>#REF!</v>
      </c>
    </row>
    <row r="53">
      <c r="A53" s="208" t="str">
        <f t="shared" si="85"/>
        <v>#REF!</v>
      </c>
    </row>
    <row r="54">
      <c r="A54" s="208" t="str">
        <f t="shared" si="85"/>
        <v>#REF!</v>
      </c>
    </row>
    <row r="55">
      <c r="A55" s="208" t="str">
        <f t="shared" si="85"/>
        <v>#REF!</v>
      </c>
    </row>
    <row r="56">
      <c r="A56" s="208" t="str">
        <f t="shared" si="85"/>
        <v>#REF!</v>
      </c>
    </row>
    <row r="57">
      <c r="A57" s="208"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1948.0</v>
      </c>
      <c r="N28" s="22">
        <v>2096.0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2120.0</v>
      </c>
      <c r="N29" s="22">
        <v>2296.0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2296.0</v>
      </c>
      <c r="N30" s="22">
        <v>2513.0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2498.0</v>
      </c>
      <c r="N31" s="22">
        <v>2746.0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2739.0</v>
      </c>
      <c r="N32" s="22">
        <v>3050.0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3053.0</v>
      </c>
      <c r="N33" s="22">
        <v>3469.0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184.0</v>
      </c>
      <c r="M34" s="22">
        <v>3237.0</v>
      </c>
      <c r="N34" s="22">
        <v>3731.0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297.0</v>
      </c>
      <c r="M35" s="22">
        <v>3534.0</v>
      </c>
      <c r="N35" s="22">
        <v>4101.0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102.0</v>
      </c>
      <c r="J36" s="22">
        <v>84.0</v>
      </c>
      <c r="K36" s="22">
        <v>669.0</v>
      </c>
      <c r="L36" s="22">
        <v>641.0</v>
      </c>
      <c r="M36" s="22">
        <v>4175.0</v>
      </c>
      <c r="N36" s="22">
        <v>4844.0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79.0</v>
      </c>
      <c r="K37" s="22">
        <v>731.0</v>
      </c>
      <c r="L37" s="22">
        <v>436.0</v>
      </c>
      <c r="M37" s="22">
        <v>4611.0</v>
      </c>
      <c r="N37" s="22">
        <v>5342.0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88.0</v>
      </c>
      <c r="K38" s="22">
        <v>831.0</v>
      </c>
      <c r="L38" s="22">
        <v>712.0</v>
      </c>
      <c r="M38" s="22">
        <v>5323.0</v>
      </c>
      <c r="N38" s="22">
        <v>6154.0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137.0</v>
      </c>
      <c r="J39" s="22">
        <v>100.0</v>
      </c>
      <c r="K39" s="22">
        <v>968.0</v>
      </c>
      <c r="L39" s="22">
        <v>618.0</v>
      </c>
      <c r="M39" s="22">
        <v>5941.0</v>
      </c>
      <c r="N39" s="22">
        <v>6909.0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1150.0</v>
      </c>
      <c r="L40" s="22">
        <v>1069.0</v>
      </c>
      <c r="M40" s="22">
        <v>7010.0</v>
      </c>
      <c r="N40" s="22">
        <v>8160.0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1356.0</v>
      </c>
      <c r="L41" s="22">
        <v>1555.0</v>
      </c>
      <c r="M41" s="22">
        <v>8565.0</v>
      </c>
      <c r="N41" s="22">
        <v>9921.0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1481.0</v>
      </c>
      <c r="M42" s="22">
        <v>10046.0</v>
      </c>
      <c r="N42" s="22">
        <v>11663.0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273.0</v>
      </c>
      <c r="J43" s="22">
        <v>247.0</v>
      </c>
      <c r="K43" s="22">
        <v>1890.0</v>
      </c>
      <c r="L43" s="22">
        <v>1561.0</v>
      </c>
      <c r="M43" s="22">
        <v>11607.0</v>
      </c>
      <c r="N43" s="22">
        <v>13497.0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280.0</v>
      </c>
      <c r="J44" s="22">
        <v>271.0</v>
      </c>
      <c r="K44" s="22">
        <v>2170.0</v>
      </c>
      <c r="L44" s="22">
        <v>1355.0</v>
      </c>
      <c r="M44" s="22">
        <v>12962.0</v>
      </c>
      <c r="N44" s="22">
        <v>15132.0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319.0</v>
      </c>
      <c r="K45" s="22">
        <v>2573.0</v>
      </c>
      <c r="L45" s="22">
        <v>2371.0</v>
      </c>
      <c r="M45" s="22">
        <v>15333.0</v>
      </c>
      <c r="N45" s="22">
        <v>17906.0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321.0</v>
      </c>
      <c r="K46" s="22">
        <v>2853.0</v>
      </c>
      <c r="L46" s="22">
        <v>1720.0</v>
      </c>
      <c r="M46" s="22">
        <v>17053.0</v>
      </c>
      <c r="N46" s="22">
        <v>19906.0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3142.0</v>
      </c>
      <c r="L47" s="22">
        <v>1436.0</v>
      </c>
      <c r="M47" s="22">
        <v>18489.0</v>
      </c>
      <c r="N47" s="22">
        <v>21631.0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3329.0</v>
      </c>
      <c r="L48" s="22">
        <v>838.0</v>
      </c>
      <c r="M48" s="22">
        <v>19327.0</v>
      </c>
      <c r="N48" s="22">
        <v>22656.0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3594.0</v>
      </c>
      <c r="L49" s="22">
        <v>1528.0</v>
      </c>
      <c r="M49" s="22">
        <v>20855.0</v>
      </c>
      <c r="N49" s="22">
        <v>24449.0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3901.0</v>
      </c>
      <c r="L50" s="22">
        <v>1558.0</v>
      </c>
      <c r="M50" s="22">
        <v>22413.0</v>
      </c>
      <c r="N50" s="22">
        <v>26314.0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390.0</v>
      </c>
      <c r="J51" s="22">
        <v>321.0</v>
      </c>
      <c r="K51" s="22">
        <v>4291.0</v>
      </c>
      <c r="L51" s="22">
        <v>2077.0</v>
      </c>
      <c r="M51" s="22">
        <v>24490.0</v>
      </c>
      <c r="N51" s="22">
        <v>28781.0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293.0</v>
      </c>
      <c r="J52" s="22">
        <v>330.0</v>
      </c>
      <c r="K52" s="22">
        <v>4584.0</v>
      </c>
      <c r="L52" s="22">
        <v>1447.0</v>
      </c>
      <c r="M52" s="22">
        <v>25937.0</v>
      </c>
      <c r="N52" s="22">
        <v>30521.0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286.0</v>
      </c>
      <c r="J53" s="22">
        <v>323.0</v>
      </c>
      <c r="K53" s="22">
        <v>4870.0</v>
      </c>
      <c r="L53" s="22">
        <v>1325.0</v>
      </c>
      <c r="M53" s="22">
        <v>27262.0</v>
      </c>
      <c r="N53" s="22">
        <v>32132.0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306.0</v>
      </c>
      <c r="K54" s="22">
        <v>5208.0</v>
      </c>
      <c r="L54" s="22">
        <v>1742.0</v>
      </c>
      <c r="M54" s="22">
        <v>29004.0</v>
      </c>
      <c r="N54" s="22">
        <v>34212.0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334.0</v>
      </c>
      <c r="K55" s="22">
        <v>5585.0</v>
      </c>
      <c r="L55" s="22">
        <v>1574.0</v>
      </c>
      <c r="M55" s="22">
        <v>30578.0</v>
      </c>
      <c r="N55" s="22">
        <v>36163.0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391.0</v>
      </c>
      <c r="J56" s="22">
        <v>369.0</v>
      </c>
      <c r="K56" s="22">
        <v>5976.0</v>
      </c>
      <c r="L56" s="22">
        <v>1709.0</v>
      </c>
      <c r="M56" s="22">
        <v>32287.0</v>
      </c>
      <c r="N56" s="22">
        <v>38263.0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384.0</v>
      </c>
      <c r="J57" s="22">
        <v>384.0</v>
      </c>
      <c r="K57" s="22">
        <v>6360.0</v>
      </c>
      <c r="L57" s="22">
        <v>1915.0</v>
      </c>
      <c r="M57" s="22">
        <v>34202.0</v>
      </c>
      <c r="N57" s="22">
        <v>40562.0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420.0</v>
      </c>
      <c r="J58" s="22">
        <v>398.0</v>
      </c>
      <c r="K58" s="22">
        <v>6780.0</v>
      </c>
      <c r="L58" s="22">
        <v>1860.0</v>
      </c>
      <c r="M58" s="22">
        <v>36062.0</v>
      </c>
      <c r="N58" s="22">
        <v>42842.0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416.0</v>
      </c>
      <c r="J59" s="22">
        <v>407.0</v>
      </c>
      <c r="K59" s="22">
        <v>7196.0</v>
      </c>
      <c r="L59" s="22">
        <v>2629.0</v>
      </c>
      <c r="M59" s="22">
        <v>38691.0</v>
      </c>
      <c r="N59" s="22">
        <v>45887.0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304.0</v>
      </c>
      <c r="J60" s="22">
        <v>380.0</v>
      </c>
      <c r="K60" s="22">
        <v>7500.0</v>
      </c>
      <c r="L60" s="22">
        <v>1771.0</v>
      </c>
      <c r="M60" s="22">
        <v>40462.0</v>
      </c>
      <c r="N60" s="22">
        <v>47962.0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275.0</v>
      </c>
      <c r="J61" s="22">
        <v>332.0</v>
      </c>
      <c r="K61" s="22">
        <v>7775.0</v>
      </c>
      <c r="L61" s="22">
        <v>1878.0</v>
      </c>
      <c r="M61" s="22">
        <v>42340.0</v>
      </c>
      <c r="N61" s="22">
        <v>50115.0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261.0</v>
      </c>
      <c r="K62" s="22">
        <v>7979.0</v>
      </c>
      <c r="L62" s="22">
        <v>1163.0</v>
      </c>
      <c r="M62" s="22">
        <v>43503.0</v>
      </c>
      <c r="N62" s="22">
        <v>51482.0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330.0</v>
      </c>
      <c r="J63" s="22">
        <v>270.0</v>
      </c>
      <c r="K63" s="22">
        <v>8309.0</v>
      </c>
      <c r="L63" s="22">
        <v>1763.0</v>
      </c>
      <c r="M63" s="22">
        <v>45266.0</v>
      </c>
      <c r="N63" s="22">
        <v>53575.0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373.0</v>
      </c>
      <c r="J64" s="22">
        <v>302.0</v>
      </c>
      <c r="K64" s="22">
        <v>8682.0</v>
      </c>
      <c r="L64" s="22">
        <v>2425.0</v>
      </c>
      <c r="M64" s="22">
        <v>47691.0</v>
      </c>
      <c r="N64" s="22">
        <v>56373.0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353.0</v>
      </c>
      <c r="J65" s="22">
        <v>352.0</v>
      </c>
      <c r="K65" s="22">
        <v>9035.0</v>
      </c>
      <c r="L65" s="22">
        <v>1937.0</v>
      </c>
      <c r="M65" s="22">
        <v>49628.0</v>
      </c>
      <c r="N65" s="22">
        <v>58663.0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320.0</v>
      </c>
      <c r="J66" s="22">
        <v>349.0</v>
      </c>
      <c r="K66" s="22">
        <v>9355.0</v>
      </c>
      <c r="L66" s="22">
        <v>2194.0</v>
      </c>
      <c r="M66" s="22">
        <v>51822.0</v>
      </c>
      <c r="N66" s="22">
        <v>61177.0</v>
      </c>
      <c r="O66" s="23">
        <v>51.0</v>
      </c>
      <c r="P66" s="23">
        <v>1095.0</v>
      </c>
      <c r="Q66" s="23">
        <v>40.0</v>
      </c>
      <c r="R66" s="23">
        <v>612.0</v>
      </c>
      <c r="S66" s="23">
        <v>3.0</v>
      </c>
      <c r="T66" s="22">
        <v>122.0</v>
      </c>
      <c r="U66" s="22">
        <v>361.0</v>
      </c>
      <c r="V66" s="22">
        <v>359.0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287.0</v>
      </c>
      <c r="K67" s="22">
        <v>9544.0</v>
      </c>
      <c r="L67" s="22">
        <v>1279.0</v>
      </c>
      <c r="M67" s="22">
        <v>53101.0</v>
      </c>
      <c r="N67" s="22">
        <v>62645.0</v>
      </c>
      <c r="O67" s="23">
        <v>36.0</v>
      </c>
      <c r="P67" s="23">
        <v>1131.0</v>
      </c>
      <c r="Q67" s="23">
        <v>37.0</v>
      </c>
      <c r="R67" s="23">
        <v>649.0</v>
      </c>
      <c r="S67" s="23">
        <v>5.0</v>
      </c>
      <c r="T67" s="22">
        <v>127.0</v>
      </c>
      <c r="U67" s="22">
        <v>355.0</v>
      </c>
      <c r="V67" s="22">
        <v>356.0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230.0</v>
      </c>
      <c r="K68" s="22">
        <v>9726.0</v>
      </c>
      <c r="L68" s="22">
        <v>1593.0</v>
      </c>
      <c r="M68" s="22">
        <v>54694.0</v>
      </c>
      <c r="N68" s="22">
        <v>64420.0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10019.0</v>
      </c>
      <c r="L69" s="22">
        <v>1568.0</v>
      </c>
      <c r="M69" s="22">
        <v>56262.0</v>
      </c>
      <c r="N69" s="22">
        <v>66281.0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308.0</v>
      </c>
      <c r="J70" s="22">
        <v>261.0</v>
      </c>
      <c r="K70" s="22">
        <v>10327.0</v>
      </c>
      <c r="L70" s="22">
        <v>1966.0</v>
      </c>
      <c r="M70" s="22">
        <v>58228.0</v>
      </c>
      <c r="N70" s="22">
        <v>68555.0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342.0</v>
      </c>
      <c r="J71" s="22">
        <v>314.0</v>
      </c>
      <c r="K71" s="22">
        <v>10669.0</v>
      </c>
      <c r="L71" s="22">
        <v>1919.0</v>
      </c>
      <c r="M71" s="22">
        <v>60147.0</v>
      </c>
      <c r="N71" s="22">
        <v>70816.0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274.0</v>
      </c>
      <c r="J72" s="22">
        <v>308.0</v>
      </c>
      <c r="K72" s="22">
        <v>10943.0</v>
      </c>
      <c r="L72" s="22">
        <v>1969.0</v>
      </c>
      <c r="M72" s="22">
        <v>62116.0</v>
      </c>
      <c r="N72" s="22">
        <v>73059.0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233.0</v>
      </c>
      <c r="J73" s="22">
        <v>283.0</v>
      </c>
      <c r="K73" s="22">
        <v>11176.0</v>
      </c>
      <c r="L73" s="22">
        <v>1739.0</v>
      </c>
      <c r="M73" s="22">
        <v>63855.0</v>
      </c>
      <c r="N73" s="22">
        <v>75031.0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291.0</v>
      </c>
      <c r="J74" s="22">
        <v>266.0</v>
      </c>
      <c r="K74" s="22">
        <v>11467.0</v>
      </c>
      <c r="L74" s="22">
        <v>2261.0</v>
      </c>
      <c r="M74" s="22">
        <v>66116.0</v>
      </c>
      <c r="N74" s="22">
        <v>77583.0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188.0</v>
      </c>
      <c r="J75" s="22">
        <v>237.0</v>
      </c>
      <c r="K75" s="22">
        <v>11655.0</v>
      </c>
      <c r="L75" s="22">
        <v>1523.0</v>
      </c>
      <c r="M75" s="22">
        <v>67639.0</v>
      </c>
      <c r="N75" s="22">
        <v>79294.0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178.0</v>
      </c>
      <c r="J76" s="22">
        <v>219.0</v>
      </c>
      <c r="K76" s="22">
        <v>11833.0</v>
      </c>
      <c r="L76" s="22">
        <v>1301.0</v>
      </c>
      <c r="M76" s="22">
        <v>68940.0</v>
      </c>
      <c r="N76" s="22">
        <v>80773.0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218.0</v>
      </c>
      <c r="J77" s="22">
        <v>195.0</v>
      </c>
      <c r="K77" s="22">
        <v>12051.0</v>
      </c>
      <c r="L77" s="22">
        <v>1708.0</v>
      </c>
      <c r="M77" s="22">
        <v>70648.0</v>
      </c>
      <c r="N77" s="22">
        <v>82699.0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198.0</v>
      </c>
      <c r="K78" s="22">
        <v>12250.0</v>
      </c>
      <c r="L78" s="22">
        <v>2006.0</v>
      </c>
      <c r="M78" s="22">
        <v>72654.0</v>
      </c>
      <c r="N78" s="22">
        <v>84904.0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232.0</v>
      </c>
      <c r="J79" s="22">
        <v>216.0</v>
      </c>
      <c r="K79" s="22">
        <v>12482.0</v>
      </c>
      <c r="L79" s="22">
        <v>2019.0</v>
      </c>
      <c r="M79" s="22">
        <v>74673.0</v>
      </c>
      <c r="N79" s="22">
        <v>87155.0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237.0</v>
      </c>
      <c r="J80" s="22">
        <v>223.0</v>
      </c>
      <c r="K80" s="22">
        <v>12719.0</v>
      </c>
      <c r="L80" s="22">
        <v>1811.0</v>
      </c>
      <c r="M80" s="22">
        <v>76484.0</v>
      </c>
      <c r="N80" s="22">
        <v>89203.0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252.0</v>
      </c>
      <c r="J81" s="22">
        <v>240.0</v>
      </c>
      <c r="K81" s="22">
        <v>12971.0</v>
      </c>
      <c r="L81" s="22">
        <v>1963.0</v>
      </c>
      <c r="M81" s="22">
        <v>78447.0</v>
      </c>
      <c r="N81" s="22">
        <v>91418.0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129.0</v>
      </c>
      <c r="J82" s="22">
        <v>206.0</v>
      </c>
      <c r="K82" s="22">
        <v>13100.0</v>
      </c>
      <c r="L82" s="22">
        <v>1559.0</v>
      </c>
      <c r="M82" s="22">
        <v>80006.0</v>
      </c>
      <c r="N82" s="22">
        <v>93106.0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140.0</v>
      </c>
      <c r="J83" s="22">
        <v>174.0</v>
      </c>
      <c r="K83" s="22">
        <v>13240.0</v>
      </c>
      <c r="L83" s="22">
        <v>1370.0</v>
      </c>
      <c r="M83" s="22">
        <v>81376.0</v>
      </c>
      <c r="N83" s="22">
        <v>94616.0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214.0</v>
      </c>
      <c r="J84" s="22">
        <v>161.0</v>
      </c>
      <c r="K84" s="22">
        <v>13454.0</v>
      </c>
      <c r="L84" s="22">
        <v>1928.0</v>
      </c>
      <c r="M84" s="22">
        <v>83304.0</v>
      </c>
      <c r="N84" s="22">
        <v>96758.0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188.0</v>
      </c>
      <c r="J85" s="22">
        <v>181.0</v>
      </c>
      <c r="K85" s="22">
        <v>13642.0</v>
      </c>
      <c r="L85" s="22">
        <v>1516.0</v>
      </c>
      <c r="M85" s="22">
        <v>84820.0</v>
      </c>
      <c r="N85" s="22">
        <v>98462.0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170.0</v>
      </c>
      <c r="J86" s="22">
        <v>191.0</v>
      </c>
      <c r="K86" s="22">
        <v>13812.0</v>
      </c>
      <c r="L86" s="22">
        <v>1940.0</v>
      </c>
      <c r="M86" s="22">
        <v>86760.0</v>
      </c>
      <c r="N86" s="22">
        <v>100572.0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204.0</v>
      </c>
      <c r="J87" s="22">
        <v>187.0</v>
      </c>
      <c r="K87" s="22">
        <v>14016.0</v>
      </c>
      <c r="L87" s="22">
        <v>1611.0</v>
      </c>
      <c r="M87" s="22">
        <v>88371.0</v>
      </c>
      <c r="N87" s="22">
        <v>102387.0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108.0</v>
      </c>
      <c r="J88" s="22">
        <v>161.0</v>
      </c>
      <c r="K88" s="22">
        <v>14124.0</v>
      </c>
      <c r="L88" s="22">
        <v>1272.0</v>
      </c>
      <c r="M88" s="22">
        <v>89643.0</v>
      </c>
      <c r="N88" s="22">
        <v>103767.0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131.0</v>
      </c>
      <c r="K89" s="22">
        <v>14206.0</v>
      </c>
      <c r="L89" s="22">
        <v>773.0</v>
      </c>
      <c r="M89" s="22">
        <v>90416.0</v>
      </c>
      <c r="N89" s="22">
        <v>104622.0</v>
      </c>
      <c r="O89" s="23">
        <v>12.0</v>
      </c>
      <c r="P89" s="23">
        <v>1657.0</v>
      </c>
      <c r="Q89" s="23">
        <v>14.0</v>
      </c>
      <c r="R89" s="23">
        <v>1183.0</v>
      </c>
      <c r="S89" s="23">
        <v>2.0</v>
      </c>
      <c r="T89" s="22">
        <v>235.0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72.0</v>
      </c>
      <c r="J90" s="22">
        <v>87.0</v>
      </c>
      <c r="K90" s="22">
        <v>14278.0</v>
      </c>
      <c r="L90" s="22">
        <v>762.0</v>
      </c>
      <c r="M90" s="22">
        <v>91178.0</v>
      </c>
      <c r="N90" s="22">
        <v>105456.0</v>
      </c>
      <c r="O90" s="23">
        <v>13.0</v>
      </c>
      <c r="P90" s="23">
        <v>1670.0</v>
      </c>
      <c r="Q90" s="23">
        <v>14.0</v>
      </c>
      <c r="R90" s="23">
        <v>1197.0</v>
      </c>
      <c r="S90" s="23">
        <v>0.0</v>
      </c>
      <c r="T90" s="22">
        <v>235.0</v>
      </c>
      <c r="U90" s="22">
        <v>238.0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163.0</v>
      </c>
      <c r="J91" s="22">
        <v>106.0</v>
      </c>
      <c r="K91" s="22">
        <v>14441.0</v>
      </c>
      <c r="L91" s="22">
        <v>1781.0</v>
      </c>
      <c r="M91" s="22">
        <v>92959.0</v>
      </c>
      <c r="N91" s="22">
        <v>107400.0</v>
      </c>
      <c r="O91" s="23">
        <v>24.0</v>
      </c>
      <c r="P91" s="23">
        <v>1694.0</v>
      </c>
      <c r="Q91" s="23">
        <v>22.0</v>
      </c>
      <c r="R91" s="23">
        <v>1219.0</v>
      </c>
      <c r="S91" s="23">
        <v>5.0</v>
      </c>
      <c r="T91" s="22">
        <v>240.0</v>
      </c>
      <c r="U91" s="22">
        <v>235.0</v>
      </c>
      <c r="V91" s="22">
        <v>237.0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134.0</v>
      </c>
      <c r="J92" s="22">
        <v>123.0</v>
      </c>
      <c r="K92" s="22">
        <v>14575.0</v>
      </c>
      <c r="L92" s="22">
        <v>1135.0</v>
      </c>
      <c r="M92" s="22">
        <v>94094.0</v>
      </c>
      <c r="N92" s="22">
        <v>108669.0</v>
      </c>
      <c r="O92" s="23">
        <v>20.0</v>
      </c>
      <c r="P92" s="23">
        <v>1714.0</v>
      </c>
      <c r="Q92" s="23">
        <v>18.0</v>
      </c>
      <c r="R92" s="23">
        <v>1237.0</v>
      </c>
      <c r="S92" s="23">
        <v>3.0</v>
      </c>
      <c r="T92" s="22">
        <v>243.0</v>
      </c>
      <c r="U92" s="22">
        <v>234.0</v>
      </c>
      <c r="V92" s="22">
        <v>236.0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134.0</v>
      </c>
      <c r="J93" s="22">
        <v>144.0</v>
      </c>
      <c r="K93" s="22">
        <v>14709.0</v>
      </c>
      <c r="L93" s="22">
        <v>1120.0</v>
      </c>
      <c r="M93" s="22">
        <v>95214.0</v>
      </c>
      <c r="N93" s="22">
        <v>109923.0</v>
      </c>
      <c r="O93" s="23">
        <v>17.0</v>
      </c>
      <c r="P93" s="23">
        <v>1731.0</v>
      </c>
      <c r="Q93" s="23">
        <v>29.0</v>
      </c>
      <c r="R93" s="23">
        <v>1266.0</v>
      </c>
      <c r="S93" s="23">
        <v>4.0</v>
      </c>
      <c r="T93" s="22">
        <v>247.0</v>
      </c>
      <c r="U93" s="22">
        <v>218.0</v>
      </c>
      <c r="V93" s="22">
        <v>229.0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177.0</v>
      </c>
      <c r="J94" s="22">
        <v>148.0</v>
      </c>
      <c r="K94" s="22">
        <v>14886.0</v>
      </c>
      <c r="L94" s="22">
        <v>1571.0</v>
      </c>
      <c r="M94" s="22">
        <v>96785.0</v>
      </c>
      <c r="N94" s="22">
        <v>111671.0</v>
      </c>
      <c r="O94" s="23">
        <v>19.0</v>
      </c>
      <c r="P94" s="23">
        <v>1750.0</v>
      </c>
      <c r="Q94" s="23">
        <v>27.0</v>
      </c>
      <c r="R94" s="23">
        <v>1293.0</v>
      </c>
      <c r="S94" s="23">
        <v>6.0</v>
      </c>
      <c r="T94" s="22">
        <v>253.0</v>
      </c>
      <c r="U94" s="22">
        <v>204.0</v>
      </c>
      <c r="V94" s="22">
        <v>219.0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140.0</v>
      </c>
      <c r="K95" s="22">
        <v>14995.0</v>
      </c>
      <c r="L95" s="22">
        <v>1820.0</v>
      </c>
      <c r="M95" s="22">
        <v>98605.0</v>
      </c>
      <c r="N95" s="22">
        <v>113600.0</v>
      </c>
      <c r="O95" s="23">
        <v>15.0</v>
      </c>
      <c r="P95" s="23">
        <v>1765.0</v>
      </c>
      <c r="Q95" s="23">
        <v>19.0</v>
      </c>
      <c r="R95" s="23">
        <v>1312.0</v>
      </c>
      <c r="S95" s="23">
        <v>4.0</v>
      </c>
      <c r="T95" s="22">
        <v>257.0</v>
      </c>
      <c r="U95" s="22">
        <v>196.0</v>
      </c>
      <c r="V95" s="22">
        <v>206.0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121.0</v>
      </c>
      <c r="K96" s="22">
        <v>15073.0</v>
      </c>
      <c r="L96" s="22">
        <v>857.0</v>
      </c>
      <c r="M96" s="22">
        <v>99462.0</v>
      </c>
      <c r="N96" s="22">
        <v>114535.0</v>
      </c>
      <c r="O96" s="23">
        <v>11.0</v>
      </c>
      <c r="P96" s="23">
        <v>1776.0</v>
      </c>
      <c r="Q96" s="23">
        <v>10.0</v>
      </c>
      <c r="R96" s="23">
        <v>1322.0</v>
      </c>
      <c r="S96" s="23">
        <v>0.0</v>
      </c>
      <c r="T96" s="22">
        <v>257.0</v>
      </c>
      <c r="U96" s="22">
        <v>197.0</v>
      </c>
      <c r="V96" s="22">
        <v>199.0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99.0</v>
      </c>
      <c r="J97" s="22">
        <v>95.0</v>
      </c>
      <c r="K97" s="22">
        <v>15172.0</v>
      </c>
      <c r="L97" s="22">
        <v>1385.0</v>
      </c>
      <c r="M97" s="22">
        <v>100847.0</v>
      </c>
      <c r="N97" s="22">
        <v>116019.0</v>
      </c>
      <c r="O97" s="26">
        <v>8.0</v>
      </c>
      <c r="P97" s="26">
        <v>1784.0</v>
      </c>
      <c r="Q97" s="26">
        <v>14.0</v>
      </c>
      <c r="R97" s="26">
        <v>1336.0</v>
      </c>
      <c r="S97" s="26">
        <v>1.0</v>
      </c>
      <c r="T97" s="26">
        <v>258.0</v>
      </c>
      <c r="U97" s="26">
        <v>190.0</v>
      </c>
      <c r="V97" s="22">
        <v>194.0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107.0</v>
      </c>
      <c r="J98" s="22">
        <v>95.0</v>
      </c>
      <c r="K98" s="22">
        <v>15279.0</v>
      </c>
      <c r="L98" s="22">
        <v>1449.0</v>
      </c>
      <c r="M98" s="22">
        <v>102296.0</v>
      </c>
      <c r="N98" s="22">
        <v>117575.0</v>
      </c>
      <c r="O98" s="26">
        <v>8.0</v>
      </c>
      <c r="P98" s="26">
        <v>1792.0</v>
      </c>
      <c r="Q98" s="26">
        <v>9.0</v>
      </c>
      <c r="R98" s="26">
        <v>1345.0</v>
      </c>
      <c r="S98" s="26">
        <v>3.0</v>
      </c>
      <c r="T98" s="26">
        <v>261.0</v>
      </c>
      <c r="U98" s="26">
        <v>186.0</v>
      </c>
      <c r="V98" s="22">
        <v>191.0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105.0</v>
      </c>
      <c r="J99" s="22">
        <v>104.0</v>
      </c>
      <c r="K99" s="22">
        <v>15384.0</v>
      </c>
      <c r="L99" s="22">
        <v>1663.0</v>
      </c>
      <c r="M99" s="22">
        <v>103959.0</v>
      </c>
      <c r="N99" s="22">
        <v>119343.0</v>
      </c>
      <c r="O99" s="26">
        <v>14.0</v>
      </c>
      <c r="P99" s="26">
        <v>1806.0</v>
      </c>
      <c r="Q99" s="26">
        <v>18.0</v>
      </c>
      <c r="R99" s="26">
        <v>1363.0</v>
      </c>
      <c r="S99" s="26">
        <v>6.0</v>
      </c>
      <c r="T99" s="26">
        <v>267.0</v>
      </c>
      <c r="U99" s="26">
        <v>176.0</v>
      </c>
      <c r="V99" s="26">
        <v>184.0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111.0</v>
      </c>
      <c r="J100" s="22">
        <v>108.0</v>
      </c>
      <c r="K100" s="22">
        <v>15495.0</v>
      </c>
      <c r="L100" s="22">
        <v>2039.0</v>
      </c>
      <c r="M100" s="22">
        <v>105998.0</v>
      </c>
      <c r="N100" s="22">
        <v>121493.0</v>
      </c>
      <c r="O100" s="26">
        <v>7.0</v>
      </c>
      <c r="P100" s="26">
        <v>1813.0</v>
      </c>
      <c r="Q100" s="26">
        <v>25.0</v>
      </c>
      <c r="R100" s="26">
        <v>1388.0</v>
      </c>
      <c r="S100" s="26">
        <v>3.0</v>
      </c>
      <c r="T100" s="26">
        <v>270.0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106.0</v>
      </c>
      <c r="J101" s="22">
        <v>107.0</v>
      </c>
      <c r="K101" s="22">
        <v>15601.0</v>
      </c>
      <c r="L101" s="22">
        <v>1578.0</v>
      </c>
      <c r="M101" s="22">
        <v>107576.0</v>
      </c>
      <c r="N101" s="22">
        <v>123177.0</v>
      </c>
      <c r="O101" s="26">
        <v>15.0</v>
      </c>
      <c r="P101" s="26">
        <v>1828.0</v>
      </c>
      <c r="Q101" s="26">
        <v>13.0</v>
      </c>
      <c r="R101" s="26">
        <v>1401.0</v>
      </c>
      <c r="S101" s="26">
        <v>6.0</v>
      </c>
      <c r="T101" s="26">
        <v>276.0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69.0</v>
      </c>
      <c r="J102" s="22">
        <v>95.0</v>
      </c>
      <c r="K102" s="22">
        <v>15670.0</v>
      </c>
      <c r="L102" s="22">
        <v>1136.0</v>
      </c>
      <c r="M102" s="22">
        <v>108712.0</v>
      </c>
      <c r="N102" s="22">
        <v>124382.0</v>
      </c>
      <c r="O102" s="26">
        <v>10.0</v>
      </c>
      <c r="P102" s="26">
        <v>1838.0</v>
      </c>
      <c r="Q102" s="26">
        <v>7.0</v>
      </c>
      <c r="R102" s="26">
        <v>1408.0</v>
      </c>
      <c r="S102" s="26">
        <v>2.0</v>
      </c>
      <c r="T102" s="26">
        <v>278.0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50.0</v>
      </c>
      <c r="J103" s="22">
        <v>75.0</v>
      </c>
      <c r="K103" s="22">
        <v>15720.0</v>
      </c>
      <c r="L103" s="22">
        <v>782.0</v>
      </c>
      <c r="M103" s="22">
        <v>109494.0</v>
      </c>
      <c r="N103" s="22">
        <v>125214.0</v>
      </c>
      <c r="O103" s="26">
        <v>11.0</v>
      </c>
      <c r="P103" s="26">
        <v>1849.0</v>
      </c>
      <c r="Q103" s="26">
        <v>7.0</v>
      </c>
      <c r="R103" s="26">
        <v>1415.0</v>
      </c>
      <c r="S103" s="26">
        <v>1.0</v>
      </c>
      <c r="T103" s="26">
        <v>279.0</v>
      </c>
      <c r="U103" s="26">
        <v>155.0</v>
      </c>
      <c r="V103" s="26">
        <v>153.0</v>
      </c>
      <c r="W103" s="26">
        <v>25.0</v>
      </c>
      <c r="X103" s="26">
        <v>17.0</v>
      </c>
      <c r="Y103" s="22">
        <v>4.0</v>
      </c>
      <c r="Z103" s="22">
        <v>883.0</v>
      </c>
    </row>
    <row r="104" ht="14.25" customHeight="1">
      <c r="A104" s="27">
        <v>43990.0</v>
      </c>
      <c r="B104" s="28">
        <v>119.0</v>
      </c>
      <c r="C104" s="28">
        <v>134.0</v>
      </c>
      <c r="D104" s="28">
        <v>21819.0</v>
      </c>
      <c r="E104" s="28">
        <v>1849.0</v>
      </c>
      <c r="F104" s="29">
        <v>168744.0</v>
      </c>
      <c r="G104" s="29">
        <v>1968.0</v>
      </c>
      <c r="H104" s="29">
        <v>190563.0</v>
      </c>
      <c r="I104" s="28">
        <v>44.0</v>
      </c>
      <c r="J104" s="28">
        <v>54.0</v>
      </c>
      <c r="K104" s="28">
        <v>15764.0</v>
      </c>
      <c r="L104" s="28">
        <v>962.0</v>
      </c>
      <c r="M104" s="28">
        <v>110456.0</v>
      </c>
      <c r="N104" s="28">
        <v>126220.0</v>
      </c>
      <c r="O104" s="28">
        <v>15.0</v>
      </c>
      <c r="P104" s="30">
        <v>1864.0</v>
      </c>
      <c r="Q104" s="30">
        <v>12.0</v>
      </c>
      <c r="R104" s="30">
        <v>1427.0</v>
      </c>
      <c r="S104" s="30">
        <v>2.0</v>
      </c>
      <c r="T104" s="30">
        <v>281.0</v>
      </c>
      <c r="U104" s="30">
        <v>156.0</v>
      </c>
      <c r="V104" s="30">
        <v>154.0</v>
      </c>
      <c r="W104" s="30">
        <v>27.0</v>
      </c>
      <c r="X104" s="30">
        <v>18.0</v>
      </c>
      <c r="Y104" s="30">
        <v>4.0</v>
      </c>
      <c r="Z104" s="28">
        <v>887.0</v>
      </c>
    </row>
    <row r="105" ht="14.25" customHeight="1">
      <c r="A105" s="27">
        <v>43991.0</v>
      </c>
      <c r="B105" s="28">
        <v>223.0</v>
      </c>
      <c r="C105" s="28">
        <v>142.0</v>
      </c>
      <c r="D105" s="28">
        <v>22042.0</v>
      </c>
      <c r="E105" s="28">
        <v>2673.0</v>
      </c>
      <c r="F105" s="29">
        <v>171417.0</v>
      </c>
      <c r="G105" s="29">
        <v>2896.0</v>
      </c>
      <c r="H105" s="29">
        <v>193459.0</v>
      </c>
      <c r="I105" s="28">
        <v>67.0</v>
      </c>
      <c r="J105" s="28">
        <v>54.0</v>
      </c>
      <c r="K105" s="28">
        <v>15831.0</v>
      </c>
      <c r="L105" s="28">
        <v>1258.0</v>
      </c>
      <c r="M105" s="28">
        <v>111714.0</v>
      </c>
      <c r="N105" s="28">
        <v>127545.0</v>
      </c>
      <c r="O105" s="28">
        <v>10.0</v>
      </c>
      <c r="P105" s="30">
        <v>1874.0</v>
      </c>
      <c r="Q105" s="30">
        <v>18.0</v>
      </c>
      <c r="R105" s="30">
        <v>1445.0</v>
      </c>
      <c r="S105" s="30">
        <v>0.0</v>
      </c>
      <c r="T105" s="30">
        <v>281.0</v>
      </c>
      <c r="U105" s="30">
        <v>148.0</v>
      </c>
      <c r="V105" s="30">
        <v>153.0</v>
      </c>
      <c r="W105" s="30">
        <v>28.0</v>
      </c>
      <c r="X105" s="30">
        <v>21.0</v>
      </c>
      <c r="Y105" s="30">
        <v>1.0</v>
      </c>
      <c r="Z105" s="28">
        <v>888.0</v>
      </c>
    </row>
    <row r="106" ht="14.25" customHeight="1">
      <c r="A106" s="27">
        <v>43992.0</v>
      </c>
      <c r="B106" s="28">
        <v>209.0</v>
      </c>
      <c r="C106" s="28">
        <v>184.0</v>
      </c>
      <c r="D106" s="28">
        <v>22251.0</v>
      </c>
      <c r="E106" s="28">
        <v>2987.0</v>
      </c>
      <c r="F106" s="29">
        <v>174404.0</v>
      </c>
      <c r="G106" s="29">
        <v>3196.0</v>
      </c>
      <c r="H106" s="29">
        <v>196655.0</v>
      </c>
      <c r="I106" s="28">
        <v>105.0</v>
      </c>
      <c r="J106" s="28">
        <v>72.0</v>
      </c>
      <c r="K106" s="28">
        <v>15936.0</v>
      </c>
      <c r="L106" s="28">
        <v>1468.0</v>
      </c>
      <c r="M106" s="28">
        <v>113182.0</v>
      </c>
      <c r="N106" s="28">
        <v>129118.0</v>
      </c>
      <c r="O106" s="28">
        <v>13.0</v>
      </c>
      <c r="P106" s="30">
        <v>1887.0</v>
      </c>
      <c r="Q106" s="30">
        <v>12.0</v>
      </c>
      <c r="R106" s="30">
        <v>1457.0</v>
      </c>
      <c r="S106" s="30">
        <v>2.0</v>
      </c>
      <c r="T106" s="30">
        <v>283.0</v>
      </c>
      <c r="U106" s="30">
        <v>147.0</v>
      </c>
      <c r="V106" s="30">
        <v>150.0</v>
      </c>
      <c r="W106" s="30">
        <v>24.0</v>
      </c>
      <c r="X106" s="30">
        <v>17.0</v>
      </c>
      <c r="Y106" s="30">
        <v>4.0</v>
      </c>
      <c r="Z106" s="28">
        <v>892.0</v>
      </c>
    </row>
    <row r="107" ht="14.25" customHeight="1">
      <c r="A107" s="27">
        <v>43993.0</v>
      </c>
      <c r="B107" s="28">
        <v>195.0</v>
      </c>
      <c r="C107" s="28">
        <v>209.0</v>
      </c>
      <c r="D107" s="28">
        <v>22446.0</v>
      </c>
      <c r="E107" s="28">
        <v>3513.0</v>
      </c>
      <c r="F107" s="29">
        <v>177917.0</v>
      </c>
      <c r="G107" s="29">
        <v>3708.0</v>
      </c>
      <c r="H107" s="29">
        <v>200363.0</v>
      </c>
      <c r="I107" s="28">
        <v>88.0</v>
      </c>
      <c r="J107" s="28">
        <v>87.0</v>
      </c>
      <c r="K107" s="28">
        <v>16024.0</v>
      </c>
      <c r="L107" s="28">
        <v>1535.0</v>
      </c>
      <c r="M107" s="28">
        <v>114717.0</v>
      </c>
      <c r="N107" s="28">
        <v>130741.0</v>
      </c>
      <c r="O107" s="28">
        <v>7.0</v>
      </c>
      <c r="P107" s="30">
        <v>1894.0</v>
      </c>
      <c r="Q107" s="30">
        <v>15.0</v>
      </c>
      <c r="R107" s="30">
        <v>1472.0</v>
      </c>
      <c r="S107" s="30">
        <v>1.0</v>
      </c>
      <c r="T107" s="30">
        <v>284.0</v>
      </c>
      <c r="U107" s="30">
        <v>138.0</v>
      </c>
      <c r="V107" s="30">
        <v>144.0</v>
      </c>
      <c r="W107" s="30">
        <v>25.0</v>
      </c>
      <c r="X107" s="30">
        <v>16.0</v>
      </c>
      <c r="Y107" s="30">
        <v>6.0</v>
      </c>
      <c r="Z107" s="28">
        <v>898.0</v>
      </c>
    </row>
    <row r="108" ht="14.25" customHeight="1">
      <c r="A108" s="27">
        <v>43994.0</v>
      </c>
      <c r="B108" s="28">
        <v>209.0</v>
      </c>
      <c r="C108" s="28">
        <v>204.0</v>
      </c>
      <c r="D108" s="28">
        <v>22655.0</v>
      </c>
      <c r="E108" s="28">
        <v>4601.0</v>
      </c>
      <c r="F108" s="29">
        <v>182518.0</v>
      </c>
      <c r="G108" s="29">
        <v>4810.0</v>
      </c>
      <c r="H108" s="29">
        <v>205173.0</v>
      </c>
      <c r="I108" s="28">
        <v>82.0</v>
      </c>
      <c r="J108" s="28">
        <v>92.0</v>
      </c>
      <c r="K108" s="28">
        <v>16106.0</v>
      </c>
      <c r="L108" s="28">
        <v>2185.0</v>
      </c>
      <c r="M108" s="28">
        <v>116902.0</v>
      </c>
      <c r="N108" s="28">
        <v>133008.0</v>
      </c>
      <c r="O108" s="28">
        <v>9.0</v>
      </c>
      <c r="P108" s="30">
        <v>1903.0</v>
      </c>
      <c r="Q108" s="30">
        <v>15.0</v>
      </c>
      <c r="R108" s="30">
        <v>1487.0</v>
      </c>
      <c r="S108" s="30">
        <v>1.0</v>
      </c>
      <c r="T108" s="30">
        <v>285.0</v>
      </c>
      <c r="U108" s="30">
        <v>131.0</v>
      </c>
      <c r="V108" s="30">
        <v>139.0</v>
      </c>
      <c r="W108" s="30">
        <v>24.0</v>
      </c>
      <c r="X108" s="30">
        <v>16.0</v>
      </c>
      <c r="Y108" s="30">
        <v>2.0</v>
      </c>
      <c r="Z108" s="28">
        <v>900.0</v>
      </c>
    </row>
    <row r="109" ht="14.25" customHeight="1">
      <c r="A109" s="27">
        <v>43995.0</v>
      </c>
      <c r="B109" s="28">
        <v>113.0</v>
      </c>
      <c r="C109" s="28">
        <v>172.0</v>
      </c>
      <c r="D109" s="28">
        <v>22768.0</v>
      </c>
      <c r="E109" s="28">
        <v>3036.0</v>
      </c>
      <c r="F109" s="29">
        <v>185554.0</v>
      </c>
      <c r="G109" s="29">
        <v>3149.0</v>
      </c>
      <c r="H109" s="29">
        <v>208322.0</v>
      </c>
      <c r="I109" s="28">
        <v>50.0</v>
      </c>
      <c r="J109" s="28">
        <v>73.0</v>
      </c>
      <c r="K109" s="28">
        <v>16156.0</v>
      </c>
      <c r="L109" s="28">
        <v>1373.0</v>
      </c>
      <c r="M109" s="28">
        <v>118275.0</v>
      </c>
      <c r="N109" s="28">
        <v>134431.0</v>
      </c>
      <c r="O109" s="28">
        <v>6.0</v>
      </c>
      <c r="P109" s="30">
        <v>1909.0</v>
      </c>
      <c r="Q109" s="30">
        <v>4.0</v>
      </c>
      <c r="R109" s="30">
        <v>1491.0</v>
      </c>
      <c r="S109" s="30">
        <v>0.0</v>
      </c>
      <c r="T109" s="30">
        <v>285.0</v>
      </c>
      <c r="U109" s="30">
        <v>133.0</v>
      </c>
      <c r="V109" s="30">
        <v>134.0</v>
      </c>
      <c r="W109" s="30">
        <v>20.0</v>
      </c>
      <c r="X109" s="30">
        <v>15.0</v>
      </c>
      <c r="Y109" s="30">
        <v>3.0</v>
      </c>
      <c r="Z109" s="28">
        <v>903.0</v>
      </c>
    </row>
    <row r="110" ht="14.25" customHeight="1">
      <c r="A110" s="27">
        <v>43996.0</v>
      </c>
      <c r="B110" s="28">
        <v>81.0</v>
      </c>
      <c r="C110" s="28">
        <v>134.0</v>
      </c>
      <c r="D110" s="28">
        <v>22849.0</v>
      </c>
      <c r="E110" s="28">
        <v>2046.0</v>
      </c>
      <c r="F110" s="29">
        <v>187600.0</v>
      </c>
      <c r="G110" s="29">
        <v>2127.0</v>
      </c>
      <c r="H110" s="29">
        <v>210449.0</v>
      </c>
      <c r="I110" s="28">
        <v>33.0</v>
      </c>
      <c r="J110" s="28">
        <v>55.0</v>
      </c>
      <c r="K110" s="28">
        <v>16189.0</v>
      </c>
      <c r="L110" s="28">
        <v>968.0</v>
      </c>
      <c r="M110" s="28">
        <v>119243.0</v>
      </c>
      <c r="N110" s="28">
        <v>135432.0</v>
      </c>
      <c r="O110" s="28">
        <v>7.0</v>
      </c>
      <c r="P110" s="30">
        <v>1916.0</v>
      </c>
      <c r="Q110" s="30">
        <v>8.0</v>
      </c>
      <c r="R110" s="30">
        <v>1499.0</v>
      </c>
      <c r="S110" s="30">
        <v>1.0</v>
      </c>
      <c r="T110" s="30">
        <v>286.0</v>
      </c>
      <c r="U110" s="30">
        <v>131.0</v>
      </c>
      <c r="V110" s="30">
        <v>132.0</v>
      </c>
      <c r="W110" s="30">
        <v>20.0</v>
      </c>
      <c r="X110" s="30">
        <v>14.0</v>
      </c>
      <c r="Y110" s="30">
        <v>3.0</v>
      </c>
      <c r="Z110" s="28">
        <v>906.0</v>
      </c>
    </row>
    <row r="111" ht="14.25" customHeight="1">
      <c r="A111" s="27">
        <v>43997.0</v>
      </c>
      <c r="B111" s="28">
        <v>188.0</v>
      </c>
      <c r="C111" s="28">
        <v>127.0</v>
      </c>
      <c r="D111" s="28">
        <v>23037.0</v>
      </c>
      <c r="E111" s="28">
        <v>3108.0</v>
      </c>
      <c r="F111" s="29">
        <v>190708.0</v>
      </c>
      <c r="G111" s="29">
        <v>3296.0</v>
      </c>
      <c r="H111" s="29">
        <v>213745.0</v>
      </c>
      <c r="I111" s="28">
        <v>78.0</v>
      </c>
      <c r="J111" s="28">
        <v>54.0</v>
      </c>
      <c r="K111" s="28">
        <v>16267.0</v>
      </c>
      <c r="L111" s="28">
        <v>1791.0</v>
      </c>
      <c r="M111" s="28">
        <v>121034.0</v>
      </c>
      <c r="N111" s="28">
        <v>137301.0</v>
      </c>
      <c r="O111" s="28">
        <v>14.0</v>
      </c>
      <c r="P111" s="30">
        <v>1930.0</v>
      </c>
      <c r="Q111" s="30">
        <v>14.0</v>
      </c>
      <c r="R111" s="30">
        <v>1513.0</v>
      </c>
      <c r="S111" s="30">
        <v>0.0</v>
      </c>
      <c r="T111" s="30">
        <v>286.0</v>
      </c>
      <c r="U111" s="30">
        <v>131.0</v>
      </c>
      <c r="V111" s="30">
        <v>132.0</v>
      </c>
      <c r="W111" s="30">
        <v>20.0</v>
      </c>
      <c r="X111" s="30">
        <v>16.0</v>
      </c>
      <c r="Y111" s="30">
        <v>5.0</v>
      </c>
      <c r="Z111" s="28">
        <v>911.0</v>
      </c>
    </row>
    <row r="112" ht="14.25" customHeight="1">
      <c r="A112" s="27">
        <v>43998.0</v>
      </c>
      <c r="B112" s="28">
        <v>110.0</v>
      </c>
      <c r="C112" s="28">
        <v>126.0</v>
      </c>
      <c r="D112" s="28">
        <v>23147.0</v>
      </c>
      <c r="E112" s="28">
        <v>3017.0</v>
      </c>
      <c r="F112" s="29">
        <v>193725.0</v>
      </c>
      <c r="G112" s="29">
        <v>3127.0</v>
      </c>
      <c r="H112" s="29">
        <v>216872.0</v>
      </c>
      <c r="I112" s="28">
        <v>52.0</v>
      </c>
      <c r="J112" s="28">
        <v>54.0</v>
      </c>
      <c r="K112" s="28">
        <v>16319.0</v>
      </c>
      <c r="L112" s="28">
        <v>1578.0</v>
      </c>
      <c r="M112" s="28">
        <v>122612.0</v>
      </c>
      <c r="N112" s="28">
        <v>138931.0</v>
      </c>
      <c r="O112" s="28">
        <v>10.0</v>
      </c>
      <c r="P112" s="30">
        <v>1940.0</v>
      </c>
      <c r="Q112" s="30">
        <v>9.0</v>
      </c>
      <c r="R112" s="30">
        <v>1522.0</v>
      </c>
      <c r="S112" s="30">
        <v>1.0</v>
      </c>
      <c r="T112" s="30">
        <v>287.0</v>
      </c>
      <c r="U112" s="30">
        <v>131.0</v>
      </c>
      <c r="V112" s="30">
        <v>131.0</v>
      </c>
      <c r="W112" s="30">
        <v>22.0</v>
      </c>
      <c r="X112" s="30">
        <v>16.0</v>
      </c>
      <c r="Y112" s="30">
        <v>8.0</v>
      </c>
      <c r="Z112" s="28">
        <v>919.0</v>
      </c>
    </row>
    <row r="113" ht="14.25" customHeight="1">
      <c r="A113" s="27">
        <v>43999.0</v>
      </c>
      <c r="B113" s="28">
        <v>127.0</v>
      </c>
      <c r="C113" s="28">
        <v>142.0</v>
      </c>
      <c r="D113" s="28">
        <v>23274.0</v>
      </c>
      <c r="E113" s="28">
        <v>2835.0</v>
      </c>
      <c r="F113" s="29">
        <v>196560.0</v>
      </c>
      <c r="G113" s="29">
        <v>2962.0</v>
      </c>
      <c r="H113" s="29">
        <v>219834.0</v>
      </c>
      <c r="I113" s="28">
        <v>53.0</v>
      </c>
      <c r="J113" s="28">
        <v>61.0</v>
      </c>
      <c r="K113" s="28">
        <v>16372.0</v>
      </c>
      <c r="L113" s="28">
        <v>1320.0</v>
      </c>
      <c r="M113" s="28">
        <v>123932.0</v>
      </c>
      <c r="N113" s="28">
        <v>140304.0</v>
      </c>
      <c r="O113" s="28">
        <v>15.0</v>
      </c>
      <c r="P113" s="30">
        <v>1955.0</v>
      </c>
      <c r="Q113" s="30">
        <v>20.0</v>
      </c>
      <c r="R113" s="30">
        <v>1542.0</v>
      </c>
      <c r="S113" s="30">
        <v>4.0</v>
      </c>
      <c r="T113" s="30">
        <v>291.0</v>
      </c>
      <c r="U113" s="30">
        <v>122.0</v>
      </c>
      <c r="V113" s="30">
        <v>128.0</v>
      </c>
      <c r="W113" s="30">
        <v>18.0</v>
      </c>
      <c r="X113" s="30">
        <v>14.0</v>
      </c>
      <c r="Y113" s="30">
        <v>6.0</v>
      </c>
      <c r="Z113" s="28">
        <v>925.0</v>
      </c>
    </row>
    <row r="114" ht="14.25" customHeight="1">
      <c r="A114" s="27">
        <v>44000.0</v>
      </c>
      <c r="B114" s="28">
        <v>149.0</v>
      </c>
      <c r="C114" s="28">
        <v>129.0</v>
      </c>
      <c r="D114" s="28">
        <v>23423.0</v>
      </c>
      <c r="E114" s="28">
        <v>3047.0</v>
      </c>
      <c r="F114" s="29">
        <v>199607.0</v>
      </c>
      <c r="G114" s="29">
        <v>3196.0</v>
      </c>
      <c r="H114" s="29">
        <v>223030.0</v>
      </c>
      <c r="I114" s="28">
        <v>70.0</v>
      </c>
      <c r="J114" s="28">
        <v>58.0</v>
      </c>
      <c r="K114" s="28">
        <v>16442.0</v>
      </c>
      <c r="L114" s="28">
        <v>1315.0</v>
      </c>
      <c r="M114" s="28">
        <v>125247.0</v>
      </c>
      <c r="N114" s="28">
        <v>141689.0</v>
      </c>
      <c r="O114" s="28">
        <v>9.0</v>
      </c>
      <c r="P114" s="30">
        <v>1964.0</v>
      </c>
      <c r="Q114" s="30">
        <v>13.0</v>
      </c>
      <c r="R114" s="30">
        <v>1555.0</v>
      </c>
      <c r="S114" s="30">
        <v>1.0</v>
      </c>
      <c r="T114" s="30">
        <v>292.0</v>
      </c>
      <c r="U114" s="30">
        <v>117.0</v>
      </c>
      <c r="V114" s="30">
        <v>123.0</v>
      </c>
      <c r="W114" s="30">
        <v>19.0</v>
      </c>
      <c r="X114" s="30">
        <v>16.0</v>
      </c>
      <c r="Y114" s="30">
        <v>7.0</v>
      </c>
      <c r="Z114" s="28">
        <v>932.0</v>
      </c>
    </row>
    <row r="115" ht="14.25" customHeight="1">
      <c r="A115" s="27">
        <v>44001.0</v>
      </c>
      <c r="B115" s="28">
        <v>141.0</v>
      </c>
      <c r="C115" s="28">
        <v>139.0</v>
      </c>
      <c r="D115" s="28">
        <v>23564.0</v>
      </c>
      <c r="E115" s="28">
        <v>3769.0</v>
      </c>
      <c r="F115" s="29">
        <v>203376.0</v>
      </c>
      <c r="G115" s="29">
        <v>3910.0</v>
      </c>
      <c r="H115" s="29">
        <v>226940.0</v>
      </c>
      <c r="I115" s="28">
        <v>59.0</v>
      </c>
      <c r="J115" s="28">
        <v>61.0</v>
      </c>
      <c r="K115" s="28">
        <v>16501.0</v>
      </c>
      <c r="L115" s="28">
        <v>1372.0</v>
      </c>
      <c r="M115" s="28">
        <v>126619.0</v>
      </c>
      <c r="N115" s="28">
        <v>143120.0</v>
      </c>
      <c r="O115" s="28">
        <v>12.0</v>
      </c>
      <c r="P115" s="30">
        <v>1976.0</v>
      </c>
      <c r="Q115" s="30">
        <v>11.0</v>
      </c>
      <c r="R115" s="30">
        <v>1566.0</v>
      </c>
      <c r="S115" s="30">
        <v>1.0</v>
      </c>
      <c r="T115" s="30">
        <v>293.0</v>
      </c>
      <c r="U115" s="30">
        <v>117.0</v>
      </c>
      <c r="V115" s="30">
        <v>119.0</v>
      </c>
      <c r="W115" s="30">
        <v>20.0</v>
      </c>
      <c r="X115" s="30">
        <v>17.0</v>
      </c>
      <c r="Y115" s="30">
        <v>3.0</v>
      </c>
      <c r="Z115" s="28">
        <v>935.0</v>
      </c>
    </row>
    <row r="116" ht="14.25" customHeight="1">
      <c r="A116" s="27">
        <v>44002.0</v>
      </c>
      <c r="B116" s="28">
        <v>84.0</v>
      </c>
      <c r="C116" s="28">
        <v>125.0</v>
      </c>
      <c r="D116" s="28">
        <v>23648.0</v>
      </c>
      <c r="E116" s="28">
        <v>1891.0</v>
      </c>
      <c r="F116" s="29">
        <v>205267.0</v>
      </c>
      <c r="G116" s="29">
        <v>1975.0</v>
      </c>
      <c r="H116" s="29">
        <v>228915.0</v>
      </c>
      <c r="I116" s="28">
        <v>36.0</v>
      </c>
      <c r="J116" s="28">
        <v>55.0</v>
      </c>
      <c r="K116" s="28">
        <v>16537.0</v>
      </c>
      <c r="L116" s="28">
        <v>813.0</v>
      </c>
      <c r="M116" s="28">
        <v>127432.0</v>
      </c>
      <c r="N116" s="28">
        <v>143969.0</v>
      </c>
      <c r="O116" s="28">
        <v>9.0</v>
      </c>
      <c r="P116" s="30">
        <v>1985.0</v>
      </c>
      <c r="Q116" s="30">
        <v>12.0</v>
      </c>
      <c r="R116" s="30">
        <v>1578.0</v>
      </c>
      <c r="S116" s="30">
        <v>0.0</v>
      </c>
      <c r="T116" s="30">
        <v>293.0</v>
      </c>
      <c r="U116" s="30">
        <v>114.0</v>
      </c>
      <c r="V116" s="30">
        <v>116.0</v>
      </c>
      <c r="W116" s="30">
        <v>20.0</v>
      </c>
      <c r="X116" s="30">
        <v>18.0</v>
      </c>
      <c r="Y116" s="30">
        <v>4.0</v>
      </c>
      <c r="Z116" s="28">
        <v>939.0</v>
      </c>
    </row>
    <row r="117" ht="14.25" customHeight="1">
      <c r="A117" s="27">
        <v>44003.0</v>
      </c>
      <c r="B117" s="28">
        <v>37.0</v>
      </c>
      <c r="C117" s="28">
        <v>87.0</v>
      </c>
      <c r="D117" s="28">
        <v>23685.0</v>
      </c>
      <c r="E117" s="28">
        <v>1064.0</v>
      </c>
      <c r="F117" s="29">
        <v>206331.0</v>
      </c>
      <c r="G117" s="29">
        <v>1101.0</v>
      </c>
      <c r="H117" s="29">
        <v>230016.0</v>
      </c>
      <c r="I117" s="28">
        <v>28.0</v>
      </c>
      <c r="J117" s="28">
        <v>41.0</v>
      </c>
      <c r="K117" s="28">
        <v>16565.0</v>
      </c>
      <c r="L117" s="28">
        <v>692.0</v>
      </c>
      <c r="M117" s="28">
        <v>128124.0</v>
      </c>
      <c r="N117" s="28">
        <v>144689.0</v>
      </c>
      <c r="O117" s="28">
        <v>8.0</v>
      </c>
      <c r="P117" s="30">
        <v>1993.0</v>
      </c>
      <c r="Q117" s="30">
        <v>5.0</v>
      </c>
      <c r="R117" s="30">
        <v>1583.0</v>
      </c>
      <c r="S117" s="30">
        <v>0.0</v>
      </c>
      <c r="T117" s="30">
        <v>293.0</v>
      </c>
      <c r="U117" s="30">
        <v>117.0</v>
      </c>
      <c r="V117" s="30">
        <v>116.0</v>
      </c>
      <c r="W117" s="30">
        <v>20.0</v>
      </c>
      <c r="X117" s="30">
        <v>18.0</v>
      </c>
      <c r="Y117" s="30">
        <v>2.0</v>
      </c>
      <c r="Z117" s="28">
        <v>941.0</v>
      </c>
    </row>
    <row r="118" ht="14.25" customHeight="1">
      <c r="A118" s="27">
        <v>44004.0</v>
      </c>
      <c r="B118" s="28">
        <v>138.0</v>
      </c>
      <c r="C118" s="28">
        <v>86.0</v>
      </c>
      <c r="D118" s="28">
        <v>23823.0</v>
      </c>
      <c r="E118" s="28">
        <v>3730.0</v>
      </c>
      <c r="F118" s="29">
        <v>210061.0</v>
      </c>
      <c r="G118" s="29">
        <v>3868.0</v>
      </c>
      <c r="H118" s="29">
        <v>233884.0</v>
      </c>
      <c r="I118" s="28">
        <v>69.0</v>
      </c>
      <c r="J118" s="28">
        <v>44.0</v>
      </c>
      <c r="K118" s="28">
        <v>16634.0</v>
      </c>
      <c r="L118" s="28">
        <v>1708.0</v>
      </c>
      <c r="M118" s="28">
        <v>129832.0</v>
      </c>
      <c r="N118" s="28">
        <v>146466.0</v>
      </c>
      <c r="O118" s="28">
        <v>12.0</v>
      </c>
      <c r="P118" s="30">
        <v>2005.0</v>
      </c>
      <c r="Q118" s="30">
        <v>16.0</v>
      </c>
      <c r="R118" s="30">
        <v>1599.0</v>
      </c>
      <c r="S118" s="30">
        <v>0.0</v>
      </c>
      <c r="T118" s="30">
        <v>293.0</v>
      </c>
      <c r="U118" s="30">
        <v>113.0</v>
      </c>
      <c r="V118" s="30">
        <v>115.0</v>
      </c>
      <c r="W118" s="30">
        <v>19.0</v>
      </c>
      <c r="X118" s="30">
        <v>18.0</v>
      </c>
      <c r="Y118" s="30">
        <v>1.0</v>
      </c>
      <c r="Z118" s="28">
        <v>942.0</v>
      </c>
    </row>
    <row r="119" ht="14.25" customHeight="1">
      <c r="A119" s="27">
        <v>44005.0</v>
      </c>
      <c r="B119" s="28">
        <v>163.0</v>
      </c>
      <c r="C119" s="28">
        <v>113.0</v>
      </c>
      <c r="D119" s="28">
        <v>23986.0</v>
      </c>
      <c r="E119" s="28">
        <v>3831.0</v>
      </c>
      <c r="F119" s="29">
        <v>213892.0</v>
      </c>
      <c r="G119" s="29">
        <v>3994.0</v>
      </c>
      <c r="H119" s="29">
        <v>237878.0</v>
      </c>
      <c r="I119" s="28">
        <v>83.0</v>
      </c>
      <c r="J119" s="28">
        <v>60.0</v>
      </c>
      <c r="K119" s="28">
        <v>16717.0</v>
      </c>
      <c r="L119" s="28">
        <v>1782.0</v>
      </c>
      <c r="M119" s="28">
        <v>131614.0</v>
      </c>
      <c r="N119" s="28">
        <v>148331.0</v>
      </c>
      <c r="O119" s="28">
        <v>3.0</v>
      </c>
      <c r="P119" s="30">
        <v>2008.0</v>
      </c>
      <c r="Q119" s="30">
        <v>13.0</v>
      </c>
      <c r="R119" s="30">
        <v>1612.0</v>
      </c>
      <c r="S119" s="30">
        <v>3.0</v>
      </c>
      <c r="T119" s="30">
        <v>296.0</v>
      </c>
      <c r="U119" s="30">
        <v>100.0</v>
      </c>
      <c r="V119" s="30">
        <v>110.0</v>
      </c>
      <c r="W119" s="30">
        <v>18.0</v>
      </c>
      <c r="X119" s="30">
        <v>18.0</v>
      </c>
      <c r="Y119" s="30">
        <v>7.0</v>
      </c>
      <c r="Z119" s="28">
        <v>949.0</v>
      </c>
    </row>
    <row r="120" ht="14.25" customHeight="1">
      <c r="A120" s="27">
        <v>44006.0</v>
      </c>
      <c r="B120" s="28">
        <v>120.0</v>
      </c>
      <c r="C120" s="28">
        <v>140.0</v>
      </c>
      <c r="D120" s="28">
        <v>24106.0</v>
      </c>
      <c r="E120" s="28">
        <v>3502.0</v>
      </c>
      <c r="F120" s="29">
        <v>217394.0</v>
      </c>
      <c r="G120" s="29">
        <v>3622.0</v>
      </c>
      <c r="H120" s="29">
        <v>241500.0</v>
      </c>
      <c r="I120" s="28">
        <v>46.0</v>
      </c>
      <c r="J120" s="28">
        <v>66.0</v>
      </c>
      <c r="K120" s="28">
        <v>16763.0</v>
      </c>
      <c r="L120" s="28">
        <v>1687.0</v>
      </c>
      <c r="M120" s="28">
        <v>133301.0</v>
      </c>
      <c r="N120" s="28">
        <v>150064.0</v>
      </c>
      <c r="O120" s="28">
        <v>9.0</v>
      </c>
      <c r="P120" s="30">
        <v>2017.0</v>
      </c>
      <c r="Q120" s="30">
        <v>10.0</v>
      </c>
      <c r="R120" s="30">
        <v>1622.0</v>
      </c>
      <c r="S120" s="30">
        <v>1.0</v>
      </c>
      <c r="T120" s="30">
        <v>297.0</v>
      </c>
      <c r="U120" s="30">
        <v>98.0</v>
      </c>
      <c r="V120" s="30">
        <v>104.0</v>
      </c>
      <c r="W120" s="30">
        <v>18.0</v>
      </c>
      <c r="X120" s="30">
        <v>18.0</v>
      </c>
      <c r="Y120" s="30">
        <v>5.0</v>
      </c>
      <c r="Z120" s="28">
        <v>954.0</v>
      </c>
    </row>
    <row r="121" ht="14.25" customHeight="1">
      <c r="A121" s="27">
        <v>44007.0</v>
      </c>
      <c r="B121" s="28">
        <v>103.0</v>
      </c>
      <c r="C121" s="28">
        <v>129.0</v>
      </c>
      <c r="D121" s="28">
        <v>24209.0</v>
      </c>
      <c r="E121" s="28">
        <v>2883.0</v>
      </c>
      <c r="F121" s="29">
        <v>220277.0</v>
      </c>
      <c r="G121" s="29">
        <v>2986.0</v>
      </c>
      <c r="H121" s="29">
        <v>244486.0</v>
      </c>
      <c r="I121" s="28">
        <v>54.0</v>
      </c>
      <c r="J121" s="28">
        <v>61.0</v>
      </c>
      <c r="K121" s="28">
        <v>16817.0</v>
      </c>
      <c r="L121" s="28">
        <v>1512.0</v>
      </c>
      <c r="M121" s="28">
        <v>134813.0</v>
      </c>
      <c r="N121" s="28">
        <v>151630.0</v>
      </c>
      <c r="O121" s="28">
        <v>6.0</v>
      </c>
      <c r="P121" s="30">
        <v>2023.0</v>
      </c>
      <c r="Q121" s="30">
        <v>14.0</v>
      </c>
      <c r="R121" s="30">
        <v>1636.0</v>
      </c>
      <c r="S121" s="30">
        <v>1.0</v>
      </c>
      <c r="T121" s="30">
        <v>298.0</v>
      </c>
      <c r="U121" s="30">
        <v>89.0</v>
      </c>
      <c r="V121" s="30">
        <v>96.0</v>
      </c>
      <c r="W121" s="30">
        <v>17.0</v>
      </c>
      <c r="X121" s="30">
        <v>17.0</v>
      </c>
      <c r="Y121" s="30">
        <v>1.0</v>
      </c>
      <c r="Z121" s="28">
        <v>955.0</v>
      </c>
    </row>
    <row r="122" ht="14.25" customHeight="1">
      <c r="A122" s="27">
        <v>44008.0</v>
      </c>
      <c r="B122" s="28">
        <v>94.0</v>
      </c>
      <c r="C122" s="28">
        <v>106.0</v>
      </c>
      <c r="D122" s="28">
        <v>24303.0</v>
      </c>
      <c r="E122" s="28">
        <v>2488.0</v>
      </c>
      <c r="F122" s="29">
        <v>222765.0</v>
      </c>
      <c r="G122" s="29">
        <v>2582.0</v>
      </c>
      <c r="H122" s="29">
        <v>247068.0</v>
      </c>
      <c r="I122" s="28">
        <v>63.0</v>
      </c>
      <c r="J122" s="28">
        <v>54.0</v>
      </c>
      <c r="K122" s="28">
        <v>16880.0</v>
      </c>
      <c r="L122" s="28">
        <v>1332.0</v>
      </c>
      <c r="M122" s="28">
        <v>136145.0</v>
      </c>
      <c r="N122" s="28">
        <v>153025.0</v>
      </c>
      <c r="O122" s="28">
        <v>2.0</v>
      </c>
      <c r="P122" s="30">
        <v>2025.0</v>
      </c>
      <c r="Q122" s="30">
        <v>10.0</v>
      </c>
      <c r="R122" s="30">
        <v>1646.0</v>
      </c>
      <c r="S122" s="30">
        <v>0.0</v>
      </c>
      <c r="T122" s="30">
        <v>298.0</v>
      </c>
      <c r="U122" s="30">
        <v>81.0</v>
      </c>
      <c r="V122" s="30">
        <v>89.0</v>
      </c>
      <c r="W122" s="30">
        <v>18.0</v>
      </c>
      <c r="X122" s="30">
        <v>18.0</v>
      </c>
      <c r="Y122" s="30">
        <v>1.0</v>
      </c>
      <c r="Z122" s="28">
        <v>956.0</v>
      </c>
    </row>
    <row r="123" ht="14.25" customHeight="1">
      <c r="A123" s="27">
        <v>44009.0</v>
      </c>
      <c r="B123" s="28">
        <v>84.0</v>
      </c>
      <c r="C123" s="28">
        <v>94.0</v>
      </c>
      <c r="D123" s="28">
        <v>24387.0</v>
      </c>
      <c r="E123" s="28">
        <v>3214.0</v>
      </c>
      <c r="F123" s="29">
        <v>225979.0</v>
      </c>
      <c r="G123" s="29">
        <v>3298.0</v>
      </c>
      <c r="H123" s="29">
        <v>250366.0</v>
      </c>
      <c r="I123" s="28">
        <v>37.0</v>
      </c>
      <c r="J123" s="28">
        <v>51.0</v>
      </c>
      <c r="K123" s="28">
        <v>16917.0</v>
      </c>
      <c r="L123" s="28">
        <v>1221.0</v>
      </c>
      <c r="M123" s="28">
        <v>137366.0</v>
      </c>
      <c r="N123" s="28">
        <v>154283.0</v>
      </c>
      <c r="O123" s="28">
        <v>5.0</v>
      </c>
      <c r="P123" s="30">
        <v>2030.0</v>
      </c>
      <c r="Q123" s="30">
        <v>3.0</v>
      </c>
      <c r="R123" s="30">
        <v>1649.0</v>
      </c>
      <c r="S123" s="30">
        <v>1.0</v>
      </c>
      <c r="T123" s="30">
        <v>299.0</v>
      </c>
      <c r="U123" s="30">
        <v>82.0</v>
      </c>
      <c r="V123" s="30">
        <v>84.0</v>
      </c>
      <c r="W123" s="30">
        <v>17.0</v>
      </c>
      <c r="X123" s="30">
        <v>17.0</v>
      </c>
      <c r="Y123" s="30">
        <v>5.0</v>
      </c>
      <c r="Z123" s="28">
        <v>961.0</v>
      </c>
    </row>
    <row r="124" ht="14.25" customHeight="1">
      <c r="A124" s="27">
        <v>44010.0</v>
      </c>
      <c r="B124" s="28">
        <v>39.0</v>
      </c>
      <c r="C124" s="28">
        <v>72.0</v>
      </c>
      <c r="D124" s="28">
        <v>24426.0</v>
      </c>
      <c r="E124" s="28">
        <v>1469.0</v>
      </c>
      <c r="F124" s="29">
        <v>227448.0</v>
      </c>
      <c r="G124" s="29">
        <v>1508.0</v>
      </c>
      <c r="H124" s="29">
        <v>251874.0</v>
      </c>
      <c r="I124" s="28">
        <v>19.0</v>
      </c>
      <c r="J124" s="28">
        <v>40.0</v>
      </c>
      <c r="K124" s="28">
        <v>16936.0</v>
      </c>
      <c r="L124" s="28">
        <v>596.0</v>
      </c>
      <c r="M124" s="28">
        <v>137962.0</v>
      </c>
      <c r="N124" s="28">
        <v>154898.0</v>
      </c>
      <c r="O124" s="28">
        <v>4.0</v>
      </c>
      <c r="P124" s="30">
        <v>2034.0</v>
      </c>
      <c r="Q124" s="30">
        <v>4.0</v>
      </c>
      <c r="R124" s="30">
        <v>1653.0</v>
      </c>
      <c r="S124" s="30">
        <v>4.0</v>
      </c>
      <c r="T124" s="30">
        <v>303.0</v>
      </c>
      <c r="U124" s="30">
        <v>78.0</v>
      </c>
      <c r="V124" s="30">
        <v>80.0</v>
      </c>
      <c r="W124" s="30">
        <v>15.0</v>
      </c>
      <c r="X124" s="30">
        <v>14.0</v>
      </c>
      <c r="Y124" s="30">
        <v>6.0</v>
      </c>
      <c r="Z124" s="28">
        <v>967.0</v>
      </c>
    </row>
    <row r="125" ht="14.25" customHeight="1">
      <c r="A125" s="27">
        <v>44011.0</v>
      </c>
      <c r="B125" s="28">
        <v>85.0</v>
      </c>
      <c r="C125" s="28">
        <v>69.0</v>
      </c>
      <c r="D125" s="28">
        <v>24511.0</v>
      </c>
      <c r="E125" s="28">
        <v>3697.0</v>
      </c>
      <c r="F125" s="29">
        <v>231145.0</v>
      </c>
      <c r="G125" s="29">
        <v>3782.0</v>
      </c>
      <c r="H125" s="29">
        <v>255656.0</v>
      </c>
      <c r="I125" s="28">
        <v>39.0</v>
      </c>
      <c r="J125" s="28">
        <v>32.0</v>
      </c>
      <c r="K125" s="28">
        <v>16975.0</v>
      </c>
      <c r="L125" s="28">
        <v>1354.0</v>
      </c>
      <c r="M125" s="28">
        <v>139316.0</v>
      </c>
      <c r="N125" s="28">
        <v>156291.0</v>
      </c>
      <c r="O125" s="28">
        <v>4.0</v>
      </c>
      <c r="P125" s="30">
        <v>2038.0</v>
      </c>
      <c r="Q125" s="30">
        <v>5.0</v>
      </c>
      <c r="R125" s="30">
        <v>1658.0</v>
      </c>
      <c r="S125" s="30">
        <v>0.0</v>
      </c>
      <c r="T125" s="30">
        <v>303.0</v>
      </c>
      <c r="U125" s="30">
        <v>77.0</v>
      </c>
      <c r="V125" s="30">
        <v>79.0</v>
      </c>
      <c r="W125" s="30">
        <v>14.0</v>
      </c>
      <c r="X125" s="30">
        <v>14.0</v>
      </c>
      <c r="Y125" s="30">
        <v>1.0</v>
      </c>
      <c r="Z125" s="28">
        <v>968.0</v>
      </c>
    </row>
    <row r="126" ht="14.25" customHeight="1">
      <c r="A126" s="27">
        <v>44012.0</v>
      </c>
      <c r="B126" s="28">
        <v>57.0</v>
      </c>
      <c r="C126" s="28">
        <v>60.0</v>
      </c>
      <c r="D126" s="28">
        <v>24568.0</v>
      </c>
      <c r="E126" s="28">
        <v>1956.0</v>
      </c>
      <c r="F126" s="29">
        <v>233101.0</v>
      </c>
      <c r="G126" s="29">
        <v>2013.0</v>
      </c>
      <c r="H126" s="29">
        <v>257669.0</v>
      </c>
      <c r="I126" s="28">
        <v>33.0</v>
      </c>
      <c r="J126" s="28">
        <v>30.0</v>
      </c>
      <c r="K126" s="28">
        <v>17008.0</v>
      </c>
      <c r="L126" s="28">
        <v>995.0</v>
      </c>
      <c r="M126" s="28">
        <v>140311.0</v>
      </c>
      <c r="N126" s="28">
        <v>157319.0</v>
      </c>
      <c r="O126" s="28">
        <v>1.0</v>
      </c>
      <c r="P126" s="30">
        <v>2039.0</v>
      </c>
      <c r="Q126" s="30">
        <v>5.0</v>
      </c>
      <c r="R126" s="30">
        <v>1663.0</v>
      </c>
      <c r="S126" s="30">
        <v>1.0</v>
      </c>
      <c r="T126" s="30">
        <v>304.0</v>
      </c>
      <c r="U126" s="30">
        <v>72.0</v>
      </c>
      <c r="V126" s="30">
        <v>76.0</v>
      </c>
      <c r="W126" s="30">
        <v>12.0</v>
      </c>
      <c r="X126" s="30">
        <v>11.0</v>
      </c>
      <c r="Y126" s="30">
        <v>4.0</v>
      </c>
      <c r="Z126" s="28">
        <v>972.0</v>
      </c>
    </row>
    <row r="127" ht="14.25" customHeight="1">
      <c r="A127" s="27">
        <v>44013.0</v>
      </c>
      <c r="B127" s="28">
        <v>144.0</v>
      </c>
      <c r="C127" s="28">
        <v>95.0</v>
      </c>
      <c r="D127" s="28">
        <v>24712.0</v>
      </c>
      <c r="E127" s="28">
        <v>4098.0</v>
      </c>
      <c r="F127" s="29">
        <v>237199.0</v>
      </c>
      <c r="G127" s="29">
        <v>4242.0</v>
      </c>
      <c r="H127" s="29">
        <v>261911.0</v>
      </c>
      <c r="I127" s="28">
        <v>80.0</v>
      </c>
      <c r="J127" s="28">
        <v>51.0</v>
      </c>
      <c r="K127" s="28">
        <v>17088.0</v>
      </c>
      <c r="L127" s="28">
        <v>1936.0</v>
      </c>
      <c r="M127" s="28">
        <v>142247.0</v>
      </c>
      <c r="N127" s="28">
        <v>159335.0</v>
      </c>
      <c r="O127" s="28">
        <v>7.0</v>
      </c>
      <c r="P127" s="30">
        <v>2046.0</v>
      </c>
      <c r="Q127" s="30">
        <v>9.0</v>
      </c>
      <c r="R127" s="30">
        <v>1672.0</v>
      </c>
      <c r="S127" s="30">
        <v>0.0</v>
      </c>
      <c r="T127" s="30">
        <v>304.0</v>
      </c>
      <c r="U127" s="30">
        <v>70.0</v>
      </c>
      <c r="V127" s="30">
        <v>73.0</v>
      </c>
      <c r="W127" s="30">
        <v>11.0</v>
      </c>
      <c r="X127" s="30">
        <v>11.0</v>
      </c>
      <c r="Y127" s="30">
        <v>1.0</v>
      </c>
      <c r="Z127" s="28">
        <v>973.0</v>
      </c>
    </row>
    <row r="128" ht="14.25" customHeight="1">
      <c r="A128" s="27">
        <v>44014.0</v>
      </c>
      <c r="B128" s="28">
        <v>103.0</v>
      </c>
      <c r="C128" s="28">
        <v>101.0</v>
      </c>
      <c r="D128" s="28">
        <v>24815.0</v>
      </c>
      <c r="E128" s="28">
        <v>2803.0</v>
      </c>
      <c r="F128" s="29">
        <v>240002.0</v>
      </c>
      <c r="G128" s="29">
        <v>2906.0</v>
      </c>
      <c r="H128" s="29">
        <v>264817.0</v>
      </c>
      <c r="I128" s="28">
        <v>57.0</v>
      </c>
      <c r="J128" s="28">
        <v>57.0</v>
      </c>
      <c r="K128" s="28">
        <v>17145.0</v>
      </c>
      <c r="L128" s="28">
        <v>1089.0</v>
      </c>
      <c r="M128" s="28">
        <v>143336.0</v>
      </c>
      <c r="N128" s="28">
        <v>160481.0</v>
      </c>
      <c r="O128" s="28">
        <v>5.0</v>
      </c>
      <c r="P128" s="30">
        <v>2051.0</v>
      </c>
      <c r="Q128" s="30">
        <v>5.0</v>
      </c>
      <c r="R128" s="30">
        <v>1677.0</v>
      </c>
      <c r="S128" s="30">
        <v>1.0</v>
      </c>
      <c r="T128" s="30">
        <v>305.0</v>
      </c>
      <c r="U128" s="30">
        <v>69.0</v>
      </c>
      <c r="V128" s="30">
        <v>70.0</v>
      </c>
      <c r="W128" s="30">
        <v>10.0</v>
      </c>
      <c r="X128" s="30">
        <v>10.0</v>
      </c>
      <c r="Y128" s="30">
        <v>2.0</v>
      </c>
      <c r="Z128" s="28">
        <v>975.0</v>
      </c>
    </row>
    <row r="129" ht="14.25" customHeight="1">
      <c r="A129" s="27">
        <v>44015.0</v>
      </c>
      <c r="B129" s="28">
        <v>50.0</v>
      </c>
      <c r="C129" s="28">
        <v>99.0</v>
      </c>
      <c r="D129" s="28">
        <v>24865.0</v>
      </c>
      <c r="E129" s="28">
        <v>2076.0</v>
      </c>
      <c r="F129" s="29">
        <v>242078.0</v>
      </c>
      <c r="G129" s="29">
        <v>2126.0</v>
      </c>
      <c r="H129" s="29">
        <v>266943.0</v>
      </c>
      <c r="I129" s="28">
        <v>26.0</v>
      </c>
      <c r="J129" s="28">
        <v>54.0</v>
      </c>
      <c r="K129" s="28">
        <v>17171.0</v>
      </c>
      <c r="L129" s="28">
        <v>779.0</v>
      </c>
      <c r="M129" s="28">
        <v>144115.0</v>
      </c>
      <c r="N129" s="28">
        <v>161286.0</v>
      </c>
      <c r="O129" s="28">
        <v>9.0</v>
      </c>
      <c r="P129" s="30">
        <v>2060.0</v>
      </c>
      <c r="Q129" s="30">
        <v>6.0</v>
      </c>
      <c r="R129" s="30">
        <v>1683.0</v>
      </c>
      <c r="S129" s="30">
        <v>0.0</v>
      </c>
      <c r="T129" s="30">
        <v>305.0</v>
      </c>
      <c r="U129" s="30">
        <v>72.0</v>
      </c>
      <c r="V129" s="30">
        <v>70.0</v>
      </c>
      <c r="W129" s="30">
        <v>9.0</v>
      </c>
      <c r="X129" s="30">
        <v>9.0</v>
      </c>
      <c r="Y129" s="30">
        <v>3.0</v>
      </c>
      <c r="Z129" s="28">
        <v>978.0</v>
      </c>
    </row>
    <row r="130" ht="14.25" customHeight="1">
      <c r="A130" s="27">
        <v>44016.0</v>
      </c>
      <c r="B130" s="28">
        <v>57.0</v>
      </c>
      <c r="C130" s="28">
        <v>70.0</v>
      </c>
      <c r="D130" s="28">
        <v>24922.0</v>
      </c>
      <c r="E130" s="28">
        <v>2345.0</v>
      </c>
      <c r="F130" s="29">
        <v>244423.0</v>
      </c>
      <c r="G130" s="29">
        <v>2402.0</v>
      </c>
      <c r="H130" s="29">
        <v>269345.0</v>
      </c>
      <c r="I130" s="28">
        <v>34.0</v>
      </c>
      <c r="J130" s="28">
        <v>39.0</v>
      </c>
      <c r="K130" s="28">
        <v>17205.0</v>
      </c>
      <c r="L130" s="28">
        <v>1010.0</v>
      </c>
      <c r="M130" s="28">
        <v>145125.0</v>
      </c>
      <c r="N130" s="28">
        <v>162330.0</v>
      </c>
      <c r="O130" s="28">
        <v>2.0</v>
      </c>
      <c r="P130" s="30">
        <v>2062.0</v>
      </c>
      <c r="Q130" s="30">
        <v>4.0</v>
      </c>
      <c r="R130" s="30">
        <v>1687.0</v>
      </c>
      <c r="S130" s="30">
        <v>1.0</v>
      </c>
      <c r="T130" s="30">
        <v>306.0</v>
      </c>
      <c r="U130" s="30">
        <v>69.0</v>
      </c>
      <c r="V130" s="30">
        <v>70.0</v>
      </c>
      <c r="W130" s="30">
        <v>10.0</v>
      </c>
      <c r="X130" s="30">
        <v>9.0</v>
      </c>
      <c r="Y130" s="30">
        <v>2.0</v>
      </c>
      <c r="Z130" s="28">
        <v>980.0</v>
      </c>
    </row>
    <row r="131" ht="14.25" customHeight="1">
      <c r="A131" s="27">
        <v>44017.0</v>
      </c>
      <c r="B131" s="28">
        <v>49.0</v>
      </c>
      <c r="C131" s="28">
        <v>52.0</v>
      </c>
      <c r="D131" s="28">
        <v>24971.0</v>
      </c>
      <c r="E131" s="28">
        <v>2932.0</v>
      </c>
      <c r="F131" s="29">
        <v>247355.0</v>
      </c>
      <c r="G131" s="29">
        <v>2981.0</v>
      </c>
      <c r="H131" s="29">
        <v>272326.0</v>
      </c>
      <c r="I131" s="28">
        <v>26.0</v>
      </c>
      <c r="J131" s="28">
        <v>29.0</v>
      </c>
      <c r="K131" s="28">
        <v>17231.0</v>
      </c>
      <c r="L131" s="28">
        <v>1446.0</v>
      </c>
      <c r="M131" s="28">
        <v>146571.0</v>
      </c>
      <c r="N131" s="28">
        <v>163802.0</v>
      </c>
      <c r="O131" s="28">
        <v>1.0</v>
      </c>
      <c r="P131" s="30">
        <v>2063.0</v>
      </c>
      <c r="Q131" s="30">
        <v>2.0</v>
      </c>
      <c r="R131" s="30">
        <v>1689.0</v>
      </c>
      <c r="S131" s="30">
        <v>1.0</v>
      </c>
      <c r="T131" s="30">
        <v>307.0</v>
      </c>
      <c r="U131" s="30">
        <v>67.0</v>
      </c>
      <c r="V131" s="30">
        <v>69.0</v>
      </c>
      <c r="W131" s="30">
        <v>8.0</v>
      </c>
      <c r="X131" s="30">
        <v>8.0</v>
      </c>
      <c r="Y131" s="30">
        <v>2.0</v>
      </c>
      <c r="Z131" s="28">
        <v>982.0</v>
      </c>
    </row>
    <row r="132" ht="14.25" customHeight="1">
      <c r="A132" s="27">
        <v>44018.0</v>
      </c>
      <c r="B132" s="28">
        <v>101.0</v>
      </c>
      <c r="C132" s="28">
        <v>69.0</v>
      </c>
      <c r="D132" s="28">
        <v>25072.0</v>
      </c>
      <c r="E132" s="28">
        <v>2811.0</v>
      </c>
      <c r="F132" s="29">
        <v>250166.0</v>
      </c>
      <c r="G132" s="29">
        <v>2912.0</v>
      </c>
      <c r="H132" s="29">
        <v>275238.0</v>
      </c>
      <c r="I132" s="28">
        <v>58.0</v>
      </c>
      <c r="J132" s="28">
        <v>39.0</v>
      </c>
      <c r="K132" s="28">
        <v>17289.0</v>
      </c>
      <c r="L132" s="28">
        <v>1552.0</v>
      </c>
      <c r="M132" s="28">
        <v>148123.0</v>
      </c>
      <c r="N132" s="28">
        <v>165412.0</v>
      </c>
      <c r="O132" s="28">
        <v>6.0</v>
      </c>
      <c r="P132" s="30">
        <v>2069.0</v>
      </c>
      <c r="Q132" s="30">
        <v>6.0</v>
      </c>
      <c r="R132" s="30">
        <v>1695.0</v>
      </c>
      <c r="S132" s="30">
        <v>0.0</v>
      </c>
      <c r="T132" s="30">
        <v>307.0</v>
      </c>
      <c r="U132" s="30">
        <v>67.0</v>
      </c>
      <c r="V132" s="30">
        <v>68.0</v>
      </c>
      <c r="W132" s="30">
        <v>9.0</v>
      </c>
      <c r="X132" s="30">
        <v>9.0</v>
      </c>
      <c r="Y132" s="30">
        <v>4.0</v>
      </c>
      <c r="Z132" s="28">
        <v>986.0</v>
      </c>
    </row>
    <row r="133" ht="14.25" customHeight="1">
      <c r="A133" s="27">
        <v>44019.0</v>
      </c>
      <c r="B133" s="28">
        <v>81.0</v>
      </c>
      <c r="C133" s="28">
        <v>77.0</v>
      </c>
      <c r="D133" s="28">
        <v>25153.0</v>
      </c>
      <c r="E133" s="28">
        <v>3457.0</v>
      </c>
      <c r="F133" s="29">
        <v>253623.0</v>
      </c>
      <c r="G133" s="29">
        <v>3538.0</v>
      </c>
      <c r="H133" s="29">
        <v>278776.0</v>
      </c>
      <c r="I133" s="28">
        <v>48.0</v>
      </c>
      <c r="J133" s="28">
        <v>44.0</v>
      </c>
      <c r="K133" s="28">
        <v>17337.0</v>
      </c>
      <c r="L133" s="28">
        <v>1536.0</v>
      </c>
      <c r="M133" s="28">
        <v>149659.0</v>
      </c>
      <c r="N133" s="28">
        <v>166996.0</v>
      </c>
      <c r="O133" s="28">
        <v>5.0</v>
      </c>
      <c r="P133" s="30">
        <v>2074.0</v>
      </c>
      <c r="Q133" s="30">
        <v>7.0</v>
      </c>
      <c r="R133" s="30">
        <v>1702.0</v>
      </c>
      <c r="S133" s="30">
        <v>0.0</v>
      </c>
      <c r="T133" s="30">
        <v>307.0</v>
      </c>
      <c r="U133" s="30">
        <v>65.0</v>
      </c>
      <c r="V133" s="30">
        <v>66.0</v>
      </c>
      <c r="W133" s="30">
        <v>8.0</v>
      </c>
      <c r="X133" s="30">
        <v>8.0</v>
      </c>
      <c r="Y133" s="30">
        <v>2.0</v>
      </c>
      <c r="Z133" s="28">
        <v>988.0</v>
      </c>
    </row>
    <row r="134" ht="14.25" customHeight="1">
      <c r="A134" s="27">
        <v>44020.0</v>
      </c>
      <c r="B134" s="28">
        <v>105.0</v>
      </c>
      <c r="C134" s="28">
        <v>96.0</v>
      </c>
      <c r="D134" s="28">
        <v>25258.0</v>
      </c>
      <c r="E134" s="28">
        <v>3403.0</v>
      </c>
      <c r="F134" s="29">
        <v>257026.0</v>
      </c>
      <c r="G134" s="29">
        <v>3508.0</v>
      </c>
      <c r="H134" s="29">
        <v>282284.0</v>
      </c>
      <c r="I134" s="28">
        <v>65.0</v>
      </c>
      <c r="J134" s="28">
        <v>57.0</v>
      </c>
      <c r="K134" s="28">
        <v>17402.0</v>
      </c>
      <c r="L134" s="28">
        <v>1426.0</v>
      </c>
      <c r="M134" s="28">
        <v>151085.0</v>
      </c>
      <c r="N134" s="28">
        <v>168487.0</v>
      </c>
      <c r="O134" s="28">
        <v>4.0</v>
      </c>
      <c r="P134" s="30">
        <v>2078.0</v>
      </c>
      <c r="Q134" s="30">
        <v>2.0</v>
      </c>
      <c r="R134" s="30">
        <v>1704.0</v>
      </c>
      <c r="S134" s="30">
        <v>0.0</v>
      </c>
      <c r="T134" s="30">
        <v>307.0</v>
      </c>
      <c r="U134" s="30">
        <v>67.0</v>
      </c>
      <c r="V134" s="30">
        <v>66.0</v>
      </c>
      <c r="W134" s="30">
        <v>9.0</v>
      </c>
      <c r="X134" s="30">
        <v>8.0</v>
      </c>
      <c r="Y134" s="30">
        <v>0.0</v>
      </c>
      <c r="Z134" s="28">
        <v>988.0</v>
      </c>
    </row>
    <row r="135" ht="14.25" customHeight="1">
      <c r="A135" s="27">
        <v>44021.0</v>
      </c>
      <c r="B135" s="28">
        <v>94.0</v>
      </c>
      <c r="C135" s="28">
        <v>93.0</v>
      </c>
      <c r="D135" s="28">
        <v>25352.0</v>
      </c>
      <c r="E135" s="28">
        <v>3712.0</v>
      </c>
      <c r="F135" s="29">
        <v>260738.0</v>
      </c>
      <c r="G135" s="29">
        <v>3806.0</v>
      </c>
      <c r="H135" s="29">
        <v>286090.0</v>
      </c>
      <c r="I135" s="28">
        <v>51.0</v>
      </c>
      <c r="J135" s="28">
        <v>55.0</v>
      </c>
      <c r="K135" s="28">
        <v>17453.0</v>
      </c>
      <c r="L135" s="28">
        <v>1630.0</v>
      </c>
      <c r="M135" s="28">
        <v>152715.0</v>
      </c>
      <c r="N135" s="28">
        <v>170168.0</v>
      </c>
      <c r="O135" s="28">
        <v>9.0</v>
      </c>
      <c r="P135" s="30">
        <v>2087.0</v>
      </c>
      <c r="Q135" s="30">
        <v>3.0</v>
      </c>
      <c r="R135" s="30">
        <v>1707.0</v>
      </c>
      <c r="S135" s="30">
        <v>0.0</v>
      </c>
      <c r="T135" s="30">
        <v>307.0</v>
      </c>
      <c r="U135" s="30">
        <v>73.0</v>
      </c>
      <c r="V135" s="30">
        <v>68.0</v>
      </c>
      <c r="W135" s="30">
        <v>9.0</v>
      </c>
      <c r="X135" s="30">
        <v>8.0</v>
      </c>
      <c r="Y135" s="30">
        <v>0.0</v>
      </c>
      <c r="Z135" s="28">
        <v>988.0</v>
      </c>
    </row>
    <row r="136" ht="14.25" customHeight="1">
      <c r="A136" s="27">
        <v>44022.0</v>
      </c>
      <c r="B136" s="28">
        <v>131.0</v>
      </c>
      <c r="C136" s="28">
        <v>110.0</v>
      </c>
      <c r="D136" s="28">
        <v>25483.0</v>
      </c>
      <c r="E136" s="28">
        <v>4431.0</v>
      </c>
      <c r="F136" s="29">
        <v>265169.0</v>
      </c>
      <c r="G136" s="29">
        <v>4562.0</v>
      </c>
      <c r="H136" s="29">
        <v>290652.0</v>
      </c>
      <c r="I136" s="28">
        <v>80.0</v>
      </c>
      <c r="J136" s="28">
        <v>65.0</v>
      </c>
      <c r="K136" s="28">
        <v>17533.0</v>
      </c>
      <c r="L136" s="28">
        <v>2080.0</v>
      </c>
      <c r="M136" s="28">
        <v>154795.0</v>
      </c>
      <c r="N136" s="28">
        <v>172328.0</v>
      </c>
      <c r="O136" s="28">
        <v>6.0</v>
      </c>
      <c r="P136" s="30">
        <v>2093.0</v>
      </c>
      <c r="Q136" s="30">
        <v>3.0</v>
      </c>
      <c r="R136" s="30">
        <v>1710.0</v>
      </c>
      <c r="S136" s="30">
        <v>2.0</v>
      </c>
      <c r="T136" s="30">
        <v>309.0</v>
      </c>
      <c r="U136" s="30">
        <v>74.0</v>
      </c>
      <c r="V136" s="30">
        <v>71.0</v>
      </c>
      <c r="W136" s="30">
        <v>7.0</v>
      </c>
      <c r="X136" s="30">
        <v>7.0</v>
      </c>
      <c r="Y136" s="30">
        <v>3.0</v>
      </c>
      <c r="Z136" s="28">
        <v>991.0</v>
      </c>
    </row>
    <row r="137" ht="14.25" customHeight="1">
      <c r="A137" s="27">
        <v>44023.0</v>
      </c>
      <c r="B137" s="28">
        <v>63.0</v>
      </c>
      <c r="C137" s="28">
        <v>96.0</v>
      </c>
      <c r="D137" s="28">
        <v>25546.0</v>
      </c>
      <c r="E137" s="28">
        <v>2932.0</v>
      </c>
      <c r="F137" s="29">
        <v>268101.0</v>
      </c>
      <c r="G137" s="29">
        <v>2995.0</v>
      </c>
      <c r="H137" s="29">
        <v>293647.0</v>
      </c>
      <c r="I137" s="28">
        <v>34.0</v>
      </c>
      <c r="J137" s="28">
        <v>55.0</v>
      </c>
      <c r="K137" s="28">
        <v>17567.0</v>
      </c>
      <c r="L137" s="28">
        <v>1318.0</v>
      </c>
      <c r="M137" s="28">
        <v>156113.0</v>
      </c>
      <c r="N137" s="28">
        <v>173680.0</v>
      </c>
      <c r="O137" s="28">
        <v>6.0</v>
      </c>
      <c r="P137" s="30">
        <v>2099.0</v>
      </c>
      <c r="Q137" s="30">
        <v>3.0</v>
      </c>
      <c r="R137" s="30">
        <v>1713.0</v>
      </c>
      <c r="S137" s="30">
        <v>1.0</v>
      </c>
      <c r="T137" s="30">
        <v>310.0</v>
      </c>
      <c r="U137" s="30">
        <v>76.0</v>
      </c>
      <c r="V137" s="30">
        <v>74.0</v>
      </c>
      <c r="W137" s="30">
        <v>6.0</v>
      </c>
      <c r="X137" s="30">
        <v>6.0</v>
      </c>
      <c r="Y137" s="30">
        <v>3.0</v>
      </c>
      <c r="Z137" s="28">
        <v>994.0</v>
      </c>
    </row>
    <row r="138" ht="14.25" customHeight="1">
      <c r="A138" s="27">
        <v>44024.0</v>
      </c>
      <c r="B138" s="28">
        <v>47.0</v>
      </c>
      <c r="C138" s="28">
        <v>80.0</v>
      </c>
      <c r="D138" s="28">
        <v>25593.0</v>
      </c>
      <c r="E138" s="28">
        <v>1836.0</v>
      </c>
      <c r="F138" s="29">
        <v>269937.0</v>
      </c>
      <c r="G138" s="29">
        <v>1883.0</v>
      </c>
      <c r="H138" s="29">
        <v>295530.0</v>
      </c>
      <c r="I138" s="28">
        <v>34.0</v>
      </c>
      <c r="J138" s="28">
        <v>49.0</v>
      </c>
      <c r="K138" s="28">
        <v>17601.0</v>
      </c>
      <c r="L138" s="28">
        <v>943.0</v>
      </c>
      <c r="M138" s="28">
        <v>157056.0</v>
      </c>
      <c r="N138" s="28">
        <v>174657.0</v>
      </c>
      <c r="O138" s="28">
        <v>1.0</v>
      </c>
      <c r="P138" s="30">
        <v>2100.0</v>
      </c>
      <c r="Q138" s="30">
        <v>3.0</v>
      </c>
      <c r="R138" s="30">
        <v>1716.0</v>
      </c>
      <c r="S138" s="30">
        <v>1.0</v>
      </c>
      <c r="T138" s="30">
        <v>311.0</v>
      </c>
      <c r="U138" s="30">
        <v>73.0</v>
      </c>
      <c r="V138" s="30">
        <v>74.0</v>
      </c>
      <c r="W138" s="30">
        <v>6.0</v>
      </c>
      <c r="X138" s="30">
        <v>5.0</v>
      </c>
      <c r="Y138" s="30">
        <v>3.0</v>
      </c>
      <c r="Z138" s="28">
        <v>997.0</v>
      </c>
    </row>
    <row r="139" ht="14.25" customHeight="1">
      <c r="A139" s="27">
        <v>44025.0</v>
      </c>
      <c r="B139" s="28">
        <v>84.0</v>
      </c>
      <c r="C139" s="28">
        <v>65.0</v>
      </c>
      <c r="D139" s="28">
        <v>25677.0</v>
      </c>
      <c r="E139" s="28">
        <v>3157.0</v>
      </c>
      <c r="F139" s="29">
        <v>273094.0</v>
      </c>
      <c r="G139" s="29">
        <v>3241.0</v>
      </c>
      <c r="H139" s="29">
        <v>298771.0</v>
      </c>
      <c r="I139" s="28">
        <v>61.0</v>
      </c>
      <c r="J139" s="28">
        <v>43.0</v>
      </c>
      <c r="K139" s="28">
        <v>17662.0</v>
      </c>
      <c r="L139" s="28">
        <v>1474.0</v>
      </c>
      <c r="M139" s="28">
        <v>158530.0</v>
      </c>
      <c r="N139" s="28">
        <v>176192.0</v>
      </c>
      <c r="O139" s="28">
        <v>8.0</v>
      </c>
      <c r="P139" s="30">
        <v>2108.0</v>
      </c>
      <c r="Q139" s="30">
        <v>10.0</v>
      </c>
      <c r="R139" s="30">
        <v>1726.0</v>
      </c>
      <c r="S139" s="30">
        <v>0.0</v>
      </c>
      <c r="T139" s="30">
        <v>311.0</v>
      </c>
      <c r="U139" s="30">
        <v>71.0</v>
      </c>
      <c r="V139" s="30">
        <v>73.0</v>
      </c>
      <c r="W139" s="30">
        <v>6.0</v>
      </c>
      <c r="X139" s="30">
        <v>5.0</v>
      </c>
      <c r="Y139" s="30">
        <v>1.0</v>
      </c>
      <c r="Z139" s="28">
        <v>998.0</v>
      </c>
    </row>
    <row r="140" ht="14.25" customHeight="1">
      <c r="A140" s="27">
        <v>44026.0</v>
      </c>
      <c r="B140" s="28">
        <v>73.0</v>
      </c>
      <c r="C140" s="28">
        <v>68.0</v>
      </c>
      <c r="D140" s="28">
        <v>25750.0</v>
      </c>
      <c r="E140" s="28">
        <v>3289.0</v>
      </c>
      <c r="F140" s="29">
        <v>276383.0</v>
      </c>
      <c r="G140" s="29">
        <v>3362.0</v>
      </c>
      <c r="H140" s="29">
        <v>302133.0</v>
      </c>
      <c r="I140" s="28">
        <v>49.0</v>
      </c>
      <c r="J140" s="28">
        <v>48.0</v>
      </c>
      <c r="K140" s="28">
        <v>17711.0</v>
      </c>
      <c r="L140" s="28">
        <v>1373.0</v>
      </c>
      <c r="M140" s="28">
        <v>159903.0</v>
      </c>
      <c r="N140" s="28">
        <v>177614.0</v>
      </c>
      <c r="O140" s="28">
        <v>7.0</v>
      </c>
      <c r="P140" s="30">
        <v>2115.0</v>
      </c>
      <c r="Q140" s="30">
        <v>4.0</v>
      </c>
      <c r="R140" s="30">
        <v>1730.0</v>
      </c>
      <c r="S140" s="30">
        <v>0.0</v>
      </c>
      <c r="T140" s="30">
        <v>311.0</v>
      </c>
      <c r="U140" s="30">
        <v>74.0</v>
      </c>
      <c r="V140" s="30">
        <v>73.0</v>
      </c>
      <c r="W140" s="30">
        <v>5.0</v>
      </c>
      <c r="X140" s="30">
        <v>5.0</v>
      </c>
      <c r="Y140" s="30">
        <v>1.0</v>
      </c>
      <c r="Z140" s="28">
        <v>999.0</v>
      </c>
    </row>
    <row r="141" ht="14.25" customHeight="1">
      <c r="A141" s="27">
        <v>44027.0</v>
      </c>
      <c r="B141" s="28">
        <v>130.0</v>
      </c>
      <c r="C141" s="28">
        <v>96.0</v>
      </c>
      <c r="D141" s="28">
        <v>25880.0</v>
      </c>
      <c r="E141" s="28">
        <v>4168.0</v>
      </c>
      <c r="F141" s="29">
        <v>280551.0</v>
      </c>
      <c r="G141" s="29">
        <v>4298.0</v>
      </c>
      <c r="H141" s="29">
        <v>306431.0</v>
      </c>
      <c r="I141" s="28">
        <v>100.0</v>
      </c>
      <c r="J141" s="28">
        <v>70.0</v>
      </c>
      <c r="K141" s="28">
        <v>17811.0</v>
      </c>
      <c r="L141" s="28">
        <v>1750.0</v>
      </c>
      <c r="M141" s="28">
        <v>161653.0</v>
      </c>
      <c r="N141" s="28">
        <v>179464.0</v>
      </c>
      <c r="O141" s="28">
        <v>5.0</v>
      </c>
      <c r="P141" s="30">
        <v>2120.0</v>
      </c>
      <c r="Q141" s="30">
        <v>7.0</v>
      </c>
      <c r="R141" s="30">
        <v>1737.0</v>
      </c>
      <c r="S141" s="30">
        <v>0.0</v>
      </c>
      <c r="T141" s="30">
        <v>311.0</v>
      </c>
      <c r="U141" s="30">
        <v>72.0</v>
      </c>
      <c r="V141" s="30">
        <v>72.0</v>
      </c>
      <c r="W141" s="30">
        <v>5.0</v>
      </c>
      <c r="X141" s="30">
        <v>4.0</v>
      </c>
      <c r="Y141" s="30">
        <v>0.0</v>
      </c>
      <c r="Z141" s="28">
        <v>999.0</v>
      </c>
    </row>
    <row r="142" ht="14.25" customHeight="1">
      <c r="A142" s="27">
        <v>44028.0</v>
      </c>
      <c r="B142" s="28">
        <v>102.0</v>
      </c>
      <c r="C142" s="28">
        <v>102.0</v>
      </c>
      <c r="D142" s="28">
        <v>25982.0</v>
      </c>
      <c r="E142" s="28">
        <v>3733.0</v>
      </c>
      <c r="F142" s="29">
        <v>284284.0</v>
      </c>
      <c r="G142" s="29">
        <v>3835.0</v>
      </c>
      <c r="H142" s="29">
        <v>310266.0</v>
      </c>
      <c r="I142" s="28">
        <v>78.0</v>
      </c>
      <c r="J142" s="28">
        <v>76.0</v>
      </c>
      <c r="K142" s="28">
        <v>17889.0</v>
      </c>
      <c r="L142" s="28">
        <v>1618.0</v>
      </c>
      <c r="M142" s="28">
        <v>163271.0</v>
      </c>
      <c r="N142" s="28">
        <v>181160.0</v>
      </c>
      <c r="O142" s="28">
        <v>6.0</v>
      </c>
      <c r="P142" s="30">
        <v>2126.0</v>
      </c>
      <c r="Q142" s="30">
        <v>9.0</v>
      </c>
      <c r="R142" s="30">
        <v>1746.0</v>
      </c>
      <c r="S142" s="30">
        <v>0.0</v>
      </c>
      <c r="T142" s="30">
        <v>311.0</v>
      </c>
      <c r="U142" s="30">
        <v>69.0</v>
      </c>
      <c r="V142" s="30">
        <v>72.0</v>
      </c>
      <c r="W142" s="30">
        <v>6.0</v>
      </c>
      <c r="X142" s="30">
        <v>5.0</v>
      </c>
      <c r="Y142" s="30">
        <v>1.0</v>
      </c>
      <c r="Z142" s="28">
        <v>1000.0</v>
      </c>
    </row>
    <row r="143" ht="14.25" customHeight="1">
      <c r="A143" s="27">
        <v>44029.0</v>
      </c>
      <c r="B143" s="28">
        <v>156.0</v>
      </c>
      <c r="C143" s="28">
        <v>129.0</v>
      </c>
      <c r="D143" s="28">
        <v>26138.0</v>
      </c>
      <c r="E143" s="28">
        <v>4235.0</v>
      </c>
      <c r="F143" s="29">
        <v>288519.0</v>
      </c>
      <c r="G143" s="29">
        <v>4391.0</v>
      </c>
      <c r="H143" s="29">
        <v>314657.0</v>
      </c>
      <c r="I143" s="28">
        <v>81.0</v>
      </c>
      <c r="J143" s="28">
        <v>86.0</v>
      </c>
      <c r="K143" s="28">
        <v>17970.0</v>
      </c>
      <c r="L143" s="28">
        <v>1849.0</v>
      </c>
      <c r="M143" s="28">
        <v>165120.0</v>
      </c>
      <c r="N143" s="28">
        <v>183090.0</v>
      </c>
      <c r="O143" s="28">
        <v>14.0</v>
      </c>
      <c r="P143" s="30">
        <v>2140.0</v>
      </c>
      <c r="Q143" s="30">
        <v>3.0</v>
      </c>
      <c r="R143" s="30">
        <v>1749.0</v>
      </c>
      <c r="S143" s="30">
        <v>1.0</v>
      </c>
      <c r="T143" s="30">
        <v>312.0</v>
      </c>
      <c r="U143" s="30">
        <v>79.0</v>
      </c>
      <c r="V143" s="30">
        <v>73.0</v>
      </c>
      <c r="W143" s="30">
        <v>5.0</v>
      </c>
      <c r="X143" s="30">
        <v>5.0</v>
      </c>
      <c r="Y143" s="30">
        <v>2.0</v>
      </c>
      <c r="Z143" s="28">
        <v>1002.0</v>
      </c>
    </row>
    <row r="144" ht="14.25" customHeight="1">
      <c r="A144" s="27">
        <v>44030.0</v>
      </c>
      <c r="B144" s="28">
        <v>85.0</v>
      </c>
      <c r="C144" s="28">
        <v>114.0</v>
      </c>
      <c r="D144" s="28">
        <v>26223.0</v>
      </c>
      <c r="E144" s="28">
        <v>3267.0</v>
      </c>
      <c r="F144" s="29">
        <v>291786.0</v>
      </c>
      <c r="G144" s="29">
        <v>3352.0</v>
      </c>
      <c r="H144" s="29">
        <v>318009.0</v>
      </c>
      <c r="I144" s="28">
        <v>69.0</v>
      </c>
      <c r="J144" s="28">
        <v>76.0</v>
      </c>
      <c r="K144" s="28">
        <v>18039.0</v>
      </c>
      <c r="L144" s="28">
        <v>1401.0</v>
      </c>
      <c r="M144" s="28">
        <v>166521.0</v>
      </c>
      <c r="N144" s="28">
        <v>184560.0</v>
      </c>
      <c r="O144" s="28">
        <v>5.0</v>
      </c>
      <c r="P144" s="30">
        <v>2145.0</v>
      </c>
      <c r="Q144" s="30">
        <v>9.0</v>
      </c>
      <c r="R144" s="30">
        <v>1758.0</v>
      </c>
      <c r="S144" s="30">
        <v>1.0</v>
      </c>
      <c r="T144" s="30">
        <v>313.0</v>
      </c>
      <c r="U144" s="30">
        <v>74.0</v>
      </c>
      <c r="V144" s="30">
        <v>74.0</v>
      </c>
      <c r="W144" s="30">
        <v>5.0</v>
      </c>
      <c r="X144" s="30">
        <v>4.0</v>
      </c>
      <c r="Y144" s="30">
        <v>4.0</v>
      </c>
      <c r="Z144" s="28">
        <v>1006.0</v>
      </c>
    </row>
    <row r="145" ht="14.25" customHeight="1">
      <c r="A145" s="27">
        <v>44031.0</v>
      </c>
      <c r="B145" s="28">
        <v>82.0</v>
      </c>
      <c r="C145" s="28">
        <v>108.0</v>
      </c>
      <c r="D145" s="28">
        <v>26305.0</v>
      </c>
      <c r="E145" s="28">
        <v>2693.0</v>
      </c>
      <c r="F145" s="29">
        <v>294479.0</v>
      </c>
      <c r="G145" s="29">
        <v>2775.0</v>
      </c>
      <c r="H145" s="29">
        <v>320784.0</v>
      </c>
      <c r="I145" s="28">
        <v>59.0</v>
      </c>
      <c r="J145" s="28">
        <v>70.0</v>
      </c>
      <c r="K145" s="28">
        <v>18098.0</v>
      </c>
      <c r="L145" s="28">
        <v>1149.0</v>
      </c>
      <c r="M145" s="28">
        <v>167670.0</v>
      </c>
      <c r="N145" s="28">
        <v>185768.0</v>
      </c>
      <c r="O145" s="28">
        <v>7.0</v>
      </c>
      <c r="P145" s="30">
        <v>2152.0</v>
      </c>
      <c r="Q145" s="30">
        <v>3.0</v>
      </c>
      <c r="R145" s="30">
        <v>1761.0</v>
      </c>
      <c r="S145" s="30">
        <v>0.0</v>
      </c>
      <c r="T145" s="30">
        <v>313.0</v>
      </c>
      <c r="U145" s="30">
        <v>78.0</v>
      </c>
      <c r="V145" s="30">
        <v>77.0</v>
      </c>
      <c r="W145" s="30">
        <v>6.0</v>
      </c>
      <c r="X145" s="30">
        <v>4.0</v>
      </c>
      <c r="Y145" s="30">
        <v>2.0</v>
      </c>
      <c r="Z145" s="28">
        <v>1008.0</v>
      </c>
    </row>
    <row r="146" ht="14.25" customHeight="1">
      <c r="A146" s="27">
        <v>44032.0</v>
      </c>
      <c r="B146" s="28">
        <v>71.0</v>
      </c>
      <c r="C146" s="28">
        <v>79.0</v>
      </c>
      <c r="D146" s="28">
        <v>26376.0</v>
      </c>
      <c r="E146" s="28">
        <v>2664.0</v>
      </c>
      <c r="F146" s="29">
        <v>297143.0</v>
      </c>
      <c r="G146" s="29">
        <v>2735.0</v>
      </c>
      <c r="H146" s="29">
        <v>323519.0</v>
      </c>
      <c r="I146" s="28">
        <v>69.0</v>
      </c>
      <c r="J146" s="28">
        <v>66.0</v>
      </c>
      <c r="K146" s="28">
        <v>18167.0</v>
      </c>
      <c r="L146" s="28">
        <v>1466.0</v>
      </c>
      <c r="M146" s="28">
        <v>169136.0</v>
      </c>
      <c r="N146" s="28">
        <v>187303.0</v>
      </c>
      <c r="O146" s="28">
        <v>9.0</v>
      </c>
      <c r="P146" s="30">
        <v>2161.0</v>
      </c>
      <c r="Q146" s="30">
        <v>7.0</v>
      </c>
      <c r="R146" s="30">
        <v>1768.0</v>
      </c>
      <c r="S146" s="30">
        <v>0.0</v>
      </c>
      <c r="T146" s="30">
        <v>313.0</v>
      </c>
      <c r="U146" s="30">
        <v>80.0</v>
      </c>
      <c r="V146" s="30">
        <v>77.0</v>
      </c>
      <c r="W146" s="30">
        <v>7.0</v>
      </c>
      <c r="X146" s="30">
        <v>5.0</v>
      </c>
      <c r="Y146" s="30">
        <v>2.0</v>
      </c>
      <c r="Z146" s="28">
        <v>1010.0</v>
      </c>
    </row>
    <row r="147" ht="14.25" customHeight="1">
      <c r="A147" s="27">
        <v>44033.0</v>
      </c>
      <c r="B147" s="28">
        <v>130.0</v>
      </c>
      <c r="C147" s="28">
        <v>94.0</v>
      </c>
      <c r="D147" s="28">
        <v>26506.0</v>
      </c>
      <c r="E147" s="28">
        <v>4298.0</v>
      </c>
      <c r="F147" s="29">
        <v>301441.0</v>
      </c>
      <c r="G147" s="29">
        <v>4428.0</v>
      </c>
      <c r="H147" s="29">
        <v>327947.0</v>
      </c>
      <c r="I147" s="28">
        <v>109.0</v>
      </c>
      <c r="J147" s="28">
        <v>79.0</v>
      </c>
      <c r="K147" s="28">
        <v>18276.0</v>
      </c>
      <c r="L147" s="28">
        <v>1920.0</v>
      </c>
      <c r="M147" s="28">
        <v>171056.0</v>
      </c>
      <c r="N147" s="28">
        <v>189332.0</v>
      </c>
      <c r="O147" s="28">
        <v>9.0</v>
      </c>
      <c r="P147" s="30">
        <v>2170.0</v>
      </c>
      <c r="Q147" s="30">
        <v>11.0</v>
      </c>
      <c r="R147" s="30">
        <v>1779.0</v>
      </c>
      <c r="S147" s="30">
        <v>0.0</v>
      </c>
      <c r="T147" s="30">
        <v>313.0</v>
      </c>
      <c r="U147" s="30">
        <v>78.0</v>
      </c>
      <c r="V147" s="30">
        <v>79.0</v>
      </c>
      <c r="W147" s="30">
        <v>9.0</v>
      </c>
      <c r="X147" s="30">
        <v>6.0</v>
      </c>
      <c r="Y147" s="30">
        <v>1.0</v>
      </c>
      <c r="Z147" s="28">
        <v>1011.0</v>
      </c>
    </row>
    <row r="148" ht="14.25" customHeight="1">
      <c r="A148" s="27">
        <v>44034.0</v>
      </c>
      <c r="B148" s="28">
        <v>130.0</v>
      </c>
      <c r="C148" s="28">
        <v>110.0</v>
      </c>
      <c r="D148" s="28">
        <v>26636.0</v>
      </c>
      <c r="E148" s="28">
        <v>3926.0</v>
      </c>
      <c r="F148" s="29">
        <v>305367.0</v>
      </c>
      <c r="G148" s="29">
        <v>4056.0</v>
      </c>
      <c r="H148" s="29">
        <v>332003.0</v>
      </c>
      <c r="I148" s="28">
        <v>87.0</v>
      </c>
      <c r="J148" s="28">
        <v>88.0</v>
      </c>
      <c r="K148" s="28">
        <v>18363.0</v>
      </c>
      <c r="L148" s="28">
        <v>1683.0</v>
      </c>
      <c r="M148" s="28">
        <v>172739.0</v>
      </c>
      <c r="N148" s="28">
        <v>191102.0</v>
      </c>
      <c r="O148" s="28">
        <v>11.0</v>
      </c>
      <c r="P148" s="30">
        <v>2181.0</v>
      </c>
      <c r="Q148" s="30">
        <v>11.0</v>
      </c>
      <c r="R148" s="30">
        <v>1790.0</v>
      </c>
      <c r="S148" s="30">
        <v>1.0</v>
      </c>
      <c r="T148" s="30">
        <v>314.0</v>
      </c>
      <c r="U148" s="30">
        <v>77.0</v>
      </c>
      <c r="V148" s="30">
        <v>78.0</v>
      </c>
      <c r="W148" s="30">
        <v>7.0</v>
      </c>
      <c r="X148" s="30">
        <v>6.0</v>
      </c>
      <c r="Y148" s="30">
        <v>1.0</v>
      </c>
      <c r="Z148" s="28">
        <v>1012.0</v>
      </c>
    </row>
    <row r="149" ht="14.25" customHeight="1">
      <c r="A149" s="27">
        <v>44035.0</v>
      </c>
      <c r="B149" s="28">
        <v>141.0</v>
      </c>
      <c r="C149" s="28">
        <v>134.0</v>
      </c>
      <c r="D149" s="28">
        <v>26777.0</v>
      </c>
      <c r="E149" s="28">
        <v>4376.0</v>
      </c>
      <c r="F149" s="29">
        <v>309743.0</v>
      </c>
      <c r="G149" s="29">
        <v>4517.0</v>
      </c>
      <c r="H149" s="29">
        <v>336520.0</v>
      </c>
      <c r="I149" s="28">
        <v>116.0</v>
      </c>
      <c r="J149" s="28">
        <v>104.0</v>
      </c>
      <c r="K149" s="28">
        <v>18479.0</v>
      </c>
      <c r="L149" s="28">
        <v>1970.0</v>
      </c>
      <c r="M149" s="28">
        <v>174709.0</v>
      </c>
      <c r="N149" s="28">
        <v>193188.0</v>
      </c>
      <c r="O149" s="28">
        <v>8.0</v>
      </c>
      <c r="P149" s="30">
        <v>2189.0</v>
      </c>
      <c r="Q149" s="30">
        <v>6.0</v>
      </c>
      <c r="R149" s="30">
        <v>1796.0</v>
      </c>
      <c r="S149" s="30">
        <v>0.0</v>
      </c>
      <c r="T149" s="30">
        <v>314.0</v>
      </c>
      <c r="U149" s="30">
        <v>79.0</v>
      </c>
      <c r="V149" s="30">
        <v>78.0</v>
      </c>
      <c r="W149" s="30">
        <v>8.0</v>
      </c>
      <c r="X149" s="30">
        <v>7.0</v>
      </c>
      <c r="Y149" s="30">
        <v>0.0</v>
      </c>
      <c r="Z149" s="28">
        <v>1012.0</v>
      </c>
    </row>
    <row r="150" ht="14.25" customHeight="1">
      <c r="A150" s="27">
        <v>44036.0</v>
      </c>
      <c r="B150" s="28">
        <v>172.0</v>
      </c>
      <c r="C150" s="28">
        <v>148.0</v>
      </c>
      <c r="D150" s="28">
        <v>26949.0</v>
      </c>
      <c r="E150" s="28">
        <v>5959.0</v>
      </c>
      <c r="F150" s="29">
        <v>315702.0</v>
      </c>
      <c r="G150" s="29">
        <v>6131.0</v>
      </c>
      <c r="H150" s="29">
        <v>342651.0</v>
      </c>
      <c r="I150" s="28">
        <v>123.0</v>
      </c>
      <c r="J150" s="28">
        <v>109.0</v>
      </c>
      <c r="K150" s="28">
        <v>18602.0</v>
      </c>
      <c r="L150" s="28">
        <v>2323.0</v>
      </c>
      <c r="M150" s="28">
        <v>177032.0</v>
      </c>
      <c r="N150" s="28">
        <v>195634.0</v>
      </c>
      <c r="O150" s="28">
        <v>14.0</v>
      </c>
      <c r="P150" s="30">
        <v>2203.0</v>
      </c>
      <c r="Q150" s="30">
        <v>14.0</v>
      </c>
      <c r="R150" s="30">
        <v>1810.0</v>
      </c>
      <c r="S150" s="30">
        <v>0.0</v>
      </c>
      <c r="T150" s="30">
        <v>314.0</v>
      </c>
      <c r="U150" s="30">
        <v>79.0</v>
      </c>
      <c r="V150" s="30">
        <v>78.0</v>
      </c>
      <c r="W150" s="30">
        <v>9.0</v>
      </c>
      <c r="X150" s="30">
        <v>7.0</v>
      </c>
      <c r="Y150" s="30">
        <v>0.0</v>
      </c>
      <c r="Z150" s="28">
        <v>1012.0</v>
      </c>
    </row>
    <row r="151" ht="14.25" customHeight="1">
      <c r="A151" s="27">
        <v>44037.0</v>
      </c>
      <c r="B151" s="28">
        <v>134.0</v>
      </c>
      <c r="C151" s="28">
        <v>149.0</v>
      </c>
      <c r="D151" s="28">
        <v>27083.0</v>
      </c>
      <c r="E151" s="28">
        <v>4398.0</v>
      </c>
      <c r="F151" s="29">
        <v>320100.0</v>
      </c>
      <c r="G151" s="29">
        <v>4532.0</v>
      </c>
      <c r="H151" s="29">
        <v>347183.0</v>
      </c>
      <c r="I151" s="28">
        <v>107.0</v>
      </c>
      <c r="J151" s="28">
        <v>115.0</v>
      </c>
      <c r="K151" s="28">
        <v>18709.0</v>
      </c>
      <c r="L151" s="28">
        <v>2100.0</v>
      </c>
      <c r="M151" s="28">
        <v>179132.0</v>
      </c>
      <c r="N151" s="28">
        <v>197841.0</v>
      </c>
      <c r="O151" s="28">
        <v>7.0</v>
      </c>
      <c r="P151" s="30">
        <v>2210.0</v>
      </c>
      <c r="Q151" s="30">
        <v>7.0</v>
      </c>
      <c r="R151" s="30">
        <v>1817.0</v>
      </c>
      <c r="S151" s="30">
        <v>0.0</v>
      </c>
      <c r="T151" s="30">
        <v>314.0</v>
      </c>
      <c r="U151" s="30">
        <v>79.0</v>
      </c>
      <c r="V151" s="30">
        <v>79.0</v>
      </c>
      <c r="W151" s="30">
        <v>10.0</v>
      </c>
      <c r="X151" s="30">
        <v>8.0</v>
      </c>
      <c r="Y151" s="30">
        <v>2.0</v>
      </c>
      <c r="Z151" s="28">
        <v>1014.0</v>
      </c>
    </row>
    <row r="152" ht="14.25" customHeight="1">
      <c r="A152" s="27">
        <v>44038.0</v>
      </c>
      <c r="B152" s="28">
        <v>62.0</v>
      </c>
      <c r="C152" s="28">
        <v>123.0</v>
      </c>
      <c r="D152" s="28">
        <v>27145.0</v>
      </c>
      <c r="E152" s="28">
        <v>3027.0</v>
      </c>
      <c r="F152" s="29">
        <v>323127.0</v>
      </c>
      <c r="G152" s="29">
        <v>3089.0</v>
      </c>
      <c r="H152" s="29">
        <v>350272.0</v>
      </c>
      <c r="I152" s="28">
        <v>54.0</v>
      </c>
      <c r="J152" s="28">
        <v>95.0</v>
      </c>
      <c r="K152" s="28">
        <v>18763.0</v>
      </c>
      <c r="L152" s="28">
        <v>1340.0</v>
      </c>
      <c r="M152" s="28">
        <v>180472.0</v>
      </c>
      <c r="N152" s="28">
        <v>199235.0</v>
      </c>
      <c r="O152" s="28">
        <v>8.0</v>
      </c>
      <c r="P152" s="30">
        <v>2218.0</v>
      </c>
      <c r="Q152" s="30">
        <v>9.0</v>
      </c>
      <c r="R152" s="30">
        <v>1826.0</v>
      </c>
      <c r="S152" s="30">
        <v>0.0</v>
      </c>
      <c r="T152" s="30">
        <v>314.0</v>
      </c>
      <c r="U152" s="30">
        <v>78.0</v>
      </c>
      <c r="V152" s="30">
        <v>79.0</v>
      </c>
      <c r="W152" s="30">
        <v>11.0</v>
      </c>
      <c r="X152" s="30">
        <v>7.0</v>
      </c>
      <c r="Y152" s="30">
        <v>1.0</v>
      </c>
      <c r="Z152" s="28">
        <v>1015.0</v>
      </c>
    </row>
    <row r="153" ht="14.25" customHeight="1">
      <c r="A153" s="27">
        <v>44039.0</v>
      </c>
      <c r="B153" s="28">
        <v>186.0</v>
      </c>
      <c r="C153" s="28">
        <v>127.0</v>
      </c>
      <c r="D153" s="28">
        <v>27331.0</v>
      </c>
      <c r="E153" s="28">
        <v>4163.0</v>
      </c>
      <c r="F153" s="29">
        <v>327290.0</v>
      </c>
      <c r="G153" s="29">
        <v>4349.0</v>
      </c>
      <c r="H153" s="29">
        <v>354621.0</v>
      </c>
      <c r="I153" s="28">
        <v>141.0</v>
      </c>
      <c r="J153" s="28">
        <v>101.0</v>
      </c>
      <c r="K153" s="28">
        <v>18904.0</v>
      </c>
      <c r="L153" s="28">
        <v>2334.0</v>
      </c>
      <c r="M153" s="28">
        <v>182806.0</v>
      </c>
      <c r="N153" s="28">
        <v>201710.0</v>
      </c>
      <c r="O153" s="28">
        <v>12.0</v>
      </c>
      <c r="P153" s="30">
        <v>2230.0</v>
      </c>
      <c r="Q153" s="30">
        <v>7.0</v>
      </c>
      <c r="R153" s="30">
        <v>1833.0</v>
      </c>
      <c r="S153" s="30">
        <v>0.0</v>
      </c>
      <c r="T153" s="30">
        <v>314.0</v>
      </c>
      <c r="U153" s="30">
        <v>83.0</v>
      </c>
      <c r="V153" s="30">
        <v>80.0</v>
      </c>
      <c r="W153" s="30">
        <v>13.0</v>
      </c>
      <c r="X153" s="30">
        <v>8.0</v>
      </c>
      <c r="Y153" s="30">
        <v>1.0</v>
      </c>
      <c r="Z153" s="28">
        <v>1016.0</v>
      </c>
    </row>
    <row r="154" ht="14.25" customHeight="1">
      <c r="A154" s="27">
        <v>44040.0</v>
      </c>
      <c r="B154" s="28">
        <v>105.0</v>
      </c>
      <c r="C154" s="28">
        <v>118.0</v>
      </c>
      <c r="D154" s="28">
        <v>27436.0</v>
      </c>
      <c r="E154" s="28">
        <v>3831.0</v>
      </c>
      <c r="F154" s="29">
        <v>331121.0</v>
      </c>
      <c r="G154" s="29">
        <v>3936.0</v>
      </c>
      <c r="H154" s="29">
        <v>358557.0</v>
      </c>
      <c r="I154" s="28">
        <v>94.0</v>
      </c>
      <c r="J154" s="28">
        <v>96.0</v>
      </c>
      <c r="K154" s="28">
        <v>18998.0</v>
      </c>
      <c r="L154" s="28">
        <v>1632.0</v>
      </c>
      <c r="M154" s="28">
        <v>184438.0</v>
      </c>
      <c r="N154" s="28">
        <v>203436.0</v>
      </c>
      <c r="O154" s="28">
        <v>5.0</v>
      </c>
      <c r="P154" s="30">
        <v>2235.0</v>
      </c>
      <c r="Q154" s="30">
        <v>5.0</v>
      </c>
      <c r="R154" s="30">
        <v>1838.0</v>
      </c>
      <c r="S154" s="30">
        <v>0.0</v>
      </c>
      <c r="T154" s="30">
        <v>314.0</v>
      </c>
      <c r="U154" s="30">
        <v>83.0</v>
      </c>
      <c r="V154" s="30">
        <v>81.0</v>
      </c>
      <c r="W154" s="30">
        <v>14.0</v>
      </c>
      <c r="X154" s="30">
        <v>7.0</v>
      </c>
      <c r="Y154" s="30">
        <v>1.0</v>
      </c>
      <c r="Z154" s="28">
        <v>1017.0</v>
      </c>
    </row>
    <row r="155" ht="14.25" customHeight="1">
      <c r="A155" s="27">
        <v>44041.0</v>
      </c>
      <c r="B155" s="28">
        <v>191.0</v>
      </c>
      <c r="C155" s="28">
        <v>161.0</v>
      </c>
      <c r="D155" s="28">
        <v>27627.0</v>
      </c>
      <c r="E155" s="28">
        <v>5123.0</v>
      </c>
      <c r="F155" s="29">
        <v>336244.0</v>
      </c>
      <c r="G155" s="29">
        <v>5314.0</v>
      </c>
      <c r="H155" s="29">
        <v>363871.0</v>
      </c>
      <c r="I155" s="28">
        <v>157.0</v>
      </c>
      <c r="J155" s="28">
        <v>131.0</v>
      </c>
      <c r="K155" s="28">
        <v>19155.0</v>
      </c>
      <c r="L155" s="28">
        <v>2324.0</v>
      </c>
      <c r="M155" s="28">
        <v>186762.0</v>
      </c>
      <c r="N155" s="28">
        <v>205917.0</v>
      </c>
      <c r="O155" s="28">
        <v>11.0</v>
      </c>
      <c r="P155" s="30">
        <v>2246.0</v>
      </c>
      <c r="Q155" s="30">
        <v>12.0</v>
      </c>
      <c r="R155" s="30">
        <v>1850.0</v>
      </c>
      <c r="S155" s="30">
        <v>0.0</v>
      </c>
      <c r="T155" s="30">
        <v>314.0</v>
      </c>
      <c r="U155" s="30">
        <v>82.0</v>
      </c>
      <c r="V155" s="30">
        <v>83.0</v>
      </c>
      <c r="W155" s="30">
        <v>15.0</v>
      </c>
      <c r="X155" s="30">
        <v>7.0</v>
      </c>
      <c r="Y155" s="30">
        <v>0.0</v>
      </c>
      <c r="Z155" s="28">
        <v>1017.0</v>
      </c>
    </row>
    <row r="156" ht="14.25" customHeight="1">
      <c r="A156" s="27">
        <v>44042.0</v>
      </c>
      <c r="B156" s="28">
        <v>121.0</v>
      </c>
      <c r="C156" s="28">
        <v>139.0</v>
      </c>
      <c r="D156" s="28">
        <v>27748.0</v>
      </c>
      <c r="E156" s="28">
        <v>4344.0</v>
      </c>
      <c r="F156" s="29">
        <v>340588.0</v>
      </c>
      <c r="G156" s="29">
        <v>4465.0</v>
      </c>
      <c r="H156" s="29">
        <v>368336.0</v>
      </c>
      <c r="I156" s="28">
        <v>96.0</v>
      </c>
      <c r="J156" s="28">
        <v>116.0</v>
      </c>
      <c r="K156" s="28">
        <v>19251.0</v>
      </c>
      <c r="L156" s="28">
        <v>1651.0</v>
      </c>
      <c r="M156" s="28">
        <v>188413.0</v>
      </c>
      <c r="N156" s="28">
        <v>207664.0</v>
      </c>
      <c r="O156" s="28">
        <v>6.0</v>
      </c>
      <c r="P156" s="30">
        <v>2252.0</v>
      </c>
      <c r="Q156" s="30">
        <v>2.0</v>
      </c>
      <c r="R156" s="30">
        <v>1852.0</v>
      </c>
      <c r="S156" s="30">
        <v>1.0</v>
      </c>
      <c r="T156" s="30">
        <v>315.0</v>
      </c>
      <c r="U156" s="30">
        <v>85.0</v>
      </c>
      <c r="V156" s="30">
        <v>83.0</v>
      </c>
      <c r="W156" s="30">
        <v>15.0</v>
      </c>
      <c r="X156" s="30">
        <v>6.0</v>
      </c>
      <c r="Y156" s="30">
        <v>1.0</v>
      </c>
      <c r="Z156" s="28">
        <v>1018.0</v>
      </c>
    </row>
    <row r="157" ht="14.25" customHeight="1">
      <c r="A157" s="27">
        <v>44043.0</v>
      </c>
      <c r="B157" s="28">
        <v>131.0</v>
      </c>
      <c r="C157" s="28">
        <v>148.0</v>
      </c>
      <c r="D157" s="28">
        <v>27879.0</v>
      </c>
      <c r="E157" s="28">
        <v>5508.0</v>
      </c>
      <c r="F157" s="29">
        <v>346096.0</v>
      </c>
      <c r="G157" s="29">
        <v>5639.0</v>
      </c>
      <c r="H157" s="29">
        <v>373975.0</v>
      </c>
      <c r="I157" s="28">
        <v>90.0</v>
      </c>
      <c r="J157" s="28">
        <v>114.0</v>
      </c>
      <c r="K157" s="28">
        <v>19341.0</v>
      </c>
      <c r="L157" s="28">
        <v>1858.0</v>
      </c>
      <c r="M157" s="28">
        <v>190271.0</v>
      </c>
      <c r="N157" s="28">
        <v>209612.0</v>
      </c>
      <c r="O157" s="28">
        <v>8.0</v>
      </c>
      <c r="P157" s="30">
        <v>2260.0</v>
      </c>
      <c r="Q157" s="30">
        <v>10.0</v>
      </c>
      <c r="R157" s="30">
        <v>1862.0</v>
      </c>
      <c r="S157" s="30">
        <v>0.0</v>
      </c>
      <c r="T157" s="30">
        <v>315.0</v>
      </c>
      <c r="U157" s="30">
        <v>83.0</v>
      </c>
      <c r="V157" s="30">
        <v>83.0</v>
      </c>
      <c r="W157" s="30">
        <v>15.0</v>
      </c>
      <c r="X157" s="30">
        <v>7.0</v>
      </c>
      <c r="Y157" s="30">
        <v>1.0</v>
      </c>
      <c r="Z157" s="28">
        <v>1019.0</v>
      </c>
    </row>
    <row r="158" ht="14.25" customHeight="1">
      <c r="A158" s="27">
        <v>44044.0</v>
      </c>
      <c r="B158" s="28">
        <v>108.0</v>
      </c>
      <c r="C158" s="28">
        <v>120.0</v>
      </c>
      <c r="D158" s="28">
        <v>27987.0</v>
      </c>
      <c r="E158" s="28">
        <v>4288.0</v>
      </c>
      <c r="F158" s="29">
        <v>350384.0</v>
      </c>
      <c r="G158" s="29">
        <v>4396.0</v>
      </c>
      <c r="H158" s="29">
        <v>378371.0</v>
      </c>
      <c r="I158" s="28">
        <v>88.0</v>
      </c>
      <c r="J158" s="28">
        <v>91.0</v>
      </c>
      <c r="K158" s="28">
        <v>19429.0</v>
      </c>
      <c r="L158" s="28">
        <v>1558.0</v>
      </c>
      <c r="M158" s="28">
        <v>191829.0</v>
      </c>
      <c r="N158" s="28">
        <v>211258.0</v>
      </c>
      <c r="O158" s="28">
        <v>7.0</v>
      </c>
      <c r="P158" s="30">
        <v>2267.0</v>
      </c>
      <c r="Q158" s="30">
        <v>2.0</v>
      </c>
      <c r="R158" s="30">
        <v>1864.0</v>
      </c>
      <c r="S158" s="30">
        <v>0.0</v>
      </c>
      <c r="T158" s="30">
        <v>315.0</v>
      </c>
      <c r="U158" s="30">
        <v>88.0</v>
      </c>
      <c r="V158" s="30">
        <v>85.0</v>
      </c>
      <c r="W158" s="30">
        <v>14.0</v>
      </c>
      <c r="X158" s="30">
        <v>7.0</v>
      </c>
      <c r="Y158" s="30">
        <v>1.0</v>
      </c>
      <c r="Z158" s="28">
        <v>1020.0</v>
      </c>
    </row>
    <row r="159" ht="14.25" customHeight="1">
      <c r="A159" s="27">
        <v>44045.0</v>
      </c>
      <c r="B159" s="28">
        <v>84.0</v>
      </c>
      <c r="C159" s="28">
        <v>108.0</v>
      </c>
      <c r="D159" s="28">
        <v>28071.0</v>
      </c>
      <c r="E159" s="28">
        <v>2802.0</v>
      </c>
      <c r="F159" s="29">
        <v>353186.0</v>
      </c>
      <c r="G159" s="29">
        <v>2886.0</v>
      </c>
      <c r="H159" s="29">
        <v>381257.0</v>
      </c>
      <c r="I159" s="28">
        <v>62.0</v>
      </c>
      <c r="J159" s="28">
        <v>80.0</v>
      </c>
      <c r="K159" s="28">
        <v>19491.0</v>
      </c>
      <c r="L159" s="28">
        <v>1276.0</v>
      </c>
      <c r="M159" s="28">
        <v>193105.0</v>
      </c>
      <c r="N159" s="28">
        <v>212596.0</v>
      </c>
      <c r="O159" s="28">
        <v>12.0</v>
      </c>
      <c r="P159" s="30">
        <v>2279.0</v>
      </c>
      <c r="Q159" s="30">
        <v>12.0</v>
      </c>
      <c r="R159" s="30">
        <v>1876.0</v>
      </c>
      <c r="S159" s="30">
        <v>2.0</v>
      </c>
      <c r="T159" s="30">
        <v>317.0</v>
      </c>
      <c r="U159" s="30">
        <v>86.0</v>
      </c>
      <c r="V159" s="30">
        <v>86.0</v>
      </c>
      <c r="W159" s="30">
        <v>14.0</v>
      </c>
      <c r="X159" s="30">
        <v>8.0</v>
      </c>
      <c r="Y159" s="30">
        <v>2.0</v>
      </c>
      <c r="Z159" s="28">
        <v>1022.0</v>
      </c>
    </row>
    <row r="160" ht="14.25" customHeight="1">
      <c r="A160" s="27">
        <v>44046.0</v>
      </c>
      <c r="B160" s="28">
        <v>187.0</v>
      </c>
      <c r="C160" s="28">
        <v>126.0</v>
      </c>
      <c r="D160" s="28">
        <v>28258.0</v>
      </c>
      <c r="E160" s="28">
        <v>5203.0</v>
      </c>
      <c r="F160" s="29">
        <v>358389.0</v>
      </c>
      <c r="G160" s="29">
        <v>5390.0</v>
      </c>
      <c r="H160" s="29">
        <v>386647.0</v>
      </c>
      <c r="I160" s="28">
        <v>154.0</v>
      </c>
      <c r="J160" s="28">
        <v>101.0</v>
      </c>
      <c r="K160" s="28">
        <v>19645.0</v>
      </c>
      <c r="L160" s="28">
        <v>2186.0</v>
      </c>
      <c r="M160" s="28">
        <v>195291.0</v>
      </c>
      <c r="N160" s="28">
        <v>214936.0</v>
      </c>
      <c r="O160" s="28">
        <v>13.0</v>
      </c>
      <c r="P160" s="30">
        <v>2292.0</v>
      </c>
      <c r="Q160" s="30">
        <v>12.0</v>
      </c>
      <c r="R160" s="30">
        <v>1888.0</v>
      </c>
      <c r="S160" s="30">
        <v>0.0</v>
      </c>
      <c r="T160" s="30">
        <v>317.0</v>
      </c>
      <c r="U160" s="30">
        <v>87.0</v>
      </c>
      <c r="V160" s="30">
        <v>87.0</v>
      </c>
      <c r="W160" s="30">
        <v>16.0</v>
      </c>
      <c r="X160" s="30">
        <v>7.0</v>
      </c>
      <c r="Y160" s="30">
        <v>1.0</v>
      </c>
      <c r="Z160" s="28">
        <v>1023.0</v>
      </c>
    </row>
    <row r="161" ht="14.25" customHeight="1">
      <c r="A161" s="27">
        <v>44047.0</v>
      </c>
      <c r="B161" s="28">
        <v>126.0</v>
      </c>
      <c r="C161" s="28">
        <v>132.0</v>
      </c>
      <c r="D161" s="28">
        <v>28384.0</v>
      </c>
      <c r="E161" s="28">
        <v>3687.0</v>
      </c>
      <c r="F161" s="29">
        <v>362076.0</v>
      </c>
      <c r="G161" s="29">
        <v>3813.0</v>
      </c>
      <c r="H161" s="29">
        <v>390460.0</v>
      </c>
      <c r="I161" s="28">
        <v>99.0</v>
      </c>
      <c r="J161" s="28">
        <v>105.0</v>
      </c>
      <c r="K161" s="28">
        <v>19744.0</v>
      </c>
      <c r="L161" s="28">
        <v>1771.0</v>
      </c>
      <c r="M161" s="28">
        <v>197062.0</v>
      </c>
      <c r="N161" s="28">
        <v>216806.0</v>
      </c>
      <c r="O161" s="28">
        <v>8.0</v>
      </c>
      <c r="P161" s="30">
        <v>2300.0</v>
      </c>
      <c r="Q161" s="30">
        <v>6.0</v>
      </c>
      <c r="R161" s="30">
        <v>1894.0</v>
      </c>
      <c r="S161" s="30">
        <v>1.0</v>
      </c>
      <c r="T161" s="30">
        <v>318.0</v>
      </c>
      <c r="U161" s="30">
        <v>88.0</v>
      </c>
      <c r="V161" s="30">
        <v>87.0</v>
      </c>
      <c r="W161" s="30">
        <v>12.0</v>
      </c>
      <c r="X161" s="30">
        <v>5.0</v>
      </c>
      <c r="Y161" s="30">
        <v>2.0</v>
      </c>
      <c r="Z161" s="28">
        <v>1025.0</v>
      </c>
    </row>
    <row r="162" ht="14.25" customHeight="1">
      <c r="A162" s="27">
        <v>44048.0</v>
      </c>
      <c r="B162" s="28">
        <v>148.0</v>
      </c>
      <c r="C162" s="28">
        <v>154.0</v>
      </c>
      <c r="D162" s="28">
        <v>28532.0</v>
      </c>
      <c r="E162" s="28">
        <v>5914.0</v>
      </c>
      <c r="F162" s="29">
        <v>367990.0</v>
      </c>
      <c r="G162" s="29">
        <v>6062.0</v>
      </c>
      <c r="H162" s="29">
        <v>396522.0</v>
      </c>
      <c r="I162" s="28">
        <v>118.0</v>
      </c>
      <c r="J162" s="28">
        <v>124.0</v>
      </c>
      <c r="K162" s="28">
        <v>19862.0</v>
      </c>
      <c r="L162" s="28">
        <v>2469.0</v>
      </c>
      <c r="M162" s="28">
        <v>199531.0</v>
      </c>
      <c r="N162" s="28">
        <v>219393.0</v>
      </c>
      <c r="O162" s="28">
        <v>12.0</v>
      </c>
      <c r="P162" s="30">
        <v>2312.0</v>
      </c>
      <c r="Q162" s="30">
        <v>10.0</v>
      </c>
      <c r="R162" s="30">
        <v>1904.0</v>
      </c>
      <c r="S162" s="30">
        <v>1.0</v>
      </c>
      <c r="T162" s="30">
        <v>319.0</v>
      </c>
      <c r="U162" s="30">
        <v>89.0</v>
      </c>
      <c r="V162" s="30">
        <v>88.0</v>
      </c>
      <c r="W162" s="30">
        <v>10.0</v>
      </c>
      <c r="X162" s="30">
        <v>5.0</v>
      </c>
      <c r="Y162" s="30">
        <v>2.0</v>
      </c>
      <c r="Z162" s="28">
        <v>1027.0</v>
      </c>
    </row>
    <row r="163" ht="14.25" customHeight="1">
      <c r="A163" s="27">
        <v>44049.0</v>
      </c>
      <c r="B163" s="28">
        <v>169.0</v>
      </c>
      <c r="C163" s="28">
        <v>148.0</v>
      </c>
      <c r="D163" s="28">
        <v>28701.0</v>
      </c>
      <c r="E163" s="28">
        <v>5533.0</v>
      </c>
      <c r="F163" s="29">
        <v>373523.0</v>
      </c>
      <c r="G163" s="29">
        <v>5702.0</v>
      </c>
      <c r="H163" s="29">
        <v>402224.0</v>
      </c>
      <c r="I163" s="28">
        <v>122.0</v>
      </c>
      <c r="J163" s="28">
        <v>113.0</v>
      </c>
      <c r="K163" s="28">
        <v>19984.0</v>
      </c>
      <c r="L163" s="28">
        <v>2424.0</v>
      </c>
      <c r="M163" s="28">
        <v>201955.0</v>
      </c>
      <c r="N163" s="28">
        <v>221939.0</v>
      </c>
      <c r="O163" s="28">
        <v>7.0</v>
      </c>
      <c r="P163" s="30">
        <v>2319.0</v>
      </c>
      <c r="Q163" s="30">
        <v>9.0</v>
      </c>
      <c r="R163" s="30">
        <v>1913.0</v>
      </c>
      <c r="S163" s="30">
        <v>0.0</v>
      </c>
      <c r="T163" s="30">
        <v>319.0</v>
      </c>
      <c r="U163" s="30">
        <v>87.0</v>
      </c>
      <c r="V163" s="30">
        <v>88.0</v>
      </c>
      <c r="W163" s="30">
        <v>9.0</v>
      </c>
      <c r="X163" s="30">
        <v>4.0</v>
      </c>
      <c r="Y163" s="30">
        <v>0.0</v>
      </c>
      <c r="Z163" s="28">
        <v>1027.0</v>
      </c>
    </row>
    <row r="164" ht="14.25" customHeight="1">
      <c r="A164" s="27">
        <v>44050.0</v>
      </c>
      <c r="B164" s="28">
        <v>122.0</v>
      </c>
      <c r="C164" s="28">
        <v>146.0</v>
      </c>
      <c r="D164" s="28">
        <v>28823.0</v>
      </c>
      <c r="E164" s="28">
        <v>4845.0</v>
      </c>
      <c r="F164" s="29">
        <v>378368.0</v>
      </c>
      <c r="G164" s="29">
        <v>4967.0</v>
      </c>
      <c r="H164" s="29">
        <v>407191.0</v>
      </c>
      <c r="I164" s="28">
        <v>90.0</v>
      </c>
      <c r="J164" s="28">
        <v>110.0</v>
      </c>
      <c r="K164" s="28">
        <v>20074.0</v>
      </c>
      <c r="L164" s="28">
        <v>2155.0</v>
      </c>
      <c r="M164" s="28">
        <v>204110.0</v>
      </c>
      <c r="N164" s="28">
        <v>224184.0</v>
      </c>
      <c r="O164" s="28">
        <v>13.0</v>
      </c>
      <c r="P164" s="30">
        <v>2332.0</v>
      </c>
      <c r="Q164" s="30">
        <v>10.0</v>
      </c>
      <c r="R164" s="30">
        <v>1923.0</v>
      </c>
      <c r="S164" s="30">
        <v>1.0</v>
      </c>
      <c r="T164" s="30">
        <v>320.0</v>
      </c>
      <c r="U164" s="30">
        <v>89.0</v>
      </c>
      <c r="V164" s="30">
        <v>88.0</v>
      </c>
      <c r="W164" s="30">
        <v>9.0</v>
      </c>
      <c r="X164" s="30">
        <v>3.0</v>
      </c>
      <c r="Y164" s="30">
        <v>2.0</v>
      </c>
      <c r="Z164" s="28">
        <v>1029.0</v>
      </c>
    </row>
    <row r="165" ht="14.25" customHeight="1">
      <c r="A165" s="27">
        <v>44051.0</v>
      </c>
      <c r="B165" s="28">
        <v>122.0</v>
      </c>
      <c r="C165" s="28">
        <v>138.0</v>
      </c>
      <c r="D165" s="28">
        <v>28945.0</v>
      </c>
      <c r="E165" s="28">
        <v>4105.0</v>
      </c>
      <c r="F165" s="29">
        <v>382473.0</v>
      </c>
      <c r="G165" s="29">
        <v>4227.0</v>
      </c>
      <c r="H165" s="29">
        <v>411418.0</v>
      </c>
      <c r="I165" s="28">
        <v>95.0</v>
      </c>
      <c r="J165" s="28">
        <v>102.0</v>
      </c>
      <c r="K165" s="28">
        <v>20169.0</v>
      </c>
      <c r="L165" s="28">
        <v>1781.0</v>
      </c>
      <c r="M165" s="28">
        <v>205891.0</v>
      </c>
      <c r="N165" s="28">
        <v>226060.0</v>
      </c>
      <c r="O165" s="28">
        <v>19.0</v>
      </c>
      <c r="P165" s="30">
        <v>2351.0</v>
      </c>
      <c r="Q165" s="30">
        <v>6.0</v>
      </c>
      <c r="R165" s="30">
        <v>1929.0</v>
      </c>
      <c r="S165" s="30">
        <v>1.0</v>
      </c>
      <c r="T165" s="30">
        <v>321.0</v>
      </c>
      <c r="U165" s="30">
        <v>101.0</v>
      </c>
      <c r="V165" s="30">
        <v>92.0</v>
      </c>
      <c r="W165" s="30">
        <v>8.0</v>
      </c>
      <c r="X165" s="30">
        <v>3.0</v>
      </c>
      <c r="Y165" s="30">
        <v>1.0</v>
      </c>
      <c r="Z165" s="28">
        <v>1030.0</v>
      </c>
    </row>
    <row r="166" ht="14.25" customHeight="1">
      <c r="A166" s="27">
        <v>44052.0</v>
      </c>
      <c r="B166" s="28">
        <v>42.0</v>
      </c>
      <c r="C166" s="28">
        <v>95.0</v>
      </c>
      <c r="D166" s="28">
        <v>28987.0</v>
      </c>
      <c r="E166" s="28">
        <v>1722.0</v>
      </c>
      <c r="F166" s="29">
        <v>384195.0</v>
      </c>
      <c r="G166" s="29">
        <v>1764.0</v>
      </c>
      <c r="H166" s="29">
        <v>413182.0</v>
      </c>
      <c r="I166" s="28">
        <v>36.0</v>
      </c>
      <c r="J166" s="28">
        <v>74.0</v>
      </c>
      <c r="K166" s="28">
        <v>20205.0</v>
      </c>
      <c r="L166" s="28">
        <v>1076.0</v>
      </c>
      <c r="M166" s="28">
        <v>206967.0</v>
      </c>
      <c r="N166" s="28">
        <v>227172.0</v>
      </c>
      <c r="O166" s="28">
        <v>8.0</v>
      </c>
      <c r="P166" s="30">
        <v>2359.0</v>
      </c>
      <c r="Q166" s="30">
        <v>10.0</v>
      </c>
      <c r="R166" s="30">
        <v>1939.0</v>
      </c>
      <c r="S166" s="30">
        <v>0.0</v>
      </c>
      <c r="T166" s="30">
        <v>321.0</v>
      </c>
      <c r="U166" s="30">
        <v>99.0</v>
      </c>
      <c r="V166" s="30">
        <v>96.0</v>
      </c>
      <c r="W166" s="30">
        <v>9.0</v>
      </c>
      <c r="X166" s="30">
        <v>4.0</v>
      </c>
      <c r="Y166" s="30">
        <v>0.0</v>
      </c>
      <c r="Z166" s="28">
        <v>1030.0</v>
      </c>
    </row>
    <row r="167" ht="14.25" customHeight="1">
      <c r="A167" s="27">
        <v>44053.0</v>
      </c>
      <c r="B167" s="28">
        <v>149.0</v>
      </c>
      <c r="C167" s="28">
        <v>104.0</v>
      </c>
      <c r="D167" s="28">
        <v>29136.0</v>
      </c>
      <c r="E167" s="28">
        <v>4577.0</v>
      </c>
      <c r="F167" s="29">
        <v>388772.0</v>
      </c>
      <c r="G167" s="29">
        <v>4726.0</v>
      </c>
      <c r="H167" s="29">
        <v>417908.0</v>
      </c>
      <c r="I167" s="28">
        <v>112.0</v>
      </c>
      <c r="J167" s="28">
        <v>81.0</v>
      </c>
      <c r="K167" s="28">
        <v>20317.0</v>
      </c>
      <c r="L167" s="28">
        <v>2029.0</v>
      </c>
      <c r="M167" s="28">
        <v>208996.0</v>
      </c>
      <c r="N167" s="28">
        <v>229313.0</v>
      </c>
      <c r="O167" s="28">
        <v>11.0</v>
      </c>
      <c r="P167" s="30">
        <v>2370.0</v>
      </c>
      <c r="Q167" s="30">
        <v>12.0</v>
      </c>
      <c r="R167" s="30">
        <v>1951.0</v>
      </c>
      <c r="S167" s="30">
        <v>0.0</v>
      </c>
      <c r="T167" s="30">
        <v>321.0</v>
      </c>
      <c r="U167" s="30">
        <v>98.0</v>
      </c>
      <c r="V167" s="30">
        <v>99.0</v>
      </c>
      <c r="W167" s="30">
        <v>9.0</v>
      </c>
      <c r="X167" s="30">
        <v>4.0</v>
      </c>
      <c r="Y167" s="30">
        <v>1.0</v>
      </c>
      <c r="Z167" s="28">
        <v>1031.0</v>
      </c>
    </row>
    <row r="168" ht="14.25" customHeight="1">
      <c r="A168" s="27">
        <v>44054.0</v>
      </c>
      <c r="B168" s="28">
        <v>105.0</v>
      </c>
      <c r="C168" s="28">
        <v>99.0</v>
      </c>
      <c r="D168" s="28">
        <v>29241.0</v>
      </c>
      <c r="E168" s="28">
        <v>4320.0</v>
      </c>
      <c r="F168" s="29">
        <v>393092.0</v>
      </c>
      <c r="G168" s="29">
        <v>4425.0</v>
      </c>
      <c r="H168" s="29">
        <v>422333.0</v>
      </c>
      <c r="I168" s="28">
        <v>93.0</v>
      </c>
      <c r="J168" s="28">
        <v>80.0</v>
      </c>
      <c r="K168" s="28">
        <v>20410.0</v>
      </c>
      <c r="L168" s="28">
        <v>2269.0</v>
      </c>
      <c r="M168" s="28">
        <v>211265.0</v>
      </c>
      <c r="N168" s="28">
        <v>231675.0</v>
      </c>
      <c r="O168" s="28">
        <v>6.0</v>
      </c>
      <c r="P168" s="30">
        <v>2376.0</v>
      </c>
      <c r="Q168" s="30">
        <v>14.0</v>
      </c>
      <c r="R168" s="30">
        <v>1965.0</v>
      </c>
      <c r="S168" s="30">
        <v>0.0</v>
      </c>
      <c r="T168" s="30">
        <v>321.0</v>
      </c>
      <c r="U168" s="30">
        <v>90.0</v>
      </c>
      <c r="V168" s="30">
        <v>96.0</v>
      </c>
      <c r="W168" s="30">
        <v>10.0</v>
      </c>
      <c r="X168" s="30">
        <v>4.0</v>
      </c>
      <c r="Y168" s="30">
        <v>3.0</v>
      </c>
      <c r="Z168" s="28">
        <v>1034.0</v>
      </c>
    </row>
    <row r="169" ht="14.25" customHeight="1">
      <c r="A169" s="27">
        <v>44055.0</v>
      </c>
      <c r="B169" s="28">
        <v>121.0</v>
      </c>
      <c r="C169" s="28">
        <v>125.0</v>
      </c>
      <c r="D169" s="28">
        <v>29362.0</v>
      </c>
      <c r="E169" s="28">
        <v>5184.0</v>
      </c>
      <c r="F169" s="29">
        <v>398276.0</v>
      </c>
      <c r="G169" s="29">
        <v>5305.0</v>
      </c>
      <c r="H169" s="29">
        <v>427638.0</v>
      </c>
      <c r="I169" s="28">
        <v>103.0</v>
      </c>
      <c r="J169" s="28">
        <v>103.0</v>
      </c>
      <c r="K169" s="28">
        <v>20513.0</v>
      </c>
      <c r="L169" s="28">
        <v>2629.0</v>
      </c>
      <c r="M169" s="28">
        <v>213894.0</v>
      </c>
      <c r="N169" s="28">
        <v>234407.0</v>
      </c>
      <c r="O169" s="28">
        <v>8.0</v>
      </c>
      <c r="P169" s="30">
        <v>2384.0</v>
      </c>
      <c r="Q169" s="30">
        <v>11.0</v>
      </c>
      <c r="R169" s="30">
        <v>1976.0</v>
      </c>
      <c r="S169" s="30">
        <v>0.0</v>
      </c>
      <c r="T169" s="30">
        <v>321.0</v>
      </c>
      <c r="U169" s="30">
        <v>87.0</v>
      </c>
      <c r="V169" s="30">
        <v>92.0</v>
      </c>
      <c r="W169" s="30">
        <v>9.0</v>
      </c>
      <c r="X169" s="30">
        <v>3.0</v>
      </c>
      <c r="Y169" s="30">
        <v>1.0</v>
      </c>
      <c r="Z169" s="28">
        <v>1035.0</v>
      </c>
    </row>
    <row r="170" ht="14.25" customHeight="1">
      <c r="A170" s="27">
        <v>44056.0</v>
      </c>
      <c r="B170" s="28">
        <v>135.0</v>
      </c>
      <c r="C170" s="28">
        <v>120.0</v>
      </c>
      <c r="D170" s="28">
        <v>29497.0</v>
      </c>
      <c r="E170" s="28">
        <v>4190.0</v>
      </c>
      <c r="F170" s="29">
        <v>402466.0</v>
      </c>
      <c r="G170" s="29">
        <v>4325.0</v>
      </c>
      <c r="H170" s="29">
        <v>431963.0</v>
      </c>
      <c r="I170" s="28">
        <v>97.0</v>
      </c>
      <c r="J170" s="28">
        <v>98.0</v>
      </c>
      <c r="K170" s="28">
        <v>20610.0</v>
      </c>
      <c r="L170" s="28">
        <v>1910.0</v>
      </c>
      <c r="M170" s="28">
        <v>215804.0</v>
      </c>
      <c r="N170" s="28">
        <v>236414.0</v>
      </c>
      <c r="O170" s="28">
        <v>13.0</v>
      </c>
      <c r="P170" s="30">
        <v>2397.0</v>
      </c>
      <c r="Q170" s="30">
        <v>12.0</v>
      </c>
      <c r="R170" s="30">
        <v>1988.0</v>
      </c>
      <c r="S170" s="30">
        <v>0.0</v>
      </c>
      <c r="T170" s="30">
        <v>321.0</v>
      </c>
      <c r="U170" s="30">
        <v>88.0</v>
      </c>
      <c r="V170" s="30">
        <v>88.0</v>
      </c>
      <c r="W170" s="30">
        <v>11.0</v>
      </c>
      <c r="X170" s="30">
        <v>3.0</v>
      </c>
      <c r="Y170" s="30">
        <v>0.0</v>
      </c>
      <c r="Z170" s="28">
        <v>1035.0</v>
      </c>
    </row>
    <row r="171" ht="14.25" customHeight="1">
      <c r="A171" s="27">
        <v>44057.0</v>
      </c>
      <c r="B171" s="28">
        <v>145.0</v>
      </c>
      <c r="C171" s="28">
        <v>134.0</v>
      </c>
      <c r="D171" s="28">
        <v>29642.0</v>
      </c>
      <c r="E171" s="28">
        <v>5461.0</v>
      </c>
      <c r="F171" s="29">
        <v>407927.0</v>
      </c>
      <c r="G171" s="29">
        <v>5606.0</v>
      </c>
      <c r="H171" s="29">
        <v>437569.0</v>
      </c>
      <c r="I171" s="28">
        <v>101.0</v>
      </c>
      <c r="J171" s="28">
        <v>100.0</v>
      </c>
      <c r="K171" s="28">
        <v>20711.0</v>
      </c>
      <c r="L171" s="28">
        <v>1955.0</v>
      </c>
      <c r="M171" s="28">
        <v>217759.0</v>
      </c>
      <c r="N171" s="28">
        <v>238470.0</v>
      </c>
      <c r="O171" s="28">
        <v>13.0</v>
      </c>
      <c r="P171" s="30">
        <v>2410.0</v>
      </c>
      <c r="Q171" s="30">
        <v>11.0</v>
      </c>
      <c r="R171" s="30">
        <v>1999.0</v>
      </c>
      <c r="S171" s="30">
        <v>0.0</v>
      </c>
      <c r="T171" s="30">
        <v>321.0</v>
      </c>
      <c r="U171" s="30">
        <v>90.0</v>
      </c>
      <c r="V171" s="30">
        <v>88.0</v>
      </c>
      <c r="W171" s="30">
        <v>11.0</v>
      </c>
      <c r="X171" s="30">
        <v>4.0</v>
      </c>
      <c r="Y171" s="30">
        <v>3.0</v>
      </c>
      <c r="Z171" s="28">
        <v>1038.0</v>
      </c>
    </row>
    <row r="172" ht="14.25" customHeight="1">
      <c r="A172" s="27">
        <v>44058.0</v>
      </c>
      <c r="B172" s="28">
        <v>105.0</v>
      </c>
      <c r="C172" s="28">
        <v>128.0</v>
      </c>
      <c r="D172" s="28">
        <v>29747.0</v>
      </c>
      <c r="E172" s="28">
        <v>4532.0</v>
      </c>
      <c r="F172" s="29">
        <v>412459.0</v>
      </c>
      <c r="G172" s="29">
        <v>4637.0</v>
      </c>
      <c r="H172" s="29">
        <v>442206.0</v>
      </c>
      <c r="I172" s="28">
        <v>90.0</v>
      </c>
      <c r="J172" s="28">
        <v>96.0</v>
      </c>
      <c r="K172" s="28">
        <v>20801.0</v>
      </c>
      <c r="L172" s="28">
        <v>1703.0</v>
      </c>
      <c r="M172" s="28">
        <v>219462.0</v>
      </c>
      <c r="N172" s="28">
        <v>240263.0</v>
      </c>
      <c r="O172" s="28">
        <v>8.0</v>
      </c>
      <c r="P172" s="30">
        <v>2418.0</v>
      </c>
      <c r="Q172" s="30">
        <v>11.0</v>
      </c>
      <c r="R172" s="30">
        <v>2010.0</v>
      </c>
      <c r="S172" s="30">
        <v>1.0</v>
      </c>
      <c r="T172" s="30">
        <v>322.0</v>
      </c>
      <c r="U172" s="30">
        <v>86.0</v>
      </c>
      <c r="V172" s="30">
        <v>88.0</v>
      </c>
      <c r="W172" s="30">
        <v>11.0</v>
      </c>
      <c r="X172" s="30">
        <v>5.0</v>
      </c>
      <c r="Y172" s="30">
        <v>0.0</v>
      </c>
      <c r="Z172" s="28">
        <v>1038.0</v>
      </c>
    </row>
    <row r="173" ht="14.25" customHeight="1">
      <c r="A173" s="27">
        <v>44059.0</v>
      </c>
      <c r="B173" s="28">
        <v>83.0</v>
      </c>
      <c r="C173" s="28">
        <v>111.0</v>
      </c>
      <c r="D173" s="28">
        <v>29830.0</v>
      </c>
      <c r="E173" s="28">
        <v>2786.0</v>
      </c>
      <c r="F173" s="29">
        <v>415245.0</v>
      </c>
      <c r="G173" s="29">
        <v>2869.0</v>
      </c>
      <c r="H173" s="29">
        <v>445075.0</v>
      </c>
      <c r="I173" s="28">
        <v>71.0</v>
      </c>
      <c r="J173" s="28">
        <v>87.0</v>
      </c>
      <c r="K173" s="28">
        <v>20872.0</v>
      </c>
      <c r="L173" s="28">
        <v>983.0</v>
      </c>
      <c r="M173" s="28">
        <v>220445.0</v>
      </c>
      <c r="N173" s="28">
        <v>241317.0</v>
      </c>
      <c r="O173" s="28">
        <v>7.0</v>
      </c>
      <c r="P173" s="30">
        <v>2425.0</v>
      </c>
      <c r="Q173" s="30">
        <v>6.0</v>
      </c>
      <c r="R173" s="30">
        <v>2016.0</v>
      </c>
      <c r="S173" s="30">
        <v>4.0</v>
      </c>
      <c r="T173" s="30">
        <v>326.0</v>
      </c>
      <c r="U173" s="30">
        <v>83.0</v>
      </c>
      <c r="V173" s="30">
        <v>86.0</v>
      </c>
      <c r="W173" s="30">
        <v>8.0</v>
      </c>
      <c r="X173" s="30">
        <v>4.0</v>
      </c>
      <c r="Y173" s="30">
        <v>6.0</v>
      </c>
      <c r="Z173" s="28">
        <v>1044.0</v>
      </c>
    </row>
    <row r="174" ht="14.25" customHeight="1">
      <c r="A174" s="27">
        <v>44060.0</v>
      </c>
      <c r="B174" s="28">
        <v>106.0</v>
      </c>
      <c r="C174" s="28">
        <v>98.0</v>
      </c>
      <c r="D174" s="28">
        <v>29936.0</v>
      </c>
      <c r="E174" s="28">
        <v>4547.0</v>
      </c>
      <c r="F174" s="29">
        <v>419792.0</v>
      </c>
      <c r="G174" s="29">
        <v>4653.0</v>
      </c>
      <c r="H174" s="29">
        <v>449728.0</v>
      </c>
      <c r="I174" s="28">
        <v>87.0</v>
      </c>
      <c r="J174" s="28">
        <v>83.0</v>
      </c>
      <c r="K174" s="28">
        <v>20959.0</v>
      </c>
      <c r="L174" s="28">
        <v>2384.0</v>
      </c>
      <c r="M174" s="28">
        <v>222829.0</v>
      </c>
      <c r="N174" s="28">
        <v>243788.0</v>
      </c>
      <c r="O174" s="28">
        <v>10.0</v>
      </c>
      <c r="P174" s="30">
        <v>2435.0</v>
      </c>
      <c r="Q174" s="30">
        <v>7.0</v>
      </c>
      <c r="R174" s="30">
        <v>2023.0</v>
      </c>
      <c r="S174" s="30">
        <v>0.0</v>
      </c>
      <c r="T174" s="30">
        <v>326.0</v>
      </c>
      <c r="U174" s="30">
        <v>86.0</v>
      </c>
      <c r="V174" s="30">
        <v>85.0</v>
      </c>
      <c r="W174" s="30">
        <v>8.0</v>
      </c>
      <c r="X174" s="30">
        <v>5.0</v>
      </c>
      <c r="Y174" s="30">
        <v>2.0</v>
      </c>
      <c r="Z174" s="28">
        <v>1046.0</v>
      </c>
    </row>
    <row r="175" ht="14.25" customHeight="1">
      <c r="A175" s="27">
        <v>44061.0</v>
      </c>
      <c r="B175" s="28">
        <v>128.0</v>
      </c>
      <c r="C175" s="28">
        <v>106.0</v>
      </c>
      <c r="D175" s="28">
        <v>30064.0</v>
      </c>
      <c r="E175" s="28">
        <v>5049.0</v>
      </c>
      <c r="F175" s="29">
        <v>424841.0</v>
      </c>
      <c r="G175" s="29">
        <v>5177.0</v>
      </c>
      <c r="H175" s="29">
        <v>454905.0</v>
      </c>
      <c r="I175" s="28">
        <v>97.0</v>
      </c>
      <c r="J175" s="28">
        <v>85.0</v>
      </c>
      <c r="K175" s="28">
        <v>21056.0</v>
      </c>
      <c r="L175" s="28">
        <v>2782.0</v>
      </c>
      <c r="M175" s="28">
        <v>225611.0</v>
      </c>
      <c r="N175" s="28">
        <v>246667.0</v>
      </c>
      <c r="O175" s="28">
        <v>11.0</v>
      </c>
      <c r="P175" s="30">
        <v>2446.0</v>
      </c>
      <c r="Q175" s="30">
        <v>9.0</v>
      </c>
      <c r="R175" s="30">
        <v>2032.0</v>
      </c>
      <c r="S175" s="30">
        <v>1.0</v>
      </c>
      <c r="T175" s="30">
        <v>327.0</v>
      </c>
      <c r="U175" s="30">
        <v>87.0</v>
      </c>
      <c r="V175" s="30">
        <v>85.0</v>
      </c>
      <c r="W175" s="30">
        <v>8.0</v>
      </c>
      <c r="X175" s="30">
        <v>4.0</v>
      </c>
      <c r="Y175" s="30">
        <v>5.0</v>
      </c>
      <c r="Z175" s="28">
        <v>1051.0</v>
      </c>
    </row>
    <row r="176" ht="14.25" customHeight="1">
      <c r="A176" s="27">
        <v>44062.0</v>
      </c>
      <c r="B176" s="28">
        <v>114.0</v>
      </c>
      <c r="C176" s="28">
        <v>116.0</v>
      </c>
      <c r="D176" s="28">
        <v>30178.0</v>
      </c>
      <c r="E176" s="28">
        <v>5407.0</v>
      </c>
      <c r="F176" s="29">
        <v>430248.0</v>
      </c>
      <c r="G176" s="29">
        <v>5521.0</v>
      </c>
      <c r="H176" s="29">
        <v>460426.0</v>
      </c>
      <c r="I176" s="28">
        <v>90.0</v>
      </c>
      <c r="J176" s="28">
        <v>91.0</v>
      </c>
      <c r="K176" s="28">
        <v>21146.0</v>
      </c>
      <c r="L176" s="28">
        <v>2677.0</v>
      </c>
      <c r="M176" s="28">
        <v>228288.0</v>
      </c>
      <c r="N176" s="28">
        <v>249434.0</v>
      </c>
      <c r="O176" s="28">
        <v>8.0</v>
      </c>
      <c r="P176" s="30">
        <v>2454.0</v>
      </c>
      <c r="Q176" s="30">
        <v>9.0</v>
      </c>
      <c r="R176" s="30">
        <v>2041.0</v>
      </c>
      <c r="S176" s="30">
        <v>1.0</v>
      </c>
      <c r="T176" s="30">
        <v>328.0</v>
      </c>
      <c r="U176" s="30">
        <v>85.0</v>
      </c>
      <c r="V176" s="30">
        <v>86.0</v>
      </c>
      <c r="W176" s="30">
        <v>9.0</v>
      </c>
      <c r="X176" s="30">
        <v>5.0</v>
      </c>
      <c r="Y176" s="30">
        <v>0.0</v>
      </c>
      <c r="Z176" s="28">
        <v>1051.0</v>
      </c>
    </row>
    <row r="177" ht="14.25" customHeight="1">
      <c r="A177" s="27">
        <v>44063.0</v>
      </c>
      <c r="B177" s="28">
        <v>174.0</v>
      </c>
      <c r="C177" s="28">
        <v>139.0</v>
      </c>
      <c r="D177" s="28">
        <v>30352.0</v>
      </c>
      <c r="E177" s="28">
        <v>8220.0</v>
      </c>
      <c r="F177" s="29">
        <v>438468.0</v>
      </c>
      <c r="G177" s="29">
        <v>8394.0</v>
      </c>
      <c r="H177" s="29">
        <v>468820.0</v>
      </c>
      <c r="I177" s="28">
        <v>137.0</v>
      </c>
      <c r="J177" s="28">
        <v>108.0</v>
      </c>
      <c r="K177" s="28">
        <v>21283.0</v>
      </c>
      <c r="L177" s="28">
        <v>3568.0</v>
      </c>
      <c r="M177" s="28">
        <v>231856.0</v>
      </c>
      <c r="N177" s="28">
        <v>253139.0</v>
      </c>
      <c r="O177" s="28">
        <v>12.0</v>
      </c>
      <c r="P177" s="30">
        <v>2466.0</v>
      </c>
      <c r="Q177" s="30">
        <v>6.0</v>
      </c>
      <c r="R177" s="30">
        <v>2047.0</v>
      </c>
      <c r="S177" s="30">
        <v>2.0</v>
      </c>
      <c r="T177" s="30">
        <v>330.0</v>
      </c>
      <c r="U177" s="30">
        <v>89.0</v>
      </c>
      <c r="V177" s="30">
        <v>87.0</v>
      </c>
      <c r="W177" s="30">
        <v>10.0</v>
      </c>
      <c r="X177" s="30">
        <v>5.0</v>
      </c>
      <c r="Y177" s="30">
        <v>3.0</v>
      </c>
      <c r="Z177" s="28">
        <v>1054.0</v>
      </c>
    </row>
    <row r="178" ht="14.25" customHeight="1">
      <c r="A178" s="27">
        <v>44064.0</v>
      </c>
      <c r="B178" s="28">
        <v>154.0</v>
      </c>
      <c r="C178" s="28">
        <v>147.0</v>
      </c>
      <c r="D178" s="28">
        <v>30506.0</v>
      </c>
      <c r="E178" s="28">
        <v>6811.0</v>
      </c>
      <c r="F178" s="29">
        <v>445279.0</v>
      </c>
      <c r="G178" s="29">
        <v>6965.0</v>
      </c>
      <c r="H178" s="29">
        <v>475785.0</v>
      </c>
      <c r="I178" s="28">
        <v>125.0</v>
      </c>
      <c r="J178" s="28">
        <v>117.0</v>
      </c>
      <c r="K178" s="28">
        <v>21408.0</v>
      </c>
      <c r="L178" s="28">
        <v>2969.0</v>
      </c>
      <c r="M178" s="28">
        <v>234825.0</v>
      </c>
      <c r="N178" s="28">
        <v>256233.0</v>
      </c>
      <c r="O178" s="28">
        <v>8.0</v>
      </c>
      <c r="P178" s="30">
        <v>2474.0</v>
      </c>
      <c r="Q178" s="30">
        <v>5.0</v>
      </c>
      <c r="R178" s="30">
        <v>2052.0</v>
      </c>
      <c r="S178" s="30">
        <v>1.0</v>
      </c>
      <c r="T178" s="30">
        <v>331.0</v>
      </c>
      <c r="U178" s="30">
        <v>91.0</v>
      </c>
      <c r="V178" s="30">
        <v>88.0</v>
      </c>
      <c r="W178" s="30">
        <v>9.0</v>
      </c>
      <c r="X178" s="30">
        <v>4.0</v>
      </c>
      <c r="Y178" s="30">
        <v>2.0</v>
      </c>
      <c r="Z178" s="28">
        <v>1056.0</v>
      </c>
    </row>
    <row r="179" ht="14.25" customHeight="1">
      <c r="A179" s="27">
        <v>44065.0</v>
      </c>
      <c r="B179" s="28">
        <v>96.0</v>
      </c>
      <c r="C179" s="28">
        <v>141.0</v>
      </c>
      <c r="D179" s="28">
        <v>30602.0</v>
      </c>
      <c r="E179" s="28">
        <v>5958.0</v>
      </c>
      <c r="F179" s="29">
        <v>451237.0</v>
      </c>
      <c r="G179" s="29">
        <v>6054.0</v>
      </c>
      <c r="H179" s="29">
        <v>481839.0</v>
      </c>
      <c r="I179" s="28">
        <v>84.0</v>
      </c>
      <c r="J179" s="28">
        <v>115.0</v>
      </c>
      <c r="K179" s="28">
        <v>21492.0</v>
      </c>
      <c r="L179" s="28">
        <v>2626.0</v>
      </c>
      <c r="M179" s="28">
        <v>237451.0</v>
      </c>
      <c r="N179" s="28">
        <v>258943.0</v>
      </c>
      <c r="O179" s="28">
        <v>10.0</v>
      </c>
      <c r="P179" s="30">
        <v>2484.0</v>
      </c>
      <c r="Q179" s="30">
        <v>12.0</v>
      </c>
      <c r="R179" s="30">
        <v>2064.0</v>
      </c>
      <c r="S179" s="30">
        <v>0.0</v>
      </c>
      <c r="T179" s="30">
        <v>331.0</v>
      </c>
      <c r="U179" s="30">
        <v>89.0</v>
      </c>
      <c r="V179" s="30">
        <v>90.0</v>
      </c>
      <c r="W179" s="30">
        <v>11.0</v>
      </c>
      <c r="X179" s="30">
        <v>4.0</v>
      </c>
      <c r="Y179" s="30">
        <v>1.0</v>
      </c>
      <c r="Z179" s="28">
        <v>1057.0</v>
      </c>
    </row>
    <row r="180" ht="14.25" customHeight="1">
      <c r="A180" s="27">
        <v>44066.0</v>
      </c>
      <c r="B180" s="28">
        <v>70.0</v>
      </c>
      <c r="C180" s="28">
        <v>107.0</v>
      </c>
      <c r="D180" s="28">
        <v>30672.0</v>
      </c>
      <c r="E180" s="28">
        <v>4365.0</v>
      </c>
      <c r="F180" s="29">
        <v>455602.0</v>
      </c>
      <c r="G180" s="29">
        <v>4435.0</v>
      </c>
      <c r="H180" s="29">
        <v>486274.0</v>
      </c>
      <c r="I180" s="28">
        <v>57.0</v>
      </c>
      <c r="J180" s="28">
        <v>89.0</v>
      </c>
      <c r="K180" s="28">
        <v>21549.0</v>
      </c>
      <c r="L180" s="28">
        <v>2469.0</v>
      </c>
      <c r="M180" s="28">
        <v>239920.0</v>
      </c>
      <c r="N180" s="28">
        <v>261469.0</v>
      </c>
      <c r="O180" s="28">
        <v>11.0</v>
      </c>
      <c r="P180" s="30">
        <v>2495.0</v>
      </c>
      <c r="Q180" s="30">
        <v>6.0</v>
      </c>
      <c r="R180" s="30">
        <v>2070.0</v>
      </c>
      <c r="S180" s="30">
        <v>0.0</v>
      </c>
      <c r="T180" s="30">
        <v>331.0</v>
      </c>
      <c r="U180" s="30">
        <v>94.0</v>
      </c>
      <c r="V180" s="30">
        <v>91.0</v>
      </c>
      <c r="W180" s="30">
        <v>11.0</v>
      </c>
      <c r="X180" s="30">
        <v>2.0</v>
      </c>
      <c r="Y180" s="30">
        <v>1.0</v>
      </c>
      <c r="Z180" s="28">
        <v>1058.0</v>
      </c>
    </row>
    <row r="181" ht="14.25" customHeight="1">
      <c r="A181" s="27">
        <v>44067.0</v>
      </c>
      <c r="B181" s="28">
        <v>105.0</v>
      </c>
      <c r="C181" s="28">
        <v>90.0</v>
      </c>
      <c r="D181" s="28">
        <v>30777.0</v>
      </c>
      <c r="E181" s="28">
        <v>5775.0</v>
      </c>
      <c r="F181" s="29">
        <v>461377.0</v>
      </c>
      <c r="G181" s="29">
        <v>5880.0</v>
      </c>
      <c r="H181" s="29">
        <v>492154.0</v>
      </c>
      <c r="I181" s="28">
        <v>75.0</v>
      </c>
      <c r="J181" s="28">
        <v>72.0</v>
      </c>
      <c r="K181" s="28">
        <v>21624.0</v>
      </c>
      <c r="L181" s="28">
        <v>3156.0</v>
      </c>
      <c r="M181" s="28">
        <v>243076.0</v>
      </c>
      <c r="N181" s="28">
        <v>264700.0</v>
      </c>
      <c r="O181" s="28">
        <v>7.0</v>
      </c>
      <c r="P181" s="30">
        <v>2502.0</v>
      </c>
      <c r="Q181" s="30">
        <v>10.0</v>
      </c>
      <c r="R181" s="30">
        <v>2080.0</v>
      </c>
      <c r="S181" s="30">
        <v>1.0</v>
      </c>
      <c r="T181" s="30">
        <v>332.0</v>
      </c>
      <c r="U181" s="30">
        <v>90.0</v>
      </c>
      <c r="V181" s="30">
        <v>91.0</v>
      </c>
      <c r="W181" s="30">
        <v>13.0</v>
      </c>
      <c r="X181" s="30">
        <v>4.0</v>
      </c>
      <c r="Y181" s="30">
        <v>1.0</v>
      </c>
      <c r="Z181" s="28">
        <v>1059.0</v>
      </c>
    </row>
    <row r="182" ht="14.25" customHeight="1">
      <c r="A182" s="27">
        <v>44068.0</v>
      </c>
      <c r="B182" s="28">
        <v>108.0</v>
      </c>
      <c r="C182" s="28">
        <v>94.0</v>
      </c>
      <c r="D182" s="28">
        <v>30885.0</v>
      </c>
      <c r="E182" s="28">
        <v>4776.0</v>
      </c>
      <c r="F182" s="29">
        <v>466153.0</v>
      </c>
      <c r="G182" s="29">
        <v>4884.0</v>
      </c>
      <c r="H182" s="29">
        <v>497038.0</v>
      </c>
      <c r="I182" s="28">
        <v>94.0</v>
      </c>
      <c r="J182" s="28">
        <v>75.0</v>
      </c>
      <c r="K182" s="28">
        <v>21718.0</v>
      </c>
      <c r="L182" s="28">
        <v>2298.0</v>
      </c>
      <c r="M182" s="28">
        <v>245374.0</v>
      </c>
      <c r="N182" s="28">
        <v>267092.0</v>
      </c>
      <c r="O182" s="28">
        <v>10.0</v>
      </c>
      <c r="P182" s="30">
        <v>2512.0</v>
      </c>
      <c r="Q182" s="30">
        <v>4.0</v>
      </c>
      <c r="R182" s="30">
        <v>2084.0</v>
      </c>
      <c r="S182" s="30">
        <v>1.0</v>
      </c>
      <c r="T182" s="30">
        <v>333.0</v>
      </c>
      <c r="U182" s="30">
        <v>95.0</v>
      </c>
      <c r="V182" s="30">
        <v>93.0</v>
      </c>
      <c r="W182" s="30">
        <v>11.0</v>
      </c>
      <c r="X182" s="30">
        <v>4.0</v>
      </c>
      <c r="Y182" s="30">
        <v>1.0</v>
      </c>
      <c r="Z182" s="28">
        <v>1060.0</v>
      </c>
    </row>
    <row r="183" ht="14.25" customHeight="1">
      <c r="A183" s="27">
        <v>44069.0</v>
      </c>
      <c r="B183" s="28">
        <v>170.0</v>
      </c>
      <c r="C183" s="28">
        <v>128.0</v>
      </c>
      <c r="D183" s="28">
        <v>31055.0</v>
      </c>
      <c r="E183" s="28">
        <v>9563.0</v>
      </c>
      <c r="F183" s="29">
        <v>475716.0</v>
      </c>
      <c r="G183" s="29">
        <v>9733.0</v>
      </c>
      <c r="H183" s="29">
        <v>506771.0</v>
      </c>
      <c r="I183" s="28">
        <v>128.0</v>
      </c>
      <c r="J183" s="28">
        <v>99.0</v>
      </c>
      <c r="K183" s="28">
        <v>21846.0</v>
      </c>
      <c r="L183" s="28">
        <v>3077.0</v>
      </c>
      <c r="M183" s="28">
        <v>248451.0</v>
      </c>
      <c r="N183" s="28">
        <v>270297.0</v>
      </c>
      <c r="O183" s="28">
        <v>4.0</v>
      </c>
      <c r="P183" s="30">
        <v>2516.0</v>
      </c>
      <c r="Q183" s="30">
        <v>8.0</v>
      </c>
      <c r="R183" s="30">
        <v>2092.0</v>
      </c>
      <c r="S183" s="30">
        <v>0.0</v>
      </c>
      <c r="T183" s="30">
        <v>333.0</v>
      </c>
      <c r="U183" s="30">
        <v>91.0</v>
      </c>
      <c r="V183" s="30">
        <v>92.0</v>
      </c>
      <c r="W183" s="30">
        <v>9.0</v>
      </c>
      <c r="X183" s="30">
        <v>5.0</v>
      </c>
      <c r="Y183" s="30">
        <v>1.0</v>
      </c>
      <c r="Z183" s="28">
        <v>1061.0</v>
      </c>
    </row>
    <row r="184" ht="14.25" customHeight="1">
      <c r="A184" s="27">
        <v>44070.0</v>
      </c>
      <c r="B184" s="28">
        <v>93.0</v>
      </c>
      <c r="C184" s="28">
        <v>124.0</v>
      </c>
      <c r="D184" s="28">
        <v>31148.0</v>
      </c>
      <c r="E184" s="28">
        <v>8800.0</v>
      </c>
      <c r="F184" s="29">
        <v>484516.0</v>
      </c>
      <c r="G184" s="29">
        <v>8893.0</v>
      </c>
      <c r="H184" s="29">
        <v>515664.0</v>
      </c>
      <c r="I184" s="28">
        <v>71.0</v>
      </c>
      <c r="J184" s="28">
        <v>98.0</v>
      </c>
      <c r="K184" s="28">
        <v>21917.0</v>
      </c>
      <c r="L184" s="28">
        <v>3217.0</v>
      </c>
      <c r="M184" s="28">
        <v>251668.0</v>
      </c>
      <c r="N184" s="28">
        <v>273585.0</v>
      </c>
      <c r="O184" s="28">
        <v>6.0</v>
      </c>
      <c r="P184" s="30">
        <v>2522.0</v>
      </c>
      <c r="Q184" s="30">
        <v>13.0</v>
      </c>
      <c r="R184" s="30">
        <v>2105.0</v>
      </c>
      <c r="S184" s="30">
        <v>1.0</v>
      </c>
      <c r="T184" s="30">
        <v>334.0</v>
      </c>
      <c r="U184" s="30">
        <v>83.0</v>
      </c>
      <c r="V184" s="30">
        <v>90.0</v>
      </c>
      <c r="W184" s="30">
        <v>6.0</v>
      </c>
      <c r="X184" s="30">
        <v>5.0</v>
      </c>
      <c r="Y184" s="30">
        <v>2.0</v>
      </c>
      <c r="Z184" s="28">
        <v>1063.0</v>
      </c>
    </row>
    <row r="185" ht="14.25" customHeight="1">
      <c r="A185" s="27">
        <v>44071.0</v>
      </c>
      <c r="B185" s="28">
        <v>112.0</v>
      </c>
      <c r="C185" s="28">
        <v>125.0</v>
      </c>
      <c r="D185" s="28">
        <v>31260.0</v>
      </c>
      <c r="E185" s="28">
        <v>8057.0</v>
      </c>
      <c r="F185" s="29">
        <v>492573.0</v>
      </c>
      <c r="G185" s="29">
        <v>8169.0</v>
      </c>
      <c r="H185" s="29">
        <v>523833.0</v>
      </c>
      <c r="I185" s="28">
        <v>88.0</v>
      </c>
      <c r="J185" s="28">
        <v>96.0</v>
      </c>
      <c r="K185" s="28">
        <v>22005.0</v>
      </c>
      <c r="L185" s="28">
        <v>2432.0</v>
      </c>
      <c r="M185" s="28">
        <v>254100.0</v>
      </c>
      <c r="N185" s="28">
        <v>276105.0</v>
      </c>
      <c r="O185" s="28">
        <v>14.0</v>
      </c>
      <c r="P185" s="30">
        <v>2536.0</v>
      </c>
      <c r="Q185" s="30">
        <v>4.0</v>
      </c>
      <c r="R185" s="30">
        <v>2109.0</v>
      </c>
      <c r="S185" s="30">
        <v>0.0</v>
      </c>
      <c r="T185" s="30">
        <v>334.0</v>
      </c>
      <c r="U185" s="30">
        <v>93.0</v>
      </c>
      <c r="V185" s="30">
        <v>89.0</v>
      </c>
      <c r="W185" s="30">
        <v>9.0</v>
      </c>
      <c r="X185" s="30">
        <v>7.0</v>
      </c>
      <c r="Y185" s="30">
        <v>2.0</v>
      </c>
      <c r="Z185" s="28">
        <v>1065.0</v>
      </c>
    </row>
    <row r="186" ht="14.25" customHeight="1">
      <c r="A186" s="27">
        <v>44072.0</v>
      </c>
      <c r="B186" s="28">
        <v>65.0</v>
      </c>
      <c r="C186" s="28">
        <v>90.0</v>
      </c>
      <c r="D186" s="28">
        <v>31325.0</v>
      </c>
      <c r="E186" s="28">
        <v>5414.0</v>
      </c>
      <c r="F186" s="29">
        <v>497987.0</v>
      </c>
      <c r="G186" s="29">
        <v>5479.0</v>
      </c>
      <c r="H186" s="29">
        <v>529312.0</v>
      </c>
      <c r="I186" s="28">
        <v>53.0</v>
      </c>
      <c r="J186" s="28">
        <v>71.0</v>
      </c>
      <c r="K186" s="28">
        <v>22058.0</v>
      </c>
      <c r="L186" s="28">
        <v>1907.0</v>
      </c>
      <c r="M186" s="28">
        <v>256007.0</v>
      </c>
      <c r="N186" s="28">
        <v>278065.0</v>
      </c>
      <c r="O186" s="28">
        <v>6.0</v>
      </c>
      <c r="P186" s="30">
        <v>2542.0</v>
      </c>
      <c r="Q186" s="30">
        <v>8.0</v>
      </c>
      <c r="R186" s="30">
        <v>2117.0</v>
      </c>
      <c r="S186" s="30">
        <v>1.0</v>
      </c>
      <c r="T186" s="30">
        <v>335.0</v>
      </c>
      <c r="U186" s="30">
        <v>90.0</v>
      </c>
      <c r="V186" s="30">
        <v>89.0</v>
      </c>
      <c r="W186" s="30">
        <v>10.0</v>
      </c>
      <c r="X186" s="30">
        <v>6.0</v>
      </c>
      <c r="Y186" s="30">
        <v>1.0</v>
      </c>
      <c r="Z186" s="28">
        <v>1066.0</v>
      </c>
    </row>
    <row r="187" ht="14.25" customHeight="1">
      <c r="A187" s="27">
        <v>44073.0</v>
      </c>
      <c r="B187" s="28">
        <v>66.0</v>
      </c>
      <c r="C187" s="28">
        <v>81.0</v>
      </c>
      <c r="D187" s="28">
        <v>31391.0</v>
      </c>
      <c r="E187" s="28">
        <v>4319.0</v>
      </c>
      <c r="F187" s="29">
        <v>502306.0</v>
      </c>
      <c r="G187" s="29">
        <v>4385.0</v>
      </c>
      <c r="H187" s="29">
        <v>533697.0</v>
      </c>
      <c r="I187" s="28">
        <v>48.0</v>
      </c>
      <c r="J187" s="28">
        <v>63.0</v>
      </c>
      <c r="K187" s="28">
        <v>22106.0</v>
      </c>
      <c r="L187" s="28">
        <v>1994.0</v>
      </c>
      <c r="M187" s="28">
        <v>258001.0</v>
      </c>
      <c r="N187" s="28">
        <v>280107.0</v>
      </c>
      <c r="O187" s="28">
        <v>7.0</v>
      </c>
      <c r="P187" s="30">
        <v>2549.0</v>
      </c>
      <c r="Q187" s="30">
        <v>4.0</v>
      </c>
      <c r="R187" s="30">
        <v>2121.0</v>
      </c>
      <c r="S187" s="30">
        <v>0.0</v>
      </c>
      <c r="T187" s="30">
        <v>335.0</v>
      </c>
      <c r="U187" s="30">
        <v>93.0</v>
      </c>
      <c r="V187" s="30">
        <v>92.0</v>
      </c>
      <c r="W187" s="30">
        <v>8.0</v>
      </c>
      <c r="X187" s="30">
        <v>5.0</v>
      </c>
      <c r="Y187" s="30">
        <v>1.0</v>
      </c>
      <c r="Z187" s="28">
        <v>1067.0</v>
      </c>
    </row>
    <row r="188" ht="14.25" customHeight="1">
      <c r="A188" s="27">
        <v>44074.0</v>
      </c>
      <c r="B188" s="28">
        <v>105.0</v>
      </c>
      <c r="C188" s="28">
        <v>79.0</v>
      </c>
      <c r="D188" s="28">
        <v>31496.0</v>
      </c>
      <c r="E188" s="28">
        <v>4867.0</v>
      </c>
      <c r="F188" s="29">
        <v>507173.0</v>
      </c>
      <c r="G188" s="29">
        <v>4972.0</v>
      </c>
      <c r="H188" s="29">
        <v>538669.0</v>
      </c>
      <c r="I188" s="28">
        <v>82.0</v>
      </c>
      <c r="J188" s="28">
        <v>61.0</v>
      </c>
      <c r="K188" s="28">
        <v>22188.0</v>
      </c>
      <c r="L188" s="28">
        <v>2197.0</v>
      </c>
      <c r="M188" s="28">
        <v>260198.0</v>
      </c>
      <c r="N188" s="28">
        <v>282386.0</v>
      </c>
      <c r="O188" s="28">
        <v>10.0</v>
      </c>
      <c r="P188" s="30">
        <v>2559.0</v>
      </c>
      <c r="Q188" s="30">
        <v>15.0</v>
      </c>
      <c r="R188" s="30">
        <v>2136.0</v>
      </c>
      <c r="S188" s="30">
        <v>0.0</v>
      </c>
      <c r="T188" s="30">
        <v>335.0</v>
      </c>
      <c r="U188" s="30">
        <v>88.0</v>
      </c>
      <c r="V188" s="30">
        <v>90.0</v>
      </c>
      <c r="W188" s="30">
        <v>8.0</v>
      </c>
      <c r="X188" s="30">
        <v>4.0</v>
      </c>
      <c r="Y188" s="30">
        <v>0.0</v>
      </c>
      <c r="Z188" s="28">
        <v>1067.0</v>
      </c>
    </row>
    <row r="189" ht="14.25" customHeight="1">
      <c r="A189" s="27">
        <v>44075.0</v>
      </c>
      <c r="B189" s="28">
        <v>98.0</v>
      </c>
      <c r="C189" s="28">
        <v>90.0</v>
      </c>
      <c r="D189" s="28">
        <v>31594.0</v>
      </c>
      <c r="E189" s="28">
        <v>7114.0</v>
      </c>
      <c r="F189" s="29">
        <v>514287.0</v>
      </c>
      <c r="G189" s="29">
        <v>7212.0</v>
      </c>
      <c r="H189" s="29">
        <v>545881.0</v>
      </c>
      <c r="I189" s="28">
        <v>67.0</v>
      </c>
      <c r="J189" s="28">
        <v>66.0</v>
      </c>
      <c r="K189" s="28">
        <v>22255.0</v>
      </c>
      <c r="L189" s="28">
        <v>2376.0</v>
      </c>
      <c r="M189" s="28">
        <v>262574.0</v>
      </c>
      <c r="N189" s="28">
        <v>284829.0</v>
      </c>
      <c r="O189" s="28">
        <v>6.0</v>
      </c>
      <c r="P189" s="30">
        <v>2565.0</v>
      </c>
      <c r="Q189" s="30">
        <v>9.0</v>
      </c>
      <c r="R189" s="30">
        <v>2145.0</v>
      </c>
      <c r="S189" s="30">
        <v>1.0</v>
      </c>
      <c r="T189" s="30">
        <v>336.0</v>
      </c>
      <c r="U189" s="30">
        <v>84.0</v>
      </c>
      <c r="V189" s="30">
        <v>88.0</v>
      </c>
      <c r="W189" s="30">
        <v>7.0</v>
      </c>
      <c r="X189" s="30">
        <v>4.0</v>
      </c>
      <c r="Y189" s="30">
        <v>1.0</v>
      </c>
      <c r="Z189" s="28">
        <v>1068.0</v>
      </c>
    </row>
    <row r="190" ht="14.25" customHeight="1">
      <c r="A190" s="27">
        <v>44076.0</v>
      </c>
      <c r="B190" s="28">
        <v>124.0</v>
      </c>
      <c r="C190" s="28">
        <v>109.0</v>
      </c>
      <c r="D190" s="28">
        <v>31718.0</v>
      </c>
      <c r="E190" s="28">
        <v>10554.0</v>
      </c>
      <c r="F190" s="29">
        <v>524841.0</v>
      </c>
      <c r="G190" s="29">
        <v>10678.0</v>
      </c>
      <c r="H190" s="29">
        <v>556559.0</v>
      </c>
      <c r="I190" s="28">
        <v>102.0</v>
      </c>
      <c r="J190" s="28">
        <v>84.0</v>
      </c>
      <c r="K190" s="28">
        <v>22357.0</v>
      </c>
      <c r="L190" s="28">
        <v>2953.0</v>
      </c>
      <c r="M190" s="28">
        <v>265527.0</v>
      </c>
      <c r="N190" s="28">
        <v>287884.0</v>
      </c>
      <c r="O190" s="28">
        <v>9.0</v>
      </c>
      <c r="P190" s="30">
        <v>2574.0</v>
      </c>
      <c r="Q190" s="30">
        <v>10.0</v>
      </c>
      <c r="R190" s="30">
        <v>2155.0</v>
      </c>
      <c r="S190" s="30">
        <v>1.0</v>
      </c>
      <c r="T190" s="30">
        <v>337.0</v>
      </c>
      <c r="U190" s="30">
        <v>82.0</v>
      </c>
      <c r="V190" s="30">
        <v>85.0</v>
      </c>
      <c r="W190" s="30">
        <v>8.0</v>
      </c>
      <c r="X190" s="30">
        <v>4.0</v>
      </c>
      <c r="Y190" s="30">
        <v>2.0</v>
      </c>
      <c r="Z190" s="28">
        <v>1070.0</v>
      </c>
    </row>
    <row r="191" ht="14.25" customHeight="1">
      <c r="A191" s="27">
        <v>44077.0</v>
      </c>
      <c r="B191" s="28">
        <v>89.0</v>
      </c>
      <c r="C191" s="28">
        <v>104.0</v>
      </c>
      <c r="D191" s="28">
        <v>31807.0</v>
      </c>
      <c r="E191" s="28">
        <v>11168.0</v>
      </c>
      <c r="F191" s="29">
        <v>536009.0</v>
      </c>
      <c r="G191" s="29">
        <v>11257.0</v>
      </c>
      <c r="H191" s="29">
        <v>567816.0</v>
      </c>
      <c r="I191" s="28">
        <v>76.0</v>
      </c>
      <c r="J191" s="28">
        <v>82.0</v>
      </c>
      <c r="K191" s="28">
        <v>22433.0</v>
      </c>
      <c r="L191" s="28">
        <v>2579.0</v>
      </c>
      <c r="M191" s="28">
        <v>268106.0</v>
      </c>
      <c r="N191" s="28">
        <v>290539.0</v>
      </c>
      <c r="O191" s="28">
        <v>8.0</v>
      </c>
      <c r="P191" s="30">
        <v>2582.0</v>
      </c>
      <c r="Q191" s="30">
        <v>8.0</v>
      </c>
      <c r="R191" s="30">
        <v>2163.0</v>
      </c>
      <c r="S191" s="30">
        <v>0.0</v>
      </c>
      <c r="T191" s="30">
        <v>337.0</v>
      </c>
      <c r="U191" s="30">
        <v>82.0</v>
      </c>
      <c r="V191" s="30">
        <v>83.0</v>
      </c>
      <c r="W191" s="30">
        <v>9.0</v>
      </c>
      <c r="X191" s="30">
        <v>4.0</v>
      </c>
      <c r="Y191" s="30">
        <v>2.0</v>
      </c>
      <c r="Z191" s="28">
        <v>1072.0</v>
      </c>
    </row>
    <row r="192" ht="14.25" customHeight="1">
      <c r="A192" s="27">
        <v>44078.0</v>
      </c>
      <c r="B192" s="28">
        <v>102.0</v>
      </c>
      <c r="C192" s="28">
        <v>105.0</v>
      </c>
      <c r="D192" s="28">
        <v>31909.0</v>
      </c>
      <c r="E192" s="28">
        <v>9027.0</v>
      </c>
      <c r="F192" s="29">
        <v>545036.0</v>
      </c>
      <c r="G192" s="29">
        <v>9129.0</v>
      </c>
      <c r="H192" s="29">
        <v>576945.0</v>
      </c>
      <c r="I192" s="28">
        <v>83.0</v>
      </c>
      <c r="J192" s="28">
        <v>87.0</v>
      </c>
      <c r="K192" s="28">
        <v>22516.0</v>
      </c>
      <c r="L192" s="28">
        <v>2403.0</v>
      </c>
      <c r="M192" s="28">
        <v>270509.0</v>
      </c>
      <c r="N192" s="28">
        <v>293025.0</v>
      </c>
      <c r="O192" s="28">
        <v>11.0</v>
      </c>
      <c r="P192" s="30">
        <v>2593.0</v>
      </c>
      <c r="Q192" s="30">
        <v>4.0</v>
      </c>
      <c r="R192" s="30">
        <v>2167.0</v>
      </c>
      <c r="S192" s="30">
        <v>0.0</v>
      </c>
      <c r="T192" s="30">
        <v>337.0</v>
      </c>
      <c r="U192" s="30">
        <v>89.0</v>
      </c>
      <c r="V192" s="30">
        <v>84.0</v>
      </c>
      <c r="W192" s="30">
        <v>9.0</v>
      </c>
      <c r="X192" s="30">
        <v>4.0</v>
      </c>
      <c r="Y192" s="30">
        <v>1.0</v>
      </c>
      <c r="Z192" s="28">
        <v>1073.0</v>
      </c>
    </row>
    <row r="193" ht="14.25" customHeight="1">
      <c r="A193" s="27">
        <v>44079.0</v>
      </c>
      <c r="B193" s="28">
        <v>52.0</v>
      </c>
      <c r="C193" s="28">
        <v>81.0</v>
      </c>
      <c r="D193" s="28">
        <v>31961.0</v>
      </c>
      <c r="E193" s="28">
        <v>6280.0</v>
      </c>
      <c r="F193" s="29">
        <v>551316.0</v>
      </c>
      <c r="G193" s="29">
        <v>6332.0</v>
      </c>
      <c r="H193" s="29">
        <v>583277.0</v>
      </c>
      <c r="I193" s="28">
        <v>42.0</v>
      </c>
      <c r="J193" s="28">
        <v>67.0</v>
      </c>
      <c r="K193" s="28">
        <v>22558.0</v>
      </c>
      <c r="L193" s="28">
        <v>1588.0</v>
      </c>
      <c r="M193" s="28">
        <v>272097.0</v>
      </c>
      <c r="N193" s="28">
        <v>294655.0</v>
      </c>
      <c r="O193" s="28">
        <v>6.0</v>
      </c>
      <c r="P193" s="30">
        <v>2599.0</v>
      </c>
      <c r="Q193" s="30">
        <v>9.0</v>
      </c>
      <c r="R193" s="30">
        <v>2176.0</v>
      </c>
      <c r="S193" s="30">
        <v>0.0</v>
      </c>
      <c r="T193" s="30">
        <v>337.0</v>
      </c>
      <c r="U193" s="30">
        <v>86.0</v>
      </c>
      <c r="V193" s="30">
        <v>86.0</v>
      </c>
      <c r="W193" s="30">
        <v>8.0</v>
      </c>
      <c r="X193" s="30">
        <v>3.0</v>
      </c>
      <c r="Y193" s="30">
        <v>1.0</v>
      </c>
      <c r="Z193" s="28">
        <v>1074.0</v>
      </c>
    </row>
    <row r="194" ht="14.25" customHeight="1">
      <c r="A194" s="27">
        <v>44080.0</v>
      </c>
      <c r="B194" s="28">
        <v>87.0</v>
      </c>
      <c r="C194" s="28">
        <v>80.0</v>
      </c>
      <c r="D194" s="28">
        <v>32048.0</v>
      </c>
      <c r="E194" s="28">
        <v>4310.0</v>
      </c>
      <c r="F194" s="29">
        <v>555626.0</v>
      </c>
      <c r="G194" s="29">
        <v>4397.0</v>
      </c>
      <c r="H194" s="29">
        <v>587674.0</v>
      </c>
      <c r="I194" s="28">
        <v>66.0</v>
      </c>
      <c r="J194" s="28">
        <v>64.0</v>
      </c>
      <c r="K194" s="28">
        <v>22624.0</v>
      </c>
      <c r="L194" s="28">
        <v>1954.0</v>
      </c>
      <c r="M194" s="28">
        <v>274051.0</v>
      </c>
      <c r="N194" s="28">
        <v>296675.0</v>
      </c>
      <c r="O194" s="28">
        <v>4.0</v>
      </c>
      <c r="P194" s="30">
        <v>2603.0</v>
      </c>
      <c r="Q194" s="30">
        <v>8.0</v>
      </c>
      <c r="R194" s="30">
        <v>2184.0</v>
      </c>
      <c r="S194" s="30">
        <v>1.0</v>
      </c>
      <c r="T194" s="30">
        <v>338.0</v>
      </c>
      <c r="U194" s="30">
        <v>81.0</v>
      </c>
      <c r="V194" s="30">
        <v>85.0</v>
      </c>
      <c r="W194" s="30">
        <v>6.0</v>
      </c>
      <c r="X194" s="30">
        <v>3.0</v>
      </c>
      <c r="Y194" s="30">
        <v>1.0</v>
      </c>
      <c r="Z194" s="28">
        <v>1075.0</v>
      </c>
    </row>
    <row r="195" ht="14.25" customHeight="1">
      <c r="A195" s="27">
        <v>44081.0</v>
      </c>
      <c r="B195" s="28">
        <v>35.0</v>
      </c>
      <c r="C195" s="28">
        <v>58.0</v>
      </c>
      <c r="D195" s="28">
        <v>32083.0</v>
      </c>
      <c r="E195" s="28">
        <v>2999.0</v>
      </c>
      <c r="F195" s="29">
        <v>558625.0</v>
      </c>
      <c r="G195" s="29">
        <v>3034.0</v>
      </c>
      <c r="H195" s="29">
        <v>590708.0</v>
      </c>
      <c r="I195" s="28">
        <v>26.0</v>
      </c>
      <c r="J195" s="28">
        <v>45.0</v>
      </c>
      <c r="K195" s="28">
        <v>22650.0</v>
      </c>
      <c r="L195" s="28">
        <v>649.0</v>
      </c>
      <c r="M195" s="28">
        <v>274700.0</v>
      </c>
      <c r="N195" s="28">
        <v>297350.0</v>
      </c>
      <c r="O195" s="28">
        <v>11.0</v>
      </c>
      <c r="P195" s="30">
        <v>2614.0</v>
      </c>
      <c r="Q195" s="30">
        <v>3.0</v>
      </c>
      <c r="R195" s="30">
        <v>2187.0</v>
      </c>
      <c r="S195" s="30">
        <v>0.0</v>
      </c>
      <c r="T195" s="30">
        <v>338.0</v>
      </c>
      <c r="U195" s="30">
        <v>89.0</v>
      </c>
      <c r="V195" s="30">
        <v>85.0</v>
      </c>
      <c r="W195" s="30">
        <v>5.0</v>
      </c>
      <c r="X195" s="30">
        <v>3.0</v>
      </c>
      <c r="Y195" s="30">
        <v>1.0</v>
      </c>
      <c r="Z195" s="28">
        <v>1076.0</v>
      </c>
    </row>
    <row r="196" ht="14.25" customHeight="1">
      <c r="A196" s="27">
        <v>44082.0</v>
      </c>
      <c r="B196" s="28">
        <v>74.0</v>
      </c>
      <c r="C196" s="28">
        <v>65.0</v>
      </c>
      <c r="D196" s="28">
        <v>32157.0</v>
      </c>
      <c r="E196" s="28">
        <v>6341.0</v>
      </c>
      <c r="F196" s="29">
        <v>564966.0</v>
      </c>
      <c r="G196" s="29">
        <v>6415.0</v>
      </c>
      <c r="H196" s="29">
        <v>597123.0</v>
      </c>
      <c r="I196" s="28">
        <v>67.0</v>
      </c>
      <c r="J196" s="28">
        <v>53.0</v>
      </c>
      <c r="K196" s="28">
        <v>22717.0</v>
      </c>
      <c r="L196" s="28">
        <v>1592.0</v>
      </c>
      <c r="M196" s="28">
        <v>276292.0</v>
      </c>
      <c r="N196" s="28">
        <v>299009.0</v>
      </c>
      <c r="O196" s="28">
        <v>6.0</v>
      </c>
      <c r="P196" s="30">
        <v>2620.0</v>
      </c>
      <c r="Q196" s="30">
        <v>12.0</v>
      </c>
      <c r="R196" s="30">
        <v>2199.0</v>
      </c>
      <c r="S196" s="30">
        <v>1.0</v>
      </c>
      <c r="T196" s="30">
        <v>339.0</v>
      </c>
      <c r="U196" s="30">
        <v>82.0</v>
      </c>
      <c r="V196" s="30">
        <v>84.0</v>
      </c>
      <c r="W196" s="30">
        <v>6.0</v>
      </c>
      <c r="X196" s="30">
        <v>3.0</v>
      </c>
      <c r="Y196" s="30">
        <v>2.0</v>
      </c>
      <c r="Z196" s="28">
        <v>1078.0</v>
      </c>
    </row>
    <row r="197" ht="14.25" customHeight="1">
      <c r="A197" s="27">
        <v>44083.0</v>
      </c>
      <c r="B197" s="28">
        <v>118.0</v>
      </c>
      <c r="C197" s="28">
        <v>76.0</v>
      </c>
      <c r="D197" s="28">
        <v>32275.0</v>
      </c>
      <c r="E197" s="28">
        <v>8794.0</v>
      </c>
      <c r="F197" s="29">
        <v>573760.0</v>
      </c>
      <c r="G197" s="29">
        <v>8912.0</v>
      </c>
      <c r="H197" s="29">
        <v>606035.0</v>
      </c>
      <c r="I197" s="28">
        <v>100.0</v>
      </c>
      <c r="J197" s="28">
        <v>64.0</v>
      </c>
      <c r="K197" s="28">
        <v>22817.0</v>
      </c>
      <c r="L197" s="28">
        <v>2132.0</v>
      </c>
      <c r="M197" s="28">
        <v>278424.0</v>
      </c>
      <c r="N197" s="28">
        <v>301241.0</v>
      </c>
      <c r="O197" s="28">
        <v>9.0</v>
      </c>
      <c r="P197" s="30">
        <v>2629.0</v>
      </c>
      <c r="Q197" s="30">
        <v>5.0</v>
      </c>
      <c r="R197" s="30">
        <v>2204.0</v>
      </c>
      <c r="S197" s="30">
        <v>1.0</v>
      </c>
      <c r="T197" s="30">
        <v>340.0</v>
      </c>
      <c r="U197" s="30">
        <v>85.0</v>
      </c>
      <c r="V197" s="30">
        <v>85.0</v>
      </c>
      <c r="W197" s="30">
        <v>9.0</v>
      </c>
      <c r="X197" s="30">
        <v>3.0</v>
      </c>
      <c r="Y197" s="30">
        <v>1.0</v>
      </c>
      <c r="Z197" s="28">
        <v>1079.0</v>
      </c>
    </row>
    <row r="198" ht="14.25" customHeight="1">
      <c r="A198" s="27">
        <v>44084.0</v>
      </c>
      <c r="B198" s="28">
        <v>166.0</v>
      </c>
      <c r="C198" s="28">
        <v>119.0</v>
      </c>
      <c r="D198" s="28">
        <v>32441.0</v>
      </c>
      <c r="E198" s="28">
        <v>11396.0</v>
      </c>
      <c r="F198" s="29">
        <v>585156.0</v>
      </c>
      <c r="G198" s="29">
        <v>11562.0</v>
      </c>
      <c r="H198" s="29">
        <v>617597.0</v>
      </c>
      <c r="I198" s="28">
        <v>115.0</v>
      </c>
      <c r="J198" s="28">
        <v>94.0</v>
      </c>
      <c r="K198" s="28">
        <v>22932.0</v>
      </c>
      <c r="L198" s="28">
        <v>2269.0</v>
      </c>
      <c r="M198" s="28">
        <v>280693.0</v>
      </c>
      <c r="N198" s="28">
        <v>303625.0</v>
      </c>
      <c r="O198" s="28">
        <v>8.0</v>
      </c>
      <c r="P198" s="30">
        <v>2637.0</v>
      </c>
      <c r="Q198" s="30">
        <v>8.0</v>
      </c>
      <c r="R198" s="30">
        <v>2212.0</v>
      </c>
      <c r="S198" s="30">
        <v>0.0</v>
      </c>
      <c r="T198" s="30">
        <v>340.0</v>
      </c>
      <c r="U198" s="30">
        <v>85.0</v>
      </c>
      <c r="V198" s="30">
        <v>84.0</v>
      </c>
      <c r="W198" s="30">
        <v>10.0</v>
      </c>
      <c r="X198" s="30">
        <v>3.0</v>
      </c>
      <c r="Y198" s="30">
        <v>0.0</v>
      </c>
      <c r="Z198" s="28">
        <v>1079.0</v>
      </c>
    </row>
    <row r="199" ht="14.25" customHeight="1">
      <c r="A199" s="27">
        <v>44085.0</v>
      </c>
      <c r="B199" s="28">
        <v>119.0</v>
      </c>
      <c r="C199" s="28">
        <v>134.0</v>
      </c>
      <c r="D199" s="28">
        <v>32560.0</v>
      </c>
      <c r="E199" s="28">
        <v>9418.0</v>
      </c>
      <c r="F199" s="29">
        <v>594574.0</v>
      </c>
      <c r="G199" s="29">
        <v>9537.0</v>
      </c>
      <c r="H199" s="29">
        <v>627134.0</v>
      </c>
      <c r="I199" s="28">
        <v>98.0</v>
      </c>
      <c r="J199" s="28">
        <v>104.0</v>
      </c>
      <c r="K199" s="28">
        <v>23030.0</v>
      </c>
      <c r="L199" s="28">
        <v>1952.0</v>
      </c>
      <c r="M199" s="28">
        <v>282645.0</v>
      </c>
      <c r="N199" s="28">
        <v>305675.0</v>
      </c>
      <c r="O199" s="28">
        <v>11.0</v>
      </c>
      <c r="P199" s="30">
        <v>2648.0</v>
      </c>
      <c r="Q199" s="30">
        <v>11.0</v>
      </c>
      <c r="R199" s="30">
        <v>2223.0</v>
      </c>
      <c r="S199" s="30">
        <v>0.0</v>
      </c>
      <c r="T199" s="30">
        <v>340.0</v>
      </c>
      <c r="U199" s="30">
        <v>85.0</v>
      </c>
      <c r="V199" s="30">
        <v>85.0</v>
      </c>
      <c r="W199" s="30">
        <v>10.0</v>
      </c>
      <c r="X199" s="30">
        <v>5.0</v>
      </c>
      <c r="Y199" s="30">
        <v>0.0</v>
      </c>
      <c r="Z199" s="28">
        <v>1079.0</v>
      </c>
    </row>
    <row r="200" ht="14.25" customHeight="1">
      <c r="A200" s="27">
        <v>44086.0</v>
      </c>
      <c r="B200" s="28">
        <v>107.0</v>
      </c>
      <c r="C200" s="28">
        <v>131.0</v>
      </c>
      <c r="D200" s="28">
        <v>32667.0</v>
      </c>
      <c r="E200" s="28">
        <v>6071.0</v>
      </c>
      <c r="F200" s="29">
        <v>600645.0</v>
      </c>
      <c r="G200" s="29">
        <v>6178.0</v>
      </c>
      <c r="H200" s="29">
        <v>633312.0</v>
      </c>
      <c r="I200" s="28">
        <v>101.0</v>
      </c>
      <c r="J200" s="28">
        <v>105.0</v>
      </c>
      <c r="K200" s="28">
        <v>23131.0</v>
      </c>
      <c r="L200" s="28">
        <v>1449.0</v>
      </c>
      <c r="M200" s="28">
        <v>284094.0</v>
      </c>
      <c r="N200" s="28">
        <v>307225.0</v>
      </c>
      <c r="O200" s="28">
        <v>8.0</v>
      </c>
      <c r="P200" s="30">
        <v>2656.0</v>
      </c>
      <c r="Q200" s="30">
        <v>5.0</v>
      </c>
      <c r="R200" s="30">
        <v>2228.0</v>
      </c>
      <c r="S200" s="30">
        <v>2.0</v>
      </c>
      <c r="T200" s="30">
        <v>342.0</v>
      </c>
      <c r="U200" s="30">
        <v>86.0</v>
      </c>
      <c r="V200" s="30">
        <v>85.0</v>
      </c>
      <c r="W200" s="30">
        <v>9.0</v>
      </c>
      <c r="X200" s="30">
        <v>5.0</v>
      </c>
      <c r="Y200" s="30">
        <v>3.0</v>
      </c>
      <c r="Z200" s="28">
        <v>1082.0</v>
      </c>
    </row>
    <row r="201" ht="14.25" customHeight="1">
      <c r="A201" s="27">
        <v>44087.0</v>
      </c>
      <c r="B201" s="28">
        <v>58.0</v>
      </c>
      <c r="C201" s="28">
        <v>95.0</v>
      </c>
      <c r="D201" s="28">
        <v>32725.0</v>
      </c>
      <c r="E201" s="28">
        <v>2614.0</v>
      </c>
      <c r="F201" s="29">
        <v>603259.0</v>
      </c>
      <c r="G201" s="29">
        <v>2672.0</v>
      </c>
      <c r="H201" s="29">
        <v>635984.0</v>
      </c>
      <c r="I201" s="28">
        <v>54.0</v>
      </c>
      <c r="J201" s="28">
        <v>84.0</v>
      </c>
      <c r="K201" s="28">
        <v>23185.0</v>
      </c>
      <c r="L201" s="28">
        <v>804.0</v>
      </c>
      <c r="M201" s="28">
        <v>284898.0</v>
      </c>
      <c r="N201" s="28">
        <v>308083.0</v>
      </c>
      <c r="O201" s="28">
        <v>4.0</v>
      </c>
      <c r="P201" s="30">
        <v>2660.0</v>
      </c>
      <c r="Q201" s="30">
        <v>3.0</v>
      </c>
      <c r="R201" s="30">
        <v>2231.0</v>
      </c>
      <c r="S201" s="30">
        <v>0.0</v>
      </c>
      <c r="T201" s="30">
        <v>342.0</v>
      </c>
      <c r="U201" s="30">
        <v>87.0</v>
      </c>
      <c r="V201" s="30">
        <v>86.0</v>
      </c>
      <c r="W201" s="30">
        <v>9.0</v>
      </c>
      <c r="X201" s="30">
        <v>5.0</v>
      </c>
      <c r="Y201" s="30">
        <v>0.0</v>
      </c>
      <c r="Z201" s="28">
        <v>1082.0</v>
      </c>
    </row>
    <row r="202" ht="14.25" customHeight="1">
      <c r="A202" s="27">
        <v>44088.0</v>
      </c>
      <c r="B202" s="28">
        <v>101.0</v>
      </c>
      <c r="C202" s="28">
        <v>89.0</v>
      </c>
      <c r="D202" s="28">
        <v>32826.0</v>
      </c>
      <c r="E202" s="28">
        <v>6238.0</v>
      </c>
      <c r="F202" s="29">
        <v>609497.0</v>
      </c>
      <c r="G202" s="29">
        <v>6339.0</v>
      </c>
      <c r="H202" s="29">
        <v>642323.0</v>
      </c>
      <c r="I202" s="28">
        <v>92.0</v>
      </c>
      <c r="J202" s="28">
        <v>82.0</v>
      </c>
      <c r="K202" s="28">
        <v>23277.0</v>
      </c>
      <c r="L202" s="28">
        <v>1609.0</v>
      </c>
      <c r="M202" s="28">
        <v>286507.0</v>
      </c>
      <c r="N202" s="28">
        <v>309784.0</v>
      </c>
      <c r="O202" s="28">
        <v>5.0</v>
      </c>
      <c r="P202" s="30">
        <v>2665.0</v>
      </c>
      <c r="Q202" s="30">
        <v>3.0</v>
      </c>
      <c r="R202" s="30">
        <v>2234.0</v>
      </c>
      <c r="S202" s="30">
        <v>2.0</v>
      </c>
      <c r="T202" s="30">
        <v>344.0</v>
      </c>
      <c r="U202" s="30">
        <v>87.0</v>
      </c>
      <c r="V202" s="30">
        <v>87.0</v>
      </c>
      <c r="W202" s="30">
        <v>9.0</v>
      </c>
      <c r="X202" s="30">
        <v>5.0</v>
      </c>
      <c r="Y202" s="30">
        <v>1.0</v>
      </c>
      <c r="Z202" s="28">
        <v>1083.0</v>
      </c>
    </row>
    <row r="203" ht="14.25" customHeight="1">
      <c r="A203" s="27">
        <v>44089.0</v>
      </c>
      <c r="B203" s="28">
        <v>138.0</v>
      </c>
      <c r="C203" s="28">
        <v>99.0</v>
      </c>
      <c r="D203" s="28">
        <v>32964.0</v>
      </c>
      <c r="E203" s="28">
        <v>8248.0</v>
      </c>
      <c r="F203" s="29">
        <v>617745.0</v>
      </c>
      <c r="G203" s="29">
        <v>8386.0</v>
      </c>
      <c r="H203" s="29">
        <v>650709.0</v>
      </c>
      <c r="I203" s="28">
        <v>118.0</v>
      </c>
      <c r="J203" s="28">
        <v>88.0</v>
      </c>
      <c r="K203" s="28">
        <v>23395.0</v>
      </c>
      <c r="L203" s="28">
        <v>1960.0</v>
      </c>
      <c r="M203" s="28">
        <v>288467.0</v>
      </c>
      <c r="N203" s="28">
        <v>311862.0</v>
      </c>
      <c r="O203" s="28">
        <v>5.0</v>
      </c>
      <c r="P203" s="30">
        <v>2670.0</v>
      </c>
      <c r="Q203" s="30">
        <v>2.0</v>
      </c>
      <c r="R203" s="30">
        <v>2236.0</v>
      </c>
      <c r="S203" s="30">
        <v>1.0</v>
      </c>
      <c r="T203" s="30">
        <v>345.0</v>
      </c>
      <c r="U203" s="30">
        <v>89.0</v>
      </c>
      <c r="V203" s="30">
        <v>88.0</v>
      </c>
      <c r="W203" s="30">
        <v>9.0</v>
      </c>
      <c r="X203" s="30">
        <v>5.0</v>
      </c>
      <c r="Y203" s="30">
        <v>2.0</v>
      </c>
      <c r="Z203" s="28">
        <v>1085.0</v>
      </c>
    </row>
    <row r="204" ht="14.25" customHeight="1">
      <c r="A204" s="27">
        <v>44090.0</v>
      </c>
      <c r="B204" s="28">
        <v>151.0</v>
      </c>
      <c r="C204" s="28">
        <v>130.0</v>
      </c>
      <c r="D204" s="28">
        <v>33115.0</v>
      </c>
      <c r="E204" s="28">
        <v>9532.0</v>
      </c>
      <c r="F204" s="29">
        <v>627277.0</v>
      </c>
      <c r="G204" s="29">
        <v>9683.0</v>
      </c>
      <c r="H204" s="29">
        <v>660392.0</v>
      </c>
      <c r="I204" s="28">
        <v>113.0</v>
      </c>
      <c r="J204" s="28">
        <v>108.0</v>
      </c>
      <c r="K204" s="28">
        <v>23508.0</v>
      </c>
      <c r="L204" s="28">
        <v>1830.0</v>
      </c>
      <c r="M204" s="28">
        <v>290297.0</v>
      </c>
      <c r="N204" s="28">
        <v>313805.0</v>
      </c>
      <c r="O204" s="28">
        <v>7.0</v>
      </c>
      <c r="P204" s="30">
        <v>2677.0</v>
      </c>
      <c r="Q204" s="30">
        <v>7.0</v>
      </c>
      <c r="R204" s="30">
        <v>2243.0</v>
      </c>
      <c r="S204" s="30">
        <v>2.0</v>
      </c>
      <c r="T204" s="30">
        <v>347.0</v>
      </c>
      <c r="U204" s="30">
        <v>87.0</v>
      </c>
      <c r="V204" s="30">
        <v>88.0</v>
      </c>
      <c r="W204" s="30">
        <v>7.0</v>
      </c>
      <c r="X204" s="30">
        <v>6.0</v>
      </c>
      <c r="Y204" s="30">
        <v>5.0</v>
      </c>
      <c r="Z204" s="28">
        <v>1090.0</v>
      </c>
    </row>
    <row r="205" ht="14.25" customHeight="1">
      <c r="A205" s="27">
        <v>44091.0</v>
      </c>
      <c r="B205" s="28">
        <v>136.0</v>
      </c>
      <c r="C205" s="28">
        <v>142.0</v>
      </c>
      <c r="D205" s="28">
        <v>33251.0</v>
      </c>
      <c r="E205" s="28">
        <v>9179.0</v>
      </c>
      <c r="F205" s="29">
        <v>636456.0</v>
      </c>
      <c r="G205" s="29">
        <v>9315.0</v>
      </c>
      <c r="H205" s="29">
        <v>669707.0</v>
      </c>
      <c r="I205" s="28">
        <v>156.0</v>
      </c>
      <c r="J205" s="28">
        <v>129.0</v>
      </c>
      <c r="K205" s="28">
        <v>23664.0</v>
      </c>
      <c r="L205" s="28">
        <v>1881.0</v>
      </c>
      <c r="M205" s="28">
        <v>292178.0</v>
      </c>
      <c r="N205" s="28">
        <v>315842.0</v>
      </c>
      <c r="O205" s="28">
        <v>7.0</v>
      </c>
      <c r="P205" s="30">
        <v>2684.0</v>
      </c>
      <c r="Q205" s="30">
        <v>14.0</v>
      </c>
      <c r="R205" s="30">
        <v>2257.0</v>
      </c>
      <c r="S205" s="30">
        <v>0.0</v>
      </c>
      <c r="T205" s="30">
        <v>347.0</v>
      </c>
      <c r="U205" s="30">
        <v>80.0</v>
      </c>
      <c r="V205" s="30">
        <v>85.0</v>
      </c>
      <c r="W205" s="30">
        <v>8.0</v>
      </c>
      <c r="X205" s="30">
        <v>3.0</v>
      </c>
      <c r="Y205" s="30">
        <v>0.0</v>
      </c>
      <c r="Z205" s="28">
        <v>1090.0</v>
      </c>
    </row>
    <row r="206" ht="14.25" customHeight="1">
      <c r="A206" s="27">
        <v>44092.0</v>
      </c>
      <c r="B206" s="28">
        <v>200.0</v>
      </c>
      <c r="C206" s="28">
        <v>162.0</v>
      </c>
      <c r="D206" s="28">
        <v>33451.0</v>
      </c>
      <c r="E206" s="28">
        <v>10046.0</v>
      </c>
      <c r="F206" s="29">
        <v>646502.0</v>
      </c>
      <c r="G206" s="29">
        <v>10246.0</v>
      </c>
      <c r="H206" s="29">
        <v>679953.0</v>
      </c>
      <c r="I206" s="28">
        <v>131.0</v>
      </c>
      <c r="J206" s="28">
        <v>133.0</v>
      </c>
      <c r="K206" s="28">
        <v>23795.0</v>
      </c>
      <c r="L206" s="28">
        <v>2000.0</v>
      </c>
      <c r="M206" s="28">
        <v>294178.0</v>
      </c>
      <c r="N206" s="28">
        <v>317973.0</v>
      </c>
      <c r="O206" s="28">
        <v>6.0</v>
      </c>
      <c r="P206" s="30">
        <v>2690.0</v>
      </c>
      <c r="Q206" s="30">
        <v>7.0</v>
      </c>
      <c r="R206" s="30">
        <v>2264.0</v>
      </c>
      <c r="S206" s="30">
        <v>1.0</v>
      </c>
      <c r="T206" s="30">
        <v>348.0</v>
      </c>
      <c r="U206" s="30">
        <v>78.0</v>
      </c>
      <c r="V206" s="30">
        <v>82.0</v>
      </c>
      <c r="W206" s="30">
        <v>11.0</v>
      </c>
      <c r="X206" s="30">
        <v>5.0</v>
      </c>
      <c r="Y206" s="30">
        <v>2.0</v>
      </c>
      <c r="Z206" s="28">
        <v>1092.0</v>
      </c>
    </row>
    <row r="207" ht="14.25" customHeight="1">
      <c r="A207" s="27">
        <v>44093.0</v>
      </c>
      <c r="B207" s="28">
        <v>160.0</v>
      </c>
      <c r="C207" s="28">
        <v>165.0</v>
      </c>
      <c r="D207" s="28">
        <v>33611.0</v>
      </c>
      <c r="E207" s="28">
        <v>8397.0</v>
      </c>
      <c r="F207" s="29">
        <v>654899.0</v>
      </c>
      <c r="G207" s="29">
        <v>8557.0</v>
      </c>
      <c r="H207" s="29">
        <v>688510.0</v>
      </c>
      <c r="I207" s="28">
        <v>110.0</v>
      </c>
      <c r="J207" s="28">
        <v>132.0</v>
      </c>
      <c r="K207" s="28">
        <v>23905.0</v>
      </c>
      <c r="L207" s="28">
        <v>1776.0</v>
      </c>
      <c r="M207" s="28">
        <v>295954.0</v>
      </c>
      <c r="N207" s="28">
        <v>319859.0</v>
      </c>
      <c r="O207" s="28">
        <v>7.0</v>
      </c>
      <c r="P207" s="30">
        <v>2697.0</v>
      </c>
      <c r="Q207" s="30">
        <v>3.0</v>
      </c>
      <c r="R207" s="30">
        <v>2267.0</v>
      </c>
      <c r="S207" s="30">
        <v>0.0</v>
      </c>
      <c r="T207" s="30">
        <v>348.0</v>
      </c>
      <c r="U207" s="30">
        <v>82.0</v>
      </c>
      <c r="V207" s="30">
        <v>80.0</v>
      </c>
      <c r="W207" s="30">
        <v>10.0</v>
      </c>
      <c r="X207" s="30">
        <v>5.0</v>
      </c>
      <c r="Y207" s="30">
        <v>4.0</v>
      </c>
      <c r="Z207" s="28">
        <v>1096.0</v>
      </c>
    </row>
    <row r="208" ht="14.25" customHeight="1">
      <c r="A208" s="27">
        <v>44094.0</v>
      </c>
      <c r="B208" s="28">
        <v>81.0</v>
      </c>
      <c r="C208" s="28">
        <v>147.0</v>
      </c>
      <c r="D208" s="28">
        <v>33692.0</v>
      </c>
      <c r="E208" s="28">
        <v>3769.0</v>
      </c>
      <c r="F208" s="29">
        <v>658668.0</v>
      </c>
      <c r="G208" s="29">
        <v>3850.0</v>
      </c>
      <c r="H208" s="29">
        <v>692360.0</v>
      </c>
      <c r="I208" s="28">
        <v>54.0</v>
      </c>
      <c r="J208" s="28">
        <v>98.0</v>
      </c>
      <c r="K208" s="28">
        <v>23959.0</v>
      </c>
      <c r="L208" s="28">
        <v>1406.0</v>
      </c>
      <c r="M208" s="28">
        <v>297360.0</v>
      </c>
      <c r="N208" s="28">
        <v>321319.0</v>
      </c>
      <c r="O208" s="28">
        <v>6.0</v>
      </c>
      <c r="P208" s="30">
        <v>2703.0</v>
      </c>
      <c r="Q208" s="30">
        <v>5.0</v>
      </c>
      <c r="R208" s="30">
        <v>2272.0</v>
      </c>
      <c r="S208" s="30">
        <v>2.0</v>
      </c>
      <c r="T208" s="30">
        <v>350.0</v>
      </c>
      <c r="U208" s="30">
        <v>81.0</v>
      </c>
      <c r="V208" s="30">
        <v>80.0</v>
      </c>
      <c r="W208" s="30">
        <v>10.0</v>
      </c>
      <c r="X208" s="30">
        <v>7.0</v>
      </c>
      <c r="Y208" s="30">
        <v>4.0</v>
      </c>
      <c r="Z208" s="28">
        <v>1100.0</v>
      </c>
    </row>
    <row r="209" ht="14.25" customHeight="1">
      <c r="A209" s="27">
        <v>44095.0</v>
      </c>
      <c r="B209" s="28">
        <v>122.0</v>
      </c>
      <c r="C209" s="28">
        <v>121.0</v>
      </c>
      <c r="D209" s="28">
        <v>33814.0</v>
      </c>
      <c r="E209" s="28">
        <v>5862.0</v>
      </c>
      <c r="F209" s="29">
        <v>664530.0</v>
      </c>
      <c r="G209" s="29">
        <v>5984.0</v>
      </c>
      <c r="H209" s="29">
        <v>698344.0</v>
      </c>
      <c r="I209" s="28">
        <v>97.0</v>
      </c>
      <c r="J209" s="28">
        <v>87.0</v>
      </c>
      <c r="K209" s="28">
        <v>24056.0</v>
      </c>
      <c r="L209" s="28">
        <v>1849.0</v>
      </c>
      <c r="M209" s="28">
        <v>299209.0</v>
      </c>
      <c r="N209" s="28">
        <v>323265.0</v>
      </c>
      <c r="O209" s="28">
        <v>10.0</v>
      </c>
      <c r="P209" s="30">
        <v>2713.0</v>
      </c>
      <c r="Q209" s="30">
        <v>3.0</v>
      </c>
      <c r="R209" s="30">
        <v>2275.0</v>
      </c>
      <c r="S209" s="30">
        <v>2.0</v>
      </c>
      <c r="T209" s="30">
        <v>352.0</v>
      </c>
      <c r="U209" s="30">
        <v>86.0</v>
      </c>
      <c r="V209" s="30">
        <v>83.0</v>
      </c>
      <c r="W209" s="30">
        <v>9.0</v>
      </c>
      <c r="X209" s="30">
        <v>5.0</v>
      </c>
      <c r="Y209" s="30">
        <v>1.0</v>
      </c>
      <c r="Z209" s="28">
        <v>1101.0</v>
      </c>
    </row>
    <row r="210" ht="14.25" customHeight="1">
      <c r="A210" s="27">
        <v>44096.0</v>
      </c>
      <c r="B210" s="28">
        <v>138.0</v>
      </c>
      <c r="C210" s="28">
        <v>114.0</v>
      </c>
      <c r="D210" s="28">
        <v>33952.0</v>
      </c>
      <c r="E210" s="28">
        <v>8096.0</v>
      </c>
      <c r="F210" s="29">
        <v>672626.0</v>
      </c>
      <c r="G210" s="29">
        <v>8234.0</v>
      </c>
      <c r="H210" s="29">
        <v>706578.0</v>
      </c>
      <c r="I210" s="28">
        <v>121.0</v>
      </c>
      <c r="J210" s="28">
        <v>91.0</v>
      </c>
      <c r="K210" s="28">
        <v>24177.0</v>
      </c>
      <c r="L210" s="28">
        <v>1734.0</v>
      </c>
      <c r="M210" s="28">
        <v>300943.0</v>
      </c>
      <c r="N210" s="28">
        <v>325120.0</v>
      </c>
      <c r="O210" s="31"/>
      <c r="P210" s="32"/>
      <c r="Q210" s="32"/>
      <c r="R210" s="32"/>
      <c r="S210" s="32"/>
      <c r="T210" s="32"/>
      <c r="U210" s="32"/>
      <c r="V210" s="32"/>
      <c r="W210" s="32"/>
      <c r="X210" s="32"/>
      <c r="Y210" s="30">
        <v>1.0</v>
      </c>
      <c r="Z210" s="28">
        <v>1102.0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162327.0</v>
      </c>
      <c r="C3" s="42">
        <v>0.55</v>
      </c>
      <c r="D3" s="43">
        <v>12644.0</v>
      </c>
      <c r="E3" s="44">
        <v>0.55</v>
      </c>
      <c r="F3" s="45">
        <v>1278.0</v>
      </c>
      <c r="G3" s="42">
        <v>0.47</v>
      </c>
      <c r="H3" s="45">
        <v>579.0</v>
      </c>
      <c r="I3" s="46">
        <v>0.53</v>
      </c>
    </row>
    <row r="4" ht="14.25" customHeight="1">
      <c r="A4" s="40" t="s">
        <v>41</v>
      </c>
      <c r="B4" s="41">
        <v>130457.0</v>
      </c>
      <c r="C4" s="42">
        <v>0.45</v>
      </c>
      <c r="D4" s="43">
        <v>10233.0</v>
      </c>
      <c r="E4" s="44">
        <v>0.45</v>
      </c>
      <c r="F4" s="45">
        <v>1403.0</v>
      </c>
      <c r="G4" s="42">
        <v>0.52</v>
      </c>
      <c r="H4" s="45">
        <v>515.0</v>
      </c>
      <c r="I4" s="46">
        <v>0.47</v>
      </c>
    </row>
    <row r="5" ht="14.25" customHeight="1">
      <c r="A5" s="40" t="s">
        <v>42</v>
      </c>
      <c r="B5" s="41">
        <v>17.0</v>
      </c>
      <c r="C5" s="47" t="s">
        <v>43</v>
      </c>
      <c r="D5" s="43">
        <v>103.0</v>
      </c>
      <c r="E5" s="47" t="s">
        <v>43</v>
      </c>
      <c r="F5" s="45">
        <v>10.0</v>
      </c>
      <c r="G5" s="48" t="s">
        <v>43</v>
      </c>
      <c r="H5" s="45">
        <v>0.0</v>
      </c>
      <c r="I5" s="46">
        <v>0.0</v>
      </c>
    </row>
    <row r="6" ht="14.25" customHeight="1">
      <c r="A6" s="40" t="s">
        <v>44</v>
      </c>
      <c r="B6" s="41">
        <v>12401.0</v>
      </c>
      <c r="C6" s="47" t="s">
        <v>30</v>
      </c>
      <c r="D6" s="43">
        <v>79.0</v>
      </c>
      <c r="E6" s="47" t="s">
        <v>30</v>
      </c>
      <c r="F6" s="49">
        <v>7.0</v>
      </c>
      <c r="G6" s="48" t="s">
        <v>30</v>
      </c>
      <c r="H6" s="45">
        <v>0.0</v>
      </c>
      <c r="I6" s="50" t="s">
        <v>30</v>
      </c>
    </row>
    <row r="7" ht="15.0" customHeight="1">
      <c r="A7" s="51" t="s">
        <v>45</v>
      </c>
      <c r="B7" s="52"/>
      <c r="C7" s="53"/>
      <c r="D7" s="54"/>
      <c r="E7" s="55"/>
      <c r="F7" s="56"/>
      <c r="G7" s="57"/>
      <c r="H7" s="56"/>
      <c r="I7" s="57"/>
    </row>
    <row r="8" ht="15.0" customHeight="1">
      <c r="A8" s="40" t="s">
        <v>46</v>
      </c>
      <c r="B8" s="41">
        <v>5976.0</v>
      </c>
      <c r="C8" s="42">
        <v>0.02</v>
      </c>
      <c r="D8" s="58">
        <v>374.0</v>
      </c>
      <c r="E8" s="44">
        <v>0.02</v>
      </c>
      <c r="F8" s="59">
        <v>24.0</v>
      </c>
      <c r="G8" s="60">
        <v>0.01</v>
      </c>
      <c r="H8" s="59">
        <v>0.0</v>
      </c>
      <c r="I8" s="60">
        <v>0.0</v>
      </c>
    </row>
    <row r="9" ht="15.0" customHeight="1">
      <c r="A9" s="61">
        <v>43960.0</v>
      </c>
      <c r="B9" s="41">
        <v>4934.0</v>
      </c>
      <c r="C9" s="42">
        <v>0.02</v>
      </c>
      <c r="D9" s="58">
        <v>372.0</v>
      </c>
      <c r="E9" s="44">
        <v>0.02</v>
      </c>
      <c r="F9" s="59">
        <v>8.0</v>
      </c>
      <c r="G9" s="62" t="s">
        <v>43</v>
      </c>
      <c r="H9" s="59">
        <v>0.0</v>
      </c>
      <c r="I9" s="46">
        <v>0.0</v>
      </c>
    </row>
    <row r="10" ht="15.0" customHeight="1">
      <c r="A10" s="61">
        <v>44118.0</v>
      </c>
      <c r="B10" s="41">
        <v>5649.0</v>
      </c>
      <c r="C10" s="42">
        <v>0.02</v>
      </c>
      <c r="D10" s="58">
        <v>436.0</v>
      </c>
      <c r="E10" s="44">
        <v>0.02</v>
      </c>
      <c r="F10" s="59">
        <v>16.0</v>
      </c>
      <c r="G10" s="60">
        <v>0.01</v>
      </c>
      <c r="H10" s="59" t="s">
        <v>47</v>
      </c>
      <c r="I10" s="50" t="s">
        <v>30</v>
      </c>
    </row>
    <row r="11" ht="14.25" customHeight="1">
      <c r="A11" s="40" t="s">
        <v>48</v>
      </c>
      <c r="B11" s="41">
        <v>13297.0</v>
      </c>
      <c r="C11" s="42">
        <v>0.04</v>
      </c>
      <c r="D11" s="58">
        <v>835.0</v>
      </c>
      <c r="E11" s="44">
        <v>0.04</v>
      </c>
      <c r="F11" s="59">
        <v>19.0</v>
      </c>
      <c r="G11" s="60">
        <v>0.01</v>
      </c>
      <c r="H11" s="59">
        <v>0.0</v>
      </c>
      <c r="I11" s="46">
        <v>0.0</v>
      </c>
    </row>
    <row r="12" ht="14.25" customHeight="1">
      <c r="A12" s="40" t="s">
        <v>49</v>
      </c>
      <c r="B12" s="41">
        <v>39056.0</v>
      </c>
      <c r="C12" s="42">
        <v>0.13</v>
      </c>
      <c r="D12" s="58">
        <v>2417.0</v>
      </c>
      <c r="E12" s="44">
        <v>0.1</v>
      </c>
      <c r="F12" s="59">
        <v>74.0</v>
      </c>
      <c r="G12" s="60">
        <v>0.03</v>
      </c>
      <c r="H12" s="59" t="s">
        <v>47</v>
      </c>
      <c r="I12" s="62" t="s">
        <v>30</v>
      </c>
    </row>
    <row r="13" ht="14.25" customHeight="1">
      <c r="A13" s="40" t="s">
        <v>50</v>
      </c>
      <c r="B13" s="41">
        <v>27511.0</v>
      </c>
      <c r="C13" s="42">
        <v>0.09</v>
      </c>
      <c r="D13" s="58">
        <v>2042.0</v>
      </c>
      <c r="E13" s="44">
        <v>0.09</v>
      </c>
      <c r="F13" s="59">
        <v>94.0</v>
      </c>
      <c r="G13" s="60">
        <v>0.03</v>
      </c>
      <c r="H13" s="59" t="s">
        <v>47</v>
      </c>
      <c r="I13" s="62" t="s">
        <v>30</v>
      </c>
    </row>
    <row r="14" ht="14.25" customHeight="1">
      <c r="A14" s="40" t="s">
        <v>51</v>
      </c>
      <c r="B14" s="41">
        <v>48154.0</v>
      </c>
      <c r="C14" s="42">
        <v>0.16</v>
      </c>
      <c r="D14" s="58">
        <v>3701.0</v>
      </c>
      <c r="E14" s="44">
        <v>0.16</v>
      </c>
      <c r="F14" s="59">
        <v>212.0</v>
      </c>
      <c r="G14" s="60">
        <v>0.08</v>
      </c>
      <c r="H14" s="59">
        <v>7.0</v>
      </c>
      <c r="I14" s="60">
        <v>0.01</v>
      </c>
    </row>
    <row r="15" ht="14.25" customHeight="1">
      <c r="A15" s="40" t="s">
        <v>52</v>
      </c>
      <c r="B15" s="41">
        <v>39115.0</v>
      </c>
      <c r="C15" s="42">
        <v>0.13</v>
      </c>
      <c r="D15" s="58">
        <v>3370.0</v>
      </c>
      <c r="E15" s="44">
        <v>0.15</v>
      </c>
      <c r="F15" s="59">
        <v>305.0</v>
      </c>
      <c r="G15" s="60">
        <v>0.11</v>
      </c>
      <c r="H15" s="59">
        <v>16.0</v>
      </c>
      <c r="I15" s="60">
        <v>0.01</v>
      </c>
    </row>
    <row r="16" ht="14.25" customHeight="1">
      <c r="A16" s="40" t="s">
        <v>53</v>
      </c>
      <c r="B16" s="41">
        <v>46178.0</v>
      </c>
      <c r="C16" s="42">
        <v>0.15</v>
      </c>
      <c r="D16" s="58">
        <v>3370.0</v>
      </c>
      <c r="E16" s="44">
        <v>0.15</v>
      </c>
      <c r="F16" s="59">
        <v>419.0</v>
      </c>
      <c r="G16" s="60">
        <v>0.16</v>
      </c>
      <c r="H16" s="59">
        <v>50.0</v>
      </c>
      <c r="I16" s="60">
        <v>0.05</v>
      </c>
    </row>
    <row r="17" ht="14.25" customHeight="1">
      <c r="A17" s="40" t="s">
        <v>54</v>
      </c>
      <c r="B17" s="41">
        <v>37772.0</v>
      </c>
      <c r="C17" s="42">
        <v>0.12</v>
      </c>
      <c r="D17" s="58">
        <v>2372.0</v>
      </c>
      <c r="E17" s="44">
        <v>0.1</v>
      </c>
      <c r="F17" s="59">
        <v>532.0</v>
      </c>
      <c r="G17" s="60">
        <v>0.2</v>
      </c>
      <c r="H17" s="59">
        <v>115.0</v>
      </c>
      <c r="I17" s="60">
        <v>0.11</v>
      </c>
    </row>
    <row r="18" ht="15.0" customHeight="1">
      <c r="A18" s="40" t="s">
        <v>55</v>
      </c>
      <c r="B18" s="41">
        <v>20880.0</v>
      </c>
      <c r="C18" s="42">
        <v>0.07</v>
      </c>
      <c r="D18" s="58">
        <v>1546.0</v>
      </c>
      <c r="E18" s="44">
        <v>0.07</v>
      </c>
      <c r="F18" s="59">
        <v>503.0</v>
      </c>
      <c r="G18" s="60">
        <v>0.19</v>
      </c>
      <c r="H18" s="59">
        <v>260.0</v>
      </c>
      <c r="I18" s="60">
        <v>0.24</v>
      </c>
    </row>
    <row r="19" ht="14.25" customHeight="1">
      <c r="A19" s="40" t="s">
        <v>56</v>
      </c>
      <c r="B19" s="41">
        <v>11066.0</v>
      </c>
      <c r="C19" s="42">
        <v>0.04</v>
      </c>
      <c r="D19" s="58">
        <v>1323.0</v>
      </c>
      <c r="E19" s="44">
        <v>0.06</v>
      </c>
      <c r="F19" s="59">
        <v>344.0</v>
      </c>
      <c r="G19" s="60">
        <v>0.13</v>
      </c>
      <c r="H19" s="59">
        <v>351.0</v>
      </c>
      <c r="I19" s="60">
        <v>0.32</v>
      </c>
    </row>
    <row r="20" ht="14.25" customHeight="1">
      <c r="A20" s="40" t="s">
        <v>57</v>
      </c>
      <c r="B20" s="41">
        <v>5388.0</v>
      </c>
      <c r="C20" s="42">
        <v>0.02</v>
      </c>
      <c r="D20" s="58">
        <v>893.0</v>
      </c>
      <c r="E20" s="44">
        <v>0.04</v>
      </c>
      <c r="F20" s="59">
        <v>146.0</v>
      </c>
      <c r="G20" s="60">
        <v>0.05</v>
      </c>
      <c r="H20" s="59">
        <v>290.0</v>
      </c>
      <c r="I20" s="60">
        <v>0.27</v>
      </c>
    </row>
    <row r="21" ht="14.25" customHeight="1">
      <c r="A21" s="40" t="s">
        <v>44</v>
      </c>
      <c r="B21" s="41">
        <v>226.0</v>
      </c>
      <c r="C21" s="47" t="s">
        <v>30</v>
      </c>
      <c r="D21" s="58">
        <v>8.0</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24222.0</v>
      </c>
      <c r="C23" s="42">
        <v>0.22</v>
      </c>
      <c r="D23" s="58">
        <v>8187.0</v>
      </c>
      <c r="E23" s="44">
        <v>0.45</v>
      </c>
      <c r="F23" s="45">
        <v>763.0</v>
      </c>
      <c r="G23" s="46">
        <v>0.36</v>
      </c>
      <c r="H23" s="45">
        <v>104.0</v>
      </c>
      <c r="I23" s="46">
        <v>0.12</v>
      </c>
    </row>
    <row r="24" ht="14.25" customHeight="1">
      <c r="A24" s="63" t="s">
        <v>60</v>
      </c>
      <c r="B24" s="41">
        <v>680.0</v>
      </c>
      <c r="C24" s="42">
        <v>0.01</v>
      </c>
      <c r="D24" s="58">
        <v>72.0</v>
      </c>
      <c r="E24" s="47" t="s">
        <v>43</v>
      </c>
      <c r="F24" s="45">
        <v>5.0</v>
      </c>
      <c r="G24" s="50" t="s">
        <v>43</v>
      </c>
      <c r="H24" s="45" t="s">
        <v>47</v>
      </c>
      <c r="I24" s="50" t="s">
        <v>30</v>
      </c>
    </row>
    <row r="25" ht="14.25" customHeight="1">
      <c r="A25" s="63" t="s">
        <v>61</v>
      </c>
      <c r="B25" s="41">
        <v>2659.0</v>
      </c>
      <c r="C25" s="42">
        <v>0.02</v>
      </c>
      <c r="D25" s="58">
        <v>359.0</v>
      </c>
      <c r="E25" s="44">
        <v>0.02</v>
      </c>
      <c r="F25" s="45">
        <v>30.0</v>
      </c>
      <c r="G25" s="46">
        <v>0.01</v>
      </c>
      <c r="H25" s="45">
        <v>13.0</v>
      </c>
      <c r="I25" s="46">
        <v>0.01</v>
      </c>
    </row>
    <row r="26" ht="14.25" customHeight="1">
      <c r="A26" s="63" t="s">
        <v>62</v>
      </c>
      <c r="B26" s="41">
        <v>8574.0</v>
      </c>
      <c r="C26" s="42">
        <v>0.08</v>
      </c>
      <c r="D26" s="58">
        <v>2230.0</v>
      </c>
      <c r="E26" s="44">
        <v>0.12</v>
      </c>
      <c r="F26" s="45">
        <v>269.0</v>
      </c>
      <c r="G26" s="46">
        <v>0.13</v>
      </c>
      <c r="H26" s="45">
        <v>56.0</v>
      </c>
      <c r="I26" s="46">
        <v>0.06</v>
      </c>
    </row>
    <row r="27" ht="14.25" customHeight="1">
      <c r="A27" s="63" t="s">
        <v>63</v>
      </c>
      <c r="B27" s="41">
        <v>211.0</v>
      </c>
      <c r="C27" s="48" t="s">
        <v>43</v>
      </c>
      <c r="D27" s="58">
        <v>0.0</v>
      </c>
      <c r="E27" s="44">
        <v>0.0</v>
      </c>
      <c r="F27" s="45">
        <v>0.0</v>
      </c>
      <c r="G27" s="46">
        <v>0.0</v>
      </c>
      <c r="H27" s="45">
        <v>0.0</v>
      </c>
      <c r="I27" s="46">
        <v>0.0</v>
      </c>
    </row>
    <row r="28" ht="14.25" customHeight="1">
      <c r="A28" s="63" t="s">
        <v>64</v>
      </c>
      <c r="B28" s="41">
        <v>66291.0</v>
      </c>
      <c r="C28" s="42">
        <v>0.59</v>
      </c>
      <c r="D28" s="58">
        <v>6830.0</v>
      </c>
      <c r="E28" s="44">
        <v>0.38</v>
      </c>
      <c r="F28" s="45">
        <v>997.0</v>
      </c>
      <c r="G28" s="46">
        <v>0.47</v>
      </c>
      <c r="H28" s="45">
        <v>724.0</v>
      </c>
      <c r="I28" s="46">
        <v>0.81</v>
      </c>
    </row>
    <row r="29" ht="14.25" customHeight="1">
      <c r="A29" s="63" t="s">
        <v>65</v>
      </c>
      <c r="B29" s="41">
        <v>9250.0</v>
      </c>
      <c r="C29" s="42">
        <v>0.08</v>
      </c>
      <c r="D29" s="58">
        <v>316.0</v>
      </c>
      <c r="E29" s="44">
        <v>0.02</v>
      </c>
      <c r="F29" s="45">
        <v>39.0</v>
      </c>
      <c r="G29" s="46">
        <v>0.02</v>
      </c>
      <c r="H29" s="45">
        <v>0.0</v>
      </c>
      <c r="I29" s="46">
        <v>0.0</v>
      </c>
    </row>
    <row r="30" ht="14.25" customHeight="1">
      <c r="A30" s="63" t="s">
        <v>66</v>
      </c>
      <c r="B30" s="41">
        <v>112.0</v>
      </c>
      <c r="C30" s="47" t="s">
        <v>43</v>
      </c>
      <c r="D30" s="58">
        <v>156.0</v>
      </c>
      <c r="E30" s="44">
        <v>0.01</v>
      </c>
      <c r="F30" s="45">
        <v>5.0</v>
      </c>
      <c r="G30" s="48" t="s">
        <v>43</v>
      </c>
      <c r="H30" s="45" t="s">
        <v>47</v>
      </c>
      <c r="I30" s="50" t="s">
        <v>30</v>
      </c>
    </row>
    <row r="31" ht="14.25" customHeight="1">
      <c r="A31" s="63" t="s">
        <v>67</v>
      </c>
      <c r="B31" s="41">
        <v>2078.0</v>
      </c>
      <c r="C31" s="47" t="s">
        <v>30</v>
      </c>
      <c r="D31" s="58">
        <v>194.0</v>
      </c>
      <c r="E31" s="47" t="s">
        <v>30</v>
      </c>
      <c r="F31" s="45">
        <v>7.0</v>
      </c>
      <c r="G31" s="48" t="s">
        <v>30</v>
      </c>
      <c r="H31" s="45">
        <v>0.0</v>
      </c>
      <c r="I31" s="50" t="s">
        <v>30</v>
      </c>
    </row>
    <row r="32" ht="14.25" customHeight="1">
      <c r="A32" s="63" t="s">
        <v>68</v>
      </c>
      <c r="B32" s="41">
        <v>191125.0</v>
      </c>
      <c r="C32" s="47" t="s">
        <v>30</v>
      </c>
      <c r="D32" s="58">
        <v>4715.0</v>
      </c>
      <c r="E32" s="47" t="s">
        <v>30</v>
      </c>
      <c r="F32" s="45">
        <v>583.0</v>
      </c>
      <c r="G32" s="48" t="s">
        <v>30</v>
      </c>
      <c r="H32" s="45">
        <v>195.0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44097.0</v>
      </c>
      <c r="C40" s="73"/>
      <c r="D40" s="74"/>
      <c r="E40" s="74"/>
      <c r="F40" s="74"/>
      <c r="G40" s="74"/>
      <c r="H40" s="74"/>
      <c r="I40" s="74"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73</v>
      </c>
      <c r="B1" s="76" t="s">
        <v>74</v>
      </c>
      <c r="C1" s="76" t="s">
        <v>75</v>
      </c>
      <c r="D1" s="76" t="s">
        <v>76</v>
      </c>
      <c r="E1" s="76" t="s">
        <v>77</v>
      </c>
      <c r="F1" s="76" t="s">
        <v>25</v>
      </c>
      <c r="G1" s="76" t="s">
        <v>78</v>
      </c>
    </row>
    <row r="2" ht="14.25" customHeight="1">
      <c r="A2" s="77" t="s">
        <v>79</v>
      </c>
      <c r="B2" s="78">
        <v>79.0</v>
      </c>
      <c r="C2" s="79">
        <v>488.0</v>
      </c>
      <c r="D2" s="80">
        <v>7.0</v>
      </c>
      <c r="E2" s="79">
        <v>43.0</v>
      </c>
      <c r="F2" s="79">
        <v>0.0</v>
      </c>
      <c r="G2" s="79">
        <v>0.0</v>
      </c>
    </row>
    <row r="3" ht="14.25" customHeight="1">
      <c r="A3" s="77" t="s">
        <v>80</v>
      </c>
      <c r="B3" s="78">
        <v>216.0</v>
      </c>
      <c r="C3" s="79">
        <v>971.0</v>
      </c>
      <c r="D3" s="80">
        <v>14.0</v>
      </c>
      <c r="E3" s="79">
        <v>63.0</v>
      </c>
      <c r="F3" s="79">
        <v>9.0</v>
      </c>
      <c r="G3" s="79">
        <v>40.0</v>
      </c>
    </row>
    <row r="4" ht="14.25" customHeight="1">
      <c r="A4" s="77" t="s">
        <v>81</v>
      </c>
      <c r="B4" s="78">
        <v>154.0</v>
      </c>
      <c r="C4" s="79">
        <v>936.0</v>
      </c>
      <c r="D4" s="80">
        <v>21.0</v>
      </c>
      <c r="E4" s="79">
        <v>128.0</v>
      </c>
      <c r="F4" s="79">
        <v>22.0</v>
      </c>
      <c r="G4" s="79">
        <v>134.0</v>
      </c>
    </row>
    <row r="5" ht="14.25" customHeight="1">
      <c r="A5" s="77" t="s">
        <v>82</v>
      </c>
      <c r="B5" s="78">
        <v>1249.0</v>
      </c>
      <c r="C5" s="79">
        <v>6444.0</v>
      </c>
      <c r="D5" s="80">
        <v>94.0</v>
      </c>
      <c r="E5" s="79">
        <v>485.0</v>
      </c>
      <c r="F5" s="79">
        <v>12.0</v>
      </c>
      <c r="G5" s="79">
        <v>62.0</v>
      </c>
    </row>
    <row r="6" ht="14.25" customHeight="1">
      <c r="A6" s="77" t="s">
        <v>83</v>
      </c>
      <c r="B6" s="78">
        <v>38.0</v>
      </c>
      <c r="C6" s="79">
        <v>488.0</v>
      </c>
      <c r="D6" s="80" t="s">
        <v>47</v>
      </c>
      <c r="E6" s="79" t="s">
        <v>30</v>
      </c>
      <c r="F6" s="79" t="s">
        <v>47</v>
      </c>
      <c r="G6" s="79" t="s">
        <v>30</v>
      </c>
    </row>
    <row r="7" ht="14.25" customHeight="1">
      <c r="A7" s="77" t="s">
        <v>84</v>
      </c>
      <c r="B7" s="78">
        <v>331.0</v>
      </c>
      <c r="C7" s="79">
        <v>957.0</v>
      </c>
      <c r="D7" s="80">
        <v>26.0</v>
      </c>
      <c r="E7" s="79">
        <v>75.0</v>
      </c>
      <c r="F7" s="79">
        <v>13.0</v>
      </c>
      <c r="G7" s="79">
        <v>38.0</v>
      </c>
    </row>
    <row r="8" ht="14.25" customHeight="1">
      <c r="A8" s="77" t="s">
        <v>85</v>
      </c>
      <c r="B8" s="78">
        <v>1567.0</v>
      </c>
      <c r="C8" s="79">
        <v>1930.0</v>
      </c>
      <c r="D8" s="80">
        <v>156.0</v>
      </c>
      <c r="E8" s="79">
        <v>192.0</v>
      </c>
      <c r="F8" s="79">
        <v>24.0</v>
      </c>
      <c r="G8" s="79">
        <v>30.0</v>
      </c>
    </row>
    <row r="9" ht="14.25" customHeight="1">
      <c r="A9" s="77" t="s">
        <v>86</v>
      </c>
      <c r="B9" s="78">
        <v>491.0</v>
      </c>
      <c r="C9" s="79">
        <v>1417.0</v>
      </c>
      <c r="D9" s="80">
        <v>58.0</v>
      </c>
      <c r="E9" s="79">
        <v>167.0</v>
      </c>
      <c r="F9" s="79">
        <v>30.0</v>
      </c>
      <c r="G9" s="79">
        <v>87.0</v>
      </c>
    </row>
    <row r="10" ht="14.25" customHeight="1">
      <c r="A10" s="77" t="s">
        <v>87</v>
      </c>
      <c r="B10" s="78">
        <v>139.0</v>
      </c>
      <c r="C10" s="79">
        <v>1063.0</v>
      </c>
      <c r="D10" s="80">
        <v>8.0</v>
      </c>
      <c r="E10" s="79">
        <v>61.0</v>
      </c>
      <c r="F10" s="79" t="s">
        <v>47</v>
      </c>
      <c r="G10" s="79" t="s">
        <v>30</v>
      </c>
    </row>
    <row r="11" ht="14.25" customHeight="1">
      <c r="A11" s="77" t="s">
        <v>88</v>
      </c>
      <c r="B11" s="78">
        <v>915.0</v>
      </c>
      <c r="C11" s="79">
        <v>1928.0</v>
      </c>
      <c r="D11" s="80">
        <v>96.0</v>
      </c>
      <c r="E11" s="79">
        <v>202.0</v>
      </c>
      <c r="F11" s="79">
        <v>111.0</v>
      </c>
      <c r="G11" s="79">
        <v>234.0</v>
      </c>
    </row>
    <row r="12" ht="14.25" customHeight="1">
      <c r="A12" s="77" t="s">
        <v>89</v>
      </c>
      <c r="B12" s="78">
        <v>50.0</v>
      </c>
      <c r="C12" s="79">
        <v>737.0</v>
      </c>
      <c r="D12" s="80">
        <v>6.0</v>
      </c>
      <c r="E12" s="79">
        <v>88.0</v>
      </c>
      <c r="F12" s="79" t="s">
        <v>47</v>
      </c>
      <c r="G12" s="79" t="s">
        <v>30</v>
      </c>
    </row>
    <row r="13" ht="14.25" customHeight="1">
      <c r="A13" s="77" t="s">
        <v>90</v>
      </c>
      <c r="B13" s="78">
        <v>32.0</v>
      </c>
      <c r="C13" s="79">
        <v>682.0</v>
      </c>
      <c r="D13" s="80" t="s">
        <v>47</v>
      </c>
      <c r="E13" s="79" t="s">
        <v>30</v>
      </c>
      <c r="F13" s="79">
        <v>0.0</v>
      </c>
      <c r="G13" s="79">
        <v>0.0</v>
      </c>
    </row>
    <row r="14" ht="14.25" customHeight="1">
      <c r="A14" s="77" t="s">
        <v>91</v>
      </c>
      <c r="B14" s="78">
        <v>67.0</v>
      </c>
      <c r="C14" s="79">
        <v>666.0</v>
      </c>
      <c r="D14" s="80" t="s">
        <v>47</v>
      </c>
      <c r="E14" s="79" t="s">
        <v>30</v>
      </c>
      <c r="F14" s="79">
        <v>0.0</v>
      </c>
      <c r="G14" s="79">
        <v>0.0</v>
      </c>
    </row>
    <row r="15" ht="14.25" customHeight="1">
      <c r="A15" s="77" t="s">
        <v>92</v>
      </c>
      <c r="B15" s="78">
        <v>17.0</v>
      </c>
      <c r="C15" s="79">
        <v>210.0</v>
      </c>
      <c r="D15" s="80" t="s">
        <v>47</v>
      </c>
      <c r="E15" s="79" t="s">
        <v>30</v>
      </c>
      <c r="F15" s="79" t="s">
        <v>47</v>
      </c>
      <c r="G15" s="79" t="s">
        <v>30</v>
      </c>
    </row>
    <row r="16" ht="14.25" customHeight="1">
      <c r="A16" s="77" t="s">
        <v>93</v>
      </c>
      <c r="B16" s="78">
        <v>29.0</v>
      </c>
      <c r="C16" s="79">
        <v>528.0</v>
      </c>
      <c r="D16" s="80" t="s">
        <v>47</v>
      </c>
      <c r="E16" s="79" t="s">
        <v>30</v>
      </c>
      <c r="F16" s="79">
        <v>0.0</v>
      </c>
      <c r="G16" s="79">
        <v>0.0</v>
      </c>
    </row>
    <row r="17" ht="14.25" customHeight="1">
      <c r="A17" s="77" t="s">
        <v>94</v>
      </c>
      <c r="B17" s="78">
        <v>642.0</v>
      </c>
      <c r="C17" s="79">
        <v>2196.0</v>
      </c>
      <c r="D17" s="80">
        <v>57.0</v>
      </c>
      <c r="E17" s="79">
        <v>195.0</v>
      </c>
      <c r="F17" s="79">
        <v>66.0</v>
      </c>
      <c r="G17" s="79">
        <v>226.0</v>
      </c>
    </row>
    <row r="18" ht="14.25" customHeight="1">
      <c r="A18" s="77" t="s">
        <v>95</v>
      </c>
      <c r="B18" s="78">
        <v>358.0</v>
      </c>
      <c r="C18" s="79">
        <v>1654.0</v>
      </c>
      <c r="D18" s="80">
        <v>34.0</v>
      </c>
      <c r="E18" s="79">
        <v>157.0</v>
      </c>
      <c r="F18" s="79">
        <v>37.0</v>
      </c>
      <c r="G18" s="79">
        <v>171.0</v>
      </c>
    </row>
    <row r="19" ht="14.25" customHeight="1">
      <c r="A19" s="77" t="s">
        <v>96</v>
      </c>
      <c r="B19" s="78">
        <v>16.0</v>
      </c>
      <c r="C19" s="79">
        <v>456.0</v>
      </c>
      <c r="D19" s="80">
        <v>0.0</v>
      </c>
      <c r="E19" s="79">
        <v>0.0</v>
      </c>
      <c r="F19" s="79" t="s">
        <v>47</v>
      </c>
      <c r="G19" s="79" t="s">
        <v>30</v>
      </c>
    </row>
    <row r="20" ht="14.25" customHeight="1">
      <c r="A20" s="77" t="s">
        <v>97</v>
      </c>
      <c r="B20" s="78">
        <v>90.0</v>
      </c>
      <c r="C20" s="79">
        <v>560.0</v>
      </c>
      <c r="D20" s="80">
        <v>8.0</v>
      </c>
      <c r="E20" s="79">
        <v>50.0</v>
      </c>
      <c r="F20" s="79" t="s">
        <v>47</v>
      </c>
      <c r="G20" s="79" t="s">
        <v>30</v>
      </c>
    </row>
    <row r="21" ht="14.25" customHeight="1">
      <c r="A21" s="77" t="s">
        <v>98</v>
      </c>
      <c r="B21" s="78">
        <v>118.0</v>
      </c>
      <c r="C21" s="79">
        <v>759.0</v>
      </c>
      <c r="D21" s="80">
        <v>6.0</v>
      </c>
      <c r="E21" s="79">
        <v>39.0</v>
      </c>
      <c r="F21" s="79">
        <v>0.0</v>
      </c>
      <c r="G21" s="79">
        <v>0.0</v>
      </c>
    </row>
    <row r="22" ht="14.25" customHeight="1">
      <c r="A22" s="77" t="s">
        <v>99</v>
      </c>
      <c r="B22" s="78">
        <v>6.0</v>
      </c>
      <c r="C22" s="79">
        <v>726.0</v>
      </c>
      <c r="D22" s="80">
        <v>0.0</v>
      </c>
      <c r="E22" s="79">
        <v>0.0</v>
      </c>
      <c r="F22" s="79">
        <v>0.0</v>
      </c>
      <c r="G22" s="79">
        <v>0.0</v>
      </c>
    </row>
    <row r="23" ht="14.25" customHeight="1">
      <c r="A23" s="77" t="s">
        <v>100</v>
      </c>
      <c r="B23" s="78">
        <v>173.0</v>
      </c>
      <c r="C23" s="79">
        <v>699.0</v>
      </c>
      <c r="D23" s="80">
        <v>14.0</v>
      </c>
      <c r="E23" s="79">
        <v>57.0</v>
      </c>
      <c r="F23" s="79" t="s">
        <v>47</v>
      </c>
      <c r="G23" s="79" t="s">
        <v>30</v>
      </c>
    </row>
    <row r="24" ht="14.25" customHeight="1">
      <c r="A24" s="77" t="s">
        <v>101</v>
      </c>
      <c r="B24" s="78">
        <v>304.0</v>
      </c>
      <c r="C24" s="79">
        <v>1160.0</v>
      </c>
      <c r="D24" s="80">
        <v>33.0</v>
      </c>
      <c r="E24" s="79">
        <v>126.0</v>
      </c>
      <c r="F24" s="79">
        <v>51.0</v>
      </c>
      <c r="G24" s="79">
        <v>195.0</v>
      </c>
    </row>
    <row r="25" ht="15.75" customHeight="1">
      <c r="A25" s="77" t="s">
        <v>102</v>
      </c>
      <c r="B25" s="78">
        <v>1005.0</v>
      </c>
      <c r="C25" s="79">
        <v>3096.0</v>
      </c>
      <c r="D25" s="80">
        <v>118.0</v>
      </c>
      <c r="E25" s="79">
        <v>364.0</v>
      </c>
      <c r="F25" s="79">
        <v>80.0</v>
      </c>
      <c r="G25" s="79">
        <v>246.0</v>
      </c>
    </row>
    <row r="26" ht="14.25" customHeight="1">
      <c r="A26" s="77" t="s">
        <v>103</v>
      </c>
      <c r="B26" s="78">
        <v>160.0</v>
      </c>
      <c r="C26" s="79">
        <v>1296.0</v>
      </c>
      <c r="D26" s="80">
        <v>17.0</v>
      </c>
      <c r="E26" s="79">
        <v>138.0</v>
      </c>
      <c r="F26" s="79">
        <v>27.0</v>
      </c>
      <c r="G26" s="79">
        <v>219.0</v>
      </c>
    </row>
    <row r="27" ht="14.25" customHeight="1">
      <c r="A27" s="77" t="s">
        <v>104</v>
      </c>
      <c r="B27" s="78">
        <v>2344.0</v>
      </c>
      <c r="C27" s="79">
        <v>3267.0</v>
      </c>
      <c r="D27" s="80">
        <v>210.0</v>
      </c>
      <c r="E27" s="79">
        <v>293.0</v>
      </c>
      <c r="F27" s="79">
        <v>49.0</v>
      </c>
      <c r="G27" s="79">
        <v>68.0</v>
      </c>
    </row>
    <row r="28" ht="14.25" customHeight="1">
      <c r="A28" s="77" t="s">
        <v>105</v>
      </c>
      <c r="B28" s="78">
        <v>83.0</v>
      </c>
      <c r="C28" s="79">
        <v>477.0</v>
      </c>
      <c r="D28" s="80" t="s">
        <v>47</v>
      </c>
      <c r="E28" s="79" t="s">
        <v>30</v>
      </c>
      <c r="F28" s="79">
        <v>0.0</v>
      </c>
      <c r="G28" s="79">
        <v>0.0</v>
      </c>
    </row>
    <row r="29" ht="14.25" customHeight="1">
      <c r="A29" s="77" t="s">
        <v>106</v>
      </c>
      <c r="B29" s="78">
        <v>8132.0</v>
      </c>
      <c r="C29" s="79">
        <v>4532.0</v>
      </c>
      <c r="D29" s="80">
        <v>837.0</v>
      </c>
      <c r="E29" s="79">
        <v>466.0</v>
      </c>
      <c r="F29" s="79">
        <v>290.0</v>
      </c>
      <c r="G29" s="79">
        <v>162.0</v>
      </c>
    </row>
    <row r="30" ht="14.25" customHeight="1">
      <c r="A30" s="77" t="s">
        <v>107</v>
      </c>
      <c r="B30" s="78">
        <v>33.0</v>
      </c>
      <c r="C30" s="79">
        <v>433.0</v>
      </c>
      <c r="D30" s="80" t="s">
        <v>47</v>
      </c>
      <c r="E30" s="79" t="s">
        <v>30</v>
      </c>
      <c r="F30" s="79">
        <v>0.0</v>
      </c>
      <c r="G30" s="79">
        <v>0.0</v>
      </c>
    </row>
    <row r="31" ht="14.25" customHeight="1">
      <c r="A31" s="77" t="s">
        <v>108</v>
      </c>
      <c r="B31" s="78">
        <v>71.0</v>
      </c>
      <c r="C31" s="79">
        <v>670.0</v>
      </c>
      <c r="D31" s="80" t="s">
        <v>47</v>
      </c>
      <c r="E31" s="79" t="s">
        <v>30</v>
      </c>
      <c r="F31" s="79" t="s">
        <v>47</v>
      </c>
      <c r="G31" s="79" t="s">
        <v>30</v>
      </c>
    </row>
    <row r="32" ht="14.25" customHeight="1">
      <c r="A32" s="77" t="s">
        <v>109</v>
      </c>
      <c r="B32" s="78">
        <v>379.0</v>
      </c>
      <c r="C32" s="79">
        <v>1752.0</v>
      </c>
      <c r="D32" s="80">
        <v>70.0</v>
      </c>
      <c r="E32" s="79">
        <v>324.0</v>
      </c>
      <c r="F32" s="79">
        <v>50.0</v>
      </c>
      <c r="G32" s="79">
        <v>231.0</v>
      </c>
    </row>
    <row r="33" ht="14.25" customHeight="1">
      <c r="A33" s="77" t="s">
        <v>110</v>
      </c>
      <c r="B33" s="78">
        <v>131.0</v>
      </c>
      <c r="C33" s="79">
        <v>426.0</v>
      </c>
      <c r="D33" s="80">
        <v>14.0</v>
      </c>
      <c r="E33" s="79">
        <v>46.0</v>
      </c>
      <c r="F33" s="79">
        <v>16.0</v>
      </c>
      <c r="G33" s="79">
        <v>52.0</v>
      </c>
    </row>
    <row r="34" ht="14.25" customHeight="1">
      <c r="A34" s="77" t="s">
        <v>111</v>
      </c>
      <c r="B34" s="78">
        <v>127.0</v>
      </c>
      <c r="C34" s="79">
        <v>803.0</v>
      </c>
      <c r="D34" s="80" t="s">
        <v>47</v>
      </c>
      <c r="E34" s="79" t="s">
        <v>30</v>
      </c>
      <c r="F34" s="79">
        <v>5.0</v>
      </c>
      <c r="G34" s="79" t="s">
        <v>30</v>
      </c>
    </row>
    <row r="35" ht="14.25" customHeight="1">
      <c r="A35" s="77" t="s">
        <v>112</v>
      </c>
      <c r="B35" s="78">
        <v>109.0</v>
      </c>
      <c r="C35" s="79">
        <v>1039.0</v>
      </c>
      <c r="D35" s="80">
        <v>7.0</v>
      </c>
      <c r="E35" s="79">
        <v>67.0</v>
      </c>
      <c r="F35" s="79">
        <v>7.0</v>
      </c>
      <c r="G35" s="79">
        <v>67.0</v>
      </c>
    </row>
    <row r="36" ht="14.25" customHeight="1">
      <c r="A36" s="77" t="s">
        <v>113</v>
      </c>
      <c r="B36" s="78">
        <v>946.0</v>
      </c>
      <c r="C36" s="79">
        <v>1167.0</v>
      </c>
      <c r="D36" s="80">
        <v>84.0</v>
      </c>
      <c r="E36" s="79">
        <v>104.0</v>
      </c>
      <c r="F36" s="79">
        <v>74.0</v>
      </c>
      <c r="G36" s="79">
        <v>91.0</v>
      </c>
    </row>
    <row r="37" ht="14.25" customHeight="1">
      <c r="A37" s="77" t="s">
        <v>114</v>
      </c>
      <c r="B37" s="78">
        <v>32.0</v>
      </c>
      <c r="C37" s="79">
        <v>518.0</v>
      </c>
      <c r="D37" s="80">
        <v>0.0</v>
      </c>
      <c r="E37" s="79">
        <v>0.0</v>
      </c>
      <c r="F37" s="79">
        <v>0.0</v>
      </c>
      <c r="G37" s="79">
        <v>0.0</v>
      </c>
    </row>
    <row r="38" ht="14.25" customHeight="1">
      <c r="A38" s="77" t="s">
        <v>115</v>
      </c>
      <c r="B38" s="78">
        <v>419.0</v>
      </c>
      <c r="C38" s="79">
        <v>1447.0</v>
      </c>
      <c r="D38" s="80">
        <v>42.0</v>
      </c>
      <c r="E38" s="79">
        <v>145.0</v>
      </c>
      <c r="F38" s="79">
        <v>22.0</v>
      </c>
      <c r="G38" s="79">
        <v>76.0</v>
      </c>
    </row>
    <row r="39" ht="14.25" customHeight="1">
      <c r="A39" s="77" t="s">
        <v>116</v>
      </c>
      <c r="B39" s="78">
        <v>106.0</v>
      </c>
      <c r="C39" s="79">
        <v>469.0</v>
      </c>
      <c r="D39" s="80">
        <v>11.0</v>
      </c>
      <c r="E39" s="79">
        <v>49.0</v>
      </c>
      <c r="F39" s="79" t="s">
        <v>47</v>
      </c>
      <c r="G39" s="79" t="s">
        <v>30</v>
      </c>
    </row>
    <row r="40" ht="14.25" customHeight="1">
      <c r="A40" s="77" t="s">
        <v>117</v>
      </c>
      <c r="B40" s="78">
        <v>871.0</v>
      </c>
      <c r="C40" s="79">
        <v>2097.0</v>
      </c>
      <c r="D40" s="80">
        <v>108.0</v>
      </c>
      <c r="E40" s="79">
        <v>260.0</v>
      </c>
      <c r="F40" s="79">
        <v>83.0</v>
      </c>
      <c r="G40" s="79">
        <v>200.0</v>
      </c>
    </row>
    <row r="41" ht="14.25" customHeight="1">
      <c r="A41" s="77" t="s">
        <v>44</v>
      </c>
      <c r="B41" s="78">
        <v>1030.0</v>
      </c>
      <c r="C41" s="79" t="s">
        <v>30</v>
      </c>
      <c r="D41" s="80">
        <v>140.0</v>
      </c>
      <c r="E41" s="79" t="s">
        <v>30</v>
      </c>
      <c r="F41" s="79" t="s">
        <v>47</v>
      </c>
      <c r="G41" s="79" t="s">
        <v>30</v>
      </c>
    </row>
    <row r="42" ht="14.25" customHeight="1">
      <c r="A42" s="81" t="s">
        <v>118</v>
      </c>
      <c r="B42" s="79">
        <v>23059.0</v>
      </c>
      <c r="C42" s="79">
        <v>2182.0</v>
      </c>
      <c r="D42" s="79">
        <v>2296.0</v>
      </c>
      <c r="E42" s="79">
        <v>217.0</v>
      </c>
      <c r="F42" s="79">
        <v>1094.0</v>
      </c>
      <c r="G42" s="79">
        <v>104.0</v>
      </c>
    </row>
    <row r="43" ht="14.25" customHeight="1">
      <c r="A43" s="82" t="s">
        <v>119</v>
      </c>
      <c r="D43" s="83"/>
      <c r="E43" s="83"/>
      <c r="F43" s="83"/>
      <c r="G43" s="83"/>
    </row>
    <row r="44" ht="15.0" customHeight="1">
      <c r="A44" s="84" t="s">
        <v>120</v>
      </c>
    </row>
    <row r="45" ht="14.25" customHeight="1"/>
    <row r="46" ht="14.25" customHeight="1"/>
    <row r="47" ht="14.25" customHeight="1">
      <c r="A47" s="71" t="s">
        <v>0</v>
      </c>
      <c r="B47" s="85">
        <v>44097.0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6" t="s">
        <v>121</v>
      </c>
      <c r="K1" s="87"/>
      <c r="L1" s="88"/>
      <c r="M1" s="89"/>
      <c r="N1" s="88"/>
      <c r="O1" s="89"/>
      <c r="P1" s="88"/>
      <c r="Q1" s="90"/>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91" t="s">
        <v>122</v>
      </c>
      <c r="F2" s="92"/>
      <c r="G2" s="92"/>
      <c r="H2" s="92"/>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91" t="s">
        <v>123</v>
      </c>
      <c r="K3" s="92"/>
      <c r="L3" s="92"/>
      <c r="M3" s="92"/>
      <c r="N3" s="92"/>
      <c r="O3" s="92"/>
      <c r="P3" s="92"/>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91" t="s">
        <v>0</v>
      </c>
      <c r="B4" s="93">
        <v>44097.0</v>
      </c>
      <c r="C4" s="94"/>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95"/>
      <c r="B5" s="96"/>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97" t="s">
        <v>124</v>
      </c>
      <c r="B6" s="98"/>
      <c r="C6" s="98"/>
      <c r="D6" s="98"/>
      <c r="E6" s="98"/>
      <c r="F6" s="98"/>
      <c r="G6" s="98"/>
      <c r="H6" s="98"/>
      <c r="I6" s="98"/>
      <c r="J6" s="98"/>
      <c r="K6" s="35"/>
      <c r="L6" s="99"/>
      <c r="M6" s="99"/>
      <c r="N6" s="99"/>
      <c r="O6" s="99"/>
      <c r="P6" s="99"/>
      <c r="Q6" s="100"/>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88"/>
      <c r="B7" s="101"/>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02" t="s">
        <v>125</v>
      </c>
      <c r="B8" s="103" t="s">
        <v>126</v>
      </c>
      <c r="C8" s="103" t="s">
        <v>127</v>
      </c>
      <c r="D8" s="103" t="s">
        <v>128</v>
      </c>
      <c r="E8" s="103" t="s">
        <v>129</v>
      </c>
      <c r="F8" s="103" t="s">
        <v>130</v>
      </c>
      <c r="G8" s="103" t="s">
        <v>131</v>
      </c>
      <c r="H8" s="103" t="s">
        <v>132</v>
      </c>
      <c r="I8" s="103" t="s">
        <v>133</v>
      </c>
      <c r="J8" s="103" t="s">
        <v>134</v>
      </c>
      <c r="K8" s="103" t="s">
        <v>135</v>
      </c>
      <c r="L8" s="103" t="s">
        <v>136</v>
      </c>
      <c r="M8" s="103" t="s">
        <v>137</v>
      </c>
      <c r="N8" s="103" t="s">
        <v>138</v>
      </c>
      <c r="O8" s="103" t="s">
        <v>139</v>
      </c>
      <c r="P8" s="103" t="s">
        <v>140</v>
      </c>
      <c r="Q8" s="103" t="s">
        <v>141</v>
      </c>
      <c r="R8" s="103" t="s">
        <v>142</v>
      </c>
      <c r="S8" s="103" t="s">
        <v>143</v>
      </c>
      <c r="T8" s="103" t="s">
        <v>144</v>
      </c>
      <c r="U8" s="103" t="s">
        <v>145</v>
      </c>
      <c r="V8" s="103" t="s">
        <v>146</v>
      </c>
      <c r="W8" s="103" t="s">
        <v>147</v>
      </c>
      <c r="X8" s="103" t="s">
        <v>148</v>
      </c>
      <c r="Y8" s="103" t="s">
        <v>149</v>
      </c>
      <c r="Z8" s="103" t="s">
        <v>150</v>
      </c>
      <c r="AA8" s="103" t="s">
        <v>151</v>
      </c>
      <c r="AB8" s="103" t="s">
        <v>152</v>
      </c>
      <c r="AC8" s="103" t="s">
        <v>153</v>
      </c>
      <c r="AD8" s="103" t="s">
        <v>154</v>
      </c>
      <c r="AE8" s="103" t="s">
        <v>155</v>
      </c>
      <c r="AF8" s="103" t="s">
        <v>156</v>
      </c>
      <c r="AG8" s="103" t="s">
        <v>157</v>
      </c>
      <c r="AH8" s="103" t="s">
        <v>158</v>
      </c>
      <c r="AI8" s="103" t="s">
        <v>159</v>
      </c>
      <c r="AJ8" s="103" t="s">
        <v>160</v>
      </c>
      <c r="AK8" s="103" t="s">
        <v>161</v>
      </c>
      <c r="AL8" s="103" t="s">
        <v>162</v>
      </c>
      <c r="AM8" s="103" t="s">
        <v>163</v>
      </c>
      <c r="AN8" s="103" t="s">
        <v>164</v>
      </c>
      <c r="AO8" s="103" t="s">
        <v>165</v>
      </c>
      <c r="AP8" s="103" t="s">
        <v>118</v>
      </c>
    </row>
    <row r="9">
      <c r="A9" s="104" t="s">
        <v>166</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104" t="s">
        <v>167</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104" t="s">
        <v>168</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26.0</v>
      </c>
      <c r="AD11" s="48">
        <v>0.0</v>
      </c>
      <c r="AE11" s="48" t="s">
        <v>47</v>
      </c>
      <c r="AF11" s="48">
        <v>0.0</v>
      </c>
      <c r="AG11" s="48" t="s">
        <v>47</v>
      </c>
      <c r="AH11" s="48">
        <v>0.0</v>
      </c>
      <c r="AI11" s="48" t="s">
        <v>47</v>
      </c>
      <c r="AJ11" s="48" t="s">
        <v>47</v>
      </c>
      <c r="AK11" s="48">
        <v>0.0</v>
      </c>
      <c r="AL11" s="48">
        <v>0.0</v>
      </c>
      <c r="AM11" s="48" t="s">
        <v>47</v>
      </c>
      <c r="AN11" s="48">
        <v>0.0</v>
      </c>
      <c r="AO11" s="48">
        <v>0.0</v>
      </c>
      <c r="AP11" s="50">
        <v>66.0</v>
      </c>
    </row>
    <row r="12">
      <c r="A12" s="104" t="s">
        <v>169</v>
      </c>
      <c r="B12" s="48">
        <v>5.0</v>
      </c>
      <c r="C12" s="48" t="s">
        <v>47</v>
      </c>
      <c r="D12" s="48">
        <v>5.0</v>
      </c>
      <c r="E12" s="48" t="s">
        <v>47</v>
      </c>
      <c r="F12" s="48" t="s">
        <v>47</v>
      </c>
      <c r="G12" s="48" t="s">
        <v>47</v>
      </c>
      <c r="H12" s="48">
        <v>26.0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198.0</v>
      </c>
    </row>
    <row r="13">
      <c r="A13" s="104" t="s">
        <v>170</v>
      </c>
      <c r="B13" s="48" t="s">
        <v>47</v>
      </c>
      <c r="C13" s="48">
        <v>6.0</v>
      </c>
      <c r="D13" s="48">
        <v>5.0</v>
      </c>
      <c r="E13" s="48">
        <v>10.0</v>
      </c>
      <c r="F13" s="48" t="s">
        <v>47</v>
      </c>
      <c r="G13" s="48">
        <v>12.0</v>
      </c>
      <c r="H13" s="48">
        <v>42.0</v>
      </c>
      <c r="I13" s="48">
        <v>17.0</v>
      </c>
      <c r="J13" s="48">
        <v>5.0</v>
      </c>
      <c r="K13" s="48">
        <v>16.0</v>
      </c>
      <c r="L13" s="48" t="s">
        <v>47</v>
      </c>
      <c r="M13" s="48">
        <v>0.0</v>
      </c>
      <c r="N13" s="48" t="s">
        <v>47</v>
      </c>
      <c r="O13" s="48" t="s">
        <v>47</v>
      </c>
      <c r="P13" s="48" t="s">
        <v>47</v>
      </c>
      <c r="Q13" s="48">
        <v>11.0</v>
      </c>
      <c r="R13" s="48">
        <v>9.0</v>
      </c>
      <c r="S13" s="48" t="s">
        <v>47</v>
      </c>
      <c r="T13" s="48" t="s">
        <v>47</v>
      </c>
      <c r="U13" s="48" t="s">
        <v>47</v>
      </c>
      <c r="V13" s="48" t="s">
        <v>47</v>
      </c>
      <c r="W13" s="48">
        <v>6.0</v>
      </c>
      <c r="X13" s="48">
        <v>8.0</v>
      </c>
      <c r="Y13" s="48">
        <v>25.0</v>
      </c>
      <c r="Z13" s="48" t="s">
        <v>47</v>
      </c>
      <c r="AA13" s="48">
        <v>56.0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104" t="s">
        <v>171</v>
      </c>
      <c r="B14" s="48">
        <v>6.0</v>
      </c>
      <c r="C14" s="48">
        <v>9.0</v>
      </c>
      <c r="D14" s="48">
        <v>14.0</v>
      </c>
      <c r="E14" s="48">
        <v>48.0</v>
      </c>
      <c r="F14" s="48" t="s">
        <v>47</v>
      </c>
      <c r="G14" s="48">
        <v>23.0</v>
      </c>
      <c r="H14" s="48">
        <v>108.0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60.0</v>
      </c>
      <c r="Z14" s="48">
        <v>5.0</v>
      </c>
      <c r="AA14" s="48">
        <v>145.0</v>
      </c>
      <c r="AB14" s="48" t="s">
        <v>47</v>
      </c>
      <c r="AC14" s="48">
        <v>527.0</v>
      </c>
      <c r="AD14" s="48" t="s">
        <v>47</v>
      </c>
      <c r="AE14" s="48">
        <v>6.0</v>
      </c>
      <c r="AF14" s="48">
        <v>17.0</v>
      </c>
      <c r="AG14" s="48">
        <v>19.0</v>
      </c>
      <c r="AH14" s="48">
        <v>15.0</v>
      </c>
      <c r="AI14" s="48" t="s">
        <v>47</v>
      </c>
      <c r="AJ14" s="48">
        <v>65.0</v>
      </c>
      <c r="AK14" s="48">
        <v>5.0</v>
      </c>
      <c r="AL14" s="48">
        <v>21.0</v>
      </c>
      <c r="AM14" s="48">
        <v>8.0</v>
      </c>
      <c r="AN14" s="48">
        <v>38.0</v>
      </c>
      <c r="AO14" s="48">
        <v>58.0</v>
      </c>
      <c r="AP14" s="105">
        <v>1447.0</v>
      </c>
    </row>
    <row r="15">
      <c r="A15" s="104" t="s">
        <v>172</v>
      </c>
      <c r="B15" s="48" t="s">
        <v>47</v>
      </c>
      <c r="C15" s="48">
        <v>13.0</v>
      </c>
      <c r="D15" s="48">
        <v>8.0</v>
      </c>
      <c r="E15" s="48">
        <v>112.0</v>
      </c>
      <c r="F15" s="48" t="s">
        <v>47</v>
      </c>
      <c r="G15" s="48">
        <v>18.0</v>
      </c>
      <c r="H15" s="48">
        <v>140.0</v>
      </c>
      <c r="I15" s="48">
        <v>28.0</v>
      </c>
      <c r="J15" s="48">
        <v>5.0</v>
      </c>
      <c r="K15" s="48">
        <v>55.0</v>
      </c>
      <c r="L15" s="48" t="s">
        <v>47</v>
      </c>
      <c r="M15" s="48" t="s">
        <v>47</v>
      </c>
      <c r="N15" s="48">
        <v>6.0</v>
      </c>
      <c r="O15" s="48">
        <v>0.0</v>
      </c>
      <c r="P15" s="48" t="s">
        <v>47</v>
      </c>
      <c r="Q15" s="48">
        <v>40.0</v>
      </c>
      <c r="R15" s="48">
        <v>20.0</v>
      </c>
      <c r="S15" s="48" t="s">
        <v>47</v>
      </c>
      <c r="T15" s="48" t="s">
        <v>47</v>
      </c>
      <c r="U15" s="48" t="s">
        <v>47</v>
      </c>
      <c r="V15" s="48">
        <v>0.0</v>
      </c>
      <c r="W15" s="48">
        <v>0.0</v>
      </c>
      <c r="X15" s="48">
        <v>6.0</v>
      </c>
      <c r="Y15" s="48">
        <v>83.0</v>
      </c>
      <c r="Z15" s="48" t="s">
        <v>47</v>
      </c>
      <c r="AA15" s="48">
        <v>210.0</v>
      </c>
      <c r="AB15" s="48" t="s">
        <v>47</v>
      </c>
      <c r="AC15" s="48">
        <v>632.0</v>
      </c>
      <c r="AD15" s="48" t="s">
        <v>47</v>
      </c>
      <c r="AE15" s="48">
        <v>6.0</v>
      </c>
      <c r="AF15" s="48">
        <v>8.0</v>
      </c>
      <c r="AG15" s="48">
        <v>10.0</v>
      </c>
      <c r="AH15" s="48">
        <v>8.0</v>
      </c>
      <c r="AI15" s="48" t="s">
        <v>47</v>
      </c>
      <c r="AJ15" s="48">
        <v>60.0</v>
      </c>
      <c r="AK15" s="48" t="s">
        <v>47</v>
      </c>
      <c r="AL15" s="48">
        <v>31.0</v>
      </c>
      <c r="AM15" s="48">
        <v>6.0</v>
      </c>
      <c r="AN15" s="48">
        <v>47.0</v>
      </c>
      <c r="AO15" s="48">
        <v>35.0</v>
      </c>
      <c r="AP15" s="105">
        <v>1625.0</v>
      </c>
    </row>
    <row r="16">
      <c r="A16" s="104" t="s">
        <v>173</v>
      </c>
      <c r="B16" s="48">
        <v>6.0</v>
      </c>
      <c r="C16" s="48">
        <v>11.0</v>
      </c>
      <c r="D16" s="48">
        <v>10.0</v>
      </c>
      <c r="E16" s="48">
        <v>178.0</v>
      </c>
      <c r="F16" s="48" t="s">
        <v>47</v>
      </c>
      <c r="G16" s="48">
        <v>17.0</v>
      </c>
      <c r="H16" s="48">
        <v>130.0</v>
      </c>
      <c r="I16" s="48">
        <v>38.0</v>
      </c>
      <c r="J16" s="48">
        <v>12.0</v>
      </c>
      <c r="K16" s="48">
        <v>51.0</v>
      </c>
      <c r="L16" s="48">
        <v>5.0</v>
      </c>
      <c r="M16" s="48" t="s">
        <v>47</v>
      </c>
      <c r="N16" s="48">
        <v>8.0</v>
      </c>
      <c r="O16" s="48" t="s">
        <v>47</v>
      </c>
      <c r="P16" s="48" t="s">
        <v>47</v>
      </c>
      <c r="Q16" s="48">
        <v>45.0</v>
      </c>
      <c r="R16" s="48">
        <v>23.0</v>
      </c>
      <c r="S16" s="48">
        <v>0.0</v>
      </c>
      <c r="T16" s="48">
        <v>6.0</v>
      </c>
      <c r="U16" s="48">
        <v>11.0</v>
      </c>
      <c r="V16" s="48">
        <v>0.0</v>
      </c>
      <c r="W16" s="48">
        <v>10.0</v>
      </c>
      <c r="X16" s="48">
        <v>16.0</v>
      </c>
      <c r="Y16" s="48">
        <v>80.0</v>
      </c>
      <c r="Z16" s="48">
        <v>6.0</v>
      </c>
      <c r="AA16" s="48">
        <v>268.0</v>
      </c>
      <c r="AB16" s="48">
        <v>5.0</v>
      </c>
      <c r="AC16" s="48">
        <v>823.0</v>
      </c>
      <c r="AD16" s="48">
        <v>5.0</v>
      </c>
      <c r="AE16" s="48">
        <v>6.0</v>
      </c>
      <c r="AF16" s="48">
        <v>17.0</v>
      </c>
      <c r="AG16" s="48">
        <v>8.0</v>
      </c>
      <c r="AH16" s="48">
        <v>12.0</v>
      </c>
      <c r="AI16" s="48">
        <v>14.0</v>
      </c>
      <c r="AJ16" s="48">
        <v>59.0</v>
      </c>
      <c r="AK16" s="48" t="s">
        <v>47</v>
      </c>
      <c r="AL16" s="48">
        <v>36.0</v>
      </c>
      <c r="AM16" s="48">
        <v>15.0</v>
      </c>
      <c r="AN16" s="48">
        <v>50.0</v>
      </c>
      <c r="AO16" s="48">
        <v>42.0</v>
      </c>
      <c r="AP16" s="105">
        <v>2035.0</v>
      </c>
    </row>
    <row r="17">
      <c r="A17" s="104" t="s">
        <v>174</v>
      </c>
      <c r="B17" s="48" t="s">
        <v>47</v>
      </c>
      <c r="C17" s="48">
        <v>11.0</v>
      </c>
      <c r="D17" s="48">
        <v>10.0</v>
      </c>
      <c r="E17" s="48">
        <v>139.0</v>
      </c>
      <c r="F17" s="48">
        <v>5.0</v>
      </c>
      <c r="G17" s="48">
        <v>12.0</v>
      </c>
      <c r="H17" s="48">
        <v>107.0</v>
      </c>
      <c r="I17" s="48">
        <v>21.0</v>
      </c>
      <c r="J17" s="48">
        <v>11.0</v>
      </c>
      <c r="K17" s="48">
        <v>44.0</v>
      </c>
      <c r="L17" s="48" t="s">
        <v>47</v>
      </c>
      <c r="M17" s="48" t="s">
        <v>47</v>
      </c>
      <c r="N17" s="48" t="s">
        <v>47</v>
      </c>
      <c r="O17" s="48">
        <v>0.0</v>
      </c>
      <c r="P17" s="48">
        <v>0.0</v>
      </c>
      <c r="Q17" s="48">
        <v>25.0</v>
      </c>
      <c r="R17" s="48">
        <v>20.0</v>
      </c>
      <c r="S17" s="48">
        <v>0.0</v>
      </c>
      <c r="T17" s="48" t="s">
        <v>47</v>
      </c>
      <c r="U17" s="48" t="s">
        <v>47</v>
      </c>
      <c r="V17" s="48">
        <v>0.0</v>
      </c>
      <c r="W17" s="48">
        <v>8.0</v>
      </c>
      <c r="X17" s="48">
        <v>5.0</v>
      </c>
      <c r="Y17" s="48">
        <v>55.0</v>
      </c>
      <c r="Z17" s="48" t="s">
        <v>47</v>
      </c>
      <c r="AA17" s="48">
        <v>203.0</v>
      </c>
      <c r="AB17" s="48" t="s">
        <v>47</v>
      </c>
      <c r="AC17" s="48">
        <v>695.0</v>
      </c>
      <c r="AD17" s="48">
        <v>5.0</v>
      </c>
      <c r="AE17" s="48" t="s">
        <v>47</v>
      </c>
      <c r="AF17" s="48">
        <v>12.0</v>
      </c>
      <c r="AG17" s="48" t="s">
        <v>47</v>
      </c>
      <c r="AH17" s="48">
        <v>6.0</v>
      </c>
      <c r="AI17" s="48" t="s">
        <v>47</v>
      </c>
      <c r="AJ17" s="48">
        <v>60.0</v>
      </c>
      <c r="AK17" s="48" t="s">
        <v>47</v>
      </c>
      <c r="AL17" s="48">
        <v>25.0</v>
      </c>
      <c r="AM17" s="48">
        <v>7.0</v>
      </c>
      <c r="AN17" s="48">
        <v>55.0</v>
      </c>
      <c r="AO17" s="48">
        <v>53.0</v>
      </c>
      <c r="AP17" s="105">
        <v>1626.0</v>
      </c>
    </row>
    <row r="18">
      <c r="A18" s="104" t="s">
        <v>175</v>
      </c>
      <c r="B18" s="48" t="s">
        <v>47</v>
      </c>
      <c r="C18" s="48">
        <v>10.0</v>
      </c>
      <c r="D18" s="48" t="s">
        <v>47</v>
      </c>
      <c r="E18" s="48">
        <v>131.0</v>
      </c>
      <c r="F18" s="48" t="s">
        <v>47</v>
      </c>
      <c r="G18" s="48">
        <v>13.0</v>
      </c>
      <c r="H18" s="48">
        <v>80.0</v>
      </c>
      <c r="I18" s="48">
        <v>21.0</v>
      </c>
      <c r="J18" s="48">
        <v>8.0</v>
      </c>
      <c r="K18" s="48">
        <v>65.0</v>
      </c>
      <c r="L18" s="48">
        <v>6.0</v>
      </c>
      <c r="M18" s="48" t="s">
        <v>47</v>
      </c>
      <c r="N18" s="48" t="s">
        <v>47</v>
      </c>
      <c r="O18" s="48" t="s">
        <v>47</v>
      </c>
      <c r="P18" s="48" t="s">
        <v>47</v>
      </c>
      <c r="Q18" s="48">
        <v>35.0</v>
      </c>
      <c r="R18" s="48">
        <v>19.0</v>
      </c>
      <c r="S18" s="48" t="s">
        <v>47</v>
      </c>
      <c r="T18" s="48" t="s">
        <v>47</v>
      </c>
      <c r="U18" s="48" t="s">
        <v>47</v>
      </c>
      <c r="V18" s="48">
        <v>0.0</v>
      </c>
      <c r="W18" s="48">
        <v>8.0</v>
      </c>
      <c r="X18" s="48">
        <v>9.0</v>
      </c>
      <c r="Y18" s="48">
        <v>67.0</v>
      </c>
      <c r="Z18" s="48">
        <v>9.0</v>
      </c>
      <c r="AA18" s="48">
        <v>189.0</v>
      </c>
      <c r="AB18" s="48" t="s">
        <v>47</v>
      </c>
      <c r="AC18" s="48">
        <v>544.0</v>
      </c>
      <c r="AD18" s="48" t="s">
        <v>47</v>
      </c>
      <c r="AE18" s="48" t="s">
        <v>47</v>
      </c>
      <c r="AF18" s="48">
        <v>13.0</v>
      </c>
      <c r="AG18" s="48" t="s">
        <v>47</v>
      </c>
      <c r="AH18" s="48">
        <v>6.0</v>
      </c>
      <c r="AI18" s="48">
        <v>5.0</v>
      </c>
      <c r="AJ18" s="48">
        <v>42.0</v>
      </c>
      <c r="AK18" s="48">
        <v>0.0</v>
      </c>
      <c r="AL18" s="48">
        <v>27.0</v>
      </c>
      <c r="AM18" s="48" t="s">
        <v>47</v>
      </c>
      <c r="AN18" s="48">
        <v>68.0</v>
      </c>
      <c r="AO18" s="48">
        <v>59.0</v>
      </c>
      <c r="AP18" s="105">
        <v>1463.0</v>
      </c>
    </row>
    <row r="19">
      <c r="A19" s="104" t="s">
        <v>176</v>
      </c>
      <c r="B19" s="48">
        <v>6.0</v>
      </c>
      <c r="C19" s="48">
        <v>6.0</v>
      </c>
      <c r="D19" s="48" t="s">
        <v>47</v>
      </c>
      <c r="E19" s="48">
        <v>97.0</v>
      </c>
      <c r="F19" s="48">
        <v>0.0</v>
      </c>
      <c r="G19" s="48">
        <v>12.0</v>
      </c>
      <c r="H19" s="48">
        <v>73.0</v>
      </c>
      <c r="I19" s="48">
        <v>15.0</v>
      </c>
      <c r="J19" s="48">
        <v>6.0</v>
      </c>
      <c r="K19" s="48">
        <v>53.0</v>
      </c>
      <c r="L19" s="48" t="s">
        <v>47</v>
      </c>
      <c r="M19" s="48" t="s">
        <v>47</v>
      </c>
      <c r="N19" s="48">
        <v>9.0</v>
      </c>
      <c r="O19" s="48" t="s">
        <v>47</v>
      </c>
      <c r="P19" s="48">
        <v>0.0</v>
      </c>
      <c r="Q19" s="48">
        <v>20.0</v>
      </c>
      <c r="R19" s="48">
        <v>12.0</v>
      </c>
      <c r="S19" s="48">
        <v>0.0</v>
      </c>
      <c r="T19" s="48">
        <v>0.0</v>
      </c>
      <c r="U19" s="48" t="s">
        <v>47</v>
      </c>
      <c r="V19" s="48">
        <v>0.0</v>
      </c>
      <c r="W19" s="48" t="s">
        <v>47</v>
      </c>
      <c r="X19" s="48">
        <v>10.0</v>
      </c>
      <c r="Y19" s="48">
        <v>50.0</v>
      </c>
      <c r="Z19" s="48">
        <v>16.0</v>
      </c>
      <c r="AA19" s="48">
        <v>115.0</v>
      </c>
      <c r="AB19" s="48" t="s">
        <v>47</v>
      </c>
      <c r="AC19" s="48">
        <v>483.0</v>
      </c>
      <c r="AD19" s="48">
        <v>0.0</v>
      </c>
      <c r="AE19" s="48">
        <v>5.0</v>
      </c>
      <c r="AF19" s="48">
        <v>11.0</v>
      </c>
      <c r="AG19" s="48" t="s">
        <v>47</v>
      </c>
      <c r="AH19" s="48">
        <v>7.0</v>
      </c>
      <c r="AI19" s="48">
        <v>13.0</v>
      </c>
      <c r="AJ19" s="48">
        <v>35.0</v>
      </c>
      <c r="AK19" s="48" t="s">
        <v>47</v>
      </c>
      <c r="AL19" s="48">
        <v>15.0</v>
      </c>
      <c r="AM19" s="48" t="s">
        <v>47</v>
      </c>
      <c r="AN19" s="48">
        <v>60.0</v>
      </c>
      <c r="AO19" s="48">
        <v>47.0</v>
      </c>
      <c r="AP19" s="105">
        <v>1198.0</v>
      </c>
    </row>
    <row r="20">
      <c r="A20" s="104" t="s">
        <v>177</v>
      </c>
      <c r="B20" s="48">
        <v>7.0</v>
      </c>
      <c r="C20" s="48">
        <v>9.0</v>
      </c>
      <c r="D20" s="48">
        <v>7.0</v>
      </c>
      <c r="E20" s="48">
        <v>65.0</v>
      </c>
      <c r="F20" s="48">
        <v>0.0</v>
      </c>
      <c r="G20" s="48">
        <v>17.0</v>
      </c>
      <c r="H20" s="48">
        <v>74.0</v>
      </c>
      <c r="I20" s="48">
        <v>13.0</v>
      </c>
      <c r="J20" s="48" t="s">
        <v>47</v>
      </c>
      <c r="K20" s="48">
        <v>29.0</v>
      </c>
      <c r="L20" s="48" t="s">
        <v>47</v>
      </c>
      <c r="M20" s="48" t="s">
        <v>47</v>
      </c>
      <c r="N20" s="48" t="s">
        <v>47</v>
      </c>
      <c r="O20" s="48" t="s">
        <v>47</v>
      </c>
      <c r="P20" s="48" t="s">
        <v>47</v>
      </c>
      <c r="Q20" s="48">
        <v>20.0</v>
      </c>
      <c r="R20" s="48">
        <v>12.0</v>
      </c>
      <c r="S20" s="48" t="s">
        <v>47</v>
      </c>
      <c r="T20" s="48" t="s">
        <v>47</v>
      </c>
      <c r="U20" s="48" t="s">
        <v>47</v>
      </c>
      <c r="V20" s="48">
        <v>0.0</v>
      </c>
      <c r="W20" s="48" t="s">
        <v>47</v>
      </c>
      <c r="X20" s="48">
        <v>6.0</v>
      </c>
      <c r="Y20" s="48">
        <v>27.0</v>
      </c>
      <c r="Z20" s="48">
        <v>6.0</v>
      </c>
      <c r="AA20" s="48">
        <v>118.0</v>
      </c>
      <c r="AB20" s="48">
        <v>7.0</v>
      </c>
      <c r="AC20" s="48">
        <v>419.0</v>
      </c>
      <c r="AD20" s="48" t="s">
        <v>47</v>
      </c>
      <c r="AE20" s="48" t="s">
        <v>47</v>
      </c>
      <c r="AF20" s="48">
        <v>7.0</v>
      </c>
      <c r="AG20" s="48" t="s">
        <v>47</v>
      </c>
      <c r="AH20" s="48">
        <v>9.0</v>
      </c>
      <c r="AI20" s="48">
        <v>5.0</v>
      </c>
      <c r="AJ20" s="48">
        <v>34.0</v>
      </c>
      <c r="AK20" s="48" t="s">
        <v>47</v>
      </c>
      <c r="AL20" s="48">
        <v>12.0</v>
      </c>
      <c r="AM20" s="48" t="s">
        <v>47</v>
      </c>
      <c r="AN20" s="48">
        <v>36.0</v>
      </c>
      <c r="AO20" s="48">
        <v>34.0</v>
      </c>
      <c r="AP20" s="105">
        <v>1007.0</v>
      </c>
    </row>
    <row r="21">
      <c r="A21" s="104" t="s">
        <v>178</v>
      </c>
      <c r="B21" s="48" t="s">
        <v>47</v>
      </c>
      <c r="C21" s="48">
        <v>9.0</v>
      </c>
      <c r="D21" s="48" t="s">
        <v>47</v>
      </c>
      <c r="E21" s="48">
        <v>32.0</v>
      </c>
      <c r="F21" s="48" t="s">
        <v>47</v>
      </c>
      <c r="G21" s="48">
        <v>10.0</v>
      </c>
      <c r="H21" s="48">
        <v>46.0</v>
      </c>
      <c r="I21" s="48">
        <v>6.0</v>
      </c>
      <c r="J21" s="48">
        <v>0.0</v>
      </c>
      <c r="K21" s="48">
        <v>33.0</v>
      </c>
      <c r="L21" s="48">
        <v>0.0</v>
      </c>
      <c r="M21" s="48" t="s">
        <v>47</v>
      </c>
      <c r="N21" s="48" t="s">
        <v>47</v>
      </c>
      <c r="O21" s="48">
        <v>0.0</v>
      </c>
      <c r="P21" s="48" t="s">
        <v>47</v>
      </c>
      <c r="Q21" s="48">
        <v>38.0</v>
      </c>
      <c r="R21" s="48">
        <v>10.0</v>
      </c>
      <c r="S21" s="48">
        <v>0.0</v>
      </c>
      <c r="T21" s="48">
        <v>5.0</v>
      </c>
      <c r="U21" s="48" t="s">
        <v>47</v>
      </c>
      <c r="V21" s="48">
        <v>0.0</v>
      </c>
      <c r="W21" s="48">
        <v>8.0</v>
      </c>
      <c r="X21" s="48">
        <v>6.0</v>
      </c>
      <c r="Y21" s="48">
        <v>17.0</v>
      </c>
      <c r="Z21" s="48">
        <v>5.0</v>
      </c>
      <c r="AA21" s="48">
        <v>71.0</v>
      </c>
      <c r="AB21" s="48">
        <v>6.0</v>
      </c>
      <c r="AC21" s="48">
        <v>329.0</v>
      </c>
      <c r="AD21" s="48" t="s">
        <v>47</v>
      </c>
      <c r="AE21" s="48" t="s">
        <v>47</v>
      </c>
      <c r="AF21" s="48">
        <v>0.0</v>
      </c>
      <c r="AG21" s="48">
        <v>0.0</v>
      </c>
      <c r="AH21" s="48" t="s">
        <v>47</v>
      </c>
      <c r="AI21" s="48">
        <v>0.0</v>
      </c>
      <c r="AJ21" s="48">
        <v>19.0</v>
      </c>
      <c r="AK21" s="48" t="s">
        <v>47</v>
      </c>
      <c r="AL21" s="48">
        <v>11.0</v>
      </c>
      <c r="AM21" s="48" t="s">
        <v>47</v>
      </c>
      <c r="AN21" s="48">
        <v>42.0</v>
      </c>
      <c r="AO21" s="48">
        <v>27.0</v>
      </c>
      <c r="AP21" s="50">
        <v>756.0</v>
      </c>
    </row>
    <row r="22">
      <c r="A22" s="104" t="s">
        <v>179</v>
      </c>
      <c r="B22" s="48" t="s">
        <v>47</v>
      </c>
      <c r="C22" s="48" t="s">
        <v>47</v>
      </c>
      <c r="D22" s="48" t="s">
        <v>47</v>
      </c>
      <c r="E22" s="48">
        <v>32.0</v>
      </c>
      <c r="F22" s="48">
        <v>0.0</v>
      </c>
      <c r="G22" s="48" t="s">
        <v>47</v>
      </c>
      <c r="H22" s="48">
        <v>38.0</v>
      </c>
      <c r="I22" s="48">
        <v>11.0</v>
      </c>
      <c r="J22" s="48" t="s">
        <v>47</v>
      </c>
      <c r="K22" s="48">
        <v>17.0</v>
      </c>
      <c r="L22" s="48" t="s">
        <v>47</v>
      </c>
      <c r="M22" s="48">
        <v>0.0</v>
      </c>
      <c r="N22" s="48" t="s">
        <v>47</v>
      </c>
      <c r="O22" s="48">
        <v>0.0</v>
      </c>
      <c r="P22" s="48" t="s">
        <v>47</v>
      </c>
      <c r="Q22" s="48">
        <v>12.0</v>
      </c>
      <c r="R22" s="48" t="s">
        <v>47</v>
      </c>
      <c r="S22" s="48">
        <v>0.0</v>
      </c>
      <c r="T22" s="48" t="s">
        <v>47</v>
      </c>
      <c r="U22" s="48" t="s">
        <v>47</v>
      </c>
      <c r="V22" s="48">
        <v>0.0</v>
      </c>
      <c r="W22" s="48" t="s">
        <v>47</v>
      </c>
      <c r="X22" s="48" t="s">
        <v>47</v>
      </c>
      <c r="Y22" s="48">
        <v>22.0</v>
      </c>
      <c r="Z22" s="48" t="s">
        <v>47</v>
      </c>
      <c r="AA22" s="48">
        <v>52.0</v>
      </c>
      <c r="AB22" s="48">
        <v>5.0</v>
      </c>
      <c r="AC22" s="48">
        <v>277.0</v>
      </c>
      <c r="AD22" s="48">
        <v>0.0</v>
      </c>
      <c r="AE22" s="48" t="s">
        <v>47</v>
      </c>
      <c r="AF22" s="48" t="s">
        <v>47</v>
      </c>
      <c r="AG22" s="48">
        <v>0.0</v>
      </c>
      <c r="AH22" s="48" t="s">
        <v>47</v>
      </c>
      <c r="AI22" s="48" t="s">
        <v>47</v>
      </c>
      <c r="AJ22" s="48">
        <v>20.0</v>
      </c>
      <c r="AK22" s="48">
        <v>0.0</v>
      </c>
      <c r="AL22" s="48">
        <v>10.0</v>
      </c>
      <c r="AM22" s="48">
        <v>0.0</v>
      </c>
      <c r="AN22" s="48">
        <v>30.0</v>
      </c>
      <c r="AO22" s="48">
        <v>10.0</v>
      </c>
      <c r="AP22" s="50">
        <v>576.0</v>
      </c>
    </row>
    <row r="23">
      <c r="A23" s="104" t="s">
        <v>180</v>
      </c>
      <c r="B23" s="48" t="s">
        <v>47</v>
      </c>
      <c r="C23" s="48" t="s">
        <v>47</v>
      </c>
      <c r="D23" s="48" t="s">
        <v>47</v>
      </c>
      <c r="E23" s="48">
        <v>23.0</v>
      </c>
      <c r="F23" s="48" t="s">
        <v>47</v>
      </c>
      <c r="G23" s="48" t="s">
        <v>47</v>
      </c>
      <c r="H23" s="48">
        <v>33.0</v>
      </c>
      <c r="I23" s="48">
        <v>9.0</v>
      </c>
      <c r="J23" s="48" t="s">
        <v>47</v>
      </c>
      <c r="K23" s="48">
        <v>12.0</v>
      </c>
      <c r="L23" s="48" t="s">
        <v>47</v>
      </c>
      <c r="M23" s="48" t="s">
        <v>47</v>
      </c>
      <c r="N23" s="48">
        <v>0.0</v>
      </c>
      <c r="O23" s="48">
        <v>0.0</v>
      </c>
      <c r="P23" s="48">
        <v>0.0</v>
      </c>
      <c r="Q23" s="48">
        <v>14.0</v>
      </c>
      <c r="R23" s="48">
        <v>9.0</v>
      </c>
      <c r="S23" s="48">
        <v>0.0</v>
      </c>
      <c r="T23" s="48" t="s">
        <v>47</v>
      </c>
      <c r="U23" s="48">
        <v>0.0</v>
      </c>
      <c r="V23" s="48">
        <v>0.0</v>
      </c>
      <c r="W23" s="48" t="s">
        <v>47</v>
      </c>
      <c r="X23" s="48" t="s">
        <v>47</v>
      </c>
      <c r="Y23" s="48">
        <v>10.0</v>
      </c>
      <c r="Z23" s="48">
        <v>7.0</v>
      </c>
      <c r="AA23" s="48">
        <v>43.0</v>
      </c>
      <c r="AB23" s="48">
        <v>0.0</v>
      </c>
      <c r="AC23" s="48">
        <v>161.0</v>
      </c>
      <c r="AD23" s="48">
        <v>0.0</v>
      </c>
      <c r="AE23" s="48" t="s">
        <v>47</v>
      </c>
      <c r="AF23" s="48" t="s">
        <v>47</v>
      </c>
      <c r="AG23" s="48" t="s">
        <v>47</v>
      </c>
      <c r="AH23" s="48" t="s">
        <v>47</v>
      </c>
      <c r="AI23" s="48" t="s">
        <v>47</v>
      </c>
      <c r="AJ23" s="48">
        <v>10.0</v>
      </c>
      <c r="AK23" s="48">
        <v>0.0</v>
      </c>
      <c r="AL23" s="48" t="s">
        <v>47</v>
      </c>
      <c r="AM23" s="48">
        <v>0.0</v>
      </c>
      <c r="AN23" s="48">
        <v>20.0</v>
      </c>
      <c r="AO23" s="48">
        <v>7.0</v>
      </c>
      <c r="AP23" s="50">
        <v>391.0</v>
      </c>
    </row>
    <row r="24">
      <c r="A24" s="104" t="s">
        <v>181</v>
      </c>
      <c r="B24" s="48">
        <v>0.0</v>
      </c>
      <c r="C24" s="48" t="s">
        <v>47</v>
      </c>
      <c r="D24" s="48" t="s">
        <v>47</v>
      </c>
      <c r="E24" s="48">
        <v>22.0</v>
      </c>
      <c r="F24" s="48" t="s">
        <v>47</v>
      </c>
      <c r="G24" s="48" t="s">
        <v>47</v>
      </c>
      <c r="H24" s="48">
        <v>17.0</v>
      </c>
      <c r="I24" s="48" t="s">
        <v>47</v>
      </c>
      <c r="J24" s="48" t="s">
        <v>47</v>
      </c>
      <c r="K24" s="48">
        <v>7.0</v>
      </c>
      <c r="L24" s="48">
        <v>0.0</v>
      </c>
      <c r="M24" s="48">
        <v>0.0</v>
      </c>
      <c r="N24" s="48">
        <v>0.0</v>
      </c>
      <c r="O24" s="48">
        <v>0.0</v>
      </c>
      <c r="P24" s="48" t="s">
        <v>47</v>
      </c>
      <c r="Q24" s="48">
        <v>5.0</v>
      </c>
      <c r="R24" s="48" t="s">
        <v>47</v>
      </c>
      <c r="S24" s="48">
        <v>0.0</v>
      </c>
      <c r="T24" s="48" t="s">
        <v>47</v>
      </c>
      <c r="U24" s="48" t="s">
        <v>47</v>
      </c>
      <c r="V24" s="48">
        <v>0.0</v>
      </c>
      <c r="W24" s="48">
        <v>6.0</v>
      </c>
      <c r="X24" s="48" t="s">
        <v>47</v>
      </c>
      <c r="Y24" s="48">
        <v>5.0</v>
      </c>
      <c r="Z24" s="48" t="s">
        <v>47</v>
      </c>
      <c r="AA24" s="48">
        <v>26.0</v>
      </c>
      <c r="AB24" s="48" t="s">
        <v>47</v>
      </c>
      <c r="AC24" s="48">
        <v>130.0</v>
      </c>
      <c r="AD24" s="48">
        <v>0.0</v>
      </c>
      <c r="AE24" s="48" t="s">
        <v>47</v>
      </c>
      <c r="AF24" s="48" t="s">
        <v>47</v>
      </c>
      <c r="AG24" s="48">
        <v>0.0</v>
      </c>
      <c r="AH24" s="48">
        <v>0.0</v>
      </c>
      <c r="AI24" s="48" t="s">
        <v>47</v>
      </c>
      <c r="AJ24" s="48">
        <v>12.0</v>
      </c>
      <c r="AK24" s="48">
        <v>0.0</v>
      </c>
      <c r="AL24" s="48">
        <v>10.0</v>
      </c>
      <c r="AM24" s="48" t="s">
        <v>47</v>
      </c>
      <c r="AN24" s="48">
        <v>14.0</v>
      </c>
      <c r="AO24" s="48">
        <v>12.0</v>
      </c>
      <c r="AP24" s="50">
        <v>298.0</v>
      </c>
    </row>
    <row r="25">
      <c r="A25" s="104" t="s">
        <v>182</v>
      </c>
      <c r="B25" s="48" t="s">
        <v>47</v>
      </c>
      <c r="C25" s="48">
        <v>5.0</v>
      </c>
      <c r="D25" s="48" t="s">
        <v>47</v>
      </c>
      <c r="E25" s="48">
        <v>10.0</v>
      </c>
      <c r="F25" s="48" t="s">
        <v>47</v>
      </c>
      <c r="G25" s="48" t="s">
        <v>47</v>
      </c>
      <c r="H25" s="48">
        <v>14.0</v>
      </c>
      <c r="I25" s="48">
        <v>9.0</v>
      </c>
      <c r="J25" s="48" t="s">
        <v>47</v>
      </c>
      <c r="K25" s="48">
        <v>8.0</v>
      </c>
      <c r="L25" s="48">
        <v>0.0</v>
      </c>
      <c r="M25" s="48" t="s">
        <v>47</v>
      </c>
      <c r="N25" s="48" t="s">
        <v>47</v>
      </c>
      <c r="O25" s="48" t="s">
        <v>47</v>
      </c>
      <c r="P25" s="48">
        <v>0.0</v>
      </c>
      <c r="Q25" s="48">
        <v>10.0</v>
      </c>
      <c r="R25" s="48">
        <v>6.0</v>
      </c>
      <c r="S25" s="48">
        <v>0.0</v>
      </c>
      <c r="T25" s="48">
        <v>6.0</v>
      </c>
      <c r="U25" s="48">
        <v>0.0</v>
      </c>
      <c r="V25" s="48">
        <v>0.0</v>
      </c>
      <c r="W25" s="48">
        <v>11.0</v>
      </c>
      <c r="X25" s="48" t="s">
        <v>47</v>
      </c>
      <c r="Y25" s="48">
        <v>12.0</v>
      </c>
      <c r="Z25" s="48">
        <v>0.0</v>
      </c>
      <c r="AA25" s="48">
        <v>40.0</v>
      </c>
      <c r="AB25" s="48" t="s">
        <v>47</v>
      </c>
      <c r="AC25" s="48">
        <v>126.0</v>
      </c>
      <c r="AD25" s="48">
        <v>0.0</v>
      </c>
      <c r="AE25" s="48" t="s">
        <v>47</v>
      </c>
      <c r="AF25" s="48" t="s">
        <v>47</v>
      </c>
      <c r="AG25" s="48" t="s">
        <v>47</v>
      </c>
      <c r="AH25" s="48" t="s">
        <v>47</v>
      </c>
      <c r="AI25" s="48" t="s">
        <v>47</v>
      </c>
      <c r="AJ25" s="48">
        <v>12.0</v>
      </c>
      <c r="AK25" s="48" t="s">
        <v>47</v>
      </c>
      <c r="AL25" s="48">
        <v>9.0</v>
      </c>
      <c r="AM25" s="48" t="s">
        <v>47</v>
      </c>
      <c r="AN25" s="48">
        <v>15.0</v>
      </c>
      <c r="AO25" s="48">
        <v>17.0</v>
      </c>
      <c r="AP25" s="50">
        <v>341.0</v>
      </c>
    </row>
    <row r="26">
      <c r="A26" s="104" t="s">
        <v>183</v>
      </c>
      <c r="B26" s="48" t="s">
        <v>47</v>
      </c>
      <c r="C26" s="48" t="s">
        <v>47</v>
      </c>
      <c r="D26" s="48" t="s">
        <v>47</v>
      </c>
      <c r="E26" s="48">
        <v>8.0</v>
      </c>
      <c r="F26" s="48" t="s">
        <v>47</v>
      </c>
      <c r="G26" s="48">
        <v>9.0</v>
      </c>
      <c r="H26" s="48">
        <v>33.0</v>
      </c>
      <c r="I26" s="48" t="s">
        <v>47</v>
      </c>
      <c r="J26" s="48" t="s">
        <v>47</v>
      </c>
      <c r="K26" s="48">
        <v>6.0</v>
      </c>
      <c r="L26" s="48">
        <v>0.0</v>
      </c>
      <c r="M26" s="48" t="s">
        <v>47</v>
      </c>
      <c r="N26" s="48" t="s">
        <v>47</v>
      </c>
      <c r="O26" s="48">
        <v>0.0</v>
      </c>
      <c r="P26" s="48" t="s">
        <v>47</v>
      </c>
      <c r="Q26" s="48">
        <v>10.0</v>
      </c>
      <c r="R26" s="48" t="s">
        <v>47</v>
      </c>
      <c r="S26" s="48" t="s">
        <v>47</v>
      </c>
      <c r="T26" s="48">
        <v>5.0</v>
      </c>
      <c r="U26" s="48">
        <v>0.0</v>
      </c>
      <c r="V26" s="48">
        <v>0.0</v>
      </c>
      <c r="W26" s="48">
        <v>9.0</v>
      </c>
      <c r="X26" s="48" t="s">
        <v>47</v>
      </c>
      <c r="Y26" s="48">
        <v>9.0</v>
      </c>
      <c r="Z26" s="48" t="s">
        <v>47</v>
      </c>
      <c r="AA26" s="48">
        <v>13.0</v>
      </c>
      <c r="AB26" s="48" t="s">
        <v>47</v>
      </c>
      <c r="AC26" s="48">
        <v>87.0</v>
      </c>
      <c r="AD26" s="48">
        <v>0.0</v>
      </c>
      <c r="AE26" s="48" t="s">
        <v>47</v>
      </c>
      <c r="AF26" s="48">
        <v>5.0</v>
      </c>
      <c r="AG26" s="48">
        <v>0.0</v>
      </c>
      <c r="AH26" s="48" t="s">
        <v>47</v>
      </c>
      <c r="AI26" s="48" t="s">
        <v>47</v>
      </c>
      <c r="AJ26" s="48">
        <v>9.0</v>
      </c>
      <c r="AK26" s="48">
        <v>0.0</v>
      </c>
      <c r="AL26" s="48">
        <v>8.0</v>
      </c>
      <c r="AM26" s="48" t="s">
        <v>47</v>
      </c>
      <c r="AN26" s="48">
        <v>7.0</v>
      </c>
      <c r="AO26" s="48">
        <v>11.0</v>
      </c>
      <c r="AP26" s="50">
        <v>265.0</v>
      </c>
    </row>
    <row r="27">
      <c r="A27" s="104" t="s">
        <v>184</v>
      </c>
      <c r="B27" s="48" t="s">
        <v>47</v>
      </c>
      <c r="C27" s="48">
        <v>6.0</v>
      </c>
      <c r="D27" s="48" t="s">
        <v>47</v>
      </c>
      <c r="E27" s="48">
        <v>13.0</v>
      </c>
      <c r="F27" s="48" t="s">
        <v>47</v>
      </c>
      <c r="G27" s="48">
        <v>9.0</v>
      </c>
      <c r="H27" s="48">
        <v>26.0</v>
      </c>
      <c r="I27" s="48" t="s">
        <v>47</v>
      </c>
      <c r="J27" s="48">
        <v>7.0</v>
      </c>
      <c r="K27" s="48">
        <v>6.0</v>
      </c>
      <c r="L27" s="48">
        <v>0.0</v>
      </c>
      <c r="M27" s="48">
        <v>0.0</v>
      </c>
      <c r="N27" s="48" t="s">
        <v>47</v>
      </c>
      <c r="O27" s="48" t="s">
        <v>47</v>
      </c>
      <c r="P27" s="48" t="s">
        <v>47</v>
      </c>
      <c r="Q27" s="48">
        <v>7.0</v>
      </c>
      <c r="R27" s="48">
        <v>6.0</v>
      </c>
      <c r="S27" s="48">
        <v>0.0</v>
      </c>
      <c r="T27" s="48">
        <v>8.0</v>
      </c>
      <c r="U27" s="48" t="s">
        <v>47</v>
      </c>
      <c r="V27" s="48" t="s">
        <v>47</v>
      </c>
      <c r="W27" s="48">
        <v>12.0</v>
      </c>
      <c r="X27" s="48">
        <v>0.0</v>
      </c>
      <c r="Y27" s="48">
        <v>15.0</v>
      </c>
      <c r="Z27" s="48" t="s">
        <v>47</v>
      </c>
      <c r="AA27" s="48">
        <v>28.0</v>
      </c>
      <c r="AB27" s="48" t="s">
        <v>47</v>
      </c>
      <c r="AC27" s="48">
        <v>101.0</v>
      </c>
      <c r="AD27" s="48">
        <v>0.0</v>
      </c>
      <c r="AE27" s="48" t="s">
        <v>47</v>
      </c>
      <c r="AF27" s="48" t="s">
        <v>47</v>
      </c>
      <c r="AG27" s="48" t="s">
        <v>47</v>
      </c>
      <c r="AH27" s="48" t="s">
        <v>47</v>
      </c>
      <c r="AI27" s="48" t="s">
        <v>47</v>
      </c>
      <c r="AJ27" s="48">
        <v>16.0</v>
      </c>
      <c r="AK27" s="48" t="s">
        <v>47</v>
      </c>
      <c r="AL27" s="48">
        <v>14.0</v>
      </c>
      <c r="AM27" s="48" t="s">
        <v>47</v>
      </c>
      <c r="AN27" s="48">
        <v>13.0</v>
      </c>
      <c r="AO27" s="48">
        <v>13.0</v>
      </c>
      <c r="AP27" s="50">
        <v>341.0</v>
      </c>
    </row>
    <row r="28">
      <c r="A28" s="104" t="s">
        <v>185</v>
      </c>
      <c r="B28" s="48">
        <v>6.0</v>
      </c>
      <c r="C28" s="48">
        <v>7.0</v>
      </c>
      <c r="D28" s="48" t="s">
        <v>47</v>
      </c>
      <c r="E28" s="48">
        <v>20.0</v>
      </c>
      <c r="F28" s="48" t="s">
        <v>47</v>
      </c>
      <c r="G28" s="48" t="s">
        <v>47</v>
      </c>
      <c r="H28" s="48">
        <v>39.0</v>
      </c>
      <c r="I28" s="48">
        <v>11.0</v>
      </c>
      <c r="J28" s="48" t="s">
        <v>47</v>
      </c>
      <c r="K28" s="48">
        <v>14.0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58.0</v>
      </c>
      <c r="AB28" s="48" t="s">
        <v>47</v>
      </c>
      <c r="AC28" s="48">
        <v>122.0</v>
      </c>
      <c r="AD28" s="48">
        <v>0.0</v>
      </c>
      <c r="AE28" s="48" t="s">
        <v>47</v>
      </c>
      <c r="AF28" s="48">
        <v>12.0</v>
      </c>
      <c r="AG28" s="48">
        <v>0.0</v>
      </c>
      <c r="AH28" s="48" t="s">
        <v>47</v>
      </c>
      <c r="AI28" s="48" t="s">
        <v>47</v>
      </c>
      <c r="AJ28" s="48">
        <v>19.0</v>
      </c>
      <c r="AK28" s="48">
        <v>0.0</v>
      </c>
      <c r="AL28" s="48">
        <v>9.0</v>
      </c>
      <c r="AM28" s="48" t="s">
        <v>47</v>
      </c>
      <c r="AN28" s="48">
        <v>14.0</v>
      </c>
      <c r="AO28" s="48">
        <v>28.0</v>
      </c>
      <c r="AP28" s="50">
        <v>427.0</v>
      </c>
    </row>
    <row r="29">
      <c r="A29" s="104" t="s">
        <v>186</v>
      </c>
      <c r="B29" s="48">
        <v>0.0</v>
      </c>
      <c r="C29" s="48">
        <v>7.0</v>
      </c>
      <c r="D29" s="48" t="s">
        <v>47</v>
      </c>
      <c r="E29" s="48">
        <v>37.0</v>
      </c>
      <c r="F29" s="48" t="s">
        <v>47</v>
      </c>
      <c r="G29" s="48">
        <v>11.0</v>
      </c>
      <c r="H29" s="48">
        <v>40.0</v>
      </c>
      <c r="I29" s="48">
        <v>13.0</v>
      </c>
      <c r="J29" s="48">
        <v>6.0</v>
      </c>
      <c r="K29" s="48">
        <v>19.0</v>
      </c>
      <c r="L29" s="48" t="s">
        <v>47</v>
      </c>
      <c r="M29" s="48">
        <v>0.0</v>
      </c>
      <c r="N29" s="48" t="s">
        <v>47</v>
      </c>
      <c r="O29" s="48" t="s">
        <v>47</v>
      </c>
      <c r="P29" s="48" t="s">
        <v>47</v>
      </c>
      <c r="Q29" s="48">
        <v>19.0</v>
      </c>
      <c r="R29" s="48">
        <v>5.0</v>
      </c>
      <c r="S29" s="48">
        <v>0.0</v>
      </c>
      <c r="T29" s="48" t="s">
        <v>47</v>
      </c>
      <c r="U29" s="48" t="s">
        <v>47</v>
      </c>
      <c r="V29" s="48" t="s">
        <v>47</v>
      </c>
      <c r="W29" s="48">
        <v>8.0</v>
      </c>
      <c r="X29" s="48">
        <v>6.0</v>
      </c>
      <c r="Y29" s="48">
        <v>31.0</v>
      </c>
      <c r="Z29" s="48" t="s">
        <v>47</v>
      </c>
      <c r="AA29" s="48">
        <v>89.0</v>
      </c>
      <c r="AB29" s="48" t="s">
        <v>47</v>
      </c>
      <c r="AC29" s="48">
        <v>173.0</v>
      </c>
      <c r="AD29" s="48">
        <v>0.0</v>
      </c>
      <c r="AE29" s="48" t="s">
        <v>47</v>
      </c>
      <c r="AF29" s="48">
        <v>9.0</v>
      </c>
      <c r="AG29" s="48" t="s">
        <v>47</v>
      </c>
      <c r="AH29" s="48" t="s">
        <v>47</v>
      </c>
      <c r="AI29" s="48">
        <v>9.0</v>
      </c>
      <c r="AJ29" s="48">
        <v>35.0</v>
      </c>
      <c r="AK29" s="48" t="s">
        <v>47</v>
      </c>
      <c r="AL29" s="48">
        <v>11.0</v>
      </c>
      <c r="AM29" s="48" t="s">
        <v>47</v>
      </c>
      <c r="AN29" s="48">
        <v>14.0</v>
      </c>
      <c r="AO29" s="48">
        <v>55.0</v>
      </c>
      <c r="AP29" s="50">
        <v>625.0</v>
      </c>
    </row>
    <row r="30">
      <c r="A30" s="106" t="s">
        <v>187</v>
      </c>
      <c r="B30" s="48" t="s">
        <v>47</v>
      </c>
      <c r="C30" s="48">
        <v>6.0</v>
      </c>
      <c r="D30" s="48">
        <v>7.0</v>
      </c>
      <c r="E30" s="107">
        <v>38.0</v>
      </c>
      <c r="F30" s="48" t="s">
        <v>47</v>
      </c>
      <c r="G30" s="48">
        <v>6.0</v>
      </c>
      <c r="H30" s="107">
        <v>80.0</v>
      </c>
      <c r="I30" s="48">
        <v>10.0</v>
      </c>
      <c r="J30" s="48">
        <v>5.0</v>
      </c>
      <c r="K30" s="48">
        <v>14.0</v>
      </c>
      <c r="L30" s="48" t="s">
        <v>47</v>
      </c>
      <c r="M30" s="48" t="s">
        <v>47</v>
      </c>
      <c r="N30" s="48" t="s">
        <v>47</v>
      </c>
      <c r="O30" s="48">
        <v>0.0</v>
      </c>
      <c r="P30" s="48" t="s">
        <v>47</v>
      </c>
      <c r="Q30" s="48">
        <v>9.0</v>
      </c>
      <c r="R30" s="48">
        <v>12.0</v>
      </c>
      <c r="S30" s="48">
        <v>0.0</v>
      </c>
      <c r="T30" s="48">
        <v>6.0</v>
      </c>
      <c r="U30" s="48">
        <v>0.0</v>
      </c>
      <c r="V30" s="48" t="s">
        <v>47</v>
      </c>
      <c r="W30" s="48">
        <v>6.0</v>
      </c>
      <c r="X30" s="48">
        <v>6.0</v>
      </c>
      <c r="Y30" s="48">
        <v>33.0</v>
      </c>
      <c r="Z30" s="48" t="s">
        <v>47</v>
      </c>
      <c r="AA30" s="107">
        <v>102.0</v>
      </c>
      <c r="AB30" s="48">
        <v>0.0</v>
      </c>
      <c r="AC30" s="107">
        <v>190.0</v>
      </c>
      <c r="AD30" s="48" t="s">
        <v>47</v>
      </c>
      <c r="AE30" s="48">
        <v>0.0</v>
      </c>
      <c r="AF30" s="48" t="s">
        <v>47</v>
      </c>
      <c r="AG30" s="48" t="s">
        <v>47</v>
      </c>
      <c r="AH30" s="48" t="s">
        <v>47</v>
      </c>
      <c r="AI30" s="48" t="s">
        <v>47</v>
      </c>
      <c r="AJ30" s="48">
        <v>35.0</v>
      </c>
      <c r="AK30" s="48" t="s">
        <v>47</v>
      </c>
      <c r="AL30" s="48">
        <v>21.0</v>
      </c>
      <c r="AM30" s="48" t="s">
        <v>47</v>
      </c>
      <c r="AN30" s="48">
        <v>18.0</v>
      </c>
      <c r="AO30" s="48">
        <v>46.0</v>
      </c>
      <c r="AP30" s="105">
        <v>678.0</v>
      </c>
    </row>
    <row r="31">
      <c r="A31" s="108" t="s">
        <v>188</v>
      </c>
      <c r="B31" s="48" t="s">
        <v>47</v>
      </c>
      <c r="C31" s="48">
        <v>6.0</v>
      </c>
      <c r="D31" s="48" t="s">
        <v>47</v>
      </c>
      <c r="E31" s="107">
        <v>39.0</v>
      </c>
      <c r="F31" s="48">
        <v>0.0</v>
      </c>
      <c r="G31" s="48">
        <v>6.0</v>
      </c>
      <c r="H31" s="107">
        <v>88.0</v>
      </c>
      <c r="I31" s="48">
        <v>11.0</v>
      </c>
      <c r="J31" s="48" t="s">
        <v>47</v>
      </c>
      <c r="K31" s="48">
        <v>15.0</v>
      </c>
      <c r="L31" s="48" t="s">
        <v>47</v>
      </c>
      <c r="M31" s="48" t="s">
        <v>47</v>
      </c>
      <c r="N31" s="48" t="s">
        <v>47</v>
      </c>
      <c r="O31" s="48">
        <v>0.0</v>
      </c>
      <c r="P31" s="48">
        <v>0.0</v>
      </c>
      <c r="Q31" s="48">
        <v>16.0</v>
      </c>
      <c r="R31" s="48">
        <v>12.0</v>
      </c>
      <c r="S31" s="48">
        <v>0.0</v>
      </c>
      <c r="T31" s="48" t="s">
        <v>47</v>
      </c>
      <c r="U31" s="48" t="s">
        <v>47</v>
      </c>
      <c r="V31" s="48" t="s">
        <v>47</v>
      </c>
      <c r="W31" s="48">
        <v>5.0</v>
      </c>
      <c r="X31" s="48">
        <v>5.0</v>
      </c>
      <c r="Y31" s="48">
        <v>26.0</v>
      </c>
      <c r="Z31" s="48" t="s">
        <v>47</v>
      </c>
      <c r="AA31" s="107">
        <v>85.0</v>
      </c>
      <c r="AB31" s="48" t="s">
        <v>47</v>
      </c>
      <c r="AC31" s="107">
        <v>229.0</v>
      </c>
      <c r="AD31" s="48" t="s">
        <v>47</v>
      </c>
      <c r="AE31" s="48" t="s">
        <v>47</v>
      </c>
      <c r="AF31" s="48">
        <v>7.0</v>
      </c>
      <c r="AG31" s="48">
        <v>0.0</v>
      </c>
      <c r="AH31" s="48">
        <v>0.0</v>
      </c>
      <c r="AI31" s="48">
        <v>0.0</v>
      </c>
      <c r="AJ31" s="48">
        <v>27.0</v>
      </c>
      <c r="AK31" s="48">
        <v>0.0</v>
      </c>
      <c r="AL31" s="48">
        <v>9.0</v>
      </c>
      <c r="AM31" s="48" t="s">
        <v>47</v>
      </c>
      <c r="AN31" s="48">
        <v>19.0</v>
      </c>
      <c r="AO31" s="48">
        <v>38.0</v>
      </c>
      <c r="AP31" s="105">
        <v>670.0</v>
      </c>
    </row>
    <row r="32">
      <c r="A32" s="108" t="s">
        <v>189</v>
      </c>
      <c r="B32" s="109" t="s">
        <v>47</v>
      </c>
      <c r="C32" s="109">
        <v>5.0</v>
      </c>
      <c r="D32" s="109" t="s">
        <v>47</v>
      </c>
      <c r="E32" s="110">
        <v>34.0</v>
      </c>
      <c r="F32" s="109" t="s">
        <v>47</v>
      </c>
      <c r="G32" s="109">
        <v>5.0</v>
      </c>
      <c r="H32" s="110">
        <v>38.0</v>
      </c>
      <c r="I32" s="109">
        <v>16.0</v>
      </c>
      <c r="J32" s="109" t="s">
        <v>47</v>
      </c>
      <c r="K32" s="109">
        <v>12.0</v>
      </c>
      <c r="L32" s="109" t="s">
        <v>47</v>
      </c>
      <c r="M32" s="109" t="s">
        <v>47</v>
      </c>
      <c r="N32" s="109" t="s">
        <v>47</v>
      </c>
      <c r="O32" s="109">
        <v>0.0</v>
      </c>
      <c r="P32" s="109" t="s">
        <v>47</v>
      </c>
      <c r="Q32" s="109">
        <v>11.0</v>
      </c>
      <c r="R32" s="109">
        <v>5.0</v>
      </c>
      <c r="S32" s="109">
        <v>0.0</v>
      </c>
      <c r="T32" s="109">
        <v>0.0</v>
      </c>
      <c r="U32" s="109">
        <v>16.0</v>
      </c>
      <c r="V32" s="109" t="s">
        <v>47</v>
      </c>
      <c r="W32" s="109" t="s">
        <v>47</v>
      </c>
      <c r="X32" s="109">
        <v>8.0</v>
      </c>
      <c r="Y32" s="109">
        <v>17.0</v>
      </c>
      <c r="Z32" s="109">
        <v>0.0</v>
      </c>
      <c r="AA32" s="110">
        <v>57.0</v>
      </c>
      <c r="AB32" s="109" t="s">
        <v>47</v>
      </c>
      <c r="AC32" s="110">
        <v>217.0</v>
      </c>
      <c r="AD32" s="109" t="s">
        <v>47</v>
      </c>
      <c r="AE32" s="109" t="s">
        <v>47</v>
      </c>
      <c r="AF32" s="109">
        <v>9.0</v>
      </c>
      <c r="AG32" s="109">
        <v>13.0</v>
      </c>
      <c r="AH32" s="109">
        <v>0.0</v>
      </c>
      <c r="AI32" s="109">
        <v>0.0</v>
      </c>
      <c r="AJ32" s="109">
        <v>22.0</v>
      </c>
      <c r="AK32" s="109">
        <v>0.0</v>
      </c>
      <c r="AL32" s="109">
        <v>14.0</v>
      </c>
      <c r="AM32" s="109">
        <v>0.0</v>
      </c>
      <c r="AN32" s="109">
        <v>19.0</v>
      </c>
      <c r="AO32" s="109">
        <v>33.0</v>
      </c>
      <c r="AP32" s="111">
        <v>581.0</v>
      </c>
    </row>
    <row r="33">
      <c r="A33" s="108" t="s">
        <v>190</v>
      </c>
      <c r="B33" s="109">
        <v>0.0</v>
      </c>
      <c r="C33" s="109">
        <v>16.0</v>
      </c>
      <c r="D33" s="109" t="s">
        <v>47</v>
      </c>
      <c r="E33" s="110">
        <v>36.0</v>
      </c>
      <c r="F33" s="109">
        <v>0.0</v>
      </c>
      <c r="G33" s="109">
        <v>9.0</v>
      </c>
      <c r="H33" s="110">
        <v>48.0</v>
      </c>
      <c r="I33" s="109">
        <v>22.0</v>
      </c>
      <c r="J33" s="109">
        <v>9.0</v>
      </c>
      <c r="K33" s="109">
        <v>14.0</v>
      </c>
      <c r="L33" s="109" t="s">
        <v>47</v>
      </c>
      <c r="M33" s="109" t="s">
        <v>47</v>
      </c>
      <c r="N33" s="109" t="s">
        <v>47</v>
      </c>
      <c r="O33" s="109" t="s">
        <v>47</v>
      </c>
      <c r="P33" s="109" t="s">
        <v>47</v>
      </c>
      <c r="Q33" s="109">
        <v>21.0</v>
      </c>
      <c r="R33" s="109">
        <v>7.0</v>
      </c>
      <c r="S33" s="109">
        <v>0.0</v>
      </c>
      <c r="T33" s="109">
        <v>5.0</v>
      </c>
      <c r="U33" s="109">
        <v>9.0</v>
      </c>
      <c r="V33" s="109">
        <v>0.0</v>
      </c>
      <c r="W33" s="109" t="s">
        <v>47</v>
      </c>
      <c r="X33" s="109">
        <v>13.0</v>
      </c>
      <c r="Y33" s="109">
        <v>18.0</v>
      </c>
      <c r="Z33" s="109" t="s">
        <v>47</v>
      </c>
      <c r="AA33" s="110">
        <v>51.0</v>
      </c>
      <c r="AB33" s="109" t="s">
        <v>47</v>
      </c>
      <c r="AC33" s="110">
        <v>215.0</v>
      </c>
      <c r="AD33" s="109">
        <v>0.0</v>
      </c>
      <c r="AE33" s="109" t="s">
        <v>47</v>
      </c>
      <c r="AF33" s="109">
        <v>8.0</v>
      </c>
      <c r="AG33" s="109" t="s">
        <v>47</v>
      </c>
      <c r="AH33" s="109">
        <v>7.0</v>
      </c>
      <c r="AI33" s="109" t="s">
        <v>47</v>
      </c>
      <c r="AJ33" s="109">
        <v>35.0</v>
      </c>
      <c r="AK33" s="109" t="s">
        <v>47</v>
      </c>
      <c r="AL33" s="109" t="s">
        <v>47</v>
      </c>
      <c r="AM33" s="109" t="s">
        <v>47</v>
      </c>
      <c r="AN33" s="109">
        <v>15.0</v>
      </c>
      <c r="AO33" s="109">
        <v>45.0</v>
      </c>
      <c r="AP33" s="111">
        <v>633.0</v>
      </c>
    </row>
    <row r="34">
      <c r="A34" s="108" t="s">
        <v>191</v>
      </c>
      <c r="B34" s="109" t="s">
        <v>47</v>
      </c>
      <c r="C34" s="109">
        <v>7.0</v>
      </c>
      <c r="D34" s="109" t="s">
        <v>47</v>
      </c>
      <c r="E34" s="110">
        <v>21.0</v>
      </c>
      <c r="F34" s="109" t="s">
        <v>47</v>
      </c>
      <c r="G34" s="109">
        <v>9.0</v>
      </c>
      <c r="H34" s="110">
        <v>43.0</v>
      </c>
      <c r="I34" s="109">
        <v>10.0</v>
      </c>
      <c r="J34" s="109">
        <v>7.0</v>
      </c>
      <c r="K34" s="109">
        <v>5.0</v>
      </c>
      <c r="L34" s="109">
        <v>0.0</v>
      </c>
      <c r="M34" s="109" t="s">
        <v>47</v>
      </c>
      <c r="N34" s="109" t="s">
        <v>47</v>
      </c>
      <c r="O34" s="109" t="s">
        <v>47</v>
      </c>
      <c r="P34" s="109">
        <v>0.0</v>
      </c>
      <c r="Q34" s="109">
        <v>14.0</v>
      </c>
      <c r="R34" s="109">
        <v>8.0</v>
      </c>
      <c r="S34" s="109">
        <v>0.0</v>
      </c>
      <c r="T34" s="109" t="s">
        <v>47</v>
      </c>
      <c r="U34" s="109">
        <v>5.0</v>
      </c>
      <c r="V34" s="109">
        <v>0.0</v>
      </c>
      <c r="W34" s="109">
        <v>5.0</v>
      </c>
      <c r="X34" s="109">
        <v>7.0</v>
      </c>
      <c r="Y34" s="109">
        <v>18.0</v>
      </c>
      <c r="Z34" s="109" t="s">
        <v>47</v>
      </c>
      <c r="AA34" s="110">
        <v>40.0</v>
      </c>
      <c r="AB34" s="109">
        <v>5.0</v>
      </c>
      <c r="AC34" s="110">
        <v>186.0</v>
      </c>
      <c r="AD34" s="109" t="s">
        <v>47</v>
      </c>
      <c r="AE34" s="109" t="s">
        <v>47</v>
      </c>
      <c r="AF34" s="109">
        <v>8.0</v>
      </c>
      <c r="AG34" s="109" t="s">
        <v>47</v>
      </c>
      <c r="AH34" s="109">
        <v>5.0</v>
      </c>
      <c r="AI34" s="109" t="s">
        <v>47</v>
      </c>
      <c r="AJ34" s="109">
        <v>13.0</v>
      </c>
      <c r="AK34" s="109" t="s">
        <v>47</v>
      </c>
      <c r="AL34" s="109">
        <v>6.0</v>
      </c>
      <c r="AM34" s="109" t="s">
        <v>47</v>
      </c>
      <c r="AN34" s="109">
        <v>18.0</v>
      </c>
      <c r="AO34" s="109">
        <v>38.0</v>
      </c>
      <c r="AP34" s="111">
        <v>499.0</v>
      </c>
    </row>
    <row r="35">
      <c r="A35" s="108" t="s">
        <v>192</v>
      </c>
      <c r="B35" s="109" t="s">
        <v>47</v>
      </c>
      <c r="C35" s="109" t="s">
        <v>47</v>
      </c>
      <c r="D35" s="109" t="s">
        <v>47</v>
      </c>
      <c r="E35" s="110">
        <v>6.0</v>
      </c>
      <c r="F35" s="109">
        <v>0.0</v>
      </c>
      <c r="G35" s="109" t="s">
        <v>47</v>
      </c>
      <c r="H35" s="110">
        <v>35.0</v>
      </c>
      <c r="I35" s="109">
        <v>15.0</v>
      </c>
      <c r="J35" s="109">
        <v>0.0</v>
      </c>
      <c r="K35" s="109">
        <v>10.0</v>
      </c>
      <c r="L35" s="109">
        <v>0.0</v>
      </c>
      <c r="M35" s="109" t="s">
        <v>47</v>
      </c>
      <c r="N35" s="109" t="s">
        <v>47</v>
      </c>
      <c r="O35" s="109">
        <v>0.0</v>
      </c>
      <c r="P35" s="109" t="s">
        <v>47</v>
      </c>
      <c r="Q35" s="109">
        <v>13.0</v>
      </c>
      <c r="R35" s="109">
        <v>6.0</v>
      </c>
      <c r="S35" s="109">
        <v>0.0</v>
      </c>
      <c r="T35" s="109" t="s">
        <v>47</v>
      </c>
      <c r="U35" s="109" t="s">
        <v>47</v>
      </c>
      <c r="V35" s="109">
        <v>0.0</v>
      </c>
      <c r="W35" s="109">
        <v>6.0</v>
      </c>
      <c r="X35" s="109">
        <v>5.0</v>
      </c>
      <c r="Y35" s="109">
        <v>27.0</v>
      </c>
      <c r="Z35" s="109" t="s">
        <v>47</v>
      </c>
      <c r="AA35" s="110">
        <v>38.0</v>
      </c>
      <c r="AB35" s="109" t="s">
        <v>47</v>
      </c>
      <c r="AC35" s="110">
        <v>176.0</v>
      </c>
      <c r="AD35" s="109">
        <v>0.0</v>
      </c>
      <c r="AE35" s="109" t="s">
        <v>47</v>
      </c>
      <c r="AF35" s="109">
        <v>6.0</v>
      </c>
      <c r="AG35" s="109">
        <v>0.0</v>
      </c>
      <c r="AH35" s="109">
        <v>6.0</v>
      </c>
      <c r="AI35" s="109" t="s">
        <v>47</v>
      </c>
      <c r="AJ35" s="109">
        <v>25.0</v>
      </c>
      <c r="AK35" s="109">
        <v>0.0</v>
      </c>
      <c r="AL35" s="109" t="s">
        <v>47</v>
      </c>
      <c r="AM35" s="109" t="s">
        <v>47</v>
      </c>
      <c r="AN35" s="109">
        <v>13.0</v>
      </c>
      <c r="AO35" s="109">
        <v>33.0</v>
      </c>
      <c r="AP35" s="111">
        <v>456.0</v>
      </c>
    </row>
    <row r="36">
      <c r="A36" s="108" t="s">
        <v>193</v>
      </c>
      <c r="B36" s="109">
        <v>5.0</v>
      </c>
      <c r="C36" s="109">
        <v>9.0</v>
      </c>
      <c r="D36" s="109">
        <v>7.0</v>
      </c>
      <c r="E36" s="110">
        <v>19.0</v>
      </c>
      <c r="F36" s="109" t="s">
        <v>47</v>
      </c>
      <c r="G36" s="109">
        <v>5.0</v>
      </c>
      <c r="H36" s="110">
        <v>35.0</v>
      </c>
      <c r="I36" s="109">
        <v>29.0</v>
      </c>
      <c r="J36" s="109" t="s">
        <v>47</v>
      </c>
      <c r="K36" s="109">
        <v>12.0</v>
      </c>
      <c r="L36" s="109" t="s">
        <v>47</v>
      </c>
      <c r="M36" s="109" t="s">
        <v>47</v>
      </c>
      <c r="N36" s="109" t="s">
        <v>47</v>
      </c>
      <c r="O36" s="109">
        <v>0.0</v>
      </c>
      <c r="P36" s="109">
        <v>0.0</v>
      </c>
      <c r="Q36" s="109">
        <v>9.0</v>
      </c>
      <c r="R36" s="109" t="s">
        <v>47</v>
      </c>
      <c r="S36" s="109">
        <v>0.0</v>
      </c>
      <c r="T36" s="109" t="s">
        <v>47</v>
      </c>
      <c r="U36" s="109" t="s">
        <v>47</v>
      </c>
      <c r="V36" s="109">
        <v>0.0</v>
      </c>
      <c r="W36" s="109">
        <v>13.0</v>
      </c>
      <c r="X36" s="109">
        <v>6.0</v>
      </c>
      <c r="Y36" s="109">
        <v>13.0</v>
      </c>
      <c r="Z36" s="109" t="s">
        <v>47</v>
      </c>
      <c r="AA36" s="110">
        <v>54.0</v>
      </c>
      <c r="AB36" s="109" t="s">
        <v>47</v>
      </c>
      <c r="AC36" s="110">
        <v>143.0</v>
      </c>
      <c r="AD36" s="109">
        <v>0.0</v>
      </c>
      <c r="AE36" s="109" t="s">
        <v>47</v>
      </c>
      <c r="AF36" s="109">
        <v>11.0</v>
      </c>
      <c r="AG36" s="109" t="s">
        <v>47</v>
      </c>
      <c r="AH36" s="109" t="s">
        <v>47</v>
      </c>
      <c r="AI36" s="109">
        <v>0.0</v>
      </c>
      <c r="AJ36" s="109">
        <v>23.0</v>
      </c>
      <c r="AK36" s="109" t="s">
        <v>47</v>
      </c>
      <c r="AL36" s="109">
        <v>10.0</v>
      </c>
      <c r="AM36" s="109">
        <v>5.0</v>
      </c>
      <c r="AN36" s="109">
        <v>16.0</v>
      </c>
      <c r="AO36" s="109">
        <v>23.0</v>
      </c>
      <c r="AP36" s="111">
        <v>474.0</v>
      </c>
    </row>
    <row r="37">
      <c r="A37" s="108" t="s">
        <v>194</v>
      </c>
      <c r="B37" s="109" t="s">
        <v>47</v>
      </c>
      <c r="C37" s="109">
        <v>7.0</v>
      </c>
      <c r="D37" s="109">
        <v>9.0</v>
      </c>
      <c r="E37" s="110">
        <v>22.0</v>
      </c>
      <c r="F37" s="109" t="s">
        <v>47</v>
      </c>
      <c r="G37" s="109">
        <v>20.0</v>
      </c>
      <c r="H37" s="110">
        <v>36.0</v>
      </c>
      <c r="I37" s="109">
        <v>15.0</v>
      </c>
      <c r="J37" s="109" t="s">
        <v>47</v>
      </c>
      <c r="K37" s="109">
        <v>8.0</v>
      </c>
      <c r="L37" s="109" t="s">
        <v>47</v>
      </c>
      <c r="M37" s="109">
        <v>0.0</v>
      </c>
      <c r="N37" s="109">
        <v>0.0</v>
      </c>
      <c r="O37" s="109">
        <v>0.0</v>
      </c>
      <c r="P37" s="109" t="s">
        <v>47</v>
      </c>
      <c r="Q37" s="109">
        <v>21.0</v>
      </c>
      <c r="R37" s="109">
        <v>7.0</v>
      </c>
      <c r="S37" s="109">
        <v>0.0</v>
      </c>
      <c r="T37" s="109">
        <v>0.0</v>
      </c>
      <c r="U37" s="109">
        <v>26.0</v>
      </c>
      <c r="V37" s="109">
        <v>0.0</v>
      </c>
      <c r="W37" s="109">
        <v>5.0</v>
      </c>
      <c r="X37" s="109">
        <v>5.0</v>
      </c>
      <c r="Y37" s="109">
        <v>19.0</v>
      </c>
      <c r="Z37" s="109">
        <v>7.0</v>
      </c>
      <c r="AA37" s="110">
        <v>38.0</v>
      </c>
      <c r="AB37" s="109" t="s">
        <v>47</v>
      </c>
      <c r="AC37" s="110">
        <v>243.0</v>
      </c>
      <c r="AD37" s="109">
        <v>0.0</v>
      </c>
      <c r="AE37" s="109" t="s">
        <v>47</v>
      </c>
      <c r="AF37" s="109">
        <v>9.0</v>
      </c>
      <c r="AG37" s="109">
        <v>5.0</v>
      </c>
      <c r="AH37" s="109">
        <v>5.0</v>
      </c>
      <c r="AI37" s="109" t="s">
        <v>47</v>
      </c>
      <c r="AJ37" s="109">
        <v>33.0</v>
      </c>
      <c r="AK37" s="109" t="s">
        <v>47</v>
      </c>
      <c r="AL37" s="109">
        <v>10.0</v>
      </c>
      <c r="AM37" s="109">
        <v>7.0</v>
      </c>
      <c r="AN37" s="109">
        <v>13.0</v>
      </c>
      <c r="AO37" s="109">
        <v>34.0</v>
      </c>
      <c r="AP37" s="111">
        <v>621.0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2" t="s">
        <v>195</v>
      </c>
      <c r="B1" s="89"/>
      <c r="C1" s="89"/>
      <c r="D1" s="89"/>
      <c r="E1" s="89"/>
      <c r="F1" s="89"/>
      <c r="G1" s="89"/>
      <c r="H1" s="89"/>
      <c r="I1" s="89"/>
      <c r="J1" s="89"/>
      <c r="K1" s="89"/>
      <c r="L1" s="113"/>
      <c r="M1" s="113"/>
      <c r="N1" s="113"/>
      <c r="O1" s="114"/>
      <c r="P1" s="114"/>
      <c r="Q1" s="114"/>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122</v>
      </c>
      <c r="F2" s="92"/>
      <c r="G2" s="92"/>
      <c r="H2" s="88"/>
      <c r="I2" s="88"/>
      <c r="J2" s="88"/>
      <c r="K2" s="88"/>
      <c r="L2" s="115"/>
      <c r="M2" s="115"/>
      <c r="N2" s="115"/>
      <c r="O2" s="115"/>
      <c r="P2" s="115"/>
      <c r="Q2" s="115"/>
      <c r="R2" s="88"/>
      <c r="S2" s="88"/>
      <c r="T2" s="88"/>
      <c r="U2" s="88"/>
      <c r="V2" s="88"/>
      <c r="W2" s="88"/>
      <c r="X2" s="88"/>
      <c r="Y2" s="88"/>
      <c r="Z2" s="88"/>
      <c r="AA2" s="88"/>
      <c r="AB2" s="88"/>
      <c r="AC2" s="88"/>
      <c r="AD2" s="88"/>
      <c r="AE2" s="88"/>
      <c r="AF2" s="88"/>
      <c r="AG2" s="88"/>
      <c r="AH2" s="88"/>
      <c r="AI2" s="88"/>
      <c r="AJ2" s="88"/>
      <c r="AK2" s="88"/>
      <c r="AL2" s="88"/>
      <c r="AM2" s="88"/>
      <c r="AN2" s="88"/>
      <c r="AO2" s="88"/>
    </row>
    <row r="3">
      <c r="A3" s="91" t="s">
        <v>196</v>
      </c>
      <c r="L3" s="116"/>
      <c r="M3" s="116"/>
      <c r="N3" s="116"/>
      <c r="O3" s="116"/>
      <c r="P3" s="116"/>
      <c r="Q3" s="116"/>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44097.0</v>
      </c>
      <c r="C4" s="88"/>
      <c r="D4" s="88"/>
      <c r="E4" s="88"/>
      <c r="F4" s="88"/>
      <c r="G4" s="88"/>
      <c r="H4" s="88"/>
      <c r="I4" s="88"/>
      <c r="J4" s="88"/>
      <c r="K4" s="88"/>
      <c r="L4" s="115"/>
      <c r="M4" s="115"/>
      <c r="N4" s="115"/>
      <c r="O4" s="115"/>
      <c r="P4" s="115"/>
      <c r="Q4" s="115"/>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114"/>
      <c r="M5" s="114"/>
      <c r="N5" s="114"/>
      <c r="O5" s="114"/>
      <c r="P5" s="114"/>
      <c r="Q5" s="114"/>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124</v>
      </c>
      <c r="B6" s="98"/>
      <c r="C6" s="98"/>
      <c r="D6" s="98"/>
      <c r="E6" s="98"/>
      <c r="F6" s="98"/>
      <c r="G6" s="98"/>
      <c r="H6" s="98"/>
      <c r="I6" s="98"/>
      <c r="J6" s="98"/>
      <c r="K6" s="35"/>
      <c r="L6" s="117"/>
      <c r="M6" s="117"/>
      <c r="N6" s="117"/>
      <c r="O6" s="117"/>
      <c r="P6" s="117"/>
      <c r="Q6" s="114"/>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18" t="s">
        <v>125</v>
      </c>
      <c r="B8" s="119" t="s">
        <v>126</v>
      </c>
      <c r="C8" s="119" t="s">
        <v>127</v>
      </c>
      <c r="D8" s="119" t="s">
        <v>128</v>
      </c>
      <c r="E8" s="119" t="s">
        <v>129</v>
      </c>
      <c r="F8" s="119" t="s">
        <v>130</v>
      </c>
      <c r="G8" s="119" t="s">
        <v>131</v>
      </c>
      <c r="H8" s="119" t="s">
        <v>132</v>
      </c>
      <c r="I8" s="119" t="s">
        <v>133</v>
      </c>
      <c r="J8" s="119" t="s">
        <v>134</v>
      </c>
      <c r="K8" s="119" t="s">
        <v>135</v>
      </c>
      <c r="L8" s="119" t="s">
        <v>136</v>
      </c>
      <c r="M8" s="119" t="s">
        <v>137</v>
      </c>
      <c r="N8" s="119" t="s">
        <v>138</v>
      </c>
      <c r="O8" s="119" t="s">
        <v>139</v>
      </c>
      <c r="P8" s="119" t="s">
        <v>140</v>
      </c>
      <c r="Q8" s="119" t="s">
        <v>141</v>
      </c>
      <c r="R8" s="119" t="s">
        <v>142</v>
      </c>
      <c r="S8" s="119" t="s">
        <v>143</v>
      </c>
      <c r="T8" s="119" t="s">
        <v>144</v>
      </c>
      <c r="U8" s="119" t="s">
        <v>145</v>
      </c>
      <c r="V8" s="119" t="s">
        <v>146</v>
      </c>
      <c r="W8" s="119" t="s">
        <v>147</v>
      </c>
      <c r="X8" s="119" t="s">
        <v>148</v>
      </c>
      <c r="Y8" s="119" t="s">
        <v>149</v>
      </c>
      <c r="Z8" s="119" t="s">
        <v>150</v>
      </c>
      <c r="AA8" s="119" t="s">
        <v>151</v>
      </c>
      <c r="AB8" s="119" t="s">
        <v>152</v>
      </c>
      <c r="AC8" s="119" t="s">
        <v>153</v>
      </c>
      <c r="AD8" s="119" t="s">
        <v>154</v>
      </c>
      <c r="AE8" s="119" t="s">
        <v>155</v>
      </c>
      <c r="AF8" s="119" t="s">
        <v>156</v>
      </c>
      <c r="AG8" s="119" t="s">
        <v>157</v>
      </c>
      <c r="AH8" s="119" t="s">
        <v>158</v>
      </c>
      <c r="AI8" s="119" t="s">
        <v>159</v>
      </c>
      <c r="AJ8" s="119" t="s">
        <v>160</v>
      </c>
      <c r="AK8" s="119" t="s">
        <v>161</v>
      </c>
      <c r="AL8" s="119" t="s">
        <v>162</v>
      </c>
      <c r="AM8" s="119" t="s">
        <v>163</v>
      </c>
      <c r="AN8" s="119" t="s">
        <v>164</v>
      </c>
      <c r="AO8" s="119" t="s">
        <v>118</v>
      </c>
    </row>
    <row r="9">
      <c r="A9" s="120" t="s">
        <v>197</v>
      </c>
      <c r="B9" s="121">
        <v>16178.0</v>
      </c>
      <c r="C9" s="121">
        <v>22234.0</v>
      </c>
      <c r="D9" s="121">
        <v>16453.0</v>
      </c>
      <c r="E9" s="121">
        <v>19382.0</v>
      </c>
      <c r="F9" s="121">
        <v>7780.0</v>
      </c>
      <c r="G9" s="121">
        <v>34575.0</v>
      </c>
      <c r="H9" s="121">
        <v>81196.0</v>
      </c>
      <c r="I9" s="121">
        <v>34652.0</v>
      </c>
      <c r="J9" s="121">
        <v>13073.0</v>
      </c>
      <c r="K9" s="121">
        <v>47449.0</v>
      </c>
      <c r="L9" s="121">
        <v>6782.0</v>
      </c>
      <c r="M9" s="121">
        <v>4689.0</v>
      </c>
      <c r="N9" s="121">
        <v>10062.0</v>
      </c>
      <c r="O9" s="121">
        <v>8111.0</v>
      </c>
      <c r="P9" s="121">
        <v>5496.0</v>
      </c>
      <c r="Q9" s="121">
        <v>29235.0</v>
      </c>
      <c r="R9" s="121">
        <v>21644.0</v>
      </c>
      <c r="S9" s="121">
        <v>3505.0</v>
      </c>
      <c r="T9" s="121">
        <v>16078.0</v>
      </c>
      <c r="U9" s="121">
        <v>15550.0</v>
      </c>
      <c r="V9" s="122">
        <v>827.0</v>
      </c>
      <c r="W9" s="121">
        <v>24762.0</v>
      </c>
      <c r="X9" s="121">
        <v>26207.0</v>
      </c>
      <c r="Y9" s="121">
        <v>32459.0</v>
      </c>
      <c r="Z9" s="121">
        <v>12349.0</v>
      </c>
      <c r="AA9" s="121">
        <v>71756.0</v>
      </c>
      <c r="AB9" s="121">
        <v>17418.0</v>
      </c>
      <c r="AC9" s="121">
        <v>179435.0</v>
      </c>
      <c r="AD9" s="121">
        <v>7626.0</v>
      </c>
      <c r="AE9" s="121">
        <v>10603.0</v>
      </c>
      <c r="AF9" s="121">
        <v>21630.0</v>
      </c>
      <c r="AG9" s="121">
        <v>30735.0</v>
      </c>
      <c r="AH9" s="121">
        <v>15816.0</v>
      </c>
      <c r="AI9" s="121">
        <v>10488.0</v>
      </c>
      <c r="AJ9" s="121">
        <v>81079.0</v>
      </c>
      <c r="AK9" s="121">
        <v>6179.0</v>
      </c>
      <c r="AL9" s="121">
        <v>28955.0</v>
      </c>
      <c r="AM9" s="121">
        <v>22624.0</v>
      </c>
      <c r="AN9" s="121">
        <v>41539.0</v>
      </c>
      <c r="AO9" s="121">
        <v>1056611.0</v>
      </c>
    </row>
    <row r="10">
      <c r="A10" s="120" t="s">
        <v>166</v>
      </c>
      <c r="B10" s="122">
        <v>0.0</v>
      </c>
      <c r="C10" s="122">
        <v>0.0</v>
      </c>
      <c r="D10" s="122">
        <v>0.0</v>
      </c>
      <c r="E10" s="122">
        <v>0.0</v>
      </c>
      <c r="F10" s="122">
        <v>0.0</v>
      </c>
      <c r="G10" s="122" t="s">
        <v>198</v>
      </c>
      <c r="H10" s="122">
        <v>0.0</v>
      </c>
      <c r="I10" s="122" t="s">
        <v>198</v>
      </c>
      <c r="J10" s="122">
        <v>0.0</v>
      </c>
      <c r="K10" s="122">
        <v>0.0</v>
      </c>
      <c r="L10" s="122">
        <v>0.0</v>
      </c>
      <c r="M10" s="122">
        <v>0.0</v>
      </c>
      <c r="N10" s="122">
        <v>0.0</v>
      </c>
      <c r="O10" s="122">
        <v>0.0</v>
      </c>
      <c r="P10" s="122">
        <v>0.0</v>
      </c>
      <c r="Q10" s="122">
        <v>0.0</v>
      </c>
      <c r="R10" s="122">
        <v>0.0</v>
      </c>
      <c r="S10" s="122">
        <v>0.0</v>
      </c>
      <c r="T10" s="122">
        <v>0.0</v>
      </c>
      <c r="U10" s="122">
        <v>0.0</v>
      </c>
      <c r="V10" s="122">
        <v>0.0</v>
      </c>
      <c r="W10" s="122">
        <v>0.0</v>
      </c>
      <c r="X10" s="122">
        <v>0.0</v>
      </c>
      <c r="Y10" s="122" t="s">
        <v>198</v>
      </c>
      <c r="Z10" s="122">
        <v>0.0</v>
      </c>
      <c r="AA10" s="122">
        <v>0.0</v>
      </c>
      <c r="AB10" s="122">
        <v>0.0</v>
      </c>
      <c r="AC10" s="122">
        <v>0.0</v>
      </c>
      <c r="AD10" s="122">
        <v>0.0</v>
      </c>
      <c r="AE10" s="122">
        <v>0.0</v>
      </c>
      <c r="AF10" s="122">
        <v>0.0</v>
      </c>
      <c r="AG10" s="122">
        <v>0.0</v>
      </c>
      <c r="AH10" s="122">
        <v>0.0</v>
      </c>
      <c r="AI10" s="122">
        <v>0.0</v>
      </c>
      <c r="AJ10" s="122">
        <v>0.0</v>
      </c>
      <c r="AK10" s="122">
        <v>0.0</v>
      </c>
      <c r="AL10" s="122">
        <v>0.0</v>
      </c>
      <c r="AM10" s="122">
        <v>0.0</v>
      </c>
      <c r="AN10" s="122">
        <v>0.0</v>
      </c>
      <c r="AO10" s="122" t="s">
        <v>198</v>
      </c>
    </row>
    <row r="11">
      <c r="A11" s="120" t="s">
        <v>167</v>
      </c>
      <c r="B11" s="122" t="s">
        <v>198</v>
      </c>
      <c r="C11" s="122">
        <v>0.0</v>
      </c>
      <c r="D11" s="122" t="s">
        <v>198</v>
      </c>
      <c r="E11" s="122">
        <v>0.0</v>
      </c>
      <c r="F11" s="122">
        <v>0.0</v>
      </c>
      <c r="G11" s="122">
        <v>0.0</v>
      </c>
      <c r="H11" s="122" t="s">
        <v>198</v>
      </c>
      <c r="I11" s="122">
        <v>0.0</v>
      </c>
      <c r="J11" s="122">
        <v>0.0</v>
      </c>
      <c r="K11" s="122" t="s">
        <v>198</v>
      </c>
      <c r="L11" s="122">
        <v>0.0</v>
      </c>
      <c r="M11" s="122">
        <v>0.0</v>
      </c>
      <c r="N11" s="122">
        <v>0.0</v>
      </c>
      <c r="O11" s="122">
        <v>0.0</v>
      </c>
      <c r="P11" s="122">
        <v>0.0</v>
      </c>
      <c r="Q11" s="122">
        <v>0.0</v>
      </c>
      <c r="R11" s="122" t="s">
        <v>198</v>
      </c>
      <c r="S11" s="122">
        <v>0.0</v>
      </c>
      <c r="T11" s="122" t="s">
        <v>198</v>
      </c>
      <c r="U11" s="122" t="s">
        <v>198</v>
      </c>
      <c r="V11" s="122">
        <v>0.0</v>
      </c>
      <c r="W11" s="122">
        <v>0.0</v>
      </c>
      <c r="X11" s="122">
        <v>0.0</v>
      </c>
      <c r="Y11" s="122">
        <v>0.0</v>
      </c>
      <c r="Z11" s="122">
        <v>0.0</v>
      </c>
      <c r="AA11" s="122">
        <v>0.0</v>
      </c>
      <c r="AB11" s="122">
        <v>0.0</v>
      </c>
      <c r="AC11" s="122" t="s">
        <v>198</v>
      </c>
      <c r="AD11" s="122">
        <v>0.0</v>
      </c>
      <c r="AE11" s="122" t="s">
        <v>198</v>
      </c>
      <c r="AF11" s="122">
        <v>0.0</v>
      </c>
      <c r="AG11" s="122">
        <v>0.0</v>
      </c>
      <c r="AH11" s="122">
        <v>0.0</v>
      </c>
      <c r="AI11" s="122">
        <v>0.0</v>
      </c>
      <c r="AJ11" s="122" t="s">
        <v>198</v>
      </c>
      <c r="AK11" s="122">
        <v>0.0</v>
      </c>
      <c r="AL11" s="122">
        <v>0.0</v>
      </c>
      <c r="AM11" s="122" t="s">
        <v>198</v>
      </c>
      <c r="AN11" s="122">
        <v>0.0</v>
      </c>
      <c r="AO11" s="122">
        <v>1.0</v>
      </c>
    </row>
    <row r="12">
      <c r="A12" s="120" t="s">
        <v>168</v>
      </c>
      <c r="B12" s="122" t="s">
        <v>198</v>
      </c>
      <c r="C12" s="122" t="s">
        <v>198</v>
      </c>
      <c r="D12" s="122">
        <v>0.0</v>
      </c>
      <c r="E12" s="122" t="s">
        <v>198</v>
      </c>
      <c r="F12" s="122">
        <v>0.0</v>
      </c>
      <c r="G12" s="122" t="s">
        <v>198</v>
      </c>
      <c r="H12" s="122" t="s">
        <v>198</v>
      </c>
      <c r="I12" s="122" t="s">
        <v>198</v>
      </c>
      <c r="J12" s="122">
        <v>0.0</v>
      </c>
      <c r="K12" s="122" t="s">
        <v>198</v>
      </c>
      <c r="L12" s="122">
        <v>0.0</v>
      </c>
      <c r="M12" s="122" t="s">
        <v>198</v>
      </c>
      <c r="N12" s="122">
        <v>0.0</v>
      </c>
      <c r="O12" s="122">
        <v>0.0</v>
      </c>
      <c r="P12" s="122" t="s">
        <v>198</v>
      </c>
      <c r="Q12" s="122" t="s">
        <v>198</v>
      </c>
      <c r="R12" s="122">
        <v>0.0</v>
      </c>
      <c r="S12" s="122" t="s">
        <v>198</v>
      </c>
      <c r="T12" s="122" t="s">
        <v>198</v>
      </c>
      <c r="U12" s="122">
        <v>0.0</v>
      </c>
      <c r="V12" s="122">
        <v>0.0</v>
      </c>
      <c r="W12" s="122" t="s">
        <v>198</v>
      </c>
      <c r="X12" s="122">
        <v>0.0</v>
      </c>
      <c r="Y12" s="122">
        <v>0.0</v>
      </c>
      <c r="Z12" s="122" t="s">
        <v>198</v>
      </c>
      <c r="AA12" s="122" t="s">
        <v>198</v>
      </c>
      <c r="AB12" s="122" t="s">
        <v>198</v>
      </c>
      <c r="AC12" s="122">
        <v>14.0</v>
      </c>
      <c r="AD12" s="122">
        <v>0.0</v>
      </c>
      <c r="AE12" s="122" t="s">
        <v>198</v>
      </c>
      <c r="AF12" s="122">
        <v>0.0</v>
      </c>
      <c r="AG12" s="122" t="s">
        <v>198</v>
      </c>
      <c r="AH12" s="122">
        <v>0.0</v>
      </c>
      <c r="AI12" s="122" t="s">
        <v>198</v>
      </c>
      <c r="AJ12" s="122" t="s">
        <v>198</v>
      </c>
      <c r="AK12" s="122">
        <v>0.0</v>
      </c>
      <c r="AL12" s="122">
        <v>0.0</v>
      </c>
      <c r="AM12" s="122" t="s">
        <v>198</v>
      </c>
      <c r="AN12" s="122">
        <v>0.0</v>
      </c>
      <c r="AO12" s="122">
        <v>6.0</v>
      </c>
    </row>
    <row r="13">
      <c r="A13" s="120" t="s">
        <v>169</v>
      </c>
      <c r="B13" s="122">
        <v>31.0</v>
      </c>
      <c r="C13" s="122" t="s">
        <v>198</v>
      </c>
      <c r="D13" s="122">
        <v>30.0</v>
      </c>
      <c r="E13" s="122" t="s">
        <v>198</v>
      </c>
      <c r="F13" s="122" t="s">
        <v>198</v>
      </c>
      <c r="G13" s="122" t="s">
        <v>198</v>
      </c>
      <c r="H13" s="122">
        <v>32.0</v>
      </c>
      <c r="I13" s="122">
        <v>17.0</v>
      </c>
      <c r="J13" s="122">
        <v>0.0</v>
      </c>
      <c r="K13" s="122">
        <v>17.0</v>
      </c>
      <c r="L13" s="122" t="s">
        <v>198</v>
      </c>
      <c r="M13" s="122">
        <v>0.0</v>
      </c>
      <c r="N13" s="122">
        <v>0.0</v>
      </c>
      <c r="O13" s="122" t="s">
        <v>198</v>
      </c>
      <c r="P13" s="122">
        <v>0.0</v>
      </c>
      <c r="Q13" s="122" t="s">
        <v>198</v>
      </c>
      <c r="R13" s="122" t="s">
        <v>198</v>
      </c>
      <c r="S13" s="122">
        <v>0.0</v>
      </c>
      <c r="T13" s="122">
        <v>0.0</v>
      </c>
      <c r="U13" s="122" t="s">
        <v>198</v>
      </c>
      <c r="V13" s="122">
        <v>0.0</v>
      </c>
      <c r="W13" s="122" t="s">
        <v>198</v>
      </c>
      <c r="X13" s="122">
        <v>27.0</v>
      </c>
      <c r="Y13" s="122">
        <v>15.0</v>
      </c>
      <c r="Z13" s="122" t="s">
        <v>198</v>
      </c>
      <c r="AA13" s="122">
        <v>22.0</v>
      </c>
      <c r="AB13" s="122" t="s">
        <v>198</v>
      </c>
      <c r="AC13" s="122">
        <v>26.0</v>
      </c>
      <c r="AD13" s="122">
        <v>0.0</v>
      </c>
      <c r="AE13" s="122">
        <v>47.0</v>
      </c>
      <c r="AF13" s="122" t="s">
        <v>198</v>
      </c>
      <c r="AG13" s="122" t="s">
        <v>198</v>
      </c>
      <c r="AH13" s="122">
        <v>38.0</v>
      </c>
      <c r="AI13" s="122">
        <v>0.0</v>
      </c>
      <c r="AJ13" s="122">
        <v>19.0</v>
      </c>
      <c r="AK13" s="122">
        <v>0.0</v>
      </c>
      <c r="AL13" s="122">
        <v>21.0</v>
      </c>
      <c r="AM13" s="122" t="s">
        <v>198</v>
      </c>
      <c r="AN13" s="122" t="s">
        <v>198</v>
      </c>
      <c r="AO13" s="122">
        <v>19.0</v>
      </c>
    </row>
    <row r="14">
      <c r="A14" s="120" t="s">
        <v>170</v>
      </c>
      <c r="B14" s="122" t="s">
        <v>198</v>
      </c>
      <c r="C14" s="122">
        <v>27.0</v>
      </c>
      <c r="D14" s="122">
        <v>30.0</v>
      </c>
      <c r="E14" s="122">
        <v>52.0</v>
      </c>
      <c r="F14" s="122" t="s">
        <v>198</v>
      </c>
      <c r="G14" s="122">
        <v>35.0</v>
      </c>
      <c r="H14" s="122">
        <v>52.0</v>
      </c>
      <c r="I14" s="122">
        <v>49.0</v>
      </c>
      <c r="J14" s="122">
        <v>38.0</v>
      </c>
      <c r="K14" s="122">
        <v>34.0</v>
      </c>
      <c r="L14" s="122" t="s">
        <v>198</v>
      </c>
      <c r="M14" s="122">
        <v>0.0</v>
      </c>
      <c r="N14" s="122" t="s">
        <v>198</v>
      </c>
      <c r="O14" s="122" t="s">
        <v>198</v>
      </c>
      <c r="P14" s="122" t="s">
        <v>198</v>
      </c>
      <c r="Q14" s="122">
        <v>38.0</v>
      </c>
      <c r="R14" s="122">
        <v>42.0</v>
      </c>
      <c r="S14" s="122" t="s">
        <v>198</v>
      </c>
      <c r="T14" s="122" t="s">
        <v>198</v>
      </c>
      <c r="U14" s="122" t="s">
        <v>198</v>
      </c>
      <c r="V14" s="122" t="s">
        <v>198</v>
      </c>
      <c r="W14" s="122">
        <v>24.0</v>
      </c>
      <c r="X14" s="122">
        <v>31.0</v>
      </c>
      <c r="Y14" s="122">
        <v>77.0</v>
      </c>
      <c r="Z14" s="122" t="s">
        <v>198</v>
      </c>
      <c r="AA14" s="122">
        <v>78.0</v>
      </c>
      <c r="AB14" s="122">
        <v>40.0</v>
      </c>
      <c r="AC14" s="122">
        <v>63.0</v>
      </c>
      <c r="AD14" s="122">
        <v>0.0</v>
      </c>
      <c r="AE14" s="122" t="s">
        <v>198</v>
      </c>
      <c r="AF14" s="122">
        <v>37.0</v>
      </c>
      <c r="AG14" s="122">
        <v>26.0</v>
      </c>
      <c r="AH14" s="122">
        <v>32.0</v>
      </c>
      <c r="AI14" s="122" t="s">
        <v>198</v>
      </c>
      <c r="AJ14" s="122">
        <v>36.0</v>
      </c>
      <c r="AK14" s="122" t="s">
        <v>198</v>
      </c>
      <c r="AL14" s="122">
        <v>52.0</v>
      </c>
      <c r="AM14" s="122">
        <v>40.0</v>
      </c>
      <c r="AN14" s="122">
        <v>26.0</v>
      </c>
      <c r="AO14" s="122">
        <v>46.0</v>
      </c>
    </row>
    <row r="15">
      <c r="A15" s="120" t="s">
        <v>171</v>
      </c>
      <c r="B15" s="122">
        <v>37.0</v>
      </c>
      <c r="C15" s="122">
        <v>40.0</v>
      </c>
      <c r="D15" s="122">
        <v>85.0</v>
      </c>
      <c r="E15" s="122">
        <v>248.0</v>
      </c>
      <c r="F15" s="122" t="s">
        <v>198</v>
      </c>
      <c r="G15" s="122">
        <v>67.0</v>
      </c>
      <c r="H15" s="122">
        <v>133.0</v>
      </c>
      <c r="I15" s="122">
        <v>118.0</v>
      </c>
      <c r="J15" s="122">
        <v>99.0</v>
      </c>
      <c r="K15" s="122">
        <v>126.0</v>
      </c>
      <c r="L15" s="122" t="s">
        <v>198</v>
      </c>
      <c r="M15" s="122">
        <v>107.0</v>
      </c>
      <c r="N15" s="122" t="s">
        <v>198</v>
      </c>
      <c r="O15" s="122" t="s">
        <v>198</v>
      </c>
      <c r="P15" s="122" t="s">
        <v>198</v>
      </c>
      <c r="Q15" s="122">
        <v>130.0</v>
      </c>
      <c r="R15" s="122">
        <v>88.0</v>
      </c>
      <c r="S15" s="122" t="s">
        <v>198</v>
      </c>
      <c r="T15" s="122">
        <v>37.0</v>
      </c>
      <c r="U15" s="122">
        <v>84.0</v>
      </c>
      <c r="V15" s="122">
        <v>0.0</v>
      </c>
      <c r="W15" s="122">
        <v>32.0</v>
      </c>
      <c r="X15" s="122">
        <v>84.0</v>
      </c>
      <c r="Y15" s="122">
        <v>185.0</v>
      </c>
      <c r="Z15" s="122">
        <v>40.0</v>
      </c>
      <c r="AA15" s="122">
        <v>202.0</v>
      </c>
      <c r="AB15" s="122" t="s">
        <v>198</v>
      </c>
      <c r="AC15" s="122">
        <v>294.0</v>
      </c>
      <c r="AD15" s="122" t="s">
        <v>198</v>
      </c>
      <c r="AE15" s="122">
        <v>57.0</v>
      </c>
      <c r="AF15" s="122">
        <v>79.0</v>
      </c>
      <c r="AG15" s="122">
        <v>62.0</v>
      </c>
      <c r="AH15" s="122">
        <v>95.0</v>
      </c>
      <c r="AI15" s="122" t="s">
        <v>198</v>
      </c>
      <c r="AJ15" s="122">
        <v>80.0</v>
      </c>
      <c r="AK15" s="122">
        <v>81.0</v>
      </c>
      <c r="AL15" s="122">
        <v>73.0</v>
      </c>
      <c r="AM15" s="122">
        <v>35.0</v>
      </c>
      <c r="AN15" s="122">
        <v>91.0</v>
      </c>
      <c r="AO15" s="122">
        <v>137.0</v>
      </c>
    </row>
    <row r="16">
      <c r="A16" s="120" t="s">
        <v>172</v>
      </c>
      <c r="B16" s="122" t="s">
        <v>198</v>
      </c>
      <c r="C16" s="122">
        <v>58.0</v>
      </c>
      <c r="D16" s="122">
        <v>49.0</v>
      </c>
      <c r="E16" s="122">
        <v>578.0</v>
      </c>
      <c r="F16" s="122" t="s">
        <v>198</v>
      </c>
      <c r="G16" s="122">
        <v>52.0</v>
      </c>
      <c r="H16" s="122">
        <v>172.0</v>
      </c>
      <c r="I16" s="122">
        <v>81.0</v>
      </c>
      <c r="J16" s="122">
        <v>38.0</v>
      </c>
      <c r="K16" s="122">
        <v>116.0</v>
      </c>
      <c r="L16" s="122" t="s">
        <v>198</v>
      </c>
      <c r="M16" s="122" t="s">
        <v>198</v>
      </c>
      <c r="N16" s="122">
        <v>60.0</v>
      </c>
      <c r="O16" s="122">
        <v>0.0</v>
      </c>
      <c r="P16" s="122" t="s">
        <v>198</v>
      </c>
      <c r="Q16" s="122">
        <v>137.0</v>
      </c>
      <c r="R16" s="122">
        <v>92.0</v>
      </c>
      <c r="S16" s="122" t="s">
        <v>198</v>
      </c>
      <c r="T16" s="122" t="s">
        <v>198</v>
      </c>
      <c r="U16" s="122" t="s">
        <v>198</v>
      </c>
      <c r="V16" s="122">
        <v>0.0</v>
      </c>
      <c r="W16" s="122">
        <v>0.0</v>
      </c>
      <c r="X16" s="122">
        <v>23.0</v>
      </c>
      <c r="Y16" s="122">
        <v>256.0</v>
      </c>
      <c r="Z16" s="122" t="s">
        <v>198</v>
      </c>
      <c r="AA16" s="122">
        <v>293.0</v>
      </c>
      <c r="AB16" s="122" t="s">
        <v>198</v>
      </c>
      <c r="AC16" s="122">
        <v>352.0</v>
      </c>
      <c r="AD16" s="122" t="s">
        <v>198</v>
      </c>
      <c r="AE16" s="122">
        <v>57.0</v>
      </c>
      <c r="AF16" s="122">
        <v>37.0</v>
      </c>
      <c r="AG16" s="122">
        <v>33.0</v>
      </c>
      <c r="AH16" s="122">
        <v>51.0</v>
      </c>
      <c r="AI16" s="122" t="s">
        <v>198</v>
      </c>
      <c r="AJ16" s="122">
        <v>74.0</v>
      </c>
      <c r="AK16" s="122" t="s">
        <v>198</v>
      </c>
      <c r="AL16" s="122">
        <v>107.0</v>
      </c>
      <c r="AM16" s="122">
        <v>27.0</v>
      </c>
      <c r="AN16" s="122">
        <v>113.0</v>
      </c>
      <c r="AO16" s="122">
        <v>154.0</v>
      </c>
    </row>
    <row r="17">
      <c r="A17" s="120" t="s">
        <v>173</v>
      </c>
      <c r="B17" s="122">
        <v>37.0</v>
      </c>
      <c r="C17" s="122">
        <v>49.0</v>
      </c>
      <c r="D17" s="122">
        <v>61.0</v>
      </c>
      <c r="E17" s="122">
        <v>918.0</v>
      </c>
      <c r="F17" s="122" t="s">
        <v>198</v>
      </c>
      <c r="G17" s="122">
        <v>49.0</v>
      </c>
      <c r="H17" s="122">
        <v>160.0</v>
      </c>
      <c r="I17" s="122">
        <v>110.0</v>
      </c>
      <c r="J17" s="122">
        <v>92.0</v>
      </c>
      <c r="K17" s="122">
        <v>107.0</v>
      </c>
      <c r="L17" s="122">
        <v>74.0</v>
      </c>
      <c r="M17" s="122" t="s">
        <v>198</v>
      </c>
      <c r="N17" s="122">
        <v>80.0</v>
      </c>
      <c r="O17" s="122" t="s">
        <v>198</v>
      </c>
      <c r="P17" s="122" t="s">
        <v>198</v>
      </c>
      <c r="Q17" s="122">
        <v>154.0</v>
      </c>
      <c r="R17" s="122">
        <v>106.0</v>
      </c>
      <c r="S17" s="122">
        <v>0.0</v>
      </c>
      <c r="T17" s="122">
        <v>37.0</v>
      </c>
      <c r="U17" s="122">
        <v>71.0</v>
      </c>
      <c r="V17" s="122">
        <v>0.0</v>
      </c>
      <c r="W17" s="122">
        <v>40.0</v>
      </c>
      <c r="X17" s="122">
        <v>61.0</v>
      </c>
      <c r="Y17" s="122">
        <v>246.0</v>
      </c>
      <c r="Z17" s="122">
        <v>49.0</v>
      </c>
      <c r="AA17" s="122">
        <v>373.0</v>
      </c>
      <c r="AB17" s="122">
        <v>29.0</v>
      </c>
      <c r="AC17" s="122">
        <v>459.0</v>
      </c>
      <c r="AD17" s="122">
        <v>66.0</v>
      </c>
      <c r="AE17" s="122">
        <v>57.0</v>
      </c>
      <c r="AF17" s="122">
        <v>79.0</v>
      </c>
      <c r="AG17" s="122">
        <v>26.0</v>
      </c>
      <c r="AH17" s="122">
        <v>76.0</v>
      </c>
      <c r="AI17" s="122">
        <v>133.0</v>
      </c>
      <c r="AJ17" s="122">
        <v>73.0</v>
      </c>
      <c r="AK17" s="122" t="s">
        <v>198</v>
      </c>
      <c r="AL17" s="122">
        <v>124.0</v>
      </c>
      <c r="AM17" s="122">
        <v>66.0</v>
      </c>
      <c r="AN17" s="122">
        <v>120.0</v>
      </c>
      <c r="AO17" s="122">
        <v>193.0</v>
      </c>
    </row>
    <row r="18">
      <c r="A18" s="120" t="s">
        <v>174</v>
      </c>
      <c r="B18" s="122" t="s">
        <v>198</v>
      </c>
      <c r="C18" s="122">
        <v>49.0</v>
      </c>
      <c r="D18" s="122">
        <v>61.0</v>
      </c>
      <c r="E18" s="122">
        <v>717.0</v>
      </c>
      <c r="F18" s="122">
        <v>64.0</v>
      </c>
      <c r="G18" s="122">
        <v>35.0</v>
      </c>
      <c r="H18" s="122">
        <v>132.0</v>
      </c>
      <c r="I18" s="122">
        <v>61.0</v>
      </c>
      <c r="J18" s="122">
        <v>84.0</v>
      </c>
      <c r="K18" s="122">
        <v>93.0</v>
      </c>
      <c r="L18" s="122" t="s">
        <v>198</v>
      </c>
      <c r="M18" s="122" t="s">
        <v>198</v>
      </c>
      <c r="N18" s="122" t="s">
        <v>198</v>
      </c>
      <c r="O18" s="122">
        <v>0.0</v>
      </c>
      <c r="P18" s="122">
        <v>0.0</v>
      </c>
      <c r="Q18" s="122">
        <v>86.0</v>
      </c>
      <c r="R18" s="122">
        <v>92.0</v>
      </c>
      <c r="S18" s="122">
        <v>0.0</v>
      </c>
      <c r="T18" s="122" t="s">
        <v>198</v>
      </c>
      <c r="U18" s="122" t="s">
        <v>198</v>
      </c>
      <c r="V18" s="122">
        <v>0.0</v>
      </c>
      <c r="W18" s="122">
        <v>32.0</v>
      </c>
      <c r="X18" s="122">
        <v>19.0</v>
      </c>
      <c r="Y18" s="122">
        <v>169.0</v>
      </c>
      <c r="Z18" s="122" t="s">
        <v>198</v>
      </c>
      <c r="AA18" s="122">
        <v>283.0</v>
      </c>
      <c r="AB18" s="122" t="s">
        <v>198</v>
      </c>
      <c r="AC18" s="122">
        <v>387.0</v>
      </c>
      <c r="AD18" s="122">
        <v>66.0</v>
      </c>
      <c r="AE18" s="122" t="s">
        <v>198</v>
      </c>
      <c r="AF18" s="122">
        <v>55.0</v>
      </c>
      <c r="AG18" s="122" t="s">
        <v>198</v>
      </c>
      <c r="AH18" s="122">
        <v>38.0</v>
      </c>
      <c r="AI18" s="122" t="s">
        <v>198</v>
      </c>
      <c r="AJ18" s="122">
        <v>74.0</v>
      </c>
      <c r="AK18" s="122" t="s">
        <v>198</v>
      </c>
      <c r="AL18" s="122">
        <v>86.0</v>
      </c>
      <c r="AM18" s="122">
        <v>31.0</v>
      </c>
      <c r="AN18" s="122">
        <v>132.0</v>
      </c>
      <c r="AO18" s="122">
        <v>154.0</v>
      </c>
    </row>
    <row r="19">
      <c r="A19" s="120" t="s">
        <v>175</v>
      </c>
      <c r="B19" s="122" t="s">
        <v>198</v>
      </c>
      <c r="C19" s="122">
        <v>45.0</v>
      </c>
      <c r="D19" s="122" t="s">
        <v>198</v>
      </c>
      <c r="E19" s="122">
        <v>676.0</v>
      </c>
      <c r="F19" s="122" t="s">
        <v>198</v>
      </c>
      <c r="G19" s="122">
        <v>38.0</v>
      </c>
      <c r="H19" s="122">
        <v>99.0</v>
      </c>
      <c r="I19" s="122">
        <v>61.0</v>
      </c>
      <c r="J19" s="122">
        <v>61.0</v>
      </c>
      <c r="K19" s="122">
        <v>137.0</v>
      </c>
      <c r="L19" s="122">
        <v>88.0</v>
      </c>
      <c r="M19" s="122" t="s">
        <v>198</v>
      </c>
      <c r="N19" s="122" t="s">
        <v>198</v>
      </c>
      <c r="O19" s="122" t="s">
        <v>198</v>
      </c>
      <c r="P19" s="122" t="s">
        <v>198</v>
      </c>
      <c r="Q19" s="122">
        <v>120.0</v>
      </c>
      <c r="R19" s="122">
        <v>88.0</v>
      </c>
      <c r="S19" s="122" t="s">
        <v>198</v>
      </c>
      <c r="T19" s="122" t="s">
        <v>198</v>
      </c>
      <c r="U19" s="122" t="s">
        <v>198</v>
      </c>
      <c r="V19" s="122">
        <v>0.0</v>
      </c>
      <c r="W19" s="122">
        <v>32.0</v>
      </c>
      <c r="X19" s="122">
        <v>34.0</v>
      </c>
      <c r="Y19" s="122">
        <v>206.0</v>
      </c>
      <c r="Z19" s="122">
        <v>73.0</v>
      </c>
      <c r="AA19" s="122">
        <v>263.0</v>
      </c>
      <c r="AB19" s="122" t="s">
        <v>198</v>
      </c>
      <c r="AC19" s="122">
        <v>303.0</v>
      </c>
      <c r="AD19" s="122" t="s">
        <v>198</v>
      </c>
      <c r="AE19" s="122" t="s">
        <v>198</v>
      </c>
      <c r="AF19" s="122">
        <v>60.0</v>
      </c>
      <c r="AG19" s="122" t="s">
        <v>198</v>
      </c>
      <c r="AH19" s="122">
        <v>38.0</v>
      </c>
      <c r="AI19" s="122">
        <v>48.0</v>
      </c>
      <c r="AJ19" s="122">
        <v>52.0</v>
      </c>
      <c r="AK19" s="122">
        <v>0.0</v>
      </c>
      <c r="AL19" s="122">
        <v>93.0</v>
      </c>
      <c r="AM19" s="122" t="s">
        <v>198</v>
      </c>
      <c r="AN19" s="122">
        <v>164.0</v>
      </c>
      <c r="AO19" s="122">
        <v>138.0</v>
      </c>
    </row>
    <row r="20">
      <c r="A20" s="120" t="s">
        <v>176</v>
      </c>
      <c r="B20" s="122">
        <v>37.0</v>
      </c>
      <c r="C20" s="122">
        <v>27.0</v>
      </c>
      <c r="D20" s="122" t="s">
        <v>198</v>
      </c>
      <c r="E20" s="122">
        <v>500.0</v>
      </c>
      <c r="F20" s="122">
        <v>0.0</v>
      </c>
      <c r="G20" s="122">
        <v>35.0</v>
      </c>
      <c r="H20" s="122">
        <v>90.0</v>
      </c>
      <c r="I20" s="122">
        <v>43.0</v>
      </c>
      <c r="J20" s="122">
        <v>46.0</v>
      </c>
      <c r="K20" s="122">
        <v>112.0</v>
      </c>
      <c r="L20" s="122" t="s">
        <v>198</v>
      </c>
      <c r="M20" s="122" t="s">
        <v>198</v>
      </c>
      <c r="N20" s="122">
        <v>89.0</v>
      </c>
      <c r="O20" s="122" t="s">
        <v>198</v>
      </c>
      <c r="P20" s="122">
        <v>0.0</v>
      </c>
      <c r="Q20" s="122">
        <v>68.0</v>
      </c>
      <c r="R20" s="122">
        <v>55.0</v>
      </c>
      <c r="S20" s="122">
        <v>0.0</v>
      </c>
      <c r="T20" s="122">
        <v>0.0</v>
      </c>
      <c r="U20" s="122" t="s">
        <v>198</v>
      </c>
      <c r="V20" s="122">
        <v>0.0</v>
      </c>
      <c r="W20" s="122" t="s">
        <v>198</v>
      </c>
      <c r="X20" s="122">
        <v>38.0</v>
      </c>
      <c r="Y20" s="122">
        <v>154.0</v>
      </c>
      <c r="Z20" s="122">
        <v>130.0</v>
      </c>
      <c r="AA20" s="122">
        <v>160.0</v>
      </c>
      <c r="AB20" s="122" t="s">
        <v>198</v>
      </c>
      <c r="AC20" s="122">
        <v>269.0</v>
      </c>
      <c r="AD20" s="122">
        <v>0.0</v>
      </c>
      <c r="AE20" s="122">
        <v>47.0</v>
      </c>
      <c r="AF20" s="122">
        <v>51.0</v>
      </c>
      <c r="AG20" s="122" t="s">
        <v>198</v>
      </c>
      <c r="AH20" s="122">
        <v>44.0</v>
      </c>
      <c r="AI20" s="122">
        <v>124.0</v>
      </c>
      <c r="AJ20" s="122">
        <v>43.0</v>
      </c>
      <c r="AK20" s="122" t="s">
        <v>198</v>
      </c>
      <c r="AL20" s="122">
        <v>52.0</v>
      </c>
      <c r="AM20" s="122" t="s">
        <v>198</v>
      </c>
      <c r="AN20" s="122">
        <v>144.0</v>
      </c>
      <c r="AO20" s="122">
        <v>113.0</v>
      </c>
    </row>
    <row r="21">
      <c r="A21" s="120" t="s">
        <v>177</v>
      </c>
      <c r="B21" s="122">
        <v>43.0</v>
      </c>
      <c r="C21" s="122">
        <v>40.0</v>
      </c>
      <c r="D21" s="122">
        <v>43.0</v>
      </c>
      <c r="E21" s="122">
        <v>335.0</v>
      </c>
      <c r="F21" s="122">
        <v>0.0</v>
      </c>
      <c r="G21" s="122">
        <v>49.0</v>
      </c>
      <c r="H21" s="122">
        <v>91.0</v>
      </c>
      <c r="I21" s="122">
        <v>38.0</v>
      </c>
      <c r="J21" s="122" t="s">
        <v>198</v>
      </c>
      <c r="K21" s="122">
        <v>61.0</v>
      </c>
      <c r="L21" s="122" t="s">
        <v>198</v>
      </c>
      <c r="M21" s="122" t="s">
        <v>198</v>
      </c>
      <c r="N21" s="122" t="s">
        <v>198</v>
      </c>
      <c r="O21" s="122" t="s">
        <v>198</v>
      </c>
      <c r="P21" s="122" t="s">
        <v>198</v>
      </c>
      <c r="Q21" s="122">
        <v>68.0</v>
      </c>
      <c r="R21" s="122">
        <v>55.0</v>
      </c>
      <c r="S21" s="122" t="s">
        <v>198</v>
      </c>
      <c r="T21" s="122" t="s">
        <v>198</v>
      </c>
      <c r="U21" s="122" t="s">
        <v>198</v>
      </c>
      <c r="V21" s="122">
        <v>0.0</v>
      </c>
      <c r="W21" s="122" t="s">
        <v>198</v>
      </c>
      <c r="X21" s="122">
        <v>23.0</v>
      </c>
      <c r="Y21" s="122">
        <v>83.0</v>
      </c>
      <c r="Z21" s="122">
        <v>49.0</v>
      </c>
      <c r="AA21" s="122">
        <v>164.0</v>
      </c>
      <c r="AB21" s="122">
        <v>40.0</v>
      </c>
      <c r="AC21" s="122">
        <v>234.0</v>
      </c>
      <c r="AD21" s="122" t="s">
        <v>198</v>
      </c>
      <c r="AE21" s="122" t="s">
        <v>198</v>
      </c>
      <c r="AF21" s="122">
        <v>32.0</v>
      </c>
      <c r="AG21" s="122" t="s">
        <v>198</v>
      </c>
      <c r="AH21" s="122">
        <v>57.0</v>
      </c>
      <c r="AI21" s="122">
        <v>48.0</v>
      </c>
      <c r="AJ21" s="122">
        <v>42.0</v>
      </c>
      <c r="AK21" s="122" t="s">
        <v>198</v>
      </c>
      <c r="AL21" s="122">
        <v>41.0</v>
      </c>
      <c r="AM21" s="122" t="s">
        <v>198</v>
      </c>
      <c r="AN21" s="122">
        <v>87.0</v>
      </c>
      <c r="AO21" s="122">
        <v>95.0</v>
      </c>
    </row>
    <row r="22">
      <c r="A22" s="120" t="s">
        <v>178</v>
      </c>
      <c r="B22" s="122" t="s">
        <v>198</v>
      </c>
      <c r="C22" s="122">
        <v>40.0</v>
      </c>
      <c r="D22" s="122" t="s">
        <v>198</v>
      </c>
      <c r="E22" s="122">
        <v>165.0</v>
      </c>
      <c r="F22" s="122" t="s">
        <v>198</v>
      </c>
      <c r="G22" s="122">
        <v>29.0</v>
      </c>
      <c r="H22" s="122">
        <v>57.0</v>
      </c>
      <c r="I22" s="122">
        <v>17.0</v>
      </c>
      <c r="J22" s="122">
        <v>0.0</v>
      </c>
      <c r="K22" s="122">
        <v>70.0</v>
      </c>
      <c r="L22" s="122">
        <v>0.0</v>
      </c>
      <c r="M22" s="122" t="s">
        <v>198</v>
      </c>
      <c r="N22" s="122" t="s">
        <v>198</v>
      </c>
      <c r="O22" s="122">
        <v>0.0</v>
      </c>
      <c r="P22" s="122" t="s">
        <v>198</v>
      </c>
      <c r="Q22" s="122">
        <v>130.0</v>
      </c>
      <c r="R22" s="122">
        <v>46.0</v>
      </c>
      <c r="S22" s="122">
        <v>0.0</v>
      </c>
      <c r="T22" s="122">
        <v>31.0</v>
      </c>
      <c r="U22" s="122" t="s">
        <v>198</v>
      </c>
      <c r="V22" s="122">
        <v>0.0</v>
      </c>
      <c r="W22" s="122">
        <v>32.0</v>
      </c>
      <c r="X22" s="122">
        <v>23.0</v>
      </c>
      <c r="Y22" s="122">
        <v>52.0</v>
      </c>
      <c r="Z22" s="122">
        <v>40.0</v>
      </c>
      <c r="AA22" s="122">
        <v>99.0</v>
      </c>
      <c r="AB22" s="122">
        <v>34.0</v>
      </c>
      <c r="AC22" s="122">
        <v>183.0</v>
      </c>
      <c r="AD22" s="122" t="s">
        <v>198</v>
      </c>
      <c r="AE22" s="122" t="s">
        <v>198</v>
      </c>
      <c r="AF22" s="122">
        <v>0.0</v>
      </c>
      <c r="AG22" s="122">
        <v>0.0</v>
      </c>
      <c r="AH22" s="122" t="s">
        <v>198</v>
      </c>
      <c r="AI22" s="122">
        <v>0.0</v>
      </c>
      <c r="AJ22" s="122">
        <v>23.0</v>
      </c>
      <c r="AK22" s="122" t="s">
        <v>198</v>
      </c>
      <c r="AL22" s="122">
        <v>38.0</v>
      </c>
      <c r="AM22" s="122" t="s">
        <v>198</v>
      </c>
      <c r="AN22" s="122">
        <v>101.0</v>
      </c>
      <c r="AO22" s="122">
        <v>72.0</v>
      </c>
    </row>
    <row r="23">
      <c r="A23" s="120" t="s">
        <v>179</v>
      </c>
      <c r="B23" s="122" t="s">
        <v>198</v>
      </c>
      <c r="C23" s="122" t="s">
        <v>198</v>
      </c>
      <c r="D23" s="122" t="s">
        <v>198</v>
      </c>
      <c r="E23" s="122">
        <v>165.0</v>
      </c>
      <c r="F23" s="122">
        <v>0.0</v>
      </c>
      <c r="G23" s="122" t="s">
        <v>198</v>
      </c>
      <c r="H23" s="122">
        <v>47.0</v>
      </c>
      <c r="I23" s="122">
        <v>32.0</v>
      </c>
      <c r="J23" s="122" t="s">
        <v>198</v>
      </c>
      <c r="K23" s="122">
        <v>36.0</v>
      </c>
      <c r="L23" s="122" t="s">
        <v>198</v>
      </c>
      <c r="M23" s="122">
        <v>0.0</v>
      </c>
      <c r="N23" s="122" t="s">
        <v>198</v>
      </c>
      <c r="O23" s="122">
        <v>0.0</v>
      </c>
      <c r="P23" s="122" t="s">
        <v>198</v>
      </c>
      <c r="Q23" s="122">
        <v>41.0</v>
      </c>
      <c r="R23" s="122" t="s">
        <v>198</v>
      </c>
      <c r="S23" s="122">
        <v>0.0</v>
      </c>
      <c r="T23" s="122" t="s">
        <v>198</v>
      </c>
      <c r="U23" s="122" t="s">
        <v>198</v>
      </c>
      <c r="V23" s="122">
        <v>0.0</v>
      </c>
      <c r="W23" s="122" t="s">
        <v>198</v>
      </c>
      <c r="X23" s="122" t="s">
        <v>198</v>
      </c>
      <c r="Y23" s="122">
        <v>68.0</v>
      </c>
      <c r="Z23" s="122" t="s">
        <v>198</v>
      </c>
      <c r="AA23" s="122">
        <v>72.0</v>
      </c>
      <c r="AB23" s="122">
        <v>29.0</v>
      </c>
      <c r="AC23" s="122">
        <v>154.0</v>
      </c>
      <c r="AD23" s="122">
        <v>0.0</v>
      </c>
      <c r="AE23" s="122" t="s">
        <v>198</v>
      </c>
      <c r="AF23" s="122" t="s">
        <v>198</v>
      </c>
      <c r="AG23" s="122">
        <v>0.0</v>
      </c>
      <c r="AH23" s="122" t="s">
        <v>198</v>
      </c>
      <c r="AI23" s="122" t="s">
        <v>198</v>
      </c>
      <c r="AJ23" s="122">
        <v>25.0</v>
      </c>
      <c r="AK23" s="122">
        <v>0.0</v>
      </c>
      <c r="AL23" s="122">
        <v>35.0</v>
      </c>
      <c r="AM23" s="122">
        <v>0.0</v>
      </c>
      <c r="AN23" s="122">
        <v>72.0</v>
      </c>
      <c r="AO23" s="122">
        <v>55.0</v>
      </c>
    </row>
    <row r="24">
      <c r="A24" s="120" t="s">
        <v>180</v>
      </c>
      <c r="B24" s="122" t="s">
        <v>198</v>
      </c>
      <c r="C24" s="122" t="s">
        <v>198</v>
      </c>
      <c r="D24" s="122" t="s">
        <v>198</v>
      </c>
      <c r="E24" s="122">
        <v>119.0</v>
      </c>
      <c r="F24" s="122" t="s">
        <v>198</v>
      </c>
      <c r="G24" s="122" t="s">
        <v>198</v>
      </c>
      <c r="H24" s="122">
        <v>41.0</v>
      </c>
      <c r="I24" s="122">
        <v>26.0</v>
      </c>
      <c r="J24" s="122" t="s">
        <v>198</v>
      </c>
      <c r="K24" s="122">
        <v>25.0</v>
      </c>
      <c r="L24" s="122" t="s">
        <v>198</v>
      </c>
      <c r="M24" s="122" t="s">
        <v>198</v>
      </c>
      <c r="N24" s="122">
        <v>0.0</v>
      </c>
      <c r="O24" s="122">
        <v>0.0</v>
      </c>
      <c r="P24" s="122">
        <v>0.0</v>
      </c>
      <c r="Q24" s="122">
        <v>48.0</v>
      </c>
      <c r="R24" s="122">
        <v>42.0</v>
      </c>
      <c r="S24" s="122">
        <v>0.0</v>
      </c>
      <c r="T24" s="122" t="s">
        <v>198</v>
      </c>
      <c r="U24" s="122">
        <v>0.0</v>
      </c>
      <c r="V24" s="122">
        <v>0.0</v>
      </c>
      <c r="W24" s="122" t="s">
        <v>198</v>
      </c>
      <c r="X24" s="122" t="s">
        <v>198</v>
      </c>
      <c r="Y24" s="122">
        <v>31.0</v>
      </c>
      <c r="Z24" s="122">
        <v>57.0</v>
      </c>
      <c r="AA24" s="122">
        <v>60.0</v>
      </c>
      <c r="AB24" s="122">
        <v>0.0</v>
      </c>
      <c r="AC24" s="122">
        <v>90.0</v>
      </c>
      <c r="AD24" s="122">
        <v>0.0</v>
      </c>
      <c r="AE24" s="122" t="s">
        <v>198</v>
      </c>
      <c r="AF24" s="122" t="s">
        <v>198</v>
      </c>
      <c r="AG24" s="122" t="s">
        <v>198</v>
      </c>
      <c r="AH24" s="122" t="s">
        <v>198</v>
      </c>
      <c r="AI24" s="122" t="s">
        <v>198</v>
      </c>
      <c r="AJ24" s="122">
        <v>12.0</v>
      </c>
      <c r="AK24" s="122">
        <v>0.0</v>
      </c>
      <c r="AL24" s="122" t="s">
        <v>198</v>
      </c>
      <c r="AM24" s="122">
        <v>0.0</v>
      </c>
      <c r="AN24" s="122">
        <v>48.0</v>
      </c>
      <c r="AO24" s="122">
        <v>37.0</v>
      </c>
    </row>
    <row r="25">
      <c r="A25" s="120" t="s">
        <v>181</v>
      </c>
      <c r="B25" s="122">
        <v>0.0</v>
      </c>
      <c r="C25" s="122" t="s">
        <v>198</v>
      </c>
      <c r="D25" s="122" t="s">
        <v>198</v>
      </c>
      <c r="E25" s="122">
        <v>114.0</v>
      </c>
      <c r="F25" s="122" t="s">
        <v>198</v>
      </c>
      <c r="G25" s="122" t="s">
        <v>198</v>
      </c>
      <c r="H25" s="122">
        <v>21.0</v>
      </c>
      <c r="I25" s="122" t="s">
        <v>198</v>
      </c>
      <c r="J25" s="122" t="s">
        <v>198</v>
      </c>
      <c r="K25" s="122">
        <v>15.0</v>
      </c>
      <c r="L25" s="122">
        <v>0.0</v>
      </c>
      <c r="M25" s="122">
        <v>0.0</v>
      </c>
      <c r="N25" s="122">
        <v>0.0</v>
      </c>
      <c r="O25" s="122">
        <v>0.0</v>
      </c>
      <c r="P25" s="122" t="s">
        <v>198</v>
      </c>
      <c r="Q25" s="122">
        <v>17.0</v>
      </c>
      <c r="R25" s="122" t="s">
        <v>198</v>
      </c>
      <c r="S25" s="122">
        <v>0.0</v>
      </c>
      <c r="T25" s="122" t="s">
        <v>198</v>
      </c>
      <c r="U25" s="122" t="s">
        <v>198</v>
      </c>
      <c r="V25" s="122">
        <v>0.0</v>
      </c>
      <c r="W25" s="122">
        <v>24.0</v>
      </c>
      <c r="X25" s="122" t="s">
        <v>198</v>
      </c>
      <c r="Y25" s="122">
        <v>15.0</v>
      </c>
      <c r="Z25" s="122" t="s">
        <v>198</v>
      </c>
      <c r="AA25" s="122">
        <v>36.0</v>
      </c>
      <c r="AB25" s="122" t="s">
        <v>198</v>
      </c>
      <c r="AC25" s="122">
        <v>72.0</v>
      </c>
      <c r="AD25" s="122">
        <v>0.0</v>
      </c>
      <c r="AE25" s="122" t="s">
        <v>198</v>
      </c>
      <c r="AF25" s="122" t="s">
        <v>198</v>
      </c>
      <c r="AG25" s="122">
        <v>0.0</v>
      </c>
      <c r="AH25" s="122">
        <v>0.0</v>
      </c>
      <c r="AI25" s="122" t="s">
        <v>198</v>
      </c>
      <c r="AJ25" s="122">
        <v>15.0</v>
      </c>
      <c r="AK25" s="122">
        <v>0.0</v>
      </c>
      <c r="AL25" s="122">
        <v>35.0</v>
      </c>
      <c r="AM25" s="122" t="s">
        <v>198</v>
      </c>
      <c r="AN25" s="122">
        <v>34.0</v>
      </c>
      <c r="AO25" s="122">
        <v>28.0</v>
      </c>
    </row>
    <row r="26">
      <c r="A26" s="120" t="s">
        <v>182</v>
      </c>
      <c r="B26" s="122" t="s">
        <v>198</v>
      </c>
      <c r="C26" s="122">
        <v>22.0</v>
      </c>
      <c r="D26" s="122" t="s">
        <v>198</v>
      </c>
      <c r="E26" s="122">
        <v>52.0</v>
      </c>
      <c r="F26" s="122" t="s">
        <v>198</v>
      </c>
      <c r="G26" s="122" t="s">
        <v>198</v>
      </c>
      <c r="H26" s="122">
        <v>17.0</v>
      </c>
      <c r="I26" s="122">
        <v>26.0</v>
      </c>
      <c r="J26" s="122" t="s">
        <v>198</v>
      </c>
      <c r="K26" s="122">
        <v>17.0</v>
      </c>
      <c r="L26" s="122">
        <v>0.0</v>
      </c>
      <c r="M26" s="122" t="s">
        <v>198</v>
      </c>
      <c r="N26" s="122" t="s">
        <v>198</v>
      </c>
      <c r="O26" s="122" t="s">
        <v>198</v>
      </c>
      <c r="P26" s="122">
        <v>0.0</v>
      </c>
      <c r="Q26" s="122">
        <v>34.0</v>
      </c>
      <c r="R26" s="122">
        <v>28.0</v>
      </c>
      <c r="S26" s="122">
        <v>0.0</v>
      </c>
      <c r="T26" s="122">
        <v>37.0</v>
      </c>
      <c r="U26" s="122">
        <v>0.0</v>
      </c>
      <c r="V26" s="122">
        <v>0.0</v>
      </c>
      <c r="W26" s="122">
        <v>44.0</v>
      </c>
      <c r="X26" s="122" t="s">
        <v>198</v>
      </c>
      <c r="Y26" s="122">
        <v>37.0</v>
      </c>
      <c r="Z26" s="122">
        <v>0.0</v>
      </c>
      <c r="AA26" s="122">
        <v>56.0</v>
      </c>
      <c r="AB26" s="122" t="s">
        <v>198</v>
      </c>
      <c r="AC26" s="122">
        <v>70.0</v>
      </c>
      <c r="AD26" s="122">
        <v>0.0</v>
      </c>
      <c r="AE26" s="122" t="s">
        <v>198</v>
      </c>
      <c r="AF26" s="122" t="s">
        <v>198</v>
      </c>
      <c r="AG26" s="122" t="s">
        <v>198</v>
      </c>
      <c r="AH26" s="122" t="s">
        <v>198</v>
      </c>
      <c r="AI26" s="122" t="s">
        <v>198</v>
      </c>
      <c r="AJ26" s="122">
        <v>15.0</v>
      </c>
      <c r="AK26" s="122" t="s">
        <v>198</v>
      </c>
      <c r="AL26" s="122">
        <v>31.0</v>
      </c>
      <c r="AM26" s="122" t="s">
        <v>198</v>
      </c>
      <c r="AN26" s="122">
        <v>36.0</v>
      </c>
      <c r="AO26" s="122">
        <v>32.0</v>
      </c>
    </row>
    <row r="27">
      <c r="A27" s="120" t="s">
        <v>183</v>
      </c>
      <c r="B27" s="122" t="s">
        <v>198</v>
      </c>
      <c r="C27" s="122" t="s">
        <v>198</v>
      </c>
      <c r="D27" s="122" t="s">
        <v>198</v>
      </c>
      <c r="E27" s="122">
        <v>41.0</v>
      </c>
      <c r="F27" s="122" t="s">
        <v>198</v>
      </c>
      <c r="G27" s="122">
        <v>26.0</v>
      </c>
      <c r="H27" s="122">
        <v>41.0</v>
      </c>
      <c r="I27" s="122" t="s">
        <v>198</v>
      </c>
      <c r="J27" s="122" t="s">
        <v>198</v>
      </c>
      <c r="K27" s="122">
        <v>13.0</v>
      </c>
      <c r="L27" s="122">
        <v>0.0</v>
      </c>
      <c r="M27" s="122" t="s">
        <v>198</v>
      </c>
      <c r="N27" s="122" t="s">
        <v>198</v>
      </c>
      <c r="O27" s="122">
        <v>0.0</v>
      </c>
      <c r="P27" s="122" t="s">
        <v>198</v>
      </c>
      <c r="Q27" s="122">
        <v>34.0</v>
      </c>
      <c r="R27" s="122" t="s">
        <v>198</v>
      </c>
      <c r="S27" s="122" t="s">
        <v>198</v>
      </c>
      <c r="T27" s="122">
        <v>31.0</v>
      </c>
      <c r="U27" s="122">
        <v>0.0</v>
      </c>
      <c r="V27" s="122">
        <v>0.0</v>
      </c>
      <c r="W27" s="122">
        <v>36.0</v>
      </c>
      <c r="X27" s="122" t="s">
        <v>198</v>
      </c>
      <c r="Y27" s="122">
        <v>28.0</v>
      </c>
      <c r="Z27" s="122" t="s">
        <v>198</v>
      </c>
      <c r="AA27" s="122">
        <v>18.0</v>
      </c>
      <c r="AB27" s="122" t="s">
        <v>198</v>
      </c>
      <c r="AC27" s="122">
        <v>48.0</v>
      </c>
      <c r="AD27" s="122">
        <v>0.0</v>
      </c>
      <c r="AE27" s="122" t="s">
        <v>198</v>
      </c>
      <c r="AF27" s="122">
        <v>23.0</v>
      </c>
      <c r="AG27" s="122">
        <v>0.0</v>
      </c>
      <c r="AH27" s="122" t="s">
        <v>198</v>
      </c>
      <c r="AI27" s="122" t="s">
        <v>198</v>
      </c>
      <c r="AJ27" s="122">
        <v>11.0</v>
      </c>
      <c r="AK27" s="122">
        <v>0.0</v>
      </c>
      <c r="AL27" s="122">
        <v>28.0</v>
      </c>
      <c r="AM27" s="122" t="s">
        <v>198</v>
      </c>
      <c r="AN27" s="122">
        <v>17.0</v>
      </c>
      <c r="AO27" s="122">
        <v>25.0</v>
      </c>
    </row>
    <row r="28">
      <c r="A28" s="120" t="s">
        <v>184</v>
      </c>
      <c r="B28" s="122" t="s">
        <v>198</v>
      </c>
      <c r="C28" s="122">
        <v>27.0</v>
      </c>
      <c r="D28" s="122" t="s">
        <v>198</v>
      </c>
      <c r="E28" s="122">
        <v>67.0</v>
      </c>
      <c r="F28" s="122" t="s">
        <v>198</v>
      </c>
      <c r="G28" s="122">
        <v>26.0</v>
      </c>
      <c r="H28" s="122">
        <v>32.0</v>
      </c>
      <c r="I28" s="122" t="s">
        <v>198</v>
      </c>
      <c r="J28" s="122">
        <v>54.0</v>
      </c>
      <c r="K28" s="122">
        <v>13.0</v>
      </c>
      <c r="L28" s="122">
        <v>0.0</v>
      </c>
      <c r="M28" s="122">
        <v>0.0</v>
      </c>
      <c r="N28" s="122" t="s">
        <v>198</v>
      </c>
      <c r="O28" s="122" t="s">
        <v>198</v>
      </c>
      <c r="P28" s="122" t="s">
        <v>198</v>
      </c>
      <c r="Q28" s="122">
        <v>24.0</v>
      </c>
      <c r="R28" s="122">
        <v>28.0</v>
      </c>
      <c r="S28" s="122">
        <v>0.0</v>
      </c>
      <c r="T28" s="122">
        <v>50.0</v>
      </c>
      <c r="U28" s="122" t="s">
        <v>198</v>
      </c>
      <c r="V28" s="122" t="s">
        <v>198</v>
      </c>
      <c r="W28" s="122">
        <v>48.0</v>
      </c>
      <c r="X28" s="122">
        <v>0.0</v>
      </c>
      <c r="Y28" s="122">
        <v>46.0</v>
      </c>
      <c r="Z28" s="122" t="s">
        <v>198</v>
      </c>
      <c r="AA28" s="122">
        <v>39.0</v>
      </c>
      <c r="AB28" s="122" t="s">
        <v>198</v>
      </c>
      <c r="AC28" s="122">
        <v>56.0</v>
      </c>
      <c r="AD28" s="122">
        <v>0.0</v>
      </c>
      <c r="AE28" s="122" t="s">
        <v>198</v>
      </c>
      <c r="AF28" s="122" t="s">
        <v>198</v>
      </c>
      <c r="AG28" s="122" t="s">
        <v>198</v>
      </c>
      <c r="AH28" s="122" t="s">
        <v>198</v>
      </c>
      <c r="AI28" s="122" t="s">
        <v>198</v>
      </c>
      <c r="AJ28" s="122">
        <v>20.0</v>
      </c>
      <c r="AK28" s="122" t="s">
        <v>198</v>
      </c>
      <c r="AL28" s="122">
        <v>48.0</v>
      </c>
      <c r="AM28" s="122" t="s">
        <v>198</v>
      </c>
      <c r="AN28" s="122">
        <v>31.0</v>
      </c>
      <c r="AO28" s="122">
        <v>32.0</v>
      </c>
    </row>
    <row r="29">
      <c r="A29" s="120" t="s">
        <v>185</v>
      </c>
      <c r="B29" s="122">
        <v>37.0</v>
      </c>
      <c r="C29" s="122">
        <v>31.0</v>
      </c>
      <c r="D29" s="122" t="s">
        <v>198</v>
      </c>
      <c r="E29" s="122">
        <v>103.0</v>
      </c>
      <c r="F29" s="122" t="s">
        <v>198</v>
      </c>
      <c r="G29" s="122" t="s">
        <v>198</v>
      </c>
      <c r="H29" s="122">
        <v>48.0</v>
      </c>
      <c r="I29" s="122">
        <v>32.0</v>
      </c>
      <c r="J29" s="122" t="s">
        <v>198</v>
      </c>
      <c r="K29" s="122">
        <v>30.0</v>
      </c>
      <c r="L29" s="122">
        <v>0.0</v>
      </c>
      <c r="M29" s="122">
        <v>0.0</v>
      </c>
      <c r="N29" s="122">
        <v>0.0</v>
      </c>
      <c r="O29" s="122">
        <v>0.0</v>
      </c>
      <c r="P29" s="122">
        <v>0.0</v>
      </c>
      <c r="Q29" s="122">
        <v>38.0</v>
      </c>
      <c r="R29" s="122">
        <v>23.0</v>
      </c>
      <c r="S29" s="122" t="s">
        <v>198</v>
      </c>
      <c r="T29" s="122" t="s">
        <v>198</v>
      </c>
      <c r="U29" s="122" t="s">
        <v>198</v>
      </c>
      <c r="V29" s="122">
        <v>0.0</v>
      </c>
      <c r="W29" s="122" t="s">
        <v>198</v>
      </c>
      <c r="X29" s="122" t="s">
        <v>198</v>
      </c>
      <c r="Y29" s="122">
        <v>43.0</v>
      </c>
      <c r="Z29" s="122" t="s">
        <v>198</v>
      </c>
      <c r="AA29" s="122">
        <v>81.0</v>
      </c>
      <c r="AB29" s="122" t="s">
        <v>198</v>
      </c>
      <c r="AC29" s="122">
        <v>68.0</v>
      </c>
      <c r="AD29" s="122">
        <v>0.0</v>
      </c>
      <c r="AE29" s="122" t="s">
        <v>198</v>
      </c>
      <c r="AF29" s="122">
        <v>55.0</v>
      </c>
      <c r="AG29" s="122">
        <v>0.0</v>
      </c>
      <c r="AH29" s="122" t="s">
        <v>198</v>
      </c>
      <c r="AI29" s="122" t="s">
        <v>198</v>
      </c>
      <c r="AJ29" s="122">
        <v>23.0</v>
      </c>
      <c r="AK29" s="122">
        <v>0.0</v>
      </c>
      <c r="AL29" s="122">
        <v>31.0</v>
      </c>
      <c r="AM29" s="122" t="s">
        <v>198</v>
      </c>
      <c r="AN29" s="122">
        <v>34.0</v>
      </c>
      <c r="AO29" s="122">
        <v>40.0</v>
      </c>
    </row>
    <row r="30">
      <c r="A30" s="120" t="s">
        <v>186</v>
      </c>
      <c r="B30" s="122">
        <v>0.0</v>
      </c>
      <c r="C30" s="122">
        <v>31.0</v>
      </c>
      <c r="D30" s="122" t="s">
        <v>198</v>
      </c>
      <c r="E30" s="122">
        <v>191.0</v>
      </c>
      <c r="F30" s="122" t="s">
        <v>198</v>
      </c>
      <c r="G30" s="122">
        <v>32.0</v>
      </c>
      <c r="H30" s="122">
        <v>49.0</v>
      </c>
      <c r="I30" s="122">
        <v>38.0</v>
      </c>
      <c r="J30" s="122">
        <v>46.0</v>
      </c>
      <c r="K30" s="122">
        <v>40.0</v>
      </c>
      <c r="L30" s="122" t="s">
        <v>198</v>
      </c>
      <c r="M30" s="122">
        <v>0.0</v>
      </c>
      <c r="N30" s="122" t="s">
        <v>198</v>
      </c>
      <c r="O30" s="122" t="s">
        <v>198</v>
      </c>
      <c r="P30" s="122" t="s">
        <v>198</v>
      </c>
      <c r="Q30" s="122">
        <v>65.0</v>
      </c>
      <c r="R30" s="122">
        <v>23.0</v>
      </c>
      <c r="S30" s="122">
        <v>0.0</v>
      </c>
      <c r="T30" s="122" t="s">
        <v>198</v>
      </c>
      <c r="U30" s="122" t="s">
        <v>198</v>
      </c>
      <c r="V30" s="122" t="s">
        <v>198</v>
      </c>
      <c r="W30" s="122">
        <v>32.0</v>
      </c>
      <c r="X30" s="122">
        <v>23.0</v>
      </c>
      <c r="Y30" s="122">
        <v>96.0</v>
      </c>
      <c r="Z30" s="122" t="s">
        <v>198</v>
      </c>
      <c r="AA30" s="122">
        <v>124.0</v>
      </c>
      <c r="AB30" s="122" t="s">
        <v>198</v>
      </c>
      <c r="AC30" s="122">
        <v>96.0</v>
      </c>
      <c r="AD30" s="122">
        <v>0.0</v>
      </c>
      <c r="AE30" s="122" t="s">
        <v>198</v>
      </c>
      <c r="AF30" s="122">
        <v>42.0</v>
      </c>
      <c r="AG30" s="122" t="s">
        <v>198</v>
      </c>
      <c r="AH30" s="122" t="s">
        <v>198</v>
      </c>
      <c r="AI30" s="122">
        <v>86.0</v>
      </c>
      <c r="AJ30" s="122">
        <v>43.0</v>
      </c>
      <c r="AK30" s="122" t="s">
        <v>198</v>
      </c>
      <c r="AL30" s="122">
        <v>38.0</v>
      </c>
      <c r="AM30" s="122" t="s">
        <v>198</v>
      </c>
      <c r="AN30" s="122">
        <v>34.0</v>
      </c>
      <c r="AO30" s="122">
        <v>59.0</v>
      </c>
    </row>
    <row r="31">
      <c r="A31" s="123" t="s">
        <v>187</v>
      </c>
      <c r="B31" s="122" t="s">
        <v>198</v>
      </c>
      <c r="C31" s="122">
        <v>27.0</v>
      </c>
      <c r="D31" s="122">
        <v>43.0</v>
      </c>
      <c r="E31" s="122">
        <v>196.0</v>
      </c>
      <c r="F31" s="122" t="s">
        <v>198</v>
      </c>
      <c r="G31" s="122">
        <v>17.0</v>
      </c>
      <c r="H31" s="122">
        <v>99.0</v>
      </c>
      <c r="I31" s="122">
        <v>29.0</v>
      </c>
      <c r="J31" s="122">
        <v>38.0</v>
      </c>
      <c r="K31" s="122">
        <v>30.0</v>
      </c>
      <c r="L31" s="122" t="s">
        <v>198</v>
      </c>
      <c r="M31" s="122" t="s">
        <v>198</v>
      </c>
      <c r="N31" s="122" t="s">
        <v>198</v>
      </c>
      <c r="O31" s="122">
        <v>0.0</v>
      </c>
      <c r="P31" s="122" t="s">
        <v>198</v>
      </c>
      <c r="Q31" s="122">
        <v>31.0</v>
      </c>
      <c r="R31" s="122">
        <v>55.0</v>
      </c>
      <c r="S31" s="122">
        <v>0.0</v>
      </c>
      <c r="T31" s="122">
        <v>37.0</v>
      </c>
      <c r="U31" s="122">
        <v>0.0</v>
      </c>
      <c r="V31" s="122" t="s">
        <v>198</v>
      </c>
      <c r="W31" s="122">
        <v>24.0</v>
      </c>
      <c r="X31" s="122">
        <v>23.0</v>
      </c>
      <c r="Y31" s="122">
        <v>102.0</v>
      </c>
      <c r="Z31" s="122" t="s">
        <v>198</v>
      </c>
      <c r="AA31" s="122">
        <v>142.0</v>
      </c>
      <c r="AB31" s="122">
        <v>0.0</v>
      </c>
      <c r="AC31" s="122">
        <v>106.0</v>
      </c>
      <c r="AD31" s="122" t="s">
        <v>198</v>
      </c>
      <c r="AE31" s="122">
        <v>0.0</v>
      </c>
      <c r="AF31" s="122" t="s">
        <v>198</v>
      </c>
      <c r="AG31" s="122" t="s">
        <v>198</v>
      </c>
      <c r="AH31" s="122" t="s">
        <v>198</v>
      </c>
      <c r="AI31" s="122" t="s">
        <v>198</v>
      </c>
      <c r="AJ31" s="122">
        <v>43.0</v>
      </c>
      <c r="AK31" s="122" t="s">
        <v>198</v>
      </c>
      <c r="AL31" s="122">
        <v>73.0</v>
      </c>
      <c r="AM31" s="122" t="s">
        <v>198</v>
      </c>
      <c r="AN31" s="122">
        <v>43.0</v>
      </c>
      <c r="AO31" s="122">
        <v>64.0</v>
      </c>
    </row>
    <row r="32">
      <c r="A32" s="123" t="s">
        <v>188</v>
      </c>
      <c r="B32" s="122" t="s">
        <v>198</v>
      </c>
      <c r="C32" s="122">
        <v>27.0</v>
      </c>
      <c r="D32" s="122" t="s">
        <v>198</v>
      </c>
      <c r="E32" s="122">
        <v>201.0</v>
      </c>
      <c r="F32" s="122">
        <v>0.0</v>
      </c>
      <c r="G32" s="122">
        <v>17.0</v>
      </c>
      <c r="H32" s="122">
        <v>108.0</v>
      </c>
      <c r="I32" s="122">
        <v>32.0</v>
      </c>
      <c r="J32" s="122" t="s">
        <v>198</v>
      </c>
      <c r="K32" s="122">
        <v>32.0</v>
      </c>
      <c r="L32" s="122" t="s">
        <v>198</v>
      </c>
      <c r="M32" s="122" t="s">
        <v>198</v>
      </c>
      <c r="N32" s="122" t="s">
        <v>198</v>
      </c>
      <c r="O32" s="122">
        <v>0.0</v>
      </c>
      <c r="P32" s="122">
        <v>0.0</v>
      </c>
      <c r="Q32" s="122">
        <v>55.0</v>
      </c>
      <c r="R32" s="122">
        <v>55.0</v>
      </c>
      <c r="S32" s="122">
        <v>0.0</v>
      </c>
      <c r="T32" s="122" t="s">
        <v>198</v>
      </c>
      <c r="U32" s="122" t="s">
        <v>198</v>
      </c>
      <c r="V32" s="122" t="s">
        <v>198</v>
      </c>
      <c r="W32" s="122">
        <v>20.0</v>
      </c>
      <c r="X32" s="122">
        <v>19.0</v>
      </c>
      <c r="Y32" s="122">
        <v>80.0</v>
      </c>
      <c r="Z32" s="122" t="s">
        <v>198</v>
      </c>
      <c r="AA32" s="122">
        <v>118.0</v>
      </c>
      <c r="AB32" s="122" t="s">
        <v>198</v>
      </c>
      <c r="AC32" s="122">
        <v>128.0</v>
      </c>
      <c r="AD32" s="122" t="s">
        <v>198</v>
      </c>
      <c r="AE32" s="122" t="s">
        <v>198</v>
      </c>
      <c r="AF32" s="122">
        <v>32.0</v>
      </c>
      <c r="AG32" s="122">
        <v>0.0</v>
      </c>
      <c r="AH32" s="122">
        <v>0.0</v>
      </c>
      <c r="AI32" s="122">
        <v>0.0</v>
      </c>
      <c r="AJ32" s="122">
        <v>33.0</v>
      </c>
      <c r="AK32" s="122">
        <v>0.0</v>
      </c>
      <c r="AL32" s="122">
        <v>31.0</v>
      </c>
      <c r="AM32" s="122" t="s">
        <v>198</v>
      </c>
      <c r="AN32" s="122">
        <v>46.0</v>
      </c>
      <c r="AO32" s="122">
        <v>63.0</v>
      </c>
    </row>
    <row r="33">
      <c r="A33" s="123" t="s">
        <v>189</v>
      </c>
      <c r="B33" s="122" t="s">
        <v>198</v>
      </c>
      <c r="C33" s="122">
        <v>22.0</v>
      </c>
      <c r="D33" s="122" t="s">
        <v>198</v>
      </c>
      <c r="E33" s="122">
        <v>175.0</v>
      </c>
      <c r="F33" s="122" t="s">
        <v>198</v>
      </c>
      <c r="G33" s="122">
        <v>14.0</v>
      </c>
      <c r="H33" s="122">
        <v>47.0</v>
      </c>
      <c r="I33" s="122">
        <v>46.0</v>
      </c>
      <c r="J33" s="122" t="s">
        <v>198</v>
      </c>
      <c r="K33" s="122">
        <v>25.0</v>
      </c>
      <c r="L33" s="122" t="s">
        <v>198</v>
      </c>
      <c r="M33" s="122" t="s">
        <v>198</v>
      </c>
      <c r="N33" s="122" t="s">
        <v>198</v>
      </c>
      <c r="O33" s="122">
        <v>0.0</v>
      </c>
      <c r="P33" s="122" t="s">
        <v>198</v>
      </c>
      <c r="Q33" s="122">
        <v>38.0</v>
      </c>
      <c r="R33" s="122">
        <v>23.0</v>
      </c>
      <c r="S33" s="122">
        <v>0.0</v>
      </c>
      <c r="T33" s="122">
        <v>0.0</v>
      </c>
      <c r="U33" s="122">
        <v>103.0</v>
      </c>
      <c r="V33" s="122" t="s">
        <v>198</v>
      </c>
      <c r="W33" s="122" t="s">
        <v>198</v>
      </c>
      <c r="X33" s="122">
        <v>31.0</v>
      </c>
      <c r="Y33" s="122">
        <v>52.0</v>
      </c>
      <c r="Z33" s="122">
        <v>0.0</v>
      </c>
      <c r="AA33" s="122">
        <v>79.0</v>
      </c>
      <c r="AB33" s="122" t="s">
        <v>198</v>
      </c>
      <c r="AC33" s="122">
        <v>121.0</v>
      </c>
      <c r="AD33" s="122" t="s">
        <v>198</v>
      </c>
      <c r="AE33" s="122" t="s">
        <v>198</v>
      </c>
      <c r="AF33" s="122">
        <v>42.0</v>
      </c>
      <c r="AG33" s="122">
        <v>42.0</v>
      </c>
      <c r="AH33" s="122">
        <v>0.0</v>
      </c>
      <c r="AI33" s="122">
        <v>0.0</v>
      </c>
      <c r="AJ33" s="122">
        <v>27.0</v>
      </c>
      <c r="AK33" s="122">
        <v>0.0</v>
      </c>
      <c r="AL33" s="122">
        <v>48.0</v>
      </c>
      <c r="AM33" s="122">
        <v>0.0</v>
      </c>
      <c r="AN33" s="122">
        <v>46.0</v>
      </c>
      <c r="AO33" s="122">
        <v>55.0</v>
      </c>
    </row>
    <row r="34">
      <c r="A34" s="123" t="s">
        <v>190</v>
      </c>
      <c r="B34" s="122">
        <v>0.0</v>
      </c>
      <c r="C34" s="122">
        <v>72.0</v>
      </c>
      <c r="D34" s="122" t="s">
        <v>198</v>
      </c>
      <c r="E34" s="122">
        <v>186.0</v>
      </c>
      <c r="F34" s="122">
        <v>0.0</v>
      </c>
      <c r="G34" s="122">
        <v>26.0</v>
      </c>
      <c r="H34" s="122">
        <v>59.0</v>
      </c>
      <c r="I34" s="122">
        <v>63.0</v>
      </c>
      <c r="J34" s="122">
        <v>69.0</v>
      </c>
      <c r="K34" s="122">
        <v>30.0</v>
      </c>
      <c r="L34" s="122" t="s">
        <v>198</v>
      </c>
      <c r="M34" s="122" t="s">
        <v>198</v>
      </c>
      <c r="N34" s="122" t="s">
        <v>198</v>
      </c>
      <c r="O34" s="122" t="s">
        <v>198</v>
      </c>
      <c r="P34" s="122" t="s">
        <v>198</v>
      </c>
      <c r="Q34" s="122">
        <v>72.0</v>
      </c>
      <c r="R34" s="122">
        <v>32.0</v>
      </c>
      <c r="S34" s="122">
        <v>0.0</v>
      </c>
      <c r="T34" s="122">
        <v>31.0</v>
      </c>
      <c r="U34" s="122">
        <v>58.0</v>
      </c>
      <c r="V34" s="122">
        <v>0.0</v>
      </c>
      <c r="W34" s="122" t="s">
        <v>198</v>
      </c>
      <c r="X34" s="122">
        <v>50.0</v>
      </c>
      <c r="Y34" s="122">
        <v>55.0</v>
      </c>
      <c r="Z34" s="122" t="s">
        <v>198</v>
      </c>
      <c r="AA34" s="122">
        <v>71.0</v>
      </c>
      <c r="AB34" s="122" t="s">
        <v>198</v>
      </c>
      <c r="AC34" s="122">
        <v>120.0</v>
      </c>
      <c r="AD34" s="122">
        <v>0.0</v>
      </c>
      <c r="AE34" s="122" t="s">
        <v>198</v>
      </c>
      <c r="AF34" s="122">
        <v>37.0</v>
      </c>
      <c r="AG34" s="122" t="s">
        <v>198</v>
      </c>
      <c r="AH34" s="122">
        <v>44.0</v>
      </c>
      <c r="AI34" s="122" t="s">
        <v>198</v>
      </c>
      <c r="AJ34" s="122">
        <v>43.0</v>
      </c>
      <c r="AK34" s="122" t="s">
        <v>198</v>
      </c>
      <c r="AL34" s="122" t="s">
        <v>198</v>
      </c>
      <c r="AM34" s="122" t="s">
        <v>198</v>
      </c>
      <c r="AN34" s="122">
        <v>36.0</v>
      </c>
      <c r="AO34" s="122">
        <v>60.0</v>
      </c>
    </row>
    <row r="35">
      <c r="A35" s="123" t="s">
        <v>191</v>
      </c>
      <c r="B35" s="122" t="s">
        <v>198</v>
      </c>
      <c r="C35" s="122">
        <v>31.0</v>
      </c>
      <c r="D35" s="122" t="s">
        <v>198</v>
      </c>
      <c r="E35" s="122">
        <v>108.0</v>
      </c>
      <c r="F35" s="122" t="s">
        <v>198</v>
      </c>
      <c r="G35" s="122">
        <v>26.0</v>
      </c>
      <c r="H35" s="122">
        <v>53.0</v>
      </c>
      <c r="I35" s="122">
        <v>29.0</v>
      </c>
      <c r="J35" s="122">
        <v>54.0</v>
      </c>
      <c r="K35" s="122">
        <v>11.0</v>
      </c>
      <c r="L35" s="122">
        <v>0.0</v>
      </c>
      <c r="M35" s="122" t="s">
        <v>198</v>
      </c>
      <c r="N35" s="122" t="s">
        <v>198</v>
      </c>
      <c r="O35" s="122" t="s">
        <v>198</v>
      </c>
      <c r="P35" s="122">
        <v>0.0</v>
      </c>
      <c r="Q35" s="122">
        <v>48.0</v>
      </c>
      <c r="R35" s="122">
        <v>37.0</v>
      </c>
      <c r="S35" s="122">
        <v>0.0</v>
      </c>
      <c r="T35" s="122" t="s">
        <v>198</v>
      </c>
      <c r="U35" s="122">
        <v>32.0</v>
      </c>
      <c r="V35" s="122">
        <v>0.0</v>
      </c>
      <c r="W35" s="122">
        <v>20.0</v>
      </c>
      <c r="X35" s="122">
        <v>27.0</v>
      </c>
      <c r="Y35" s="122">
        <v>55.0</v>
      </c>
      <c r="Z35" s="122" t="s">
        <v>198</v>
      </c>
      <c r="AA35" s="122">
        <v>56.0</v>
      </c>
      <c r="AB35" s="122">
        <v>29.0</v>
      </c>
      <c r="AC35" s="122">
        <v>104.0</v>
      </c>
      <c r="AD35" s="122" t="s">
        <v>198</v>
      </c>
      <c r="AE35" s="122" t="s">
        <v>198</v>
      </c>
      <c r="AF35" s="122">
        <v>37.0</v>
      </c>
      <c r="AG35" s="122" t="s">
        <v>198</v>
      </c>
      <c r="AH35" s="122">
        <v>32.0</v>
      </c>
      <c r="AI35" s="122" t="s">
        <v>198</v>
      </c>
      <c r="AJ35" s="122">
        <v>16.0</v>
      </c>
      <c r="AK35" s="122" t="s">
        <v>198</v>
      </c>
      <c r="AL35" s="122">
        <v>21.0</v>
      </c>
      <c r="AM35" s="122" t="s">
        <v>198</v>
      </c>
      <c r="AN35" s="122">
        <v>43.0</v>
      </c>
      <c r="AO35" s="122">
        <v>47.0</v>
      </c>
    </row>
    <row r="36">
      <c r="A36" s="123" t="s">
        <v>192</v>
      </c>
      <c r="B36" s="122" t="s">
        <v>198</v>
      </c>
      <c r="C36" s="122" t="s">
        <v>198</v>
      </c>
      <c r="D36" s="122" t="s">
        <v>198</v>
      </c>
      <c r="E36" s="122">
        <v>31.0</v>
      </c>
      <c r="F36" s="122">
        <v>0.0</v>
      </c>
      <c r="G36" s="122" t="s">
        <v>198</v>
      </c>
      <c r="H36" s="122">
        <v>43.0</v>
      </c>
      <c r="I36" s="122">
        <v>43.0</v>
      </c>
      <c r="J36" s="122">
        <v>0.0</v>
      </c>
      <c r="K36" s="122">
        <v>21.0</v>
      </c>
      <c r="L36" s="122">
        <v>0.0</v>
      </c>
      <c r="M36" s="122" t="s">
        <v>198</v>
      </c>
      <c r="N36" s="122" t="s">
        <v>198</v>
      </c>
      <c r="O36" s="122">
        <v>0.0</v>
      </c>
      <c r="P36" s="122" t="s">
        <v>198</v>
      </c>
      <c r="Q36" s="122">
        <v>44.0</v>
      </c>
      <c r="R36" s="122">
        <v>28.0</v>
      </c>
      <c r="S36" s="122">
        <v>0.0</v>
      </c>
      <c r="T36" s="122" t="s">
        <v>198</v>
      </c>
      <c r="U36" s="122" t="s">
        <v>198</v>
      </c>
      <c r="V36" s="122">
        <v>0.0</v>
      </c>
      <c r="W36" s="122">
        <v>24.0</v>
      </c>
      <c r="X36" s="122">
        <v>19.0</v>
      </c>
      <c r="Y36" s="122">
        <v>83.0</v>
      </c>
      <c r="Z36" s="122" t="s">
        <v>198</v>
      </c>
      <c r="AA36" s="122">
        <v>53.0</v>
      </c>
      <c r="AB36" s="122" t="s">
        <v>198</v>
      </c>
      <c r="AC36" s="122">
        <v>98.0</v>
      </c>
      <c r="AD36" s="122">
        <v>0.0</v>
      </c>
      <c r="AE36" s="122" t="s">
        <v>198</v>
      </c>
      <c r="AF36" s="122">
        <v>28.0</v>
      </c>
      <c r="AG36" s="122">
        <v>0.0</v>
      </c>
      <c r="AH36" s="122">
        <v>38.0</v>
      </c>
      <c r="AI36" s="122" t="s">
        <v>198</v>
      </c>
      <c r="AJ36" s="122">
        <v>31.0</v>
      </c>
      <c r="AK36" s="122">
        <v>0.0</v>
      </c>
      <c r="AL36" s="122" t="s">
        <v>198</v>
      </c>
      <c r="AM36" s="122" t="s">
        <v>198</v>
      </c>
      <c r="AN36" s="122">
        <v>31.0</v>
      </c>
      <c r="AO36" s="122">
        <v>43.0</v>
      </c>
    </row>
    <row r="37">
      <c r="A37" s="123" t="s">
        <v>193</v>
      </c>
      <c r="B37" s="122">
        <v>31.0</v>
      </c>
      <c r="C37" s="122">
        <v>40.0</v>
      </c>
      <c r="D37" s="122">
        <v>43.0</v>
      </c>
      <c r="E37" s="122">
        <v>98.0</v>
      </c>
      <c r="F37" s="122" t="s">
        <v>198</v>
      </c>
      <c r="G37" s="122">
        <v>14.0</v>
      </c>
      <c r="H37" s="122">
        <v>43.0</v>
      </c>
      <c r="I37" s="122">
        <v>84.0</v>
      </c>
      <c r="J37" s="122" t="s">
        <v>198</v>
      </c>
      <c r="K37" s="122">
        <v>25.0</v>
      </c>
      <c r="L37" s="122" t="s">
        <v>198</v>
      </c>
      <c r="M37" s="122" t="s">
        <v>198</v>
      </c>
      <c r="N37" s="122" t="s">
        <v>198</v>
      </c>
      <c r="O37" s="122">
        <v>0.0</v>
      </c>
      <c r="P37" s="122">
        <v>0.0</v>
      </c>
      <c r="Q37" s="122">
        <v>31.0</v>
      </c>
      <c r="R37" s="122" t="s">
        <v>198</v>
      </c>
      <c r="S37" s="122">
        <v>0.0</v>
      </c>
      <c r="T37" s="122" t="s">
        <v>198</v>
      </c>
      <c r="U37" s="122" t="s">
        <v>198</v>
      </c>
      <c r="V37" s="122">
        <v>0.0</v>
      </c>
      <c r="W37" s="122">
        <v>52.0</v>
      </c>
      <c r="X37" s="122">
        <v>23.0</v>
      </c>
      <c r="Y37" s="122">
        <v>40.0</v>
      </c>
      <c r="Z37" s="122" t="s">
        <v>198</v>
      </c>
      <c r="AA37" s="122">
        <v>75.0</v>
      </c>
      <c r="AB37" s="122" t="s">
        <v>198</v>
      </c>
      <c r="AC37" s="122">
        <v>80.0</v>
      </c>
      <c r="AD37" s="122">
        <v>0.0</v>
      </c>
      <c r="AE37" s="122" t="s">
        <v>198</v>
      </c>
      <c r="AF37" s="122">
        <v>51.0</v>
      </c>
      <c r="AG37" s="122" t="s">
        <v>198</v>
      </c>
      <c r="AH37" s="122" t="s">
        <v>198</v>
      </c>
      <c r="AI37" s="122">
        <v>0.0</v>
      </c>
      <c r="AJ37" s="122">
        <v>28.0</v>
      </c>
      <c r="AK37" s="122" t="s">
        <v>198</v>
      </c>
      <c r="AL37" s="122">
        <v>35.0</v>
      </c>
      <c r="AM37" s="122">
        <v>22.0</v>
      </c>
      <c r="AN37" s="122">
        <v>39.0</v>
      </c>
      <c r="AO37" s="122">
        <v>45.0</v>
      </c>
    </row>
    <row r="38">
      <c r="A38" s="123" t="s">
        <v>194</v>
      </c>
      <c r="B38" s="122" t="s">
        <v>198</v>
      </c>
      <c r="C38" s="122">
        <v>31.0</v>
      </c>
      <c r="D38" s="122">
        <v>55.0</v>
      </c>
      <c r="E38" s="122">
        <v>114.0</v>
      </c>
      <c r="F38" s="122" t="s">
        <v>198</v>
      </c>
      <c r="G38" s="122">
        <v>58.0</v>
      </c>
      <c r="H38" s="122">
        <v>44.0</v>
      </c>
      <c r="I38" s="122">
        <v>43.0</v>
      </c>
      <c r="J38" s="122" t="s">
        <v>198</v>
      </c>
      <c r="K38" s="122">
        <v>17.0</v>
      </c>
      <c r="L38" s="122" t="s">
        <v>198</v>
      </c>
      <c r="M38" s="122">
        <v>0.0</v>
      </c>
      <c r="N38" s="122">
        <v>0.0</v>
      </c>
      <c r="O38" s="122">
        <v>0.0</v>
      </c>
      <c r="P38" s="122" t="s">
        <v>198</v>
      </c>
      <c r="Q38" s="122">
        <v>72.0</v>
      </c>
      <c r="R38" s="122">
        <v>32.0</v>
      </c>
      <c r="S38" s="122">
        <v>0.0</v>
      </c>
      <c r="T38" s="122">
        <v>0.0</v>
      </c>
      <c r="U38" s="122">
        <v>167.0</v>
      </c>
      <c r="V38" s="122">
        <v>0.0</v>
      </c>
      <c r="W38" s="122">
        <v>20.0</v>
      </c>
      <c r="X38" s="122">
        <v>19.0</v>
      </c>
      <c r="Y38" s="122">
        <v>59.0</v>
      </c>
      <c r="Z38" s="122">
        <v>57.0</v>
      </c>
      <c r="AA38" s="122">
        <v>53.0</v>
      </c>
      <c r="AB38" s="122" t="s">
        <v>198</v>
      </c>
      <c r="AC38" s="122">
        <v>135.0</v>
      </c>
      <c r="AD38" s="122">
        <v>0.0</v>
      </c>
      <c r="AE38" s="122" t="s">
        <v>198</v>
      </c>
      <c r="AF38" s="122">
        <v>42.0</v>
      </c>
      <c r="AG38" s="122">
        <v>16.0</v>
      </c>
      <c r="AH38" s="122">
        <v>32.0</v>
      </c>
      <c r="AI38" s="122" t="s">
        <v>198</v>
      </c>
      <c r="AJ38" s="122">
        <v>41.0</v>
      </c>
      <c r="AK38" s="122" t="s">
        <v>198</v>
      </c>
      <c r="AL38" s="122">
        <v>35.0</v>
      </c>
      <c r="AM38" s="122">
        <v>31.0</v>
      </c>
      <c r="AN38" s="122">
        <v>31.0</v>
      </c>
      <c r="AO38" s="122">
        <v>59.0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199</v>
      </c>
      <c r="B1" s="124"/>
      <c r="C1" s="124"/>
      <c r="D1" s="124"/>
      <c r="E1" s="124"/>
      <c r="F1" s="124"/>
      <c r="G1" s="124"/>
      <c r="H1" s="124"/>
      <c r="I1" s="124"/>
      <c r="J1" s="124"/>
      <c r="K1" s="124"/>
      <c r="L1" s="124"/>
      <c r="M1" s="124"/>
      <c r="N1" s="125"/>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row>
    <row r="2">
      <c r="A2" s="91" t="s">
        <v>200</v>
      </c>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c r="A3" s="91" t="s">
        <v>201</v>
      </c>
      <c r="I3" s="126"/>
      <c r="J3" s="126"/>
      <c r="K3" s="126"/>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row>
    <row r="4">
      <c r="A4" s="91" t="s">
        <v>0</v>
      </c>
      <c r="B4" s="127">
        <v>44097.0</v>
      </c>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row>
    <row r="5">
      <c r="A5" s="95"/>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row>
    <row r="6">
      <c r="A6" s="97" t="s">
        <v>202</v>
      </c>
      <c r="B6" s="98"/>
      <c r="C6" s="98"/>
      <c r="D6" s="98"/>
      <c r="E6" s="98"/>
      <c r="F6" s="98"/>
      <c r="G6" s="98"/>
      <c r="H6" s="98"/>
      <c r="I6" s="98"/>
      <c r="J6" s="98"/>
      <c r="K6" s="35"/>
      <c r="L6" s="128"/>
      <c r="M6" s="128"/>
      <c r="N6" s="128"/>
      <c r="O6" s="128"/>
      <c r="P6" s="128"/>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row>
    <row r="7">
      <c r="A7" s="88"/>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row>
    <row r="8">
      <c r="A8" s="129" t="s">
        <v>125</v>
      </c>
      <c r="B8" s="130" t="s">
        <v>126</v>
      </c>
      <c r="C8" s="130" t="s">
        <v>127</v>
      </c>
      <c r="D8" s="130" t="s">
        <v>128</v>
      </c>
      <c r="E8" s="130" t="s">
        <v>129</v>
      </c>
      <c r="F8" s="130" t="s">
        <v>130</v>
      </c>
      <c r="G8" s="130" t="s">
        <v>131</v>
      </c>
      <c r="H8" s="130" t="s">
        <v>132</v>
      </c>
      <c r="I8" s="130" t="s">
        <v>133</v>
      </c>
      <c r="J8" s="130" t="s">
        <v>134</v>
      </c>
      <c r="K8" s="130" t="s">
        <v>135</v>
      </c>
      <c r="L8" s="130" t="s">
        <v>136</v>
      </c>
      <c r="M8" s="130" t="s">
        <v>137</v>
      </c>
      <c r="N8" s="130" t="s">
        <v>138</v>
      </c>
      <c r="O8" s="130" t="s">
        <v>139</v>
      </c>
      <c r="P8" s="130" t="s">
        <v>140</v>
      </c>
      <c r="Q8" s="130" t="s">
        <v>141</v>
      </c>
      <c r="R8" s="130" t="s">
        <v>142</v>
      </c>
      <c r="S8" s="130" t="s">
        <v>143</v>
      </c>
      <c r="T8" s="130" t="s">
        <v>144</v>
      </c>
      <c r="U8" s="130" t="s">
        <v>145</v>
      </c>
      <c r="V8" s="130" t="s">
        <v>146</v>
      </c>
      <c r="W8" s="130" t="s">
        <v>147</v>
      </c>
      <c r="X8" s="130" t="s">
        <v>148</v>
      </c>
      <c r="Y8" s="130" t="s">
        <v>149</v>
      </c>
      <c r="Z8" s="130" t="s">
        <v>150</v>
      </c>
      <c r="AA8" s="130" t="s">
        <v>151</v>
      </c>
      <c r="AB8" s="130" t="s">
        <v>152</v>
      </c>
      <c r="AC8" s="130" t="s">
        <v>153</v>
      </c>
      <c r="AD8" s="130" t="s">
        <v>154</v>
      </c>
      <c r="AE8" s="130" t="s">
        <v>155</v>
      </c>
      <c r="AF8" s="130" t="s">
        <v>156</v>
      </c>
      <c r="AG8" s="130" t="s">
        <v>157</v>
      </c>
      <c r="AH8" s="130" t="s">
        <v>158</v>
      </c>
      <c r="AI8" s="130" t="s">
        <v>159</v>
      </c>
      <c r="AJ8" s="130" t="s">
        <v>160</v>
      </c>
      <c r="AK8" s="130" t="s">
        <v>161</v>
      </c>
      <c r="AL8" s="130" t="s">
        <v>162</v>
      </c>
      <c r="AM8" s="130" t="s">
        <v>163</v>
      </c>
      <c r="AN8" s="130" t="s">
        <v>164</v>
      </c>
      <c r="AO8" s="130" t="s">
        <v>165</v>
      </c>
      <c r="AP8" s="130" t="s">
        <v>118</v>
      </c>
    </row>
    <row r="9">
      <c r="A9" s="131" t="s">
        <v>166</v>
      </c>
      <c r="B9" s="132" t="s">
        <v>30</v>
      </c>
      <c r="C9" s="132" t="s">
        <v>30</v>
      </c>
      <c r="D9" s="132" t="s">
        <v>30</v>
      </c>
      <c r="E9" s="132" t="s">
        <v>30</v>
      </c>
      <c r="F9" s="132" t="s">
        <v>30</v>
      </c>
      <c r="G9" s="132" t="s">
        <v>30</v>
      </c>
      <c r="H9" s="132" t="s">
        <v>30</v>
      </c>
      <c r="I9" s="132" t="s">
        <v>30</v>
      </c>
      <c r="J9" s="132" t="s">
        <v>30</v>
      </c>
      <c r="K9" s="132" t="s">
        <v>30</v>
      </c>
      <c r="L9" s="132" t="s">
        <v>30</v>
      </c>
      <c r="M9" s="132" t="s">
        <v>30</v>
      </c>
      <c r="N9" s="132" t="s">
        <v>30</v>
      </c>
      <c r="O9" s="132" t="s">
        <v>30</v>
      </c>
      <c r="P9" s="132" t="s">
        <v>30</v>
      </c>
      <c r="Q9" s="132" t="s">
        <v>30</v>
      </c>
      <c r="R9" s="132" t="s">
        <v>30</v>
      </c>
      <c r="S9" s="132" t="s">
        <v>30</v>
      </c>
      <c r="T9" s="132" t="s">
        <v>30</v>
      </c>
      <c r="U9" s="132" t="s">
        <v>30</v>
      </c>
      <c r="V9" s="132" t="s">
        <v>30</v>
      </c>
      <c r="W9" s="132" t="s">
        <v>30</v>
      </c>
      <c r="X9" s="132" t="s">
        <v>30</v>
      </c>
      <c r="Y9" s="132" t="s">
        <v>30</v>
      </c>
      <c r="Z9" s="132" t="s">
        <v>30</v>
      </c>
      <c r="AA9" s="132" t="s">
        <v>30</v>
      </c>
      <c r="AB9" s="132" t="s">
        <v>30</v>
      </c>
      <c r="AC9" s="132" t="s">
        <v>30</v>
      </c>
      <c r="AD9" s="132" t="s">
        <v>30</v>
      </c>
      <c r="AE9" s="132" t="s">
        <v>30</v>
      </c>
      <c r="AF9" s="132" t="s">
        <v>30</v>
      </c>
      <c r="AG9" s="132" t="s">
        <v>30</v>
      </c>
      <c r="AH9" s="132" t="s">
        <v>30</v>
      </c>
      <c r="AI9" s="132" t="s">
        <v>30</v>
      </c>
      <c r="AJ9" s="132" t="s">
        <v>30</v>
      </c>
      <c r="AK9" s="132" t="s">
        <v>30</v>
      </c>
      <c r="AL9" s="132" t="s">
        <v>30</v>
      </c>
      <c r="AM9" s="132" t="s">
        <v>30</v>
      </c>
      <c r="AN9" s="132" t="s">
        <v>30</v>
      </c>
      <c r="AO9" s="132" t="s">
        <v>30</v>
      </c>
      <c r="AP9" s="132" t="s">
        <v>30</v>
      </c>
    </row>
    <row r="10">
      <c r="A10" s="131" t="s">
        <v>167</v>
      </c>
      <c r="B10" s="132" t="s">
        <v>30</v>
      </c>
      <c r="C10" s="132" t="s">
        <v>30</v>
      </c>
      <c r="D10" s="132" t="s">
        <v>30</v>
      </c>
      <c r="E10" s="132" t="s">
        <v>30</v>
      </c>
      <c r="F10" s="132" t="s">
        <v>30</v>
      </c>
      <c r="G10" s="132" t="s">
        <v>30</v>
      </c>
      <c r="H10" s="132" t="s">
        <v>30</v>
      </c>
      <c r="I10" s="132" t="s">
        <v>30</v>
      </c>
      <c r="J10" s="132" t="s">
        <v>30</v>
      </c>
      <c r="K10" s="132" t="s">
        <v>30</v>
      </c>
      <c r="L10" s="132" t="s">
        <v>30</v>
      </c>
      <c r="M10" s="132" t="s">
        <v>30</v>
      </c>
      <c r="N10" s="132" t="s">
        <v>30</v>
      </c>
      <c r="O10" s="132" t="s">
        <v>30</v>
      </c>
      <c r="P10" s="132" t="s">
        <v>30</v>
      </c>
      <c r="Q10" s="132" t="s">
        <v>30</v>
      </c>
      <c r="R10" s="132" t="s">
        <v>30</v>
      </c>
      <c r="S10" s="132" t="s">
        <v>30</v>
      </c>
      <c r="T10" s="132" t="s">
        <v>30</v>
      </c>
      <c r="U10" s="132" t="s">
        <v>30</v>
      </c>
      <c r="V10" s="132" t="s">
        <v>30</v>
      </c>
      <c r="W10" s="132" t="s">
        <v>30</v>
      </c>
      <c r="X10" s="132" t="s">
        <v>30</v>
      </c>
      <c r="Y10" s="132" t="s">
        <v>30</v>
      </c>
      <c r="Z10" s="132" t="s">
        <v>30</v>
      </c>
      <c r="AA10" s="132" t="s">
        <v>30</v>
      </c>
      <c r="AB10" s="132" t="s">
        <v>30</v>
      </c>
      <c r="AC10" s="132" t="s">
        <v>30</v>
      </c>
      <c r="AD10" s="132" t="s">
        <v>30</v>
      </c>
      <c r="AE10" s="132" t="s">
        <v>30</v>
      </c>
      <c r="AF10" s="132" t="s">
        <v>30</v>
      </c>
      <c r="AG10" s="132" t="s">
        <v>30</v>
      </c>
      <c r="AH10" s="132" t="s">
        <v>30</v>
      </c>
      <c r="AI10" s="132" t="s">
        <v>30</v>
      </c>
      <c r="AJ10" s="132" t="s">
        <v>30</v>
      </c>
      <c r="AK10" s="132" t="s">
        <v>30</v>
      </c>
      <c r="AL10" s="132" t="s">
        <v>30</v>
      </c>
      <c r="AM10" s="132" t="s">
        <v>30</v>
      </c>
      <c r="AN10" s="132" t="s">
        <v>30</v>
      </c>
      <c r="AO10" s="132" t="s">
        <v>30</v>
      </c>
      <c r="AP10" s="132" t="s">
        <v>30</v>
      </c>
    </row>
    <row r="11">
      <c r="A11" s="131" t="s">
        <v>168</v>
      </c>
      <c r="B11" s="132" t="s">
        <v>30</v>
      </c>
      <c r="C11" s="132" t="s">
        <v>30</v>
      </c>
      <c r="D11" s="132" t="s">
        <v>30</v>
      </c>
      <c r="E11" s="132" t="s">
        <v>30</v>
      </c>
      <c r="F11" s="132" t="s">
        <v>30</v>
      </c>
      <c r="G11" s="132" t="s">
        <v>30</v>
      </c>
      <c r="H11" s="132" t="s">
        <v>30</v>
      </c>
      <c r="I11" s="132" t="s">
        <v>30</v>
      </c>
      <c r="J11" s="132" t="s">
        <v>30</v>
      </c>
      <c r="K11" s="132" t="s">
        <v>30</v>
      </c>
      <c r="L11" s="132" t="s">
        <v>30</v>
      </c>
      <c r="M11" s="132" t="s">
        <v>30</v>
      </c>
      <c r="N11" s="132" t="s">
        <v>30</v>
      </c>
      <c r="O11" s="132" t="s">
        <v>30</v>
      </c>
      <c r="P11" s="132" t="s">
        <v>30</v>
      </c>
      <c r="Q11" s="132" t="s">
        <v>30</v>
      </c>
      <c r="R11" s="132" t="s">
        <v>30</v>
      </c>
      <c r="S11" s="132" t="s">
        <v>30</v>
      </c>
      <c r="T11" s="132" t="s">
        <v>30</v>
      </c>
      <c r="U11" s="132" t="s">
        <v>30</v>
      </c>
      <c r="V11" s="132" t="s">
        <v>30</v>
      </c>
      <c r="W11" s="132" t="s">
        <v>30</v>
      </c>
      <c r="X11" s="132" t="s">
        <v>30</v>
      </c>
      <c r="Y11" s="132" t="s">
        <v>30</v>
      </c>
      <c r="Z11" s="132" t="s">
        <v>30</v>
      </c>
      <c r="AA11" s="132" t="s">
        <v>30</v>
      </c>
      <c r="AB11" s="132" t="s">
        <v>30</v>
      </c>
      <c r="AC11" s="132" t="s">
        <v>30</v>
      </c>
      <c r="AD11" s="132" t="s">
        <v>30</v>
      </c>
      <c r="AE11" s="132" t="s">
        <v>30</v>
      </c>
      <c r="AF11" s="132" t="s">
        <v>30</v>
      </c>
      <c r="AG11" s="132" t="s">
        <v>30</v>
      </c>
      <c r="AH11" s="132" t="s">
        <v>30</v>
      </c>
      <c r="AI11" s="132" t="s">
        <v>30</v>
      </c>
      <c r="AJ11" s="132" t="s">
        <v>30</v>
      </c>
      <c r="AK11" s="132" t="s">
        <v>30</v>
      </c>
      <c r="AL11" s="132" t="s">
        <v>30</v>
      </c>
      <c r="AM11" s="132" t="s">
        <v>30</v>
      </c>
      <c r="AN11" s="132" t="s">
        <v>30</v>
      </c>
      <c r="AO11" s="132" t="s">
        <v>30</v>
      </c>
      <c r="AP11" s="132" t="s">
        <v>30</v>
      </c>
    </row>
    <row r="12">
      <c r="A12" s="131" t="s">
        <v>169</v>
      </c>
      <c r="B12" s="132" t="s">
        <v>30</v>
      </c>
      <c r="C12" s="132" t="s">
        <v>30</v>
      </c>
      <c r="D12" s="132" t="s">
        <v>30</v>
      </c>
      <c r="E12" s="132" t="s">
        <v>30</v>
      </c>
      <c r="F12" s="132" t="s">
        <v>30</v>
      </c>
      <c r="G12" s="132" t="s">
        <v>30</v>
      </c>
      <c r="H12" s="132" t="s">
        <v>30</v>
      </c>
      <c r="I12" s="132" t="s">
        <v>30</v>
      </c>
      <c r="J12" s="132" t="s">
        <v>30</v>
      </c>
      <c r="K12" s="132" t="s">
        <v>30</v>
      </c>
      <c r="L12" s="132" t="s">
        <v>30</v>
      </c>
      <c r="M12" s="132" t="s">
        <v>30</v>
      </c>
      <c r="N12" s="132" t="s">
        <v>30</v>
      </c>
      <c r="O12" s="132" t="s">
        <v>30</v>
      </c>
      <c r="P12" s="132" t="s">
        <v>30</v>
      </c>
      <c r="Q12" s="132" t="s">
        <v>30</v>
      </c>
      <c r="R12" s="132" t="s">
        <v>30</v>
      </c>
      <c r="S12" s="132" t="s">
        <v>30</v>
      </c>
      <c r="T12" s="132" t="s">
        <v>30</v>
      </c>
      <c r="U12" s="132" t="s">
        <v>30</v>
      </c>
      <c r="V12" s="132" t="s">
        <v>30</v>
      </c>
      <c r="W12" s="132" t="s">
        <v>30</v>
      </c>
      <c r="X12" s="132" t="s">
        <v>30</v>
      </c>
      <c r="Y12" s="132" t="s">
        <v>30</v>
      </c>
      <c r="Z12" s="132" t="s">
        <v>30</v>
      </c>
      <c r="AA12" s="132" t="s">
        <v>30</v>
      </c>
      <c r="AB12" s="132" t="s">
        <v>30</v>
      </c>
      <c r="AC12" s="132" t="s">
        <v>30</v>
      </c>
      <c r="AD12" s="132" t="s">
        <v>30</v>
      </c>
      <c r="AE12" s="132" t="s">
        <v>30</v>
      </c>
      <c r="AF12" s="132" t="s">
        <v>30</v>
      </c>
      <c r="AG12" s="132" t="s">
        <v>30</v>
      </c>
      <c r="AH12" s="132" t="s">
        <v>30</v>
      </c>
      <c r="AI12" s="132" t="s">
        <v>30</v>
      </c>
      <c r="AJ12" s="132" t="s">
        <v>30</v>
      </c>
      <c r="AK12" s="132" t="s">
        <v>30</v>
      </c>
      <c r="AL12" s="132" t="s">
        <v>30</v>
      </c>
      <c r="AM12" s="132" t="s">
        <v>30</v>
      </c>
      <c r="AN12" s="132" t="s">
        <v>30</v>
      </c>
      <c r="AO12" s="132" t="s">
        <v>30</v>
      </c>
      <c r="AP12" s="132" t="s">
        <v>30</v>
      </c>
    </row>
    <row r="13">
      <c r="A13" s="131" t="s">
        <v>170</v>
      </c>
      <c r="B13" s="132" t="s">
        <v>30</v>
      </c>
      <c r="C13" s="132" t="s">
        <v>30</v>
      </c>
      <c r="D13" s="132" t="s">
        <v>30</v>
      </c>
      <c r="E13" s="132" t="s">
        <v>30</v>
      </c>
      <c r="F13" s="132" t="s">
        <v>30</v>
      </c>
      <c r="G13" s="132" t="s">
        <v>30</v>
      </c>
      <c r="H13" s="132" t="s">
        <v>30</v>
      </c>
      <c r="I13" s="132" t="s">
        <v>30</v>
      </c>
      <c r="J13" s="132" t="s">
        <v>30</v>
      </c>
      <c r="K13" s="132" t="s">
        <v>30</v>
      </c>
      <c r="L13" s="132" t="s">
        <v>30</v>
      </c>
      <c r="M13" s="132" t="s">
        <v>30</v>
      </c>
      <c r="N13" s="132" t="s">
        <v>30</v>
      </c>
      <c r="O13" s="132" t="s">
        <v>30</v>
      </c>
      <c r="P13" s="132" t="s">
        <v>30</v>
      </c>
      <c r="Q13" s="132" t="s">
        <v>30</v>
      </c>
      <c r="R13" s="132" t="s">
        <v>30</v>
      </c>
      <c r="S13" s="132" t="s">
        <v>30</v>
      </c>
      <c r="T13" s="132" t="s">
        <v>30</v>
      </c>
      <c r="U13" s="132" t="s">
        <v>30</v>
      </c>
      <c r="V13" s="132" t="s">
        <v>30</v>
      </c>
      <c r="W13" s="132" t="s">
        <v>30</v>
      </c>
      <c r="X13" s="132" t="s">
        <v>30</v>
      </c>
      <c r="Y13" s="132" t="s">
        <v>30</v>
      </c>
      <c r="Z13" s="132" t="s">
        <v>30</v>
      </c>
      <c r="AA13" s="132" t="s">
        <v>30</v>
      </c>
      <c r="AB13" s="132" t="s">
        <v>30</v>
      </c>
      <c r="AC13" s="132" t="s">
        <v>30</v>
      </c>
      <c r="AD13" s="132" t="s">
        <v>30</v>
      </c>
      <c r="AE13" s="132" t="s">
        <v>30</v>
      </c>
      <c r="AF13" s="132" t="s">
        <v>30</v>
      </c>
      <c r="AG13" s="132" t="s">
        <v>30</v>
      </c>
      <c r="AH13" s="132" t="s">
        <v>30</v>
      </c>
      <c r="AI13" s="132" t="s">
        <v>30</v>
      </c>
      <c r="AJ13" s="132" t="s">
        <v>30</v>
      </c>
      <c r="AK13" s="132" t="s">
        <v>30</v>
      </c>
      <c r="AL13" s="132" t="s">
        <v>30</v>
      </c>
      <c r="AM13" s="132" t="s">
        <v>30</v>
      </c>
      <c r="AN13" s="132" t="s">
        <v>30</v>
      </c>
      <c r="AO13" s="132" t="s">
        <v>30</v>
      </c>
      <c r="AP13" s="132" t="s">
        <v>30</v>
      </c>
    </row>
    <row r="14">
      <c r="A14" s="131" t="s">
        <v>171</v>
      </c>
      <c r="B14" s="132" t="s">
        <v>30</v>
      </c>
      <c r="C14" s="132" t="s">
        <v>30</v>
      </c>
      <c r="D14" s="132" t="s">
        <v>30</v>
      </c>
      <c r="E14" s="132" t="s">
        <v>30</v>
      </c>
      <c r="F14" s="132" t="s">
        <v>30</v>
      </c>
      <c r="G14" s="132" t="s">
        <v>30</v>
      </c>
      <c r="H14" s="132" t="s">
        <v>30</v>
      </c>
      <c r="I14" s="132" t="s">
        <v>30</v>
      </c>
      <c r="J14" s="132" t="s">
        <v>30</v>
      </c>
      <c r="K14" s="132" t="s">
        <v>30</v>
      </c>
      <c r="L14" s="132" t="s">
        <v>30</v>
      </c>
      <c r="M14" s="132" t="s">
        <v>30</v>
      </c>
      <c r="N14" s="132" t="s">
        <v>30</v>
      </c>
      <c r="O14" s="132" t="s">
        <v>30</v>
      </c>
      <c r="P14" s="132" t="s">
        <v>30</v>
      </c>
      <c r="Q14" s="132" t="s">
        <v>30</v>
      </c>
      <c r="R14" s="132" t="s">
        <v>30</v>
      </c>
      <c r="S14" s="132" t="s">
        <v>30</v>
      </c>
      <c r="T14" s="132" t="s">
        <v>30</v>
      </c>
      <c r="U14" s="132" t="s">
        <v>30</v>
      </c>
      <c r="V14" s="132" t="s">
        <v>30</v>
      </c>
      <c r="W14" s="132" t="s">
        <v>30</v>
      </c>
      <c r="X14" s="132" t="s">
        <v>30</v>
      </c>
      <c r="Y14" s="132" t="s">
        <v>30</v>
      </c>
      <c r="Z14" s="132" t="s">
        <v>30</v>
      </c>
      <c r="AA14" s="132" t="s">
        <v>30</v>
      </c>
      <c r="AB14" s="132" t="s">
        <v>30</v>
      </c>
      <c r="AC14" s="132" t="s">
        <v>30</v>
      </c>
      <c r="AD14" s="132" t="s">
        <v>30</v>
      </c>
      <c r="AE14" s="132" t="s">
        <v>30</v>
      </c>
      <c r="AF14" s="132" t="s">
        <v>30</v>
      </c>
      <c r="AG14" s="132" t="s">
        <v>30</v>
      </c>
      <c r="AH14" s="132" t="s">
        <v>30</v>
      </c>
      <c r="AI14" s="132" t="s">
        <v>30</v>
      </c>
      <c r="AJ14" s="132" t="s">
        <v>30</v>
      </c>
      <c r="AK14" s="132" t="s">
        <v>30</v>
      </c>
      <c r="AL14" s="132" t="s">
        <v>30</v>
      </c>
      <c r="AM14" s="132" t="s">
        <v>30</v>
      </c>
      <c r="AN14" s="132" t="s">
        <v>30</v>
      </c>
      <c r="AO14" s="132" t="s">
        <v>30</v>
      </c>
      <c r="AP14" s="132" t="s">
        <v>30</v>
      </c>
    </row>
    <row r="15">
      <c r="A15" s="131" t="s">
        <v>172</v>
      </c>
      <c r="B15" s="132" t="s">
        <v>30</v>
      </c>
      <c r="C15" s="132" t="s">
        <v>30</v>
      </c>
      <c r="D15" s="132" t="s">
        <v>30</v>
      </c>
      <c r="E15" s="132" t="s">
        <v>30</v>
      </c>
      <c r="F15" s="132" t="s">
        <v>30</v>
      </c>
      <c r="G15" s="132" t="s">
        <v>30</v>
      </c>
      <c r="H15" s="132" t="s">
        <v>30</v>
      </c>
      <c r="I15" s="132" t="s">
        <v>30</v>
      </c>
      <c r="J15" s="132" t="s">
        <v>30</v>
      </c>
      <c r="K15" s="132" t="s">
        <v>30</v>
      </c>
      <c r="L15" s="132" t="s">
        <v>30</v>
      </c>
      <c r="M15" s="132" t="s">
        <v>30</v>
      </c>
      <c r="N15" s="132" t="s">
        <v>30</v>
      </c>
      <c r="O15" s="132" t="s">
        <v>30</v>
      </c>
      <c r="P15" s="132" t="s">
        <v>30</v>
      </c>
      <c r="Q15" s="132" t="s">
        <v>30</v>
      </c>
      <c r="R15" s="132" t="s">
        <v>30</v>
      </c>
      <c r="S15" s="132" t="s">
        <v>30</v>
      </c>
      <c r="T15" s="132" t="s">
        <v>30</v>
      </c>
      <c r="U15" s="132" t="s">
        <v>30</v>
      </c>
      <c r="V15" s="132" t="s">
        <v>30</v>
      </c>
      <c r="W15" s="132" t="s">
        <v>30</v>
      </c>
      <c r="X15" s="132" t="s">
        <v>30</v>
      </c>
      <c r="Y15" s="132" t="s">
        <v>30</v>
      </c>
      <c r="Z15" s="132" t="s">
        <v>30</v>
      </c>
      <c r="AA15" s="132" t="s">
        <v>30</v>
      </c>
      <c r="AB15" s="132" t="s">
        <v>30</v>
      </c>
      <c r="AC15" s="132" t="s">
        <v>30</v>
      </c>
      <c r="AD15" s="132" t="s">
        <v>30</v>
      </c>
      <c r="AE15" s="132" t="s">
        <v>30</v>
      </c>
      <c r="AF15" s="132" t="s">
        <v>30</v>
      </c>
      <c r="AG15" s="132" t="s">
        <v>30</v>
      </c>
      <c r="AH15" s="132" t="s">
        <v>30</v>
      </c>
      <c r="AI15" s="132" t="s">
        <v>30</v>
      </c>
      <c r="AJ15" s="132" t="s">
        <v>30</v>
      </c>
      <c r="AK15" s="132" t="s">
        <v>30</v>
      </c>
      <c r="AL15" s="132" t="s">
        <v>30</v>
      </c>
      <c r="AM15" s="132" t="s">
        <v>30</v>
      </c>
      <c r="AN15" s="132" t="s">
        <v>30</v>
      </c>
      <c r="AO15" s="132" t="s">
        <v>30</v>
      </c>
      <c r="AP15" s="132" t="s">
        <v>30</v>
      </c>
    </row>
    <row r="16">
      <c r="A16" s="131" t="s">
        <v>173</v>
      </c>
      <c r="B16" s="132" t="s">
        <v>30</v>
      </c>
      <c r="C16" s="132" t="s">
        <v>30</v>
      </c>
      <c r="D16" s="132" t="s">
        <v>30</v>
      </c>
      <c r="E16" s="132" t="s">
        <v>30</v>
      </c>
      <c r="F16" s="132" t="s">
        <v>30</v>
      </c>
      <c r="G16" s="132" t="s">
        <v>30</v>
      </c>
      <c r="H16" s="132" t="s">
        <v>30</v>
      </c>
      <c r="I16" s="132" t="s">
        <v>30</v>
      </c>
      <c r="J16" s="132" t="s">
        <v>30</v>
      </c>
      <c r="K16" s="132" t="s">
        <v>30</v>
      </c>
      <c r="L16" s="132" t="s">
        <v>30</v>
      </c>
      <c r="M16" s="132" t="s">
        <v>30</v>
      </c>
      <c r="N16" s="132" t="s">
        <v>30</v>
      </c>
      <c r="O16" s="132" t="s">
        <v>30</v>
      </c>
      <c r="P16" s="132" t="s">
        <v>30</v>
      </c>
      <c r="Q16" s="132" t="s">
        <v>30</v>
      </c>
      <c r="R16" s="132" t="s">
        <v>30</v>
      </c>
      <c r="S16" s="132" t="s">
        <v>30</v>
      </c>
      <c r="T16" s="132" t="s">
        <v>30</v>
      </c>
      <c r="U16" s="132" t="s">
        <v>30</v>
      </c>
      <c r="V16" s="132" t="s">
        <v>30</v>
      </c>
      <c r="W16" s="132" t="s">
        <v>30</v>
      </c>
      <c r="X16" s="132" t="s">
        <v>30</v>
      </c>
      <c r="Y16" s="132" t="s">
        <v>30</v>
      </c>
      <c r="Z16" s="132" t="s">
        <v>30</v>
      </c>
      <c r="AA16" s="132" t="s">
        <v>30</v>
      </c>
      <c r="AB16" s="132" t="s">
        <v>30</v>
      </c>
      <c r="AC16" s="132" t="s">
        <v>30</v>
      </c>
      <c r="AD16" s="132" t="s">
        <v>30</v>
      </c>
      <c r="AE16" s="132" t="s">
        <v>30</v>
      </c>
      <c r="AF16" s="132" t="s">
        <v>30</v>
      </c>
      <c r="AG16" s="132" t="s">
        <v>30</v>
      </c>
      <c r="AH16" s="132" t="s">
        <v>30</v>
      </c>
      <c r="AI16" s="132" t="s">
        <v>30</v>
      </c>
      <c r="AJ16" s="132" t="s">
        <v>30</v>
      </c>
      <c r="AK16" s="132" t="s">
        <v>30</v>
      </c>
      <c r="AL16" s="132" t="s">
        <v>30</v>
      </c>
      <c r="AM16" s="132" t="s">
        <v>30</v>
      </c>
      <c r="AN16" s="132" t="s">
        <v>30</v>
      </c>
      <c r="AO16" s="132" t="s">
        <v>30</v>
      </c>
      <c r="AP16" s="132" t="s">
        <v>30</v>
      </c>
    </row>
    <row r="17">
      <c r="A17" s="131" t="s">
        <v>174</v>
      </c>
      <c r="B17" s="133">
        <v>128.0</v>
      </c>
      <c r="C17" s="133">
        <v>196.0</v>
      </c>
      <c r="D17" s="133">
        <v>191.0</v>
      </c>
      <c r="E17" s="133">
        <v>590.0</v>
      </c>
      <c r="F17" s="133">
        <v>48.0</v>
      </c>
      <c r="G17" s="133">
        <v>275.0</v>
      </c>
      <c r="H17" s="134">
        <v>1063.0</v>
      </c>
      <c r="I17" s="133">
        <v>426.0</v>
      </c>
      <c r="J17" s="133">
        <v>150.0</v>
      </c>
      <c r="K17" s="133">
        <v>749.0</v>
      </c>
      <c r="L17" s="133">
        <v>56.0</v>
      </c>
      <c r="M17" s="133">
        <v>39.0</v>
      </c>
      <c r="N17" s="133">
        <v>72.0</v>
      </c>
      <c r="O17" s="133">
        <v>56.0</v>
      </c>
      <c r="P17" s="133">
        <v>35.0</v>
      </c>
      <c r="Q17" s="133">
        <v>352.0</v>
      </c>
      <c r="R17" s="133">
        <v>259.0</v>
      </c>
      <c r="S17" s="133">
        <v>17.0</v>
      </c>
      <c r="T17" s="133">
        <v>170.0</v>
      </c>
      <c r="U17" s="133">
        <v>93.0</v>
      </c>
      <c r="V17" s="133">
        <v>5.0</v>
      </c>
      <c r="W17" s="133">
        <v>214.0</v>
      </c>
      <c r="X17" s="133">
        <v>239.0</v>
      </c>
      <c r="Y17" s="133">
        <v>580.0</v>
      </c>
      <c r="Z17" s="133">
        <v>144.0</v>
      </c>
      <c r="AA17" s="134">
        <v>1299.0</v>
      </c>
      <c r="AB17" s="133">
        <v>127.0</v>
      </c>
      <c r="AC17" s="134">
        <v>3549.0</v>
      </c>
      <c r="AD17" s="133">
        <v>43.0</v>
      </c>
      <c r="AE17" s="133">
        <v>114.0</v>
      </c>
      <c r="AF17" s="133">
        <v>200.0</v>
      </c>
      <c r="AG17" s="133">
        <v>169.0</v>
      </c>
      <c r="AH17" s="133">
        <v>142.0</v>
      </c>
      <c r="AI17" s="133">
        <v>114.0</v>
      </c>
      <c r="AJ17" s="133">
        <v>767.0</v>
      </c>
      <c r="AK17" s="133">
        <v>38.0</v>
      </c>
      <c r="AL17" s="133">
        <v>293.0</v>
      </c>
      <c r="AM17" s="133">
        <v>95.0</v>
      </c>
      <c r="AN17" s="133">
        <v>507.0</v>
      </c>
      <c r="AO17" s="133">
        <v>772.0</v>
      </c>
      <c r="AP17" s="135">
        <v>14376.0</v>
      </c>
    </row>
    <row r="18">
      <c r="A18" s="131" t="s">
        <v>175</v>
      </c>
      <c r="B18" s="133">
        <v>109.0</v>
      </c>
      <c r="C18" s="133">
        <v>231.0</v>
      </c>
      <c r="D18" s="133">
        <v>139.0</v>
      </c>
      <c r="E18" s="133">
        <v>653.0</v>
      </c>
      <c r="F18" s="133">
        <v>63.0</v>
      </c>
      <c r="G18" s="133">
        <v>323.0</v>
      </c>
      <c r="H18" s="134">
        <v>1155.0</v>
      </c>
      <c r="I18" s="133">
        <v>343.0</v>
      </c>
      <c r="J18" s="133">
        <v>151.0</v>
      </c>
      <c r="K18" s="133">
        <v>745.0</v>
      </c>
      <c r="L18" s="133">
        <v>40.0</v>
      </c>
      <c r="M18" s="133">
        <v>25.0</v>
      </c>
      <c r="N18" s="133">
        <v>76.0</v>
      </c>
      <c r="O18" s="133">
        <v>55.0</v>
      </c>
      <c r="P18" s="133">
        <v>49.0</v>
      </c>
      <c r="Q18" s="133">
        <v>431.0</v>
      </c>
      <c r="R18" s="133">
        <v>302.0</v>
      </c>
      <c r="S18" s="133">
        <v>22.0</v>
      </c>
      <c r="T18" s="133">
        <v>162.0</v>
      </c>
      <c r="U18" s="133">
        <v>78.0</v>
      </c>
      <c r="V18" s="133">
        <v>7.0</v>
      </c>
      <c r="W18" s="133">
        <v>225.0</v>
      </c>
      <c r="X18" s="133">
        <v>229.0</v>
      </c>
      <c r="Y18" s="133">
        <v>572.0</v>
      </c>
      <c r="Z18" s="133">
        <v>104.0</v>
      </c>
      <c r="AA18" s="134">
        <v>1499.0</v>
      </c>
      <c r="AB18" s="133">
        <v>123.0</v>
      </c>
      <c r="AC18" s="134">
        <v>3837.0</v>
      </c>
      <c r="AD18" s="133">
        <v>51.0</v>
      </c>
      <c r="AE18" s="133">
        <v>116.0</v>
      </c>
      <c r="AF18" s="133">
        <v>189.0</v>
      </c>
      <c r="AG18" s="133">
        <v>238.0</v>
      </c>
      <c r="AH18" s="133">
        <v>173.0</v>
      </c>
      <c r="AI18" s="133">
        <v>152.0</v>
      </c>
      <c r="AJ18" s="133">
        <v>913.0</v>
      </c>
      <c r="AK18" s="133">
        <v>53.0</v>
      </c>
      <c r="AL18" s="133">
        <v>331.0</v>
      </c>
      <c r="AM18" s="133">
        <v>188.0</v>
      </c>
      <c r="AN18" s="133">
        <v>497.0</v>
      </c>
      <c r="AO18" s="133">
        <v>885.0</v>
      </c>
      <c r="AP18" s="135">
        <v>15534.0</v>
      </c>
    </row>
    <row r="19">
      <c r="A19" s="131" t="s">
        <v>176</v>
      </c>
      <c r="B19" s="133">
        <v>121.0</v>
      </c>
      <c r="C19" s="133">
        <v>212.0</v>
      </c>
      <c r="D19" s="133">
        <v>249.0</v>
      </c>
      <c r="E19" s="133">
        <v>608.0</v>
      </c>
      <c r="F19" s="133">
        <v>106.0</v>
      </c>
      <c r="G19" s="133">
        <v>473.0</v>
      </c>
      <c r="H19" s="134">
        <v>1153.0</v>
      </c>
      <c r="I19" s="133">
        <v>379.0</v>
      </c>
      <c r="J19" s="133">
        <v>208.0</v>
      </c>
      <c r="K19" s="133">
        <v>788.0</v>
      </c>
      <c r="L19" s="133">
        <v>49.0</v>
      </c>
      <c r="M19" s="133">
        <v>48.0</v>
      </c>
      <c r="N19" s="133">
        <v>103.0</v>
      </c>
      <c r="O19" s="133">
        <v>131.0</v>
      </c>
      <c r="P19" s="133">
        <v>45.0</v>
      </c>
      <c r="Q19" s="133">
        <v>434.0</v>
      </c>
      <c r="R19" s="133">
        <v>305.0</v>
      </c>
      <c r="S19" s="133">
        <v>28.0</v>
      </c>
      <c r="T19" s="133">
        <v>295.0</v>
      </c>
      <c r="U19" s="133">
        <v>131.0</v>
      </c>
      <c r="V19" s="133" t="s">
        <v>47</v>
      </c>
      <c r="W19" s="133">
        <v>281.0</v>
      </c>
      <c r="X19" s="133">
        <v>311.0</v>
      </c>
      <c r="Y19" s="133">
        <v>637.0</v>
      </c>
      <c r="Z19" s="133">
        <v>293.0</v>
      </c>
      <c r="AA19" s="134">
        <v>1424.0</v>
      </c>
      <c r="AB19" s="133">
        <v>154.0</v>
      </c>
      <c r="AC19" s="134">
        <v>3982.0</v>
      </c>
      <c r="AD19" s="133">
        <v>65.0</v>
      </c>
      <c r="AE19" s="133">
        <v>137.0</v>
      </c>
      <c r="AF19" s="133">
        <v>222.0</v>
      </c>
      <c r="AG19" s="133">
        <v>276.0</v>
      </c>
      <c r="AH19" s="133">
        <v>137.0</v>
      </c>
      <c r="AI19" s="133">
        <v>169.0</v>
      </c>
      <c r="AJ19" s="133">
        <v>990.0</v>
      </c>
      <c r="AK19" s="133">
        <v>55.0</v>
      </c>
      <c r="AL19" s="133">
        <v>341.0</v>
      </c>
      <c r="AM19" s="133">
        <v>378.0</v>
      </c>
      <c r="AN19" s="133">
        <v>530.0</v>
      </c>
      <c r="AO19" s="133">
        <v>776.0</v>
      </c>
      <c r="AP19" s="135">
        <v>17028.0</v>
      </c>
    </row>
    <row r="20">
      <c r="A20" s="131" t="s">
        <v>177</v>
      </c>
      <c r="B20" s="133">
        <v>134.0</v>
      </c>
      <c r="C20" s="133">
        <v>281.0</v>
      </c>
      <c r="D20" s="133">
        <v>227.0</v>
      </c>
      <c r="E20" s="133">
        <v>526.0</v>
      </c>
      <c r="F20" s="133">
        <v>74.0</v>
      </c>
      <c r="G20" s="133">
        <v>406.0</v>
      </c>
      <c r="H20" s="134">
        <v>1281.0</v>
      </c>
      <c r="I20" s="133">
        <v>433.0</v>
      </c>
      <c r="J20" s="133">
        <v>247.0</v>
      </c>
      <c r="K20" s="133">
        <v>744.0</v>
      </c>
      <c r="L20" s="133">
        <v>53.0</v>
      </c>
      <c r="M20" s="133">
        <v>72.0</v>
      </c>
      <c r="N20" s="133">
        <v>133.0</v>
      </c>
      <c r="O20" s="133">
        <v>68.0</v>
      </c>
      <c r="P20" s="133">
        <v>80.0</v>
      </c>
      <c r="Q20" s="133">
        <v>418.0</v>
      </c>
      <c r="R20" s="133">
        <v>314.0</v>
      </c>
      <c r="S20" s="133">
        <v>34.0</v>
      </c>
      <c r="T20" s="133">
        <v>271.0</v>
      </c>
      <c r="U20" s="133">
        <v>117.0</v>
      </c>
      <c r="V20" s="133">
        <v>6.0</v>
      </c>
      <c r="W20" s="133">
        <v>383.0</v>
      </c>
      <c r="X20" s="133">
        <v>290.0</v>
      </c>
      <c r="Y20" s="133">
        <v>582.0</v>
      </c>
      <c r="Z20" s="133">
        <v>170.0</v>
      </c>
      <c r="AA20" s="134">
        <v>1568.0</v>
      </c>
      <c r="AB20" s="133">
        <v>150.0</v>
      </c>
      <c r="AC20" s="134">
        <v>4064.0</v>
      </c>
      <c r="AD20" s="133">
        <v>57.0</v>
      </c>
      <c r="AE20" s="133">
        <v>125.0</v>
      </c>
      <c r="AF20" s="133">
        <v>220.0</v>
      </c>
      <c r="AG20" s="133">
        <v>282.0</v>
      </c>
      <c r="AH20" s="133">
        <v>171.0</v>
      </c>
      <c r="AI20" s="133">
        <v>176.0</v>
      </c>
      <c r="AJ20" s="133">
        <v>943.0</v>
      </c>
      <c r="AK20" s="133">
        <v>55.0</v>
      </c>
      <c r="AL20" s="133">
        <v>348.0</v>
      </c>
      <c r="AM20" s="133">
        <v>145.0</v>
      </c>
      <c r="AN20" s="133">
        <v>603.0</v>
      </c>
      <c r="AO20" s="133">
        <v>400.0</v>
      </c>
      <c r="AP20" s="135">
        <v>16651.0</v>
      </c>
    </row>
    <row r="21">
      <c r="A21" s="131" t="s">
        <v>178</v>
      </c>
      <c r="B21" s="133">
        <v>95.0</v>
      </c>
      <c r="C21" s="133">
        <v>311.0</v>
      </c>
      <c r="D21" s="133">
        <v>197.0</v>
      </c>
      <c r="E21" s="133">
        <v>352.0</v>
      </c>
      <c r="F21" s="133">
        <v>94.0</v>
      </c>
      <c r="G21" s="133">
        <v>455.0</v>
      </c>
      <c r="H21" s="134">
        <v>1030.0</v>
      </c>
      <c r="I21" s="133">
        <v>320.0</v>
      </c>
      <c r="J21" s="133">
        <v>157.0</v>
      </c>
      <c r="K21" s="133">
        <v>657.0</v>
      </c>
      <c r="L21" s="133">
        <v>65.0</v>
      </c>
      <c r="M21" s="133">
        <v>56.0</v>
      </c>
      <c r="N21" s="133">
        <v>84.0</v>
      </c>
      <c r="O21" s="133">
        <v>103.0</v>
      </c>
      <c r="P21" s="133">
        <v>47.0</v>
      </c>
      <c r="Q21" s="133">
        <v>364.0</v>
      </c>
      <c r="R21" s="133">
        <v>215.0</v>
      </c>
      <c r="S21" s="133">
        <v>26.0</v>
      </c>
      <c r="T21" s="133">
        <v>200.0</v>
      </c>
      <c r="U21" s="133">
        <v>127.0</v>
      </c>
      <c r="V21" s="133">
        <v>30.0</v>
      </c>
      <c r="W21" s="133">
        <v>218.0</v>
      </c>
      <c r="X21" s="133">
        <v>318.0</v>
      </c>
      <c r="Y21" s="133">
        <v>443.0</v>
      </c>
      <c r="Z21" s="133">
        <v>160.0</v>
      </c>
      <c r="AA21" s="134">
        <v>1075.0</v>
      </c>
      <c r="AB21" s="133">
        <v>145.0</v>
      </c>
      <c r="AC21" s="134">
        <v>3113.0</v>
      </c>
      <c r="AD21" s="133">
        <v>71.0</v>
      </c>
      <c r="AE21" s="133">
        <v>132.0</v>
      </c>
      <c r="AF21" s="133">
        <v>205.0</v>
      </c>
      <c r="AG21" s="133">
        <v>268.0</v>
      </c>
      <c r="AH21" s="133">
        <v>153.0</v>
      </c>
      <c r="AI21" s="133">
        <v>192.0</v>
      </c>
      <c r="AJ21" s="134">
        <v>1003.0</v>
      </c>
      <c r="AK21" s="133">
        <v>65.0</v>
      </c>
      <c r="AL21" s="133">
        <v>351.0</v>
      </c>
      <c r="AM21" s="133">
        <v>237.0</v>
      </c>
      <c r="AN21" s="133">
        <v>555.0</v>
      </c>
      <c r="AO21" s="133">
        <v>165.0</v>
      </c>
      <c r="AP21" s="135">
        <v>13854.0</v>
      </c>
    </row>
    <row r="22">
      <c r="A22" s="131" t="s">
        <v>179</v>
      </c>
      <c r="B22" s="133">
        <v>135.0</v>
      </c>
      <c r="C22" s="133">
        <v>236.0</v>
      </c>
      <c r="D22" s="133">
        <v>221.0</v>
      </c>
      <c r="E22" s="133">
        <v>339.0</v>
      </c>
      <c r="F22" s="133">
        <v>95.0</v>
      </c>
      <c r="G22" s="133">
        <v>540.0</v>
      </c>
      <c r="H22" s="134">
        <v>1125.0</v>
      </c>
      <c r="I22" s="133">
        <v>370.0</v>
      </c>
      <c r="J22" s="133">
        <v>229.0</v>
      </c>
      <c r="K22" s="133">
        <v>865.0</v>
      </c>
      <c r="L22" s="133">
        <v>97.0</v>
      </c>
      <c r="M22" s="133">
        <v>59.0</v>
      </c>
      <c r="N22" s="133">
        <v>101.0</v>
      </c>
      <c r="O22" s="133">
        <v>78.0</v>
      </c>
      <c r="P22" s="133">
        <v>71.0</v>
      </c>
      <c r="Q22" s="133">
        <v>427.0</v>
      </c>
      <c r="R22" s="133">
        <v>326.0</v>
      </c>
      <c r="S22" s="133">
        <v>32.0</v>
      </c>
      <c r="T22" s="133">
        <v>305.0</v>
      </c>
      <c r="U22" s="133">
        <v>137.0</v>
      </c>
      <c r="V22" s="133">
        <v>11.0</v>
      </c>
      <c r="W22" s="133">
        <v>359.0</v>
      </c>
      <c r="X22" s="133">
        <v>364.0</v>
      </c>
      <c r="Y22" s="133">
        <v>557.0</v>
      </c>
      <c r="Z22" s="133">
        <v>165.0</v>
      </c>
      <c r="AA22" s="134">
        <v>1242.0</v>
      </c>
      <c r="AB22" s="133">
        <v>188.0</v>
      </c>
      <c r="AC22" s="134">
        <v>3553.0</v>
      </c>
      <c r="AD22" s="133">
        <v>85.0</v>
      </c>
      <c r="AE22" s="133">
        <v>138.0</v>
      </c>
      <c r="AF22" s="133">
        <v>260.0</v>
      </c>
      <c r="AG22" s="133">
        <v>334.0</v>
      </c>
      <c r="AH22" s="133">
        <v>165.0</v>
      </c>
      <c r="AI22" s="133">
        <v>147.0</v>
      </c>
      <c r="AJ22" s="134">
        <v>1129.0</v>
      </c>
      <c r="AK22" s="133">
        <v>52.0</v>
      </c>
      <c r="AL22" s="133">
        <v>442.0</v>
      </c>
      <c r="AM22" s="133">
        <v>168.0</v>
      </c>
      <c r="AN22" s="133">
        <v>587.0</v>
      </c>
      <c r="AO22" s="133">
        <v>147.0</v>
      </c>
      <c r="AP22" s="135">
        <v>15881.0</v>
      </c>
    </row>
    <row r="23">
      <c r="A23" s="131" t="s">
        <v>180</v>
      </c>
      <c r="B23" s="133">
        <v>159.0</v>
      </c>
      <c r="C23" s="133">
        <v>290.0</v>
      </c>
      <c r="D23" s="133">
        <v>139.0</v>
      </c>
      <c r="E23" s="133">
        <v>280.0</v>
      </c>
      <c r="F23" s="133">
        <v>75.0</v>
      </c>
      <c r="G23" s="133">
        <v>363.0</v>
      </c>
      <c r="H23" s="133">
        <v>987.0</v>
      </c>
      <c r="I23" s="133">
        <v>449.0</v>
      </c>
      <c r="J23" s="133">
        <v>250.0</v>
      </c>
      <c r="K23" s="133">
        <v>638.0</v>
      </c>
      <c r="L23" s="133">
        <v>55.0</v>
      </c>
      <c r="M23" s="133">
        <v>53.0</v>
      </c>
      <c r="N23" s="133">
        <v>82.0</v>
      </c>
      <c r="O23" s="133">
        <v>44.0</v>
      </c>
      <c r="P23" s="133">
        <v>82.0</v>
      </c>
      <c r="Q23" s="133">
        <v>407.0</v>
      </c>
      <c r="R23" s="133">
        <v>336.0</v>
      </c>
      <c r="S23" s="133">
        <v>35.0</v>
      </c>
      <c r="T23" s="133">
        <v>253.0</v>
      </c>
      <c r="U23" s="133">
        <v>115.0</v>
      </c>
      <c r="V23" s="133">
        <v>6.0</v>
      </c>
      <c r="W23" s="133">
        <v>426.0</v>
      </c>
      <c r="X23" s="133">
        <v>259.0</v>
      </c>
      <c r="Y23" s="133">
        <v>491.0</v>
      </c>
      <c r="Z23" s="133">
        <v>140.0</v>
      </c>
      <c r="AA23" s="134">
        <v>1117.0</v>
      </c>
      <c r="AB23" s="133">
        <v>187.0</v>
      </c>
      <c r="AC23" s="134">
        <v>3354.0</v>
      </c>
      <c r="AD23" s="133">
        <v>35.0</v>
      </c>
      <c r="AE23" s="133">
        <v>111.0</v>
      </c>
      <c r="AF23" s="133">
        <v>237.0</v>
      </c>
      <c r="AG23" s="133">
        <v>264.0</v>
      </c>
      <c r="AH23" s="133">
        <v>169.0</v>
      </c>
      <c r="AI23" s="133">
        <v>146.0</v>
      </c>
      <c r="AJ23" s="133">
        <v>936.0</v>
      </c>
      <c r="AK23" s="133">
        <v>47.0</v>
      </c>
      <c r="AL23" s="133">
        <v>295.0</v>
      </c>
      <c r="AM23" s="133">
        <v>115.0</v>
      </c>
      <c r="AN23" s="133">
        <v>512.0</v>
      </c>
      <c r="AO23" s="133">
        <v>238.0</v>
      </c>
      <c r="AP23" s="135">
        <v>14177.0</v>
      </c>
    </row>
    <row r="24">
      <c r="A24" s="131" t="s">
        <v>181</v>
      </c>
      <c r="B24" s="133">
        <v>180.0</v>
      </c>
      <c r="C24" s="133">
        <v>231.0</v>
      </c>
      <c r="D24" s="133">
        <v>149.0</v>
      </c>
      <c r="E24" s="133">
        <v>302.0</v>
      </c>
      <c r="F24" s="133">
        <v>93.0</v>
      </c>
      <c r="G24" s="133">
        <v>363.0</v>
      </c>
      <c r="H24" s="133">
        <v>925.0</v>
      </c>
      <c r="I24" s="133">
        <v>320.0</v>
      </c>
      <c r="J24" s="133">
        <v>281.0</v>
      </c>
      <c r="K24" s="133">
        <v>574.0</v>
      </c>
      <c r="L24" s="133">
        <v>61.0</v>
      </c>
      <c r="M24" s="133">
        <v>54.0</v>
      </c>
      <c r="N24" s="133">
        <v>84.0</v>
      </c>
      <c r="O24" s="133">
        <v>77.0</v>
      </c>
      <c r="P24" s="133">
        <v>71.0</v>
      </c>
      <c r="Q24" s="133">
        <v>398.0</v>
      </c>
      <c r="R24" s="133">
        <v>207.0</v>
      </c>
      <c r="S24" s="133">
        <v>27.0</v>
      </c>
      <c r="T24" s="133">
        <v>306.0</v>
      </c>
      <c r="U24" s="133">
        <v>158.0</v>
      </c>
      <c r="V24" s="133">
        <v>8.0</v>
      </c>
      <c r="W24" s="133">
        <v>439.0</v>
      </c>
      <c r="X24" s="133">
        <v>417.0</v>
      </c>
      <c r="Y24" s="133">
        <v>452.0</v>
      </c>
      <c r="Z24" s="133">
        <v>141.0</v>
      </c>
      <c r="AA24" s="133">
        <v>813.0</v>
      </c>
      <c r="AB24" s="133">
        <v>219.0</v>
      </c>
      <c r="AC24" s="134">
        <v>3240.0</v>
      </c>
      <c r="AD24" s="133">
        <v>62.0</v>
      </c>
      <c r="AE24" s="133">
        <v>132.0</v>
      </c>
      <c r="AF24" s="133">
        <v>204.0</v>
      </c>
      <c r="AG24" s="133">
        <v>410.0</v>
      </c>
      <c r="AH24" s="133">
        <v>110.0</v>
      </c>
      <c r="AI24" s="133">
        <v>157.0</v>
      </c>
      <c r="AJ24" s="133">
        <v>857.0</v>
      </c>
      <c r="AK24" s="133">
        <v>48.0</v>
      </c>
      <c r="AL24" s="133">
        <v>373.0</v>
      </c>
      <c r="AM24" s="133">
        <v>242.0</v>
      </c>
      <c r="AN24" s="133">
        <v>442.0</v>
      </c>
      <c r="AO24" s="133">
        <v>215.0</v>
      </c>
      <c r="AP24" s="135">
        <v>13842.0</v>
      </c>
    </row>
    <row r="25">
      <c r="A25" s="131" t="s">
        <v>182</v>
      </c>
      <c r="B25" s="133">
        <v>193.0</v>
      </c>
      <c r="C25" s="133">
        <v>257.0</v>
      </c>
      <c r="D25" s="133">
        <v>171.0</v>
      </c>
      <c r="E25" s="133">
        <v>277.0</v>
      </c>
      <c r="F25" s="133">
        <v>129.0</v>
      </c>
      <c r="G25" s="133">
        <v>486.0</v>
      </c>
      <c r="H25" s="134">
        <v>1069.0</v>
      </c>
      <c r="I25" s="133">
        <v>457.0</v>
      </c>
      <c r="J25" s="133">
        <v>326.0</v>
      </c>
      <c r="K25" s="133">
        <v>736.0</v>
      </c>
      <c r="L25" s="133">
        <v>59.0</v>
      </c>
      <c r="M25" s="133">
        <v>51.0</v>
      </c>
      <c r="N25" s="133">
        <v>96.0</v>
      </c>
      <c r="O25" s="133">
        <v>82.0</v>
      </c>
      <c r="P25" s="133">
        <v>87.0</v>
      </c>
      <c r="Q25" s="133">
        <v>424.0</v>
      </c>
      <c r="R25" s="133">
        <v>307.0</v>
      </c>
      <c r="S25" s="133">
        <v>28.0</v>
      </c>
      <c r="T25" s="133">
        <v>241.0</v>
      </c>
      <c r="U25" s="133">
        <v>173.0</v>
      </c>
      <c r="V25" s="133">
        <v>19.0</v>
      </c>
      <c r="W25" s="133">
        <v>414.0</v>
      </c>
      <c r="X25" s="133">
        <v>405.0</v>
      </c>
      <c r="Y25" s="133">
        <v>534.0</v>
      </c>
      <c r="Z25" s="133">
        <v>155.0</v>
      </c>
      <c r="AA25" s="134">
        <v>1064.0</v>
      </c>
      <c r="AB25" s="133">
        <v>189.0</v>
      </c>
      <c r="AC25" s="134">
        <v>3581.0</v>
      </c>
      <c r="AD25" s="133">
        <v>55.0</v>
      </c>
      <c r="AE25" s="133">
        <v>187.0</v>
      </c>
      <c r="AF25" s="133">
        <v>295.0</v>
      </c>
      <c r="AG25" s="133">
        <v>481.0</v>
      </c>
      <c r="AH25" s="133">
        <v>149.0</v>
      </c>
      <c r="AI25" s="133">
        <v>137.0</v>
      </c>
      <c r="AJ25" s="134">
        <v>1119.0</v>
      </c>
      <c r="AK25" s="133">
        <v>94.0</v>
      </c>
      <c r="AL25" s="133">
        <v>372.0</v>
      </c>
      <c r="AM25" s="133">
        <v>319.0</v>
      </c>
      <c r="AN25" s="133">
        <v>617.0</v>
      </c>
      <c r="AO25" s="133">
        <v>188.0</v>
      </c>
      <c r="AP25" s="135">
        <v>16023.0</v>
      </c>
    </row>
    <row r="26">
      <c r="A26" s="131" t="s">
        <v>183</v>
      </c>
      <c r="B26" s="133">
        <v>207.0</v>
      </c>
      <c r="C26" s="133">
        <v>322.0</v>
      </c>
      <c r="D26" s="133">
        <v>163.0</v>
      </c>
      <c r="E26" s="133">
        <v>252.0</v>
      </c>
      <c r="F26" s="133">
        <v>107.0</v>
      </c>
      <c r="G26" s="133">
        <v>430.0</v>
      </c>
      <c r="H26" s="133">
        <v>880.0</v>
      </c>
      <c r="I26" s="133">
        <v>307.0</v>
      </c>
      <c r="J26" s="133">
        <v>380.0</v>
      </c>
      <c r="K26" s="133">
        <v>633.0</v>
      </c>
      <c r="L26" s="133">
        <v>59.0</v>
      </c>
      <c r="M26" s="133">
        <v>44.0</v>
      </c>
      <c r="N26" s="133">
        <v>84.0</v>
      </c>
      <c r="O26" s="133">
        <v>80.0</v>
      </c>
      <c r="P26" s="133">
        <v>86.0</v>
      </c>
      <c r="Q26" s="133">
        <v>303.0</v>
      </c>
      <c r="R26" s="133">
        <v>202.0</v>
      </c>
      <c r="S26" s="133">
        <v>22.0</v>
      </c>
      <c r="T26" s="133">
        <v>260.0</v>
      </c>
      <c r="U26" s="133">
        <v>190.0</v>
      </c>
      <c r="V26" s="133">
        <v>21.0</v>
      </c>
      <c r="W26" s="133">
        <v>462.0</v>
      </c>
      <c r="X26" s="133">
        <v>369.0</v>
      </c>
      <c r="Y26" s="133">
        <v>384.0</v>
      </c>
      <c r="Z26" s="133">
        <v>180.0</v>
      </c>
      <c r="AA26" s="133">
        <v>858.0</v>
      </c>
      <c r="AB26" s="133">
        <v>158.0</v>
      </c>
      <c r="AC26" s="134">
        <v>2972.0</v>
      </c>
      <c r="AD26" s="133">
        <v>49.0</v>
      </c>
      <c r="AE26" s="133">
        <v>149.0</v>
      </c>
      <c r="AF26" s="133">
        <v>208.0</v>
      </c>
      <c r="AG26" s="133">
        <v>367.0</v>
      </c>
      <c r="AH26" s="133">
        <v>85.0</v>
      </c>
      <c r="AI26" s="133">
        <v>143.0</v>
      </c>
      <c r="AJ26" s="133">
        <v>967.0</v>
      </c>
      <c r="AK26" s="133">
        <v>63.0</v>
      </c>
      <c r="AL26" s="133">
        <v>395.0</v>
      </c>
      <c r="AM26" s="133">
        <v>286.0</v>
      </c>
      <c r="AN26" s="133">
        <v>512.0</v>
      </c>
      <c r="AO26" s="133">
        <v>197.0</v>
      </c>
      <c r="AP26" s="135">
        <v>13836.0</v>
      </c>
    </row>
    <row r="27">
      <c r="A27" s="131" t="s">
        <v>184</v>
      </c>
      <c r="B27" s="133">
        <v>263.0</v>
      </c>
      <c r="C27" s="133">
        <v>411.0</v>
      </c>
      <c r="D27" s="133">
        <v>184.0</v>
      </c>
      <c r="E27" s="133">
        <v>327.0</v>
      </c>
      <c r="F27" s="133">
        <v>156.0</v>
      </c>
      <c r="G27" s="133">
        <v>597.0</v>
      </c>
      <c r="H27" s="134">
        <v>1271.0</v>
      </c>
      <c r="I27" s="133">
        <v>483.0</v>
      </c>
      <c r="J27" s="133">
        <v>432.0</v>
      </c>
      <c r="K27" s="133">
        <v>913.0</v>
      </c>
      <c r="L27" s="133">
        <v>78.0</v>
      </c>
      <c r="M27" s="133">
        <v>77.0</v>
      </c>
      <c r="N27" s="133">
        <v>108.0</v>
      </c>
      <c r="O27" s="133">
        <v>105.0</v>
      </c>
      <c r="P27" s="133">
        <v>119.0</v>
      </c>
      <c r="Q27" s="133">
        <v>430.0</v>
      </c>
      <c r="R27" s="133">
        <v>309.0</v>
      </c>
      <c r="S27" s="133">
        <v>43.0</v>
      </c>
      <c r="T27" s="133">
        <v>374.0</v>
      </c>
      <c r="U27" s="133">
        <v>236.0</v>
      </c>
      <c r="V27" s="133">
        <v>31.0</v>
      </c>
      <c r="W27" s="133">
        <v>642.0</v>
      </c>
      <c r="X27" s="133">
        <v>483.0</v>
      </c>
      <c r="Y27" s="133">
        <v>576.0</v>
      </c>
      <c r="Z27" s="133">
        <v>146.0</v>
      </c>
      <c r="AA27" s="134">
        <v>1166.0</v>
      </c>
      <c r="AB27" s="133">
        <v>271.0</v>
      </c>
      <c r="AC27" s="134">
        <v>3987.0</v>
      </c>
      <c r="AD27" s="133">
        <v>59.0</v>
      </c>
      <c r="AE27" s="133">
        <v>190.0</v>
      </c>
      <c r="AF27" s="133">
        <v>343.0</v>
      </c>
      <c r="AG27" s="133">
        <v>597.0</v>
      </c>
      <c r="AH27" s="133">
        <v>135.0</v>
      </c>
      <c r="AI27" s="133">
        <v>174.0</v>
      </c>
      <c r="AJ27" s="134">
        <v>1203.0</v>
      </c>
      <c r="AK27" s="133">
        <v>102.0</v>
      </c>
      <c r="AL27" s="133">
        <v>494.0</v>
      </c>
      <c r="AM27" s="133">
        <v>274.0</v>
      </c>
      <c r="AN27" s="133">
        <v>581.0</v>
      </c>
      <c r="AO27" s="133">
        <v>443.0</v>
      </c>
      <c r="AP27" s="135">
        <v>18813.0</v>
      </c>
    </row>
    <row r="28">
      <c r="A28" s="131" t="s">
        <v>185</v>
      </c>
      <c r="B28" s="133">
        <v>278.0</v>
      </c>
      <c r="C28" s="133">
        <v>353.0</v>
      </c>
      <c r="D28" s="133">
        <v>173.0</v>
      </c>
      <c r="E28" s="133">
        <v>348.0</v>
      </c>
      <c r="F28" s="133">
        <v>171.0</v>
      </c>
      <c r="G28" s="133">
        <v>567.0</v>
      </c>
      <c r="H28" s="134">
        <v>1125.0</v>
      </c>
      <c r="I28" s="133">
        <v>478.0</v>
      </c>
      <c r="J28" s="133">
        <v>406.0</v>
      </c>
      <c r="K28" s="133">
        <v>743.0</v>
      </c>
      <c r="L28" s="133">
        <v>78.0</v>
      </c>
      <c r="M28" s="133">
        <v>75.0</v>
      </c>
      <c r="N28" s="133">
        <v>98.0</v>
      </c>
      <c r="O28" s="133">
        <v>94.0</v>
      </c>
      <c r="P28" s="133">
        <v>108.0</v>
      </c>
      <c r="Q28" s="133">
        <v>395.0</v>
      </c>
      <c r="R28" s="133">
        <v>292.0</v>
      </c>
      <c r="S28" s="133">
        <v>50.0</v>
      </c>
      <c r="T28" s="133">
        <v>343.0</v>
      </c>
      <c r="U28" s="133">
        <v>186.0</v>
      </c>
      <c r="V28" s="133">
        <v>40.0</v>
      </c>
      <c r="W28" s="133">
        <v>437.0</v>
      </c>
      <c r="X28" s="133">
        <v>463.0</v>
      </c>
      <c r="Y28" s="133">
        <v>528.0</v>
      </c>
      <c r="Z28" s="133">
        <v>131.0</v>
      </c>
      <c r="AA28" s="134">
        <v>1300.0</v>
      </c>
      <c r="AB28" s="133">
        <v>217.0</v>
      </c>
      <c r="AC28" s="134">
        <v>3546.0</v>
      </c>
      <c r="AD28" s="133">
        <v>73.0</v>
      </c>
      <c r="AE28" s="133">
        <v>175.0</v>
      </c>
      <c r="AF28" s="133">
        <v>311.0</v>
      </c>
      <c r="AG28" s="133">
        <v>526.0</v>
      </c>
      <c r="AH28" s="133">
        <v>154.0</v>
      </c>
      <c r="AI28" s="133">
        <v>178.0</v>
      </c>
      <c r="AJ28" s="134">
        <v>1161.0</v>
      </c>
      <c r="AK28" s="133">
        <v>79.0</v>
      </c>
      <c r="AL28" s="133">
        <v>466.0</v>
      </c>
      <c r="AM28" s="133">
        <v>306.0</v>
      </c>
      <c r="AN28" s="133">
        <v>551.0</v>
      </c>
      <c r="AO28" s="133">
        <v>571.0</v>
      </c>
      <c r="AP28" s="135">
        <v>17574.0</v>
      </c>
    </row>
    <row r="29">
      <c r="A29" s="136" t="s">
        <v>186</v>
      </c>
      <c r="B29" s="133">
        <v>276.0</v>
      </c>
      <c r="C29" s="133">
        <v>460.0</v>
      </c>
      <c r="D29" s="133">
        <v>197.0</v>
      </c>
      <c r="E29" s="133">
        <v>456.0</v>
      </c>
      <c r="F29" s="133">
        <v>151.0</v>
      </c>
      <c r="G29" s="133">
        <v>845.0</v>
      </c>
      <c r="H29" s="134">
        <v>1495.0</v>
      </c>
      <c r="I29" s="133">
        <v>498.0</v>
      </c>
      <c r="J29" s="133">
        <v>556.0</v>
      </c>
      <c r="K29" s="134">
        <v>1052.0</v>
      </c>
      <c r="L29" s="133">
        <v>106.0</v>
      </c>
      <c r="M29" s="133">
        <v>88.0</v>
      </c>
      <c r="N29" s="133">
        <v>129.0</v>
      </c>
      <c r="O29" s="133">
        <v>120.0</v>
      </c>
      <c r="P29" s="133">
        <v>113.0</v>
      </c>
      <c r="Q29" s="133">
        <v>525.0</v>
      </c>
      <c r="R29" s="133">
        <v>332.0</v>
      </c>
      <c r="S29" s="133">
        <v>53.0</v>
      </c>
      <c r="T29" s="133">
        <v>402.0</v>
      </c>
      <c r="U29" s="133">
        <v>268.0</v>
      </c>
      <c r="V29" s="133">
        <v>49.0</v>
      </c>
      <c r="W29" s="133">
        <v>636.0</v>
      </c>
      <c r="X29" s="133">
        <v>589.0</v>
      </c>
      <c r="Y29" s="133">
        <v>647.0</v>
      </c>
      <c r="Z29" s="133">
        <v>157.0</v>
      </c>
      <c r="AA29" s="134">
        <v>1623.0</v>
      </c>
      <c r="AB29" s="133">
        <v>207.0</v>
      </c>
      <c r="AC29" s="134">
        <v>4528.0</v>
      </c>
      <c r="AD29" s="133">
        <v>68.0</v>
      </c>
      <c r="AE29" s="133">
        <v>219.0</v>
      </c>
      <c r="AF29" s="133">
        <v>354.0</v>
      </c>
      <c r="AG29" s="133">
        <v>669.0</v>
      </c>
      <c r="AH29" s="133">
        <v>175.0</v>
      </c>
      <c r="AI29" s="133">
        <v>235.0</v>
      </c>
      <c r="AJ29" s="134">
        <v>1498.0</v>
      </c>
      <c r="AK29" s="133">
        <v>129.0</v>
      </c>
      <c r="AL29" s="133">
        <v>600.0</v>
      </c>
      <c r="AM29" s="133">
        <v>395.0</v>
      </c>
      <c r="AN29" s="133">
        <v>741.0</v>
      </c>
      <c r="AO29" s="134">
        <v>1129.0</v>
      </c>
      <c r="AP29" s="135">
        <v>22770.0</v>
      </c>
    </row>
    <row r="30">
      <c r="A30" s="137" t="s">
        <v>187</v>
      </c>
      <c r="B30" s="135">
        <v>337.0</v>
      </c>
      <c r="C30" s="135">
        <v>429.0</v>
      </c>
      <c r="D30" s="135">
        <v>200.0</v>
      </c>
      <c r="E30" s="135">
        <v>540.0</v>
      </c>
      <c r="F30" s="135">
        <v>145.0</v>
      </c>
      <c r="G30" s="135">
        <v>869.0</v>
      </c>
      <c r="H30" s="135">
        <v>1436.0</v>
      </c>
      <c r="I30" s="135">
        <v>597.0</v>
      </c>
      <c r="J30" s="135">
        <v>319.0</v>
      </c>
      <c r="K30" s="135">
        <v>1127.0</v>
      </c>
      <c r="L30" s="135">
        <v>84.0</v>
      </c>
      <c r="M30" s="132">
        <v>68.0</v>
      </c>
      <c r="N30" s="135">
        <v>88.0</v>
      </c>
      <c r="O30" s="135">
        <v>120.0</v>
      </c>
      <c r="P30" s="135">
        <v>95.0</v>
      </c>
      <c r="Q30" s="135">
        <v>429.0</v>
      </c>
      <c r="R30" s="135">
        <v>317.0</v>
      </c>
      <c r="S30" s="132">
        <v>42.0</v>
      </c>
      <c r="T30" s="135">
        <v>326.0</v>
      </c>
      <c r="U30" s="135">
        <v>216.0</v>
      </c>
      <c r="V30" s="132">
        <v>39.0</v>
      </c>
      <c r="W30" s="135">
        <v>534.0</v>
      </c>
      <c r="X30" s="135">
        <v>451.0</v>
      </c>
      <c r="Y30" s="135">
        <v>632.0</v>
      </c>
      <c r="Z30" s="135">
        <v>161.0</v>
      </c>
      <c r="AA30" s="135">
        <v>1841.0</v>
      </c>
      <c r="AB30" s="135">
        <v>244.0</v>
      </c>
      <c r="AC30" s="135">
        <v>4623.0</v>
      </c>
      <c r="AD30" s="132">
        <v>94.0</v>
      </c>
      <c r="AE30" s="135">
        <v>222.0</v>
      </c>
      <c r="AF30" s="135">
        <v>325.0</v>
      </c>
      <c r="AG30" s="135">
        <v>536.0</v>
      </c>
      <c r="AH30" s="135">
        <v>185.0</v>
      </c>
      <c r="AI30" s="135">
        <v>229.0</v>
      </c>
      <c r="AJ30" s="135">
        <v>1717.0</v>
      </c>
      <c r="AK30" s="135">
        <v>127.0</v>
      </c>
      <c r="AL30" s="135">
        <v>614.0</v>
      </c>
      <c r="AM30" s="135">
        <v>351.0</v>
      </c>
      <c r="AN30" s="135">
        <v>885.0</v>
      </c>
      <c r="AO30" s="138">
        <v>1803.0</v>
      </c>
      <c r="AP30" s="135">
        <v>23397.0</v>
      </c>
    </row>
    <row r="31">
      <c r="A31" s="106" t="s">
        <v>188</v>
      </c>
      <c r="B31" s="135">
        <v>378.0</v>
      </c>
      <c r="C31" s="135">
        <v>1069.0</v>
      </c>
      <c r="D31" s="135">
        <v>225.0</v>
      </c>
      <c r="E31" s="135">
        <v>547.0</v>
      </c>
      <c r="F31" s="135">
        <v>158.0</v>
      </c>
      <c r="G31" s="135">
        <v>755.0</v>
      </c>
      <c r="H31" s="135">
        <v>1553.0</v>
      </c>
      <c r="I31" s="135">
        <v>626.0</v>
      </c>
      <c r="J31" s="135">
        <v>319.0</v>
      </c>
      <c r="K31" s="135">
        <v>1102.0</v>
      </c>
      <c r="L31" s="135">
        <v>82.0</v>
      </c>
      <c r="M31" s="132">
        <v>83.0</v>
      </c>
      <c r="N31" s="135">
        <v>112.0</v>
      </c>
      <c r="O31" s="135">
        <v>98.0</v>
      </c>
      <c r="P31" s="135">
        <v>96.0</v>
      </c>
      <c r="Q31" s="135">
        <v>508.0</v>
      </c>
      <c r="R31" s="135">
        <v>391.0</v>
      </c>
      <c r="S31" s="132">
        <v>53.0</v>
      </c>
      <c r="T31" s="135">
        <v>516.0</v>
      </c>
      <c r="U31" s="135">
        <v>217.0</v>
      </c>
      <c r="V31" s="132">
        <v>32.0</v>
      </c>
      <c r="W31" s="135">
        <v>651.0</v>
      </c>
      <c r="X31" s="135">
        <v>471.0</v>
      </c>
      <c r="Y31" s="135">
        <v>640.0</v>
      </c>
      <c r="Z31" s="135">
        <v>171.0</v>
      </c>
      <c r="AA31" s="135">
        <v>1659.0</v>
      </c>
      <c r="AB31" s="135">
        <v>260.0</v>
      </c>
      <c r="AC31" s="135">
        <v>5091.0</v>
      </c>
      <c r="AD31" s="132">
        <v>74.0</v>
      </c>
      <c r="AE31" s="135">
        <v>208.0</v>
      </c>
      <c r="AF31" s="135">
        <v>324.0</v>
      </c>
      <c r="AG31" s="135">
        <v>549.0</v>
      </c>
      <c r="AH31" s="135">
        <v>249.0</v>
      </c>
      <c r="AI31" s="135">
        <v>224.0</v>
      </c>
      <c r="AJ31" s="135">
        <v>1446.0</v>
      </c>
      <c r="AK31" s="135">
        <v>91.0</v>
      </c>
      <c r="AL31" s="135">
        <v>525.0</v>
      </c>
      <c r="AM31" s="135">
        <v>391.0</v>
      </c>
      <c r="AN31" s="135">
        <v>773.0</v>
      </c>
      <c r="AO31" s="138">
        <v>2503.0</v>
      </c>
      <c r="AP31" s="135">
        <v>25220.0</v>
      </c>
    </row>
    <row r="32">
      <c r="A32" s="106" t="s">
        <v>189</v>
      </c>
      <c r="B32" s="135">
        <v>401.0</v>
      </c>
      <c r="C32" s="135">
        <v>712.0</v>
      </c>
      <c r="D32" s="135">
        <v>302.0</v>
      </c>
      <c r="E32" s="135">
        <v>540.0</v>
      </c>
      <c r="F32" s="135">
        <v>147.0</v>
      </c>
      <c r="G32" s="135">
        <v>555.0</v>
      </c>
      <c r="H32" s="135">
        <v>1437.0</v>
      </c>
      <c r="I32" s="135">
        <v>743.0</v>
      </c>
      <c r="J32" s="135">
        <v>351.0</v>
      </c>
      <c r="K32" s="135">
        <v>1016.0</v>
      </c>
      <c r="L32" s="135">
        <v>79.0</v>
      </c>
      <c r="M32" s="132">
        <v>70.0</v>
      </c>
      <c r="N32" s="135">
        <v>116.0</v>
      </c>
      <c r="O32" s="135">
        <v>127.0</v>
      </c>
      <c r="P32" s="135">
        <v>122.0</v>
      </c>
      <c r="Q32" s="135">
        <v>489.0</v>
      </c>
      <c r="R32" s="135">
        <v>407.0</v>
      </c>
      <c r="S32" s="132">
        <v>58.0</v>
      </c>
      <c r="T32" s="135">
        <v>369.0</v>
      </c>
      <c r="U32" s="135">
        <v>251.0</v>
      </c>
      <c r="V32" s="132">
        <v>56.0</v>
      </c>
      <c r="W32" s="135">
        <v>547.0</v>
      </c>
      <c r="X32" s="135">
        <v>471.0</v>
      </c>
      <c r="Y32" s="135">
        <v>702.0</v>
      </c>
      <c r="Z32" s="135">
        <v>176.0</v>
      </c>
      <c r="AA32" s="135">
        <v>1679.0</v>
      </c>
      <c r="AB32" s="135">
        <v>300.0</v>
      </c>
      <c r="AC32" s="135">
        <v>4717.0</v>
      </c>
      <c r="AD32" s="132">
        <v>77.0</v>
      </c>
      <c r="AE32" s="135">
        <v>179.0</v>
      </c>
      <c r="AF32" s="135">
        <v>414.0</v>
      </c>
      <c r="AG32" s="135">
        <v>525.0</v>
      </c>
      <c r="AH32" s="135">
        <v>191.0</v>
      </c>
      <c r="AI32" s="135">
        <v>218.0</v>
      </c>
      <c r="AJ32" s="135">
        <v>1402.0</v>
      </c>
      <c r="AK32" s="135">
        <v>84.0</v>
      </c>
      <c r="AL32" s="135">
        <v>536.0</v>
      </c>
      <c r="AM32" s="135">
        <v>354.0</v>
      </c>
      <c r="AN32" s="135">
        <v>921.0</v>
      </c>
      <c r="AO32" s="138">
        <v>2256.0</v>
      </c>
      <c r="AP32" s="135">
        <v>24097.0</v>
      </c>
    </row>
    <row r="33">
      <c r="A33" s="106" t="s">
        <v>190</v>
      </c>
      <c r="B33" s="135">
        <v>441.0</v>
      </c>
      <c r="C33" s="135">
        <v>3650.0</v>
      </c>
      <c r="D33" s="135">
        <v>364.0</v>
      </c>
      <c r="E33" s="135">
        <v>440.0</v>
      </c>
      <c r="F33" s="135">
        <v>144.0</v>
      </c>
      <c r="G33" s="135">
        <v>569.0</v>
      </c>
      <c r="H33" s="135">
        <v>1396.0</v>
      </c>
      <c r="I33" s="135">
        <v>837.0</v>
      </c>
      <c r="J33" s="135">
        <v>404.0</v>
      </c>
      <c r="K33" s="135">
        <v>1008.0</v>
      </c>
      <c r="L33" s="135">
        <v>100.0</v>
      </c>
      <c r="M33" s="132">
        <v>85.0</v>
      </c>
      <c r="N33" s="135">
        <v>174.0</v>
      </c>
      <c r="O33" s="135">
        <v>122.0</v>
      </c>
      <c r="P33" s="135">
        <v>119.0</v>
      </c>
      <c r="Q33" s="135">
        <v>463.0</v>
      </c>
      <c r="R33" s="135">
        <v>439.0</v>
      </c>
      <c r="S33" s="132">
        <v>79.0</v>
      </c>
      <c r="T33" s="135">
        <v>392.0</v>
      </c>
      <c r="U33" s="135">
        <v>316.0</v>
      </c>
      <c r="V33" s="132">
        <v>47.0</v>
      </c>
      <c r="W33" s="135">
        <v>535.0</v>
      </c>
      <c r="X33" s="135">
        <v>719.0</v>
      </c>
      <c r="Y33" s="135">
        <v>599.0</v>
      </c>
      <c r="Z33" s="135">
        <v>217.0</v>
      </c>
      <c r="AA33" s="135">
        <v>1608.0</v>
      </c>
      <c r="AB33" s="135">
        <v>284.0</v>
      </c>
      <c r="AC33" s="135">
        <v>5422.0</v>
      </c>
      <c r="AD33" s="132">
        <v>71.0</v>
      </c>
      <c r="AE33" s="135">
        <v>208.0</v>
      </c>
      <c r="AF33" s="135">
        <v>2094.0</v>
      </c>
      <c r="AG33" s="135">
        <v>519.0</v>
      </c>
      <c r="AH33" s="135">
        <v>257.0</v>
      </c>
      <c r="AI33" s="135">
        <v>234.0</v>
      </c>
      <c r="AJ33" s="135">
        <v>1484.0</v>
      </c>
      <c r="AK33" s="135">
        <v>87.0</v>
      </c>
      <c r="AL33" s="135">
        <v>510.0</v>
      </c>
      <c r="AM33" s="135">
        <v>396.0</v>
      </c>
      <c r="AN33" s="135">
        <v>790.0</v>
      </c>
      <c r="AO33" s="138">
        <v>2212.0</v>
      </c>
      <c r="AP33" s="135">
        <v>29835.0</v>
      </c>
    </row>
    <row r="34">
      <c r="A34" s="106" t="s">
        <v>191</v>
      </c>
      <c r="B34" s="135">
        <v>458.0</v>
      </c>
      <c r="C34" s="135">
        <v>6356.0</v>
      </c>
      <c r="D34" s="135">
        <v>260.0</v>
      </c>
      <c r="E34" s="135">
        <v>460.0</v>
      </c>
      <c r="F34" s="135">
        <v>182.0</v>
      </c>
      <c r="G34" s="135">
        <v>696.0</v>
      </c>
      <c r="H34" s="135">
        <v>1559.0</v>
      </c>
      <c r="I34" s="135">
        <v>792.0</v>
      </c>
      <c r="J34" s="135">
        <v>466.0</v>
      </c>
      <c r="K34" s="135">
        <v>1012.0</v>
      </c>
      <c r="L34" s="135">
        <v>85.0</v>
      </c>
      <c r="M34" s="132">
        <v>110.0</v>
      </c>
      <c r="N34" s="135">
        <v>142.0</v>
      </c>
      <c r="O34" s="135">
        <v>130.0</v>
      </c>
      <c r="P34" s="135">
        <v>138.0</v>
      </c>
      <c r="Q34" s="135">
        <v>521.0</v>
      </c>
      <c r="R34" s="135">
        <v>476.0</v>
      </c>
      <c r="S34" s="132">
        <v>59.0</v>
      </c>
      <c r="T34" s="135">
        <v>292.0</v>
      </c>
      <c r="U34" s="135">
        <v>285.0</v>
      </c>
      <c r="V34" s="132">
        <v>44.0</v>
      </c>
      <c r="W34" s="135">
        <v>795.0</v>
      </c>
      <c r="X34" s="135">
        <v>616.0</v>
      </c>
      <c r="Y34" s="135">
        <v>630.0</v>
      </c>
      <c r="Z34" s="135">
        <v>326.0</v>
      </c>
      <c r="AA34" s="135">
        <v>1502.0</v>
      </c>
      <c r="AB34" s="135">
        <v>259.0</v>
      </c>
      <c r="AC34" s="135">
        <v>7182.0</v>
      </c>
      <c r="AD34" s="132">
        <v>66.0</v>
      </c>
      <c r="AE34" s="135">
        <v>243.0</v>
      </c>
      <c r="AF34" s="135">
        <v>4274.0</v>
      </c>
      <c r="AG34" s="135">
        <v>652.0</v>
      </c>
      <c r="AH34" s="135">
        <v>227.0</v>
      </c>
      <c r="AI34" s="135">
        <v>196.0</v>
      </c>
      <c r="AJ34" s="135">
        <v>1543.0</v>
      </c>
      <c r="AK34" s="135">
        <v>107.0</v>
      </c>
      <c r="AL34" s="135">
        <v>542.0</v>
      </c>
      <c r="AM34" s="135">
        <v>374.0</v>
      </c>
      <c r="AN34" s="135">
        <v>860.0</v>
      </c>
      <c r="AO34" s="138">
        <v>2053.0</v>
      </c>
      <c r="AP34" s="135">
        <v>36970.0</v>
      </c>
    </row>
    <row r="35">
      <c r="A35" s="106" t="s">
        <v>192</v>
      </c>
      <c r="B35" s="135">
        <v>576.0</v>
      </c>
      <c r="C35" s="135">
        <v>6994.0</v>
      </c>
      <c r="D35" s="135">
        <v>395.0</v>
      </c>
      <c r="E35" s="135">
        <v>400.0</v>
      </c>
      <c r="F35" s="135">
        <v>167.0</v>
      </c>
      <c r="G35" s="135">
        <v>674.0</v>
      </c>
      <c r="H35" s="135">
        <v>1733.0</v>
      </c>
      <c r="I35" s="135">
        <v>944.0</v>
      </c>
      <c r="J35" s="135">
        <v>530.0</v>
      </c>
      <c r="K35" s="135">
        <v>1133.0</v>
      </c>
      <c r="L35" s="135">
        <v>105.0</v>
      </c>
      <c r="M35" s="132">
        <v>124.0</v>
      </c>
      <c r="N35" s="135">
        <v>167.0</v>
      </c>
      <c r="O35" s="135">
        <v>136.0</v>
      </c>
      <c r="P35" s="135">
        <v>163.0</v>
      </c>
      <c r="Q35" s="135">
        <v>604.0</v>
      </c>
      <c r="R35" s="135">
        <v>556.0</v>
      </c>
      <c r="S35" s="132">
        <v>72.0</v>
      </c>
      <c r="T35" s="135">
        <v>406.0</v>
      </c>
      <c r="U35" s="135">
        <v>302.0</v>
      </c>
      <c r="V35" s="132">
        <v>28.0</v>
      </c>
      <c r="W35" s="135">
        <v>1127.0</v>
      </c>
      <c r="X35" s="135">
        <v>712.0</v>
      </c>
      <c r="Y35" s="135">
        <v>725.0</v>
      </c>
      <c r="Z35" s="135">
        <v>405.0</v>
      </c>
      <c r="AA35" s="135">
        <v>1809.0</v>
      </c>
      <c r="AB35" s="135">
        <v>358.0</v>
      </c>
      <c r="AC35" s="135">
        <v>12377.0</v>
      </c>
      <c r="AD35" s="132">
        <v>77.0</v>
      </c>
      <c r="AE35" s="135">
        <v>281.0</v>
      </c>
      <c r="AF35" s="135">
        <v>3400.0</v>
      </c>
      <c r="AG35" s="135">
        <v>638.0</v>
      </c>
      <c r="AH35" s="135">
        <v>270.0</v>
      </c>
      <c r="AI35" s="135">
        <v>259.0</v>
      </c>
      <c r="AJ35" s="135">
        <v>1534.0</v>
      </c>
      <c r="AK35" s="135">
        <v>134.0</v>
      </c>
      <c r="AL35" s="135">
        <v>486.0</v>
      </c>
      <c r="AM35" s="135">
        <v>361.0</v>
      </c>
      <c r="AN35" s="135">
        <v>1077.0</v>
      </c>
      <c r="AO35" s="138">
        <v>792.0</v>
      </c>
      <c r="AP35" s="135">
        <v>43031.0</v>
      </c>
    </row>
    <row r="36">
      <c r="A36" s="106" t="s">
        <v>193</v>
      </c>
      <c r="B36" s="135">
        <v>505.0</v>
      </c>
      <c r="C36" s="135">
        <v>7500.0</v>
      </c>
      <c r="D36" s="135">
        <v>255.0</v>
      </c>
      <c r="E36" s="135">
        <v>361.0</v>
      </c>
      <c r="F36" s="135">
        <v>141.0</v>
      </c>
      <c r="G36" s="135">
        <v>617.0</v>
      </c>
      <c r="H36" s="135">
        <v>1474.0</v>
      </c>
      <c r="I36" s="135">
        <v>736.0</v>
      </c>
      <c r="J36" s="135">
        <v>405.0</v>
      </c>
      <c r="K36" s="135">
        <v>1081.0</v>
      </c>
      <c r="L36" s="135">
        <v>78.0</v>
      </c>
      <c r="M36" s="132">
        <v>94.0</v>
      </c>
      <c r="N36" s="135">
        <v>170.0</v>
      </c>
      <c r="O36" s="135">
        <v>118.0</v>
      </c>
      <c r="P36" s="135">
        <v>125.0</v>
      </c>
      <c r="Q36" s="135">
        <v>466.0</v>
      </c>
      <c r="R36" s="135">
        <v>462.0</v>
      </c>
      <c r="S36" s="132">
        <v>48.0</v>
      </c>
      <c r="T36" s="135">
        <v>495.0</v>
      </c>
      <c r="U36" s="135">
        <v>263.0</v>
      </c>
      <c r="V36" s="132">
        <v>61.0</v>
      </c>
      <c r="W36" s="135">
        <v>1682.0</v>
      </c>
      <c r="X36" s="135">
        <v>574.0</v>
      </c>
      <c r="Y36" s="135">
        <v>591.0</v>
      </c>
      <c r="Z36" s="135">
        <v>258.0</v>
      </c>
      <c r="AA36" s="135">
        <v>1654.0</v>
      </c>
      <c r="AB36" s="135">
        <v>276.0</v>
      </c>
      <c r="AC36" s="135">
        <v>10197.0</v>
      </c>
      <c r="AD36" s="132">
        <v>69.0</v>
      </c>
      <c r="AE36" s="135">
        <v>229.0</v>
      </c>
      <c r="AF36" s="135">
        <v>3656.0</v>
      </c>
      <c r="AG36" s="135">
        <v>527.0</v>
      </c>
      <c r="AH36" s="135">
        <v>264.0</v>
      </c>
      <c r="AI36" s="135">
        <v>215.0</v>
      </c>
      <c r="AJ36" s="135">
        <v>1387.0</v>
      </c>
      <c r="AK36" s="135">
        <v>102.0</v>
      </c>
      <c r="AL36" s="135">
        <v>445.0</v>
      </c>
      <c r="AM36" s="135">
        <v>324.0</v>
      </c>
      <c r="AN36" s="135">
        <v>609.0</v>
      </c>
      <c r="AO36" s="138">
        <v>1184.0</v>
      </c>
      <c r="AP36" s="135">
        <v>39698.0</v>
      </c>
    </row>
    <row r="37">
      <c r="A37" s="106" t="s">
        <v>194</v>
      </c>
      <c r="B37" s="135">
        <v>552.0</v>
      </c>
      <c r="C37" s="135">
        <v>8165.0</v>
      </c>
      <c r="D37" s="135">
        <v>294.0</v>
      </c>
      <c r="E37" s="135">
        <v>430.0</v>
      </c>
      <c r="F37" s="135">
        <v>146.0</v>
      </c>
      <c r="G37" s="135">
        <v>712.0</v>
      </c>
      <c r="H37" s="135">
        <v>1743.0</v>
      </c>
      <c r="I37" s="135">
        <v>785.0</v>
      </c>
      <c r="J37" s="135">
        <v>472.0</v>
      </c>
      <c r="K37" s="135">
        <v>1134.0</v>
      </c>
      <c r="L37" s="135">
        <v>111.0</v>
      </c>
      <c r="M37" s="132">
        <v>128.0</v>
      </c>
      <c r="N37" s="135">
        <v>180.0</v>
      </c>
      <c r="O37" s="135">
        <v>146.0</v>
      </c>
      <c r="P37" s="135">
        <v>159.0</v>
      </c>
      <c r="Q37" s="135">
        <v>657.0</v>
      </c>
      <c r="R37" s="135">
        <v>575.0</v>
      </c>
      <c r="S37" s="132">
        <v>51.0</v>
      </c>
      <c r="T37" s="135">
        <v>295.0</v>
      </c>
      <c r="U37" s="135">
        <v>307.0</v>
      </c>
      <c r="V37" s="132">
        <v>37.0</v>
      </c>
      <c r="W37" s="135">
        <v>770.0</v>
      </c>
      <c r="X37" s="135">
        <v>700.0</v>
      </c>
      <c r="Y37" s="135">
        <v>704.0</v>
      </c>
      <c r="Z37" s="135">
        <v>310.0</v>
      </c>
      <c r="AA37" s="135">
        <v>1725.0</v>
      </c>
      <c r="AB37" s="135">
        <v>338.0</v>
      </c>
      <c r="AC37" s="135">
        <v>12321.0</v>
      </c>
      <c r="AD37" s="132">
        <v>70.0</v>
      </c>
      <c r="AE37" s="135">
        <v>280.0</v>
      </c>
      <c r="AF37" s="135">
        <v>3723.0</v>
      </c>
      <c r="AG37" s="135">
        <v>584.0</v>
      </c>
      <c r="AH37" s="135">
        <v>271.0</v>
      </c>
      <c r="AI37" s="135">
        <v>252.0</v>
      </c>
      <c r="AJ37" s="135">
        <v>1571.0</v>
      </c>
      <c r="AK37" s="135">
        <v>139.0</v>
      </c>
      <c r="AL37" s="135">
        <v>572.0</v>
      </c>
      <c r="AM37" s="135">
        <v>375.0</v>
      </c>
      <c r="AN37" s="135">
        <v>795.0</v>
      </c>
      <c r="AO37" s="138">
        <v>1456.0</v>
      </c>
      <c r="AP37" s="135">
        <v>44035.0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2" t="s">
        <v>203</v>
      </c>
      <c r="B1" s="89"/>
      <c r="C1" s="89"/>
      <c r="D1" s="89"/>
      <c r="E1" s="89"/>
      <c r="F1" s="89"/>
      <c r="G1" s="89"/>
      <c r="H1" s="89"/>
      <c r="I1" s="89"/>
      <c r="J1" s="89"/>
      <c r="K1" s="89"/>
      <c r="L1" s="89"/>
      <c r="M1" s="89"/>
      <c r="N1" s="90"/>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row>
    <row r="2">
      <c r="A2" s="91" t="s">
        <v>204</v>
      </c>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row>
    <row r="3">
      <c r="A3" s="139" t="s">
        <v>205</v>
      </c>
      <c r="L3" s="91"/>
      <c r="M3" s="91"/>
      <c r="N3" s="91"/>
      <c r="O3" s="91"/>
      <c r="P3" s="91"/>
      <c r="Q3" s="88"/>
      <c r="R3" s="88"/>
      <c r="S3" s="88"/>
      <c r="T3" s="88"/>
      <c r="U3" s="88"/>
      <c r="V3" s="88"/>
      <c r="W3" s="88"/>
      <c r="X3" s="88"/>
      <c r="Y3" s="88"/>
      <c r="Z3" s="88"/>
      <c r="AA3" s="88"/>
      <c r="AB3" s="88"/>
      <c r="AC3" s="88"/>
      <c r="AD3" s="88"/>
      <c r="AE3" s="88"/>
      <c r="AF3" s="88"/>
      <c r="AG3" s="88"/>
      <c r="AH3" s="88"/>
      <c r="AI3" s="88"/>
      <c r="AJ3" s="88"/>
      <c r="AK3" s="88"/>
      <c r="AL3" s="88"/>
      <c r="AM3" s="88"/>
      <c r="AN3" s="88"/>
      <c r="AO3" s="88"/>
    </row>
    <row r="4">
      <c r="A4" s="91" t="s">
        <v>0</v>
      </c>
      <c r="B4" s="94">
        <v>44097.0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row>
    <row r="5">
      <c r="A5" s="95"/>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row>
    <row r="6">
      <c r="A6" s="97" t="s">
        <v>206</v>
      </c>
      <c r="B6" s="98"/>
      <c r="C6" s="98"/>
      <c r="D6" s="98"/>
      <c r="E6" s="98"/>
      <c r="F6" s="98"/>
      <c r="G6" s="98"/>
      <c r="H6" s="98"/>
      <c r="I6" s="98"/>
      <c r="J6" s="98"/>
      <c r="K6" s="35"/>
      <c r="L6" s="100"/>
      <c r="M6" s="100"/>
      <c r="N6" s="100"/>
      <c r="O6" s="100"/>
      <c r="P6" s="100"/>
      <c r="Q6" s="88"/>
      <c r="R6" s="88"/>
      <c r="S6" s="88"/>
      <c r="T6" s="88"/>
      <c r="U6" s="88"/>
      <c r="V6" s="88"/>
      <c r="W6" s="88"/>
      <c r="X6" s="88"/>
      <c r="Y6" s="88"/>
      <c r="Z6" s="88"/>
      <c r="AA6" s="88"/>
      <c r="AB6" s="88"/>
      <c r="AC6" s="88"/>
      <c r="AD6" s="88"/>
      <c r="AE6" s="88"/>
      <c r="AF6" s="88"/>
      <c r="AG6" s="88"/>
      <c r="AH6" s="88"/>
      <c r="AI6" s="88"/>
      <c r="AJ6" s="88"/>
      <c r="AK6" s="88"/>
      <c r="AL6" s="88"/>
      <c r="AM6" s="88"/>
      <c r="AN6" s="88"/>
      <c r="AO6" s="88"/>
    </row>
    <row r="7">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row>
    <row r="8">
      <c r="A8" s="129" t="s">
        <v>125</v>
      </c>
      <c r="B8" s="140" t="s">
        <v>126</v>
      </c>
      <c r="C8" s="140" t="s">
        <v>127</v>
      </c>
      <c r="D8" s="140" t="s">
        <v>128</v>
      </c>
      <c r="E8" s="140" t="s">
        <v>129</v>
      </c>
      <c r="F8" s="140" t="s">
        <v>130</v>
      </c>
      <c r="G8" s="140" t="s">
        <v>131</v>
      </c>
      <c r="H8" s="140" t="s">
        <v>132</v>
      </c>
      <c r="I8" s="140" t="s">
        <v>133</v>
      </c>
      <c r="J8" s="140" t="s">
        <v>134</v>
      </c>
      <c r="K8" s="140" t="s">
        <v>135</v>
      </c>
      <c r="L8" s="140" t="s">
        <v>136</v>
      </c>
      <c r="M8" s="140" t="s">
        <v>137</v>
      </c>
      <c r="N8" s="140" t="s">
        <v>138</v>
      </c>
      <c r="O8" s="140" t="s">
        <v>139</v>
      </c>
      <c r="P8" s="140" t="s">
        <v>140</v>
      </c>
      <c r="Q8" s="140" t="s">
        <v>141</v>
      </c>
      <c r="R8" s="140" t="s">
        <v>142</v>
      </c>
      <c r="S8" s="140" t="s">
        <v>143</v>
      </c>
      <c r="T8" s="140" t="s">
        <v>144</v>
      </c>
      <c r="U8" s="140" t="s">
        <v>145</v>
      </c>
      <c r="V8" s="140" t="s">
        <v>146</v>
      </c>
      <c r="W8" s="140" t="s">
        <v>147</v>
      </c>
      <c r="X8" s="140" t="s">
        <v>148</v>
      </c>
      <c r="Y8" s="140" t="s">
        <v>149</v>
      </c>
      <c r="Z8" s="140" t="s">
        <v>150</v>
      </c>
      <c r="AA8" s="140" t="s">
        <v>151</v>
      </c>
      <c r="AB8" s="140" t="s">
        <v>152</v>
      </c>
      <c r="AC8" s="140" t="s">
        <v>153</v>
      </c>
      <c r="AD8" s="140" t="s">
        <v>154</v>
      </c>
      <c r="AE8" s="140" t="s">
        <v>155</v>
      </c>
      <c r="AF8" s="140" t="s">
        <v>156</v>
      </c>
      <c r="AG8" s="140" t="s">
        <v>157</v>
      </c>
      <c r="AH8" s="140" t="s">
        <v>158</v>
      </c>
      <c r="AI8" s="140" t="s">
        <v>159</v>
      </c>
      <c r="AJ8" s="140" t="s">
        <v>160</v>
      </c>
      <c r="AK8" s="140" t="s">
        <v>161</v>
      </c>
      <c r="AL8" s="140" t="s">
        <v>162</v>
      </c>
      <c r="AM8" s="140" t="s">
        <v>163</v>
      </c>
      <c r="AN8" s="140" t="s">
        <v>164</v>
      </c>
      <c r="AO8" s="140" t="s">
        <v>118</v>
      </c>
    </row>
    <row r="9">
      <c r="A9" s="137" t="s">
        <v>166</v>
      </c>
      <c r="B9" s="141"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7" t="s">
        <v>167</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7" t="s">
        <v>168</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7" t="s">
        <v>169</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7" t="s">
        <v>170</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7" t="s">
        <v>171</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7" t="s">
        <v>172</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7" t="s">
        <v>173</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7" t="s">
        <v>174</v>
      </c>
      <c r="B17" s="142" t="s">
        <v>198</v>
      </c>
      <c r="C17" s="141">
        <v>0.056</v>
      </c>
      <c r="D17" s="141">
        <v>0.052</v>
      </c>
      <c r="E17" s="141">
        <v>0.236</v>
      </c>
      <c r="F17" s="143">
        <v>0.104</v>
      </c>
      <c r="G17" s="141">
        <v>0.044</v>
      </c>
      <c r="H17" s="141">
        <v>0.101</v>
      </c>
      <c r="I17" s="141">
        <v>0.049</v>
      </c>
      <c r="J17" s="141">
        <v>0.073</v>
      </c>
      <c r="K17" s="141">
        <v>0.059</v>
      </c>
      <c r="L17" s="142" t="s">
        <v>198</v>
      </c>
      <c r="M17" s="142" t="s">
        <v>198</v>
      </c>
      <c r="N17" s="142" t="s">
        <v>198</v>
      </c>
      <c r="O17" s="141">
        <v>0.0</v>
      </c>
      <c r="P17" s="141">
        <v>0.0</v>
      </c>
      <c r="Q17" s="141">
        <v>0.071</v>
      </c>
      <c r="R17" s="141">
        <v>0.077</v>
      </c>
      <c r="S17" s="141">
        <v>0.0</v>
      </c>
      <c r="T17" s="142" t="s">
        <v>198</v>
      </c>
      <c r="U17" s="142" t="s">
        <v>198</v>
      </c>
      <c r="V17" s="143">
        <v>0.0</v>
      </c>
      <c r="W17" s="141">
        <v>0.037</v>
      </c>
      <c r="X17" s="141">
        <v>0.021</v>
      </c>
      <c r="Y17" s="141">
        <v>0.095</v>
      </c>
      <c r="Z17" s="142" t="s">
        <v>198</v>
      </c>
      <c r="AA17" s="141">
        <v>0.156</v>
      </c>
      <c r="AB17" s="142" t="s">
        <v>198</v>
      </c>
      <c r="AC17" s="141">
        <v>0.196</v>
      </c>
      <c r="AD17" s="141">
        <v>0.116</v>
      </c>
      <c r="AE17" s="142" t="s">
        <v>198</v>
      </c>
      <c r="AF17" s="141">
        <v>0.06</v>
      </c>
      <c r="AG17" s="142" t="s">
        <v>198</v>
      </c>
      <c r="AH17" s="141">
        <v>0.042</v>
      </c>
      <c r="AI17" s="142" t="s">
        <v>198</v>
      </c>
      <c r="AJ17" s="141">
        <v>0.078</v>
      </c>
      <c r="AK17" s="142" t="s">
        <v>198</v>
      </c>
      <c r="AL17" s="141">
        <v>0.085</v>
      </c>
      <c r="AM17" s="141">
        <v>0.074</v>
      </c>
      <c r="AN17" s="141">
        <v>0.108</v>
      </c>
      <c r="AO17" s="141">
        <v>0.113</v>
      </c>
    </row>
    <row r="18">
      <c r="A18" s="137" t="s">
        <v>175</v>
      </c>
      <c r="B18" s="142" t="s">
        <v>198</v>
      </c>
      <c r="C18" s="141">
        <v>0.043</v>
      </c>
      <c r="D18" s="142" t="s">
        <v>198</v>
      </c>
      <c r="E18" s="141">
        <v>0.201</v>
      </c>
      <c r="F18" s="142" t="s">
        <v>198</v>
      </c>
      <c r="G18" s="141">
        <v>0.04</v>
      </c>
      <c r="H18" s="141">
        <v>0.069</v>
      </c>
      <c r="I18" s="141">
        <v>0.061</v>
      </c>
      <c r="J18" s="141">
        <v>0.053</v>
      </c>
      <c r="K18" s="141">
        <v>0.087</v>
      </c>
      <c r="L18" s="141">
        <v>0.15</v>
      </c>
      <c r="M18" s="142" t="s">
        <v>198</v>
      </c>
      <c r="N18" s="142" t="s">
        <v>198</v>
      </c>
      <c r="O18" s="142" t="s">
        <v>198</v>
      </c>
      <c r="P18" s="142" t="s">
        <v>198</v>
      </c>
      <c r="Q18" s="141">
        <v>0.081</v>
      </c>
      <c r="R18" s="141">
        <v>0.063</v>
      </c>
      <c r="S18" s="142" t="s">
        <v>198</v>
      </c>
      <c r="T18" s="142" t="s">
        <v>198</v>
      </c>
      <c r="U18" s="142" t="s">
        <v>198</v>
      </c>
      <c r="V18" s="141">
        <v>0.0</v>
      </c>
      <c r="W18" s="141">
        <v>0.036</v>
      </c>
      <c r="X18" s="141">
        <v>0.039</v>
      </c>
      <c r="Y18" s="141">
        <v>0.117</v>
      </c>
      <c r="Z18" s="141">
        <v>0.087</v>
      </c>
      <c r="AA18" s="141">
        <v>0.126</v>
      </c>
      <c r="AB18" s="142" t="s">
        <v>198</v>
      </c>
      <c r="AC18" s="141">
        <v>0.142</v>
      </c>
      <c r="AD18" s="142" t="s">
        <v>198</v>
      </c>
      <c r="AE18" s="142" t="s">
        <v>198</v>
      </c>
      <c r="AF18" s="141">
        <v>0.069</v>
      </c>
      <c r="AG18" s="142" t="s">
        <v>198</v>
      </c>
      <c r="AH18" s="141">
        <v>0.035</v>
      </c>
      <c r="AI18" s="141">
        <v>0.033</v>
      </c>
      <c r="AJ18" s="141">
        <v>0.046</v>
      </c>
      <c r="AK18" s="143">
        <v>0.0</v>
      </c>
      <c r="AL18" s="141">
        <v>0.082</v>
      </c>
      <c r="AM18" s="142" t="s">
        <v>198</v>
      </c>
      <c r="AN18" s="141">
        <v>0.137</v>
      </c>
      <c r="AO18" s="141">
        <v>0.094</v>
      </c>
    </row>
    <row r="19">
      <c r="A19" s="137" t="s">
        <v>176</v>
      </c>
      <c r="B19" s="141">
        <v>0.05</v>
      </c>
      <c r="C19" s="141">
        <v>0.028</v>
      </c>
      <c r="D19" s="142" t="s">
        <v>198</v>
      </c>
      <c r="E19" s="141">
        <v>0.16</v>
      </c>
      <c r="F19" s="141">
        <v>0.0</v>
      </c>
      <c r="G19" s="141">
        <v>0.025</v>
      </c>
      <c r="H19" s="141">
        <v>0.063</v>
      </c>
      <c r="I19" s="141">
        <v>0.04</v>
      </c>
      <c r="J19" s="141">
        <v>0.029</v>
      </c>
      <c r="K19" s="141">
        <v>0.067</v>
      </c>
      <c r="L19" s="142" t="s">
        <v>198</v>
      </c>
      <c r="M19" s="142" t="s">
        <v>198</v>
      </c>
      <c r="N19" s="141">
        <v>0.087</v>
      </c>
      <c r="O19" s="142" t="s">
        <v>198</v>
      </c>
      <c r="P19" s="141">
        <v>0.0</v>
      </c>
      <c r="Q19" s="141">
        <v>0.046</v>
      </c>
      <c r="R19" s="141">
        <v>0.039</v>
      </c>
      <c r="S19" s="141">
        <v>0.0</v>
      </c>
      <c r="T19" s="141">
        <v>0.0</v>
      </c>
      <c r="U19" s="142" t="s">
        <v>198</v>
      </c>
      <c r="V19" s="142" t="s">
        <v>198</v>
      </c>
      <c r="W19" s="142" t="s">
        <v>198</v>
      </c>
      <c r="X19" s="141">
        <v>0.032</v>
      </c>
      <c r="Y19" s="141">
        <v>0.078</v>
      </c>
      <c r="Z19" s="141">
        <v>0.055</v>
      </c>
      <c r="AA19" s="141">
        <v>0.081</v>
      </c>
      <c r="AB19" s="142" t="s">
        <v>198</v>
      </c>
      <c r="AC19" s="141">
        <v>0.121</v>
      </c>
      <c r="AD19" s="141">
        <v>0.0</v>
      </c>
      <c r="AE19" s="141">
        <v>0.036</v>
      </c>
      <c r="AF19" s="141">
        <v>0.05</v>
      </c>
      <c r="AG19" s="142" t="s">
        <v>198</v>
      </c>
      <c r="AH19" s="141">
        <v>0.051</v>
      </c>
      <c r="AI19" s="141">
        <v>0.077</v>
      </c>
      <c r="AJ19" s="141">
        <v>0.035</v>
      </c>
      <c r="AK19" s="142" t="s">
        <v>198</v>
      </c>
      <c r="AL19" s="141">
        <v>0.044</v>
      </c>
      <c r="AM19" s="142" t="s">
        <v>198</v>
      </c>
      <c r="AN19" s="141">
        <v>0.113</v>
      </c>
      <c r="AO19" s="141">
        <v>0.07</v>
      </c>
    </row>
    <row r="20">
      <c r="A20" s="137" t="s">
        <v>177</v>
      </c>
      <c r="B20" s="141">
        <v>0.052</v>
      </c>
      <c r="C20" s="141">
        <v>0.032</v>
      </c>
      <c r="D20" s="141">
        <v>0.031</v>
      </c>
      <c r="E20" s="141">
        <v>0.124</v>
      </c>
      <c r="F20" s="141">
        <v>0.0</v>
      </c>
      <c r="G20" s="141">
        <v>0.042</v>
      </c>
      <c r="H20" s="141">
        <v>0.058</v>
      </c>
      <c r="I20" s="141">
        <v>0.03</v>
      </c>
      <c r="J20" s="142" t="s">
        <v>198</v>
      </c>
      <c r="K20" s="141">
        <v>0.039</v>
      </c>
      <c r="L20" s="142" t="s">
        <v>198</v>
      </c>
      <c r="M20" s="142" t="s">
        <v>198</v>
      </c>
      <c r="N20" s="142" t="s">
        <v>198</v>
      </c>
      <c r="O20" s="142" t="s">
        <v>198</v>
      </c>
      <c r="P20" s="142" t="s">
        <v>198</v>
      </c>
      <c r="Q20" s="141">
        <v>0.048</v>
      </c>
      <c r="R20" s="141">
        <v>0.038</v>
      </c>
      <c r="S20" s="142" t="s">
        <v>198</v>
      </c>
      <c r="T20" s="142" t="s">
        <v>198</v>
      </c>
      <c r="U20" s="142" t="s">
        <v>198</v>
      </c>
      <c r="V20" s="141">
        <v>0.0</v>
      </c>
      <c r="W20" s="142" t="s">
        <v>198</v>
      </c>
      <c r="X20" s="141">
        <v>0.021</v>
      </c>
      <c r="Y20" s="141">
        <v>0.046</v>
      </c>
      <c r="Z20" s="141">
        <v>0.035</v>
      </c>
      <c r="AA20" s="141">
        <v>0.075</v>
      </c>
      <c r="AB20" s="141">
        <v>0.047</v>
      </c>
      <c r="AC20" s="141">
        <v>0.103</v>
      </c>
      <c r="AD20" s="142" t="s">
        <v>198</v>
      </c>
      <c r="AE20" s="142" t="s">
        <v>198</v>
      </c>
      <c r="AF20" s="141">
        <v>0.032</v>
      </c>
      <c r="AG20" s="142" t="s">
        <v>198</v>
      </c>
      <c r="AH20" s="141">
        <v>0.053</v>
      </c>
      <c r="AI20" s="141">
        <v>0.028</v>
      </c>
      <c r="AJ20" s="141">
        <v>0.036</v>
      </c>
      <c r="AK20" s="142" t="s">
        <v>198</v>
      </c>
      <c r="AL20" s="141">
        <v>0.034</v>
      </c>
      <c r="AM20" s="142" t="s">
        <v>198</v>
      </c>
      <c r="AN20" s="141">
        <v>0.06</v>
      </c>
      <c r="AO20" s="141">
        <v>0.06</v>
      </c>
    </row>
    <row r="21">
      <c r="A21" s="137" t="s">
        <v>178</v>
      </c>
      <c r="B21" s="142" t="s">
        <v>198</v>
      </c>
      <c r="C21" s="141">
        <v>0.029</v>
      </c>
      <c r="D21" s="142" t="s">
        <v>198</v>
      </c>
      <c r="E21" s="141">
        <v>0.091</v>
      </c>
      <c r="F21" s="142" t="s">
        <v>198</v>
      </c>
      <c r="G21" s="141">
        <v>0.022</v>
      </c>
      <c r="H21" s="141">
        <v>0.045</v>
      </c>
      <c r="I21" s="141">
        <v>0.019</v>
      </c>
      <c r="J21" s="141">
        <v>0.0</v>
      </c>
      <c r="K21" s="141">
        <v>0.05</v>
      </c>
      <c r="L21" s="141">
        <v>0.0</v>
      </c>
      <c r="M21" s="142" t="s">
        <v>198</v>
      </c>
      <c r="N21" s="142" t="s">
        <v>198</v>
      </c>
      <c r="O21" s="141">
        <v>0.0</v>
      </c>
      <c r="P21" s="142" t="s">
        <v>198</v>
      </c>
      <c r="Q21" s="141">
        <v>0.104</v>
      </c>
      <c r="R21" s="141">
        <v>0.047</v>
      </c>
      <c r="S21" s="141">
        <v>0.0</v>
      </c>
      <c r="T21" s="141">
        <v>0.025</v>
      </c>
      <c r="U21" s="142" t="s">
        <v>198</v>
      </c>
      <c r="V21" s="141">
        <v>0.0</v>
      </c>
      <c r="W21" s="141">
        <v>0.037</v>
      </c>
      <c r="X21" s="141">
        <v>0.019</v>
      </c>
      <c r="Y21" s="141">
        <v>0.038</v>
      </c>
      <c r="Z21" s="141">
        <v>0.031</v>
      </c>
      <c r="AA21" s="141">
        <v>0.066</v>
      </c>
      <c r="AB21" s="141">
        <v>0.041</v>
      </c>
      <c r="AC21" s="141">
        <v>0.106</v>
      </c>
      <c r="AD21" s="142" t="s">
        <v>198</v>
      </c>
      <c r="AE21" s="142" t="s">
        <v>198</v>
      </c>
      <c r="AF21" s="141">
        <v>0.0</v>
      </c>
      <c r="AG21" s="141">
        <v>0.0</v>
      </c>
      <c r="AH21" s="142" t="s">
        <v>198</v>
      </c>
      <c r="AI21" s="141">
        <v>0.0</v>
      </c>
      <c r="AJ21" s="141">
        <v>0.019</v>
      </c>
      <c r="AK21" s="142" t="s">
        <v>198</v>
      </c>
      <c r="AL21" s="141">
        <v>0.031</v>
      </c>
      <c r="AM21" s="142" t="s">
        <v>198</v>
      </c>
      <c r="AN21" s="141">
        <v>0.076</v>
      </c>
      <c r="AO21" s="141">
        <v>0.055</v>
      </c>
    </row>
    <row r="22">
      <c r="A22" s="137" t="s">
        <v>179</v>
      </c>
      <c r="B22" s="142" t="s">
        <v>198</v>
      </c>
      <c r="C22" s="142" t="s">
        <v>198</v>
      </c>
      <c r="D22" s="142" t="s">
        <v>198</v>
      </c>
      <c r="E22" s="141">
        <v>0.094</v>
      </c>
      <c r="F22" s="141">
        <v>0.0</v>
      </c>
      <c r="G22" s="142" t="s">
        <v>198</v>
      </c>
      <c r="H22" s="141">
        <v>0.034</v>
      </c>
      <c r="I22" s="141">
        <v>0.03</v>
      </c>
      <c r="J22" s="142" t="s">
        <v>198</v>
      </c>
      <c r="K22" s="141">
        <v>0.02</v>
      </c>
      <c r="L22" s="142" t="s">
        <v>198</v>
      </c>
      <c r="M22" s="141">
        <v>0.0</v>
      </c>
      <c r="N22" s="142" t="s">
        <v>198</v>
      </c>
      <c r="O22" s="141">
        <v>0.0</v>
      </c>
      <c r="P22" s="142" t="s">
        <v>198</v>
      </c>
      <c r="Q22" s="141">
        <v>0.028</v>
      </c>
      <c r="R22" s="142" t="s">
        <v>198</v>
      </c>
      <c r="S22" s="141">
        <v>0.0</v>
      </c>
      <c r="T22" s="142" t="s">
        <v>198</v>
      </c>
      <c r="U22" s="142" t="s">
        <v>198</v>
      </c>
      <c r="V22" s="141">
        <v>0.0</v>
      </c>
      <c r="W22" s="142" t="s">
        <v>198</v>
      </c>
      <c r="X22" s="142" t="s">
        <v>198</v>
      </c>
      <c r="Y22" s="141">
        <v>0.039</v>
      </c>
      <c r="Z22" s="142" t="s">
        <v>198</v>
      </c>
      <c r="AA22" s="141">
        <v>0.042</v>
      </c>
      <c r="AB22" s="141">
        <v>0.027</v>
      </c>
      <c r="AC22" s="141">
        <v>0.078</v>
      </c>
      <c r="AD22" s="141">
        <v>0.0</v>
      </c>
      <c r="AE22" s="142" t="s">
        <v>198</v>
      </c>
      <c r="AF22" s="142" t="s">
        <v>198</v>
      </c>
      <c r="AG22" s="141">
        <v>0.0</v>
      </c>
      <c r="AH22" s="142" t="s">
        <v>198</v>
      </c>
      <c r="AI22" s="142" t="s">
        <v>198</v>
      </c>
      <c r="AJ22" s="141">
        <v>0.018</v>
      </c>
      <c r="AK22" s="141">
        <v>0.0</v>
      </c>
      <c r="AL22" s="141">
        <v>0.023</v>
      </c>
      <c r="AM22" s="141">
        <v>0.0</v>
      </c>
      <c r="AN22" s="141">
        <v>0.051</v>
      </c>
      <c r="AO22" s="141">
        <v>0.036</v>
      </c>
    </row>
    <row r="23">
      <c r="A23" s="137" t="s">
        <v>180</v>
      </c>
      <c r="B23" s="142" t="s">
        <v>198</v>
      </c>
      <c r="C23" s="142" t="s">
        <v>198</v>
      </c>
      <c r="D23" s="142" t="s">
        <v>198</v>
      </c>
      <c r="E23" s="141">
        <v>0.082</v>
      </c>
      <c r="F23" s="142" t="s">
        <v>198</v>
      </c>
      <c r="G23" s="142" t="s">
        <v>198</v>
      </c>
      <c r="H23" s="141">
        <v>0.033</v>
      </c>
      <c r="I23" s="141">
        <v>0.02</v>
      </c>
      <c r="J23" s="142" t="s">
        <v>198</v>
      </c>
      <c r="K23" s="141">
        <v>0.019</v>
      </c>
      <c r="L23" s="142" t="s">
        <v>198</v>
      </c>
      <c r="M23" s="142" t="s">
        <v>198</v>
      </c>
      <c r="N23" s="141">
        <v>0.0</v>
      </c>
      <c r="O23" s="141">
        <v>0.0</v>
      </c>
      <c r="P23" s="141">
        <v>0.0</v>
      </c>
      <c r="Q23" s="141">
        <v>0.034</v>
      </c>
      <c r="R23" s="141">
        <v>0.027</v>
      </c>
      <c r="S23" s="141">
        <v>0.0</v>
      </c>
      <c r="T23" s="142" t="s">
        <v>198</v>
      </c>
      <c r="U23" s="141">
        <v>0.0</v>
      </c>
      <c r="V23" s="141">
        <v>0.0</v>
      </c>
      <c r="W23" s="142" t="s">
        <v>198</v>
      </c>
      <c r="X23" s="142" t="s">
        <v>198</v>
      </c>
      <c r="Y23" s="141">
        <v>0.02</v>
      </c>
      <c r="Z23" s="141">
        <v>0.05</v>
      </c>
      <c r="AA23" s="141">
        <v>0.038</v>
      </c>
      <c r="AB23" s="141">
        <v>0.0</v>
      </c>
      <c r="AC23" s="141">
        <v>0.048</v>
      </c>
      <c r="AD23" s="141">
        <v>0.0</v>
      </c>
      <c r="AE23" s="142" t="s">
        <v>198</v>
      </c>
      <c r="AF23" s="142" t="s">
        <v>198</v>
      </c>
      <c r="AG23" s="142" t="s">
        <v>198</v>
      </c>
      <c r="AH23" s="142" t="s">
        <v>198</v>
      </c>
      <c r="AI23" s="142" t="s">
        <v>198</v>
      </c>
      <c r="AJ23" s="141">
        <v>0.011</v>
      </c>
      <c r="AK23" s="141">
        <v>0.0</v>
      </c>
      <c r="AL23" s="142" t="s">
        <v>198</v>
      </c>
      <c r="AM23" s="141">
        <v>0.0</v>
      </c>
      <c r="AN23" s="141">
        <v>0.039</v>
      </c>
      <c r="AO23" s="141">
        <v>0.028</v>
      </c>
    </row>
    <row r="24">
      <c r="A24" s="137" t="s">
        <v>181</v>
      </c>
      <c r="B24" s="141">
        <v>0.0</v>
      </c>
      <c r="C24" s="142" t="s">
        <v>198</v>
      </c>
      <c r="D24" s="142" t="s">
        <v>198</v>
      </c>
      <c r="E24" s="141">
        <v>0.073</v>
      </c>
      <c r="F24" s="142" t="s">
        <v>198</v>
      </c>
      <c r="G24" s="142" t="s">
        <v>198</v>
      </c>
      <c r="H24" s="141">
        <v>0.018</v>
      </c>
      <c r="I24" s="142" t="s">
        <v>198</v>
      </c>
      <c r="J24" s="142" t="s">
        <v>198</v>
      </c>
      <c r="K24" s="141">
        <v>0.012</v>
      </c>
      <c r="L24" s="141">
        <v>0.0</v>
      </c>
      <c r="M24" s="141">
        <v>0.0</v>
      </c>
      <c r="N24" s="141">
        <v>0.0</v>
      </c>
      <c r="O24" s="141">
        <v>0.0</v>
      </c>
      <c r="P24" s="142" t="s">
        <v>198</v>
      </c>
      <c r="Q24" s="141">
        <v>0.013</v>
      </c>
      <c r="R24" s="142" t="s">
        <v>198</v>
      </c>
      <c r="S24" s="141">
        <v>0.0</v>
      </c>
      <c r="T24" s="142" t="s">
        <v>198</v>
      </c>
      <c r="U24" s="142" t="s">
        <v>198</v>
      </c>
      <c r="V24" s="141">
        <v>0.0</v>
      </c>
      <c r="W24" s="141">
        <v>0.014</v>
      </c>
      <c r="X24" s="142" t="s">
        <v>198</v>
      </c>
      <c r="Y24" s="143">
        <v>0.011</v>
      </c>
      <c r="Z24" s="142" t="s">
        <v>198</v>
      </c>
      <c r="AA24" s="141">
        <v>0.032</v>
      </c>
      <c r="AB24" s="142" t="s">
        <v>198</v>
      </c>
      <c r="AC24" s="141">
        <v>0.04</v>
      </c>
      <c r="AD24" s="141">
        <v>0.0</v>
      </c>
      <c r="AE24" s="142" t="s">
        <v>198</v>
      </c>
      <c r="AF24" s="142" t="s">
        <v>198</v>
      </c>
      <c r="AG24" s="141">
        <v>0.0</v>
      </c>
      <c r="AH24" s="141">
        <v>0.0</v>
      </c>
      <c r="AI24" s="142" t="s">
        <v>198</v>
      </c>
      <c r="AJ24" s="141">
        <v>0.014</v>
      </c>
      <c r="AK24" s="141">
        <v>0.0</v>
      </c>
      <c r="AL24" s="141">
        <v>0.027</v>
      </c>
      <c r="AM24" s="142" t="s">
        <v>198</v>
      </c>
      <c r="AN24" s="141">
        <v>0.032</v>
      </c>
      <c r="AO24" s="141">
        <v>0.022</v>
      </c>
    </row>
    <row r="25">
      <c r="A25" s="137" t="s">
        <v>182</v>
      </c>
      <c r="B25" s="142" t="s">
        <v>198</v>
      </c>
      <c r="C25" s="141">
        <v>0.019</v>
      </c>
      <c r="D25" s="142" t="s">
        <v>198</v>
      </c>
      <c r="E25" s="141">
        <v>0.036</v>
      </c>
      <c r="F25" s="142" t="s">
        <v>198</v>
      </c>
      <c r="G25" s="142" t="s">
        <v>198</v>
      </c>
      <c r="H25" s="141">
        <v>0.013</v>
      </c>
      <c r="I25" s="141">
        <v>0.02</v>
      </c>
      <c r="J25" s="142" t="s">
        <v>198</v>
      </c>
      <c r="K25" s="141">
        <v>0.011</v>
      </c>
      <c r="L25" s="141">
        <v>0.0</v>
      </c>
      <c r="M25" s="142" t="s">
        <v>198</v>
      </c>
      <c r="N25" s="142" t="s">
        <v>198</v>
      </c>
      <c r="O25" s="142" t="s">
        <v>198</v>
      </c>
      <c r="P25" s="141">
        <v>0.0</v>
      </c>
      <c r="Q25" s="141">
        <v>0.024</v>
      </c>
      <c r="R25" s="141">
        <v>0.02</v>
      </c>
      <c r="S25" s="141">
        <v>0.0</v>
      </c>
      <c r="T25" s="141">
        <v>0.025</v>
      </c>
      <c r="U25" s="141">
        <v>0.0</v>
      </c>
      <c r="V25" s="141">
        <v>0.0</v>
      </c>
      <c r="W25" s="141">
        <v>0.027</v>
      </c>
      <c r="X25" s="142" t="s">
        <v>198</v>
      </c>
      <c r="Y25" s="141">
        <v>0.022</v>
      </c>
      <c r="Z25" s="141">
        <v>0.0</v>
      </c>
      <c r="AA25" s="141">
        <v>0.038</v>
      </c>
      <c r="AB25" s="142" t="s">
        <v>198</v>
      </c>
      <c r="AC25" s="141">
        <v>0.035</v>
      </c>
      <c r="AD25" s="141">
        <v>0.0</v>
      </c>
      <c r="AE25" s="142" t="s">
        <v>198</v>
      </c>
      <c r="AF25" s="142" t="s">
        <v>198</v>
      </c>
      <c r="AG25" s="142" t="s">
        <v>198</v>
      </c>
      <c r="AH25" s="142" t="s">
        <v>198</v>
      </c>
      <c r="AI25" s="142" t="s">
        <v>198</v>
      </c>
      <c r="AJ25" s="141">
        <v>0.011</v>
      </c>
      <c r="AK25" s="142" t="s">
        <v>198</v>
      </c>
      <c r="AL25" s="141">
        <v>0.024</v>
      </c>
      <c r="AM25" s="142" t="s">
        <v>198</v>
      </c>
      <c r="AN25" s="141">
        <v>0.024</v>
      </c>
      <c r="AO25" s="141">
        <v>0.021</v>
      </c>
    </row>
    <row r="26">
      <c r="A26" s="137" t="s">
        <v>183</v>
      </c>
      <c r="B26" s="142" t="s">
        <v>198</v>
      </c>
      <c r="C26" s="142" t="s">
        <v>198</v>
      </c>
      <c r="D26" s="142" t="s">
        <v>198</v>
      </c>
      <c r="E26" s="141">
        <v>0.032</v>
      </c>
      <c r="F26" s="142" t="s">
        <v>198</v>
      </c>
      <c r="G26" s="141">
        <v>0.021</v>
      </c>
      <c r="H26" s="141">
        <v>0.038</v>
      </c>
      <c r="I26" s="142" t="s">
        <v>198</v>
      </c>
      <c r="J26" s="142" t="s">
        <v>198</v>
      </c>
      <c r="K26" s="141">
        <v>0.009</v>
      </c>
      <c r="L26" s="141">
        <v>0.0</v>
      </c>
      <c r="M26" s="142" t="s">
        <v>198</v>
      </c>
      <c r="N26" s="142" t="s">
        <v>198</v>
      </c>
      <c r="O26" s="141">
        <v>0.0</v>
      </c>
      <c r="P26" s="142" t="s">
        <v>198</v>
      </c>
      <c r="Q26" s="141">
        <v>0.033</v>
      </c>
      <c r="R26" s="142" t="s">
        <v>198</v>
      </c>
      <c r="S26" s="142" t="s">
        <v>198</v>
      </c>
      <c r="T26" s="141">
        <v>0.019</v>
      </c>
      <c r="U26" s="141">
        <v>0.0</v>
      </c>
      <c r="V26" s="141">
        <v>0.0</v>
      </c>
      <c r="W26" s="141">
        <v>0.019</v>
      </c>
      <c r="X26" s="142" t="s">
        <v>198</v>
      </c>
      <c r="Y26" s="141">
        <v>0.023</v>
      </c>
      <c r="Z26" s="142" t="s">
        <v>198</v>
      </c>
      <c r="AA26" s="141">
        <v>0.015</v>
      </c>
      <c r="AB26" s="142" t="s">
        <v>198</v>
      </c>
      <c r="AC26" s="141">
        <v>0.029</v>
      </c>
      <c r="AD26" s="141">
        <v>0.0</v>
      </c>
      <c r="AE26" s="142" t="s">
        <v>198</v>
      </c>
      <c r="AF26" s="141">
        <v>0.024</v>
      </c>
      <c r="AG26" s="141">
        <v>0.0</v>
      </c>
      <c r="AH26" s="142" t="s">
        <v>198</v>
      </c>
      <c r="AI26" s="142" t="s">
        <v>198</v>
      </c>
      <c r="AJ26" s="141">
        <v>0.009</v>
      </c>
      <c r="AK26" s="141">
        <v>0.0</v>
      </c>
      <c r="AL26" s="141">
        <v>0.02</v>
      </c>
      <c r="AM26" s="142" t="s">
        <v>198</v>
      </c>
      <c r="AN26" s="141">
        <v>0.014</v>
      </c>
      <c r="AO26" s="141">
        <v>0.019</v>
      </c>
    </row>
    <row r="27">
      <c r="A27" s="137" t="s">
        <v>184</v>
      </c>
      <c r="B27" s="142" t="s">
        <v>198</v>
      </c>
      <c r="C27" s="141">
        <v>0.015</v>
      </c>
      <c r="D27" s="142" t="s">
        <v>198</v>
      </c>
      <c r="E27" s="141">
        <v>0.04</v>
      </c>
      <c r="F27" s="142" t="s">
        <v>198</v>
      </c>
      <c r="G27" s="141">
        <v>0.015</v>
      </c>
      <c r="H27" s="141">
        <v>0.02</v>
      </c>
      <c r="I27" s="142" t="s">
        <v>198</v>
      </c>
      <c r="J27" s="141">
        <v>0.016</v>
      </c>
      <c r="K27" s="141">
        <v>0.007</v>
      </c>
      <c r="L27" s="141">
        <v>0.0</v>
      </c>
      <c r="M27" s="141">
        <v>0.0</v>
      </c>
      <c r="N27" s="142" t="s">
        <v>198</v>
      </c>
      <c r="O27" s="142" t="s">
        <v>198</v>
      </c>
      <c r="P27" s="142" t="s">
        <v>198</v>
      </c>
      <c r="Q27" s="141">
        <v>0.016</v>
      </c>
      <c r="R27" s="141">
        <v>0.019</v>
      </c>
      <c r="S27" s="141">
        <v>0.0</v>
      </c>
      <c r="T27" s="141">
        <v>0.021</v>
      </c>
      <c r="U27" s="142" t="s">
        <v>198</v>
      </c>
      <c r="V27" s="142" t="s">
        <v>198</v>
      </c>
      <c r="W27" s="141">
        <v>0.019</v>
      </c>
      <c r="X27" s="141">
        <v>0.0</v>
      </c>
      <c r="Y27" s="141">
        <v>0.026</v>
      </c>
      <c r="Z27" s="142" t="s">
        <v>198</v>
      </c>
      <c r="AA27" s="141">
        <v>0.024</v>
      </c>
      <c r="AB27" s="142" t="s">
        <v>198</v>
      </c>
      <c r="AC27" s="141">
        <v>0.025</v>
      </c>
      <c r="AD27" s="141">
        <v>0.0</v>
      </c>
      <c r="AE27" s="142" t="s">
        <v>198</v>
      </c>
      <c r="AF27" s="142" t="s">
        <v>198</v>
      </c>
      <c r="AG27" s="142" t="s">
        <v>198</v>
      </c>
      <c r="AH27" s="142" t="s">
        <v>198</v>
      </c>
      <c r="AI27" s="142" t="s">
        <v>198</v>
      </c>
      <c r="AJ27" s="141">
        <v>0.013</v>
      </c>
      <c r="AK27" s="142" t="s">
        <v>198</v>
      </c>
      <c r="AL27" s="141">
        <v>0.028</v>
      </c>
      <c r="AM27" s="142" t="s">
        <v>198</v>
      </c>
      <c r="AN27" s="141">
        <v>0.022</v>
      </c>
      <c r="AO27" s="141">
        <v>0.018</v>
      </c>
    </row>
    <row r="28">
      <c r="A28" s="137" t="s">
        <v>185</v>
      </c>
      <c r="B28" s="141">
        <v>0.022</v>
      </c>
      <c r="C28" s="141">
        <v>0.02</v>
      </c>
      <c r="D28" s="142" t="s">
        <v>198</v>
      </c>
      <c r="E28" s="141">
        <v>0.057</v>
      </c>
      <c r="F28" s="142" t="s">
        <v>198</v>
      </c>
      <c r="G28" s="142" t="s">
        <v>198</v>
      </c>
      <c r="H28" s="141">
        <v>0.035</v>
      </c>
      <c r="I28" s="141">
        <v>0.023</v>
      </c>
      <c r="J28" s="142" t="s">
        <v>198</v>
      </c>
      <c r="K28" s="141">
        <v>0.019</v>
      </c>
      <c r="L28" s="141">
        <v>0.0</v>
      </c>
      <c r="M28" s="141">
        <v>0.0</v>
      </c>
      <c r="N28" s="141">
        <v>0.0</v>
      </c>
      <c r="O28" s="141">
        <v>0.0</v>
      </c>
      <c r="P28" s="141">
        <v>0.0</v>
      </c>
      <c r="Q28" s="141">
        <v>0.028</v>
      </c>
      <c r="R28" s="141">
        <v>0.017</v>
      </c>
      <c r="S28" s="142" t="s">
        <v>198</v>
      </c>
      <c r="T28" s="142" t="s">
        <v>198</v>
      </c>
      <c r="U28" s="142" t="s">
        <v>198</v>
      </c>
      <c r="V28" s="141">
        <v>0.0</v>
      </c>
      <c r="W28" s="142" t="s">
        <v>198</v>
      </c>
      <c r="X28" s="142" t="s">
        <v>198</v>
      </c>
      <c r="Y28" s="141">
        <v>0.027</v>
      </c>
      <c r="Z28" s="142" t="s">
        <v>198</v>
      </c>
      <c r="AA28" s="141">
        <v>0.045</v>
      </c>
      <c r="AB28" s="142" t="s">
        <v>198</v>
      </c>
      <c r="AC28" s="141">
        <v>0.034</v>
      </c>
      <c r="AD28" s="141">
        <v>0.0</v>
      </c>
      <c r="AE28" s="142" t="s">
        <v>198</v>
      </c>
      <c r="AF28" s="141">
        <v>0.039</v>
      </c>
      <c r="AG28" s="141">
        <v>0.0</v>
      </c>
      <c r="AH28" s="142" t="s">
        <v>198</v>
      </c>
      <c r="AI28" s="142" t="s">
        <v>198</v>
      </c>
      <c r="AJ28" s="141">
        <v>0.016</v>
      </c>
      <c r="AK28" s="141">
        <v>0.0</v>
      </c>
      <c r="AL28" s="141">
        <v>0.019</v>
      </c>
      <c r="AM28" s="142" t="s">
        <v>198</v>
      </c>
      <c r="AN28" s="141">
        <v>0.025</v>
      </c>
      <c r="AO28" s="141">
        <v>0.024</v>
      </c>
    </row>
    <row r="29">
      <c r="A29" s="144" t="s">
        <v>186</v>
      </c>
      <c r="B29" s="141">
        <v>0.0</v>
      </c>
      <c r="C29" s="141">
        <v>0.015</v>
      </c>
      <c r="D29" s="142" t="s">
        <v>198</v>
      </c>
      <c r="E29" s="141">
        <v>0.081</v>
      </c>
      <c r="F29" s="142" t="s">
        <v>198</v>
      </c>
      <c r="G29" s="141">
        <v>0.013</v>
      </c>
      <c r="H29" s="141">
        <v>0.027</v>
      </c>
      <c r="I29" s="141">
        <v>0.026</v>
      </c>
      <c r="J29" s="141">
        <v>0.011</v>
      </c>
      <c r="K29" s="141">
        <v>0.018</v>
      </c>
      <c r="L29" s="142" t="s">
        <v>198</v>
      </c>
      <c r="M29" s="141">
        <v>0.0</v>
      </c>
      <c r="N29" s="142" t="s">
        <v>198</v>
      </c>
      <c r="O29" s="142" t="s">
        <v>198</v>
      </c>
      <c r="P29" s="142" t="s">
        <v>198</v>
      </c>
      <c r="Q29" s="141">
        <v>0.036</v>
      </c>
      <c r="R29" s="141">
        <v>0.015</v>
      </c>
      <c r="S29" s="141">
        <v>0.0</v>
      </c>
      <c r="T29" s="142" t="s">
        <v>198</v>
      </c>
      <c r="U29" s="142" t="s">
        <v>198</v>
      </c>
      <c r="V29" s="142" t="s">
        <v>198</v>
      </c>
      <c r="W29" s="143">
        <v>0.013</v>
      </c>
      <c r="X29" s="141">
        <v>0.01</v>
      </c>
      <c r="Y29" s="141">
        <v>0.048</v>
      </c>
      <c r="Z29" s="142" t="s">
        <v>198</v>
      </c>
      <c r="AA29" s="141">
        <v>0.055</v>
      </c>
      <c r="AB29" s="142" t="s">
        <v>198</v>
      </c>
      <c r="AC29" s="141">
        <v>0.038</v>
      </c>
      <c r="AD29" s="141">
        <v>0.0</v>
      </c>
      <c r="AE29" s="142" t="s">
        <v>198</v>
      </c>
      <c r="AF29" s="141">
        <v>0.025</v>
      </c>
      <c r="AG29" s="142" t="s">
        <v>198</v>
      </c>
      <c r="AH29" s="142" t="s">
        <v>198</v>
      </c>
      <c r="AI29" s="141">
        <v>0.038</v>
      </c>
      <c r="AJ29" s="141">
        <v>0.023</v>
      </c>
      <c r="AK29" s="142" t="s">
        <v>198</v>
      </c>
      <c r="AL29" s="141">
        <v>0.018</v>
      </c>
      <c r="AM29" s="142" t="s">
        <v>198</v>
      </c>
      <c r="AN29" s="141">
        <v>0.019</v>
      </c>
      <c r="AO29" s="141">
        <v>0.027</v>
      </c>
    </row>
    <row r="30">
      <c r="A30" s="137" t="s">
        <v>187</v>
      </c>
      <c r="B30" s="142" t="s">
        <v>198</v>
      </c>
      <c r="C30" s="141">
        <v>0.014</v>
      </c>
      <c r="D30" s="141">
        <v>0.035</v>
      </c>
      <c r="E30" s="141">
        <v>0.07</v>
      </c>
      <c r="F30" s="142" t="s">
        <v>198</v>
      </c>
      <c r="G30" s="141">
        <v>0.007</v>
      </c>
      <c r="H30" s="141">
        <v>0.056</v>
      </c>
      <c r="I30" s="141">
        <v>0.017</v>
      </c>
      <c r="J30" s="141">
        <v>0.016</v>
      </c>
      <c r="K30" s="141">
        <v>0.012</v>
      </c>
      <c r="L30" s="142" t="s">
        <v>198</v>
      </c>
      <c r="M30" s="142" t="s">
        <v>198</v>
      </c>
      <c r="N30" s="142" t="s">
        <v>198</v>
      </c>
      <c r="O30" s="141">
        <v>0.0</v>
      </c>
      <c r="P30" s="142" t="s">
        <v>198</v>
      </c>
      <c r="Q30" s="141">
        <v>0.021</v>
      </c>
      <c r="R30" s="141">
        <v>0.038</v>
      </c>
      <c r="S30" s="141">
        <v>0.0</v>
      </c>
      <c r="T30" s="141">
        <v>0.018</v>
      </c>
      <c r="U30" s="141">
        <v>0.0</v>
      </c>
      <c r="V30" s="142" t="s">
        <v>198</v>
      </c>
      <c r="W30" s="141">
        <v>0.011</v>
      </c>
      <c r="X30" s="141">
        <v>0.013</v>
      </c>
      <c r="Y30" s="141">
        <v>0.052</v>
      </c>
      <c r="Z30" s="142" t="s">
        <v>198</v>
      </c>
      <c r="AA30" s="141">
        <v>0.055</v>
      </c>
      <c r="AB30" s="141">
        <v>0.0</v>
      </c>
      <c r="AC30" s="141">
        <v>0.041</v>
      </c>
      <c r="AD30" s="142" t="s">
        <v>198</v>
      </c>
      <c r="AE30" s="141">
        <v>0.0</v>
      </c>
      <c r="AF30" s="142" t="s">
        <v>198</v>
      </c>
      <c r="AG30" s="142" t="s">
        <v>198</v>
      </c>
      <c r="AH30" s="142" t="s">
        <v>198</v>
      </c>
      <c r="AI30" s="142" t="s">
        <v>198</v>
      </c>
      <c r="AJ30" s="141">
        <v>0.02</v>
      </c>
      <c r="AK30" s="142" t="s">
        <v>198</v>
      </c>
      <c r="AL30" s="141">
        <v>0.034</v>
      </c>
      <c r="AM30" s="142" t="s">
        <v>198</v>
      </c>
      <c r="AN30" s="141">
        <v>0.02</v>
      </c>
      <c r="AO30" s="141">
        <v>0.029</v>
      </c>
    </row>
    <row r="31">
      <c r="A31" s="145" t="s">
        <v>188</v>
      </c>
      <c r="B31" s="142" t="s">
        <v>198</v>
      </c>
      <c r="C31" s="141">
        <v>0.006</v>
      </c>
      <c r="D31" s="142" t="s">
        <v>198</v>
      </c>
      <c r="E31" s="141">
        <v>0.071</v>
      </c>
      <c r="F31" s="141">
        <v>0.0</v>
      </c>
      <c r="G31" s="141">
        <v>0.008</v>
      </c>
      <c r="H31" s="141">
        <v>0.057</v>
      </c>
      <c r="I31" s="141">
        <v>0.018</v>
      </c>
      <c r="J31" s="142" t="s">
        <v>198</v>
      </c>
      <c r="K31" s="141">
        <v>0.014</v>
      </c>
      <c r="L31" s="142" t="s">
        <v>198</v>
      </c>
      <c r="M31" s="142" t="s">
        <v>198</v>
      </c>
      <c r="N31" s="142" t="s">
        <v>198</v>
      </c>
      <c r="O31" s="141">
        <v>0.0</v>
      </c>
      <c r="P31" s="141">
        <v>0.0</v>
      </c>
      <c r="Q31" s="141">
        <v>0.031</v>
      </c>
      <c r="R31" s="141">
        <v>0.031</v>
      </c>
      <c r="S31" s="141">
        <v>0.0</v>
      </c>
      <c r="T31" s="142" t="s">
        <v>198</v>
      </c>
      <c r="U31" s="142" t="s">
        <v>198</v>
      </c>
      <c r="V31" s="142" t="s">
        <v>198</v>
      </c>
      <c r="W31" s="141">
        <v>0.008</v>
      </c>
      <c r="X31" s="141">
        <v>0.011</v>
      </c>
      <c r="Y31" s="141">
        <v>0.041</v>
      </c>
      <c r="Z31" s="142" t="s">
        <v>198</v>
      </c>
      <c r="AA31" s="141">
        <v>0.051</v>
      </c>
      <c r="AB31" s="142" t="s">
        <v>198</v>
      </c>
      <c r="AC31" s="141">
        <v>0.045</v>
      </c>
      <c r="AD31" s="142" t="s">
        <v>198</v>
      </c>
      <c r="AE31" s="142" t="s">
        <v>198</v>
      </c>
      <c r="AF31" s="141">
        <v>0.022</v>
      </c>
      <c r="AG31" s="141">
        <v>0.0</v>
      </c>
      <c r="AH31" s="141">
        <v>0.0</v>
      </c>
      <c r="AI31" s="141">
        <v>0.0</v>
      </c>
      <c r="AJ31" s="141">
        <v>0.019</v>
      </c>
      <c r="AK31" s="141">
        <v>0.0</v>
      </c>
      <c r="AL31" s="141">
        <v>0.017</v>
      </c>
      <c r="AM31" s="142" t="s">
        <v>198</v>
      </c>
      <c r="AN31" s="141">
        <v>0.025</v>
      </c>
      <c r="AO31" s="141">
        <v>0.027</v>
      </c>
    </row>
    <row r="32">
      <c r="A32" s="145" t="s">
        <v>189</v>
      </c>
      <c r="B32" s="142" t="s">
        <v>198</v>
      </c>
      <c r="C32" s="141">
        <v>0.007</v>
      </c>
      <c r="D32" s="142" t="s">
        <v>198</v>
      </c>
      <c r="E32" s="141">
        <v>0.063</v>
      </c>
      <c r="F32" s="142" t="s">
        <v>198</v>
      </c>
      <c r="G32" s="141">
        <v>0.009</v>
      </c>
      <c r="H32" s="141">
        <v>0.026</v>
      </c>
      <c r="I32" s="141">
        <v>0.022</v>
      </c>
      <c r="J32" s="142" t="s">
        <v>198</v>
      </c>
      <c r="K32" s="141">
        <v>0.012</v>
      </c>
      <c r="L32" s="142" t="s">
        <v>198</v>
      </c>
      <c r="M32" s="142" t="s">
        <v>198</v>
      </c>
      <c r="N32" s="142" t="s">
        <v>198</v>
      </c>
      <c r="O32" s="141">
        <v>0.0</v>
      </c>
      <c r="P32" s="142" t="s">
        <v>198</v>
      </c>
      <c r="Q32" s="141">
        <v>0.022</v>
      </c>
      <c r="R32" s="141">
        <v>0.012</v>
      </c>
      <c r="S32" s="141">
        <v>0.0</v>
      </c>
      <c r="T32" s="141">
        <v>0.0</v>
      </c>
      <c r="U32" s="141">
        <v>0.064</v>
      </c>
      <c r="V32" s="142" t="s">
        <v>198</v>
      </c>
      <c r="W32" s="142" t="s">
        <v>198</v>
      </c>
      <c r="X32" s="141">
        <v>0.017</v>
      </c>
      <c r="Y32" s="141">
        <v>0.024</v>
      </c>
      <c r="Z32" s="141">
        <v>0.0</v>
      </c>
      <c r="AA32" s="141">
        <v>0.034</v>
      </c>
      <c r="AB32" s="142" t="s">
        <v>198</v>
      </c>
      <c r="AC32" s="141">
        <v>0.046</v>
      </c>
      <c r="AD32" s="142" t="s">
        <v>198</v>
      </c>
      <c r="AE32" s="142" t="s">
        <v>198</v>
      </c>
      <c r="AF32" s="141">
        <v>0.022</v>
      </c>
      <c r="AG32" s="141">
        <v>0.025</v>
      </c>
      <c r="AH32" s="141">
        <v>0.0</v>
      </c>
      <c r="AI32" s="141">
        <v>0.0</v>
      </c>
      <c r="AJ32" s="141">
        <v>0.016</v>
      </c>
      <c r="AK32" s="141">
        <v>0.0</v>
      </c>
      <c r="AL32" s="141">
        <v>0.026</v>
      </c>
      <c r="AM32" s="141">
        <v>0.0</v>
      </c>
      <c r="AN32" s="141">
        <v>0.021</v>
      </c>
      <c r="AO32" s="141">
        <v>0.024</v>
      </c>
    </row>
    <row r="33">
      <c r="A33" s="145" t="s">
        <v>190</v>
      </c>
      <c r="B33" s="141">
        <v>0.0</v>
      </c>
      <c r="C33" s="141">
        <v>0.004</v>
      </c>
      <c r="D33" s="142" t="s">
        <v>198</v>
      </c>
      <c r="E33" s="141">
        <v>0.082</v>
      </c>
      <c r="F33" s="141">
        <v>0.0</v>
      </c>
      <c r="G33" s="141">
        <v>0.016</v>
      </c>
      <c r="H33" s="141">
        <v>0.034</v>
      </c>
      <c r="I33" s="141">
        <v>0.026</v>
      </c>
      <c r="J33" s="141">
        <v>0.022</v>
      </c>
      <c r="K33" s="141">
        <v>0.014</v>
      </c>
      <c r="L33" s="142" t="s">
        <v>198</v>
      </c>
      <c r="M33" s="142" t="s">
        <v>198</v>
      </c>
      <c r="N33" s="142" t="s">
        <v>198</v>
      </c>
      <c r="O33" s="142" t="s">
        <v>198</v>
      </c>
      <c r="P33" s="142" t="s">
        <v>198</v>
      </c>
      <c r="Q33" s="141">
        <v>0.045</v>
      </c>
      <c r="R33" s="141">
        <v>0.016</v>
      </c>
      <c r="S33" s="141">
        <v>0.0</v>
      </c>
      <c r="T33" s="141">
        <v>0.013</v>
      </c>
      <c r="U33" s="141">
        <v>0.028</v>
      </c>
      <c r="V33" s="141">
        <v>0.0</v>
      </c>
      <c r="W33" s="142" t="s">
        <v>198</v>
      </c>
      <c r="X33" s="141">
        <v>0.018</v>
      </c>
      <c r="Y33" s="141">
        <v>0.03</v>
      </c>
      <c r="Z33" s="142" t="s">
        <v>198</v>
      </c>
      <c r="AA33" s="141">
        <v>0.032</v>
      </c>
      <c r="AB33" s="142" t="s">
        <v>198</v>
      </c>
      <c r="AC33" s="141">
        <v>0.04</v>
      </c>
      <c r="AD33" s="141">
        <v>0.0</v>
      </c>
      <c r="AE33" s="142" t="s">
        <v>198</v>
      </c>
      <c r="AF33" s="141">
        <v>0.004</v>
      </c>
      <c r="AG33" s="142" t="s">
        <v>198</v>
      </c>
      <c r="AH33" s="141">
        <v>0.027</v>
      </c>
      <c r="AI33" s="142" t="s">
        <v>198</v>
      </c>
      <c r="AJ33" s="141">
        <v>0.024</v>
      </c>
      <c r="AK33" s="142" t="s">
        <v>198</v>
      </c>
      <c r="AL33" s="142" t="s">
        <v>198</v>
      </c>
      <c r="AM33" s="142" t="s">
        <v>198</v>
      </c>
      <c r="AN33" s="141">
        <v>0.019</v>
      </c>
      <c r="AO33" s="141">
        <v>0.021</v>
      </c>
    </row>
    <row r="34">
      <c r="A34" s="145" t="s">
        <v>191</v>
      </c>
      <c r="B34" s="142" t="s">
        <v>198</v>
      </c>
      <c r="C34" s="141">
        <v>0.001</v>
      </c>
      <c r="D34" s="142" t="s">
        <v>198</v>
      </c>
      <c r="E34" s="141">
        <v>0.046</v>
      </c>
      <c r="F34" s="142" t="s">
        <v>198</v>
      </c>
      <c r="G34" s="141">
        <v>0.013</v>
      </c>
      <c r="H34" s="141">
        <v>0.028</v>
      </c>
      <c r="I34" s="141">
        <v>0.013</v>
      </c>
      <c r="J34" s="141">
        <v>0.015</v>
      </c>
      <c r="K34" s="141">
        <v>0.005</v>
      </c>
      <c r="L34" s="141">
        <v>0.0</v>
      </c>
      <c r="M34" s="142" t="s">
        <v>198</v>
      </c>
      <c r="N34" s="142" t="s">
        <v>198</v>
      </c>
      <c r="O34" s="142" t="s">
        <v>198</v>
      </c>
      <c r="P34" s="141">
        <v>0.0</v>
      </c>
      <c r="Q34" s="141">
        <v>0.027</v>
      </c>
      <c r="R34" s="141">
        <v>0.017</v>
      </c>
      <c r="S34" s="141">
        <v>0.0</v>
      </c>
      <c r="T34" s="142" t="s">
        <v>198</v>
      </c>
      <c r="U34" s="141">
        <v>0.018</v>
      </c>
      <c r="V34" s="141">
        <v>0.0</v>
      </c>
      <c r="W34" s="141">
        <v>0.006</v>
      </c>
      <c r="X34" s="141">
        <v>0.011</v>
      </c>
      <c r="Y34" s="141">
        <v>0.029</v>
      </c>
      <c r="Z34" s="142" t="s">
        <v>198</v>
      </c>
      <c r="AA34" s="141">
        <v>0.027</v>
      </c>
      <c r="AB34" s="141">
        <v>0.019</v>
      </c>
      <c r="AC34" s="141">
        <v>0.026</v>
      </c>
      <c r="AD34" s="142" t="s">
        <v>198</v>
      </c>
      <c r="AE34" s="142" t="s">
        <v>198</v>
      </c>
      <c r="AF34" s="141">
        <v>0.002</v>
      </c>
      <c r="AG34" s="142" t="s">
        <v>198</v>
      </c>
      <c r="AH34" s="141">
        <v>0.022</v>
      </c>
      <c r="AI34" s="142" t="s">
        <v>198</v>
      </c>
      <c r="AJ34" s="141">
        <v>0.008</v>
      </c>
      <c r="AK34" s="142" t="s">
        <v>198</v>
      </c>
      <c r="AL34" s="141">
        <v>0.011</v>
      </c>
      <c r="AM34" s="142" t="s">
        <v>198</v>
      </c>
      <c r="AN34" s="141">
        <v>0.021</v>
      </c>
      <c r="AO34" s="141">
        <v>0.013</v>
      </c>
    </row>
    <row r="35">
      <c r="A35" s="145" t="s">
        <v>192</v>
      </c>
      <c r="B35" s="142" t="s">
        <v>198</v>
      </c>
      <c r="C35" s="142" t="s">
        <v>198</v>
      </c>
      <c r="D35" s="142" t="s">
        <v>198</v>
      </c>
      <c r="E35" s="141">
        <v>0.015</v>
      </c>
      <c r="F35" s="141">
        <v>0.0</v>
      </c>
      <c r="G35" s="142" t="s">
        <v>198</v>
      </c>
      <c r="H35" s="141">
        <v>0.02</v>
      </c>
      <c r="I35" s="141">
        <v>0.016</v>
      </c>
      <c r="J35" s="141">
        <v>0.0</v>
      </c>
      <c r="K35" s="141">
        <v>0.009</v>
      </c>
      <c r="L35" s="141">
        <v>0.0</v>
      </c>
      <c r="M35" s="142" t="s">
        <v>198</v>
      </c>
      <c r="N35" s="142" t="s">
        <v>198</v>
      </c>
      <c r="O35" s="141">
        <v>0.0</v>
      </c>
      <c r="P35" s="142" t="s">
        <v>198</v>
      </c>
      <c r="Q35" s="141">
        <v>0.022</v>
      </c>
      <c r="R35" s="141">
        <v>0.011</v>
      </c>
      <c r="S35" s="141">
        <v>0.0</v>
      </c>
      <c r="T35" s="142" t="s">
        <v>198</v>
      </c>
      <c r="U35" s="142" t="s">
        <v>198</v>
      </c>
      <c r="V35" s="141">
        <v>0.0</v>
      </c>
      <c r="W35" s="141">
        <v>0.005</v>
      </c>
      <c r="X35" s="141">
        <v>0.007</v>
      </c>
      <c r="Y35" s="141">
        <v>0.037</v>
      </c>
      <c r="Z35" s="142" t="s">
        <v>198</v>
      </c>
      <c r="AA35" s="141">
        <v>0.021</v>
      </c>
      <c r="AB35" s="142" t="s">
        <v>198</v>
      </c>
      <c r="AC35" s="141">
        <v>0.014</v>
      </c>
      <c r="AD35" s="141">
        <v>0.0</v>
      </c>
      <c r="AE35" s="142" t="s">
        <v>198</v>
      </c>
      <c r="AF35" s="141">
        <v>0.002</v>
      </c>
      <c r="AG35" s="141">
        <v>0.0</v>
      </c>
      <c r="AH35" s="141">
        <v>0.022</v>
      </c>
      <c r="AI35" s="142" t="s">
        <v>198</v>
      </c>
      <c r="AJ35" s="141">
        <v>0.016</v>
      </c>
      <c r="AK35" s="141">
        <v>0.0</v>
      </c>
      <c r="AL35" s="142" t="s">
        <v>198</v>
      </c>
      <c r="AM35" s="142" t="s">
        <v>198</v>
      </c>
      <c r="AN35" s="141">
        <v>0.012</v>
      </c>
      <c r="AO35" s="141">
        <v>0.011</v>
      </c>
    </row>
    <row r="36">
      <c r="A36" s="145" t="s">
        <v>193</v>
      </c>
      <c r="B36" s="141">
        <v>0.01</v>
      </c>
      <c r="C36" s="141">
        <v>0.001</v>
      </c>
      <c r="D36" s="141">
        <v>0.027</v>
      </c>
      <c r="E36" s="141">
        <v>0.053</v>
      </c>
      <c r="F36" s="142" t="s">
        <v>198</v>
      </c>
      <c r="G36" s="141">
        <v>0.008</v>
      </c>
      <c r="H36" s="141">
        <v>0.024</v>
      </c>
      <c r="I36" s="141">
        <v>0.039</v>
      </c>
      <c r="J36" s="142" t="s">
        <v>198</v>
      </c>
      <c r="K36" s="141">
        <v>0.011</v>
      </c>
      <c r="L36" s="142" t="s">
        <v>198</v>
      </c>
      <c r="M36" s="142" t="s">
        <v>198</v>
      </c>
      <c r="N36" s="142" t="s">
        <v>198</v>
      </c>
      <c r="O36" s="141">
        <v>0.0</v>
      </c>
      <c r="P36" s="141">
        <v>0.0</v>
      </c>
      <c r="Q36" s="141">
        <v>0.019</v>
      </c>
      <c r="R36" s="142" t="s">
        <v>198</v>
      </c>
      <c r="S36" s="141">
        <v>0.0</v>
      </c>
      <c r="T36" s="142" t="s">
        <v>198</v>
      </c>
      <c r="U36" s="142" t="s">
        <v>198</v>
      </c>
      <c r="V36" s="141">
        <v>0.0</v>
      </c>
      <c r="W36" s="141">
        <v>0.008</v>
      </c>
      <c r="X36" s="141">
        <v>0.01</v>
      </c>
      <c r="Y36" s="141">
        <v>0.022</v>
      </c>
      <c r="Z36" s="142" t="s">
        <v>198</v>
      </c>
      <c r="AA36" s="141">
        <v>0.033</v>
      </c>
      <c r="AB36" s="142" t="s">
        <v>198</v>
      </c>
      <c r="AC36" s="141">
        <v>0.014</v>
      </c>
      <c r="AD36" s="141">
        <v>0.0</v>
      </c>
      <c r="AE36" s="142" t="s">
        <v>198</v>
      </c>
      <c r="AF36" s="141">
        <v>0.003</v>
      </c>
      <c r="AG36" s="142" t="s">
        <v>198</v>
      </c>
      <c r="AH36" s="142" t="s">
        <v>198</v>
      </c>
      <c r="AI36" s="141">
        <v>0.0</v>
      </c>
      <c r="AJ36" s="141">
        <v>0.017</v>
      </c>
      <c r="AK36" s="142" t="s">
        <v>198</v>
      </c>
      <c r="AL36" s="141">
        <v>0.022</v>
      </c>
      <c r="AM36" s="141">
        <v>0.015</v>
      </c>
      <c r="AN36" s="141">
        <v>0.026</v>
      </c>
      <c r="AO36" s="141">
        <v>0.012</v>
      </c>
    </row>
    <row r="37">
      <c r="A37" s="145" t="s">
        <v>194</v>
      </c>
      <c r="B37" s="142" t="s">
        <v>198</v>
      </c>
      <c r="C37" s="141">
        <v>0.001</v>
      </c>
      <c r="D37" s="141">
        <v>0.031</v>
      </c>
      <c r="E37" s="141">
        <v>0.051</v>
      </c>
      <c r="F37" s="142" t="s">
        <v>198</v>
      </c>
      <c r="G37" s="141">
        <v>0.028</v>
      </c>
      <c r="H37" s="141">
        <v>0.021</v>
      </c>
      <c r="I37" s="141">
        <v>0.019</v>
      </c>
      <c r="J37" s="142" t="s">
        <v>198</v>
      </c>
      <c r="K37" s="141">
        <v>0.007</v>
      </c>
      <c r="L37" s="142" t="s">
        <v>198</v>
      </c>
      <c r="M37" s="141">
        <v>0.0</v>
      </c>
      <c r="N37" s="141">
        <v>0.0</v>
      </c>
      <c r="O37" s="141">
        <v>0.0</v>
      </c>
      <c r="P37" s="142" t="s">
        <v>198</v>
      </c>
      <c r="Q37" s="141">
        <v>0.032</v>
      </c>
      <c r="R37" s="141">
        <v>0.012</v>
      </c>
      <c r="S37" s="141">
        <v>0.0</v>
      </c>
      <c r="T37" s="141">
        <v>0.0</v>
      </c>
      <c r="U37" s="141">
        <v>0.085</v>
      </c>
      <c r="V37" s="141">
        <v>0.0</v>
      </c>
      <c r="W37" s="141">
        <v>0.006</v>
      </c>
      <c r="X37" s="141">
        <v>0.007</v>
      </c>
      <c r="Y37" s="141">
        <v>0.027</v>
      </c>
      <c r="Z37" s="141">
        <v>0.023</v>
      </c>
      <c r="AA37" s="141">
        <v>0.022</v>
      </c>
      <c r="AB37" s="142" t="s">
        <v>198</v>
      </c>
      <c r="AC37" s="141">
        <v>0.02</v>
      </c>
      <c r="AD37" s="141">
        <v>0.0</v>
      </c>
      <c r="AE37" s="142" t="s">
        <v>198</v>
      </c>
      <c r="AF37" s="141">
        <v>0.002</v>
      </c>
      <c r="AG37" s="141">
        <v>0.009</v>
      </c>
      <c r="AH37" s="141">
        <v>0.018</v>
      </c>
      <c r="AI37" s="142" t="s">
        <v>198</v>
      </c>
      <c r="AJ37" s="141">
        <v>0.021</v>
      </c>
      <c r="AK37" s="142" t="s">
        <v>198</v>
      </c>
      <c r="AL37" s="141">
        <v>0.017</v>
      </c>
      <c r="AM37" s="141">
        <v>0.019</v>
      </c>
      <c r="AN37" s="141">
        <v>0.016</v>
      </c>
      <c r="AO37" s="141">
        <v>0.014</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6" t="s">
        <v>207</v>
      </c>
      <c r="B1" s="147" t="s">
        <v>208</v>
      </c>
      <c r="C1" s="148" t="s">
        <v>74</v>
      </c>
      <c r="D1" s="148" t="s">
        <v>75</v>
      </c>
      <c r="E1" s="148" t="s">
        <v>76</v>
      </c>
      <c r="F1" s="148" t="s">
        <v>77</v>
      </c>
      <c r="G1" s="148" t="s">
        <v>25</v>
      </c>
      <c r="H1" s="148" t="s">
        <v>78</v>
      </c>
    </row>
    <row r="2" ht="14.25" customHeight="1">
      <c r="A2" s="149" t="s">
        <v>79</v>
      </c>
      <c r="B2" s="147" t="s">
        <v>126</v>
      </c>
      <c r="C2" s="150">
        <f>Municipality!B2</f>
        <v>79</v>
      </c>
      <c r="D2" s="150">
        <f>Municipality!C2</f>
        <v>488</v>
      </c>
      <c r="E2" s="150">
        <f>Municipality!D2</f>
        <v>7</v>
      </c>
      <c r="F2" s="150">
        <f>Municipality!E2</f>
        <v>43</v>
      </c>
      <c r="G2" s="150">
        <f>Municipality!F2</f>
        <v>0</v>
      </c>
      <c r="H2" s="150">
        <f>Municipality!G2</f>
        <v>0</v>
      </c>
    </row>
    <row r="3" ht="14.25" customHeight="1">
      <c r="A3" s="149" t="s">
        <v>80</v>
      </c>
      <c r="B3" s="147" t="s">
        <v>127</v>
      </c>
      <c r="C3" s="150">
        <f>Municipality!B3</f>
        <v>216</v>
      </c>
      <c r="D3" s="150">
        <f>Municipality!C3</f>
        <v>971</v>
      </c>
      <c r="E3" s="150">
        <f>Municipality!D3</f>
        <v>14</v>
      </c>
      <c r="F3" s="150">
        <f>Municipality!E3</f>
        <v>63</v>
      </c>
      <c r="G3" s="150">
        <f>Municipality!F3</f>
        <v>9</v>
      </c>
      <c r="H3" s="150">
        <f>Municipality!G3</f>
        <v>40</v>
      </c>
    </row>
    <row r="4" ht="14.25" customHeight="1">
      <c r="A4" s="149" t="s">
        <v>81</v>
      </c>
      <c r="B4" s="147" t="s">
        <v>128</v>
      </c>
      <c r="C4" s="150">
        <f>Municipality!B4</f>
        <v>154</v>
      </c>
      <c r="D4" s="150">
        <f>Municipality!C4</f>
        <v>936</v>
      </c>
      <c r="E4" s="150">
        <f>Municipality!D4</f>
        <v>21</v>
      </c>
      <c r="F4" s="150">
        <f>Municipality!E4</f>
        <v>128</v>
      </c>
      <c r="G4" s="150">
        <f>Municipality!F4</f>
        <v>22</v>
      </c>
      <c r="H4" s="150">
        <f>Municipality!G4</f>
        <v>134</v>
      </c>
    </row>
    <row r="5" ht="14.25" customHeight="1">
      <c r="A5" s="149" t="s">
        <v>82</v>
      </c>
      <c r="B5" s="147" t="s">
        <v>129</v>
      </c>
      <c r="C5" s="150">
        <f>Municipality!B5</f>
        <v>1249</v>
      </c>
      <c r="D5" s="150">
        <f>Municipality!C5</f>
        <v>6444</v>
      </c>
      <c r="E5" s="150">
        <f>Municipality!D5</f>
        <v>94</v>
      </c>
      <c r="F5" s="150">
        <f>Municipality!E5</f>
        <v>485</v>
      </c>
      <c r="G5" s="150">
        <f>Municipality!F5</f>
        <v>12</v>
      </c>
      <c r="H5" s="150">
        <f>Municipality!G5</f>
        <v>62</v>
      </c>
    </row>
    <row r="6" ht="14.25" customHeight="1">
      <c r="A6" s="149" t="s">
        <v>83</v>
      </c>
      <c r="B6" s="147" t="s">
        <v>130</v>
      </c>
      <c r="C6" s="150">
        <f>Municipality!B6</f>
        <v>38</v>
      </c>
      <c r="D6" s="150">
        <f>Municipality!C6</f>
        <v>488</v>
      </c>
      <c r="E6" s="150" t="str">
        <f>Municipality!D6</f>
        <v>&lt;5</v>
      </c>
      <c r="F6" s="150" t="str">
        <f>Municipality!E6</f>
        <v>--</v>
      </c>
      <c r="G6" s="150" t="str">
        <f>Municipality!F6</f>
        <v>&lt;5</v>
      </c>
      <c r="H6" s="150" t="str">
        <f>Municipality!G6</f>
        <v>--</v>
      </c>
    </row>
    <row r="7" ht="14.25" customHeight="1">
      <c r="A7" s="149" t="s">
        <v>84</v>
      </c>
      <c r="B7" s="147" t="s">
        <v>131</v>
      </c>
      <c r="C7" s="150">
        <f>Municipality!B7</f>
        <v>331</v>
      </c>
      <c r="D7" s="150">
        <f>Municipality!C7</f>
        <v>957</v>
      </c>
      <c r="E7" s="150">
        <f>Municipality!D7</f>
        <v>26</v>
      </c>
      <c r="F7" s="150">
        <f>Municipality!E7</f>
        <v>75</v>
      </c>
      <c r="G7" s="150">
        <f>Municipality!F7</f>
        <v>13</v>
      </c>
      <c r="H7" s="150">
        <f>Municipality!G7</f>
        <v>38</v>
      </c>
    </row>
    <row r="8" ht="14.25" customHeight="1">
      <c r="A8" s="149" t="s">
        <v>85</v>
      </c>
      <c r="B8" s="147" t="s">
        <v>132</v>
      </c>
      <c r="C8" s="150">
        <f>Municipality!B8</f>
        <v>1567</v>
      </c>
      <c r="D8" s="150">
        <f>Municipality!C8</f>
        <v>1930</v>
      </c>
      <c r="E8" s="150">
        <f>Municipality!D8</f>
        <v>156</v>
      </c>
      <c r="F8" s="150">
        <f>Municipality!E8</f>
        <v>192</v>
      </c>
      <c r="G8" s="150">
        <f>Municipality!F8</f>
        <v>24</v>
      </c>
      <c r="H8" s="150">
        <f>Municipality!G8</f>
        <v>30</v>
      </c>
    </row>
    <row r="9" ht="14.25" customHeight="1">
      <c r="A9" s="149" t="s">
        <v>86</v>
      </c>
      <c r="B9" s="147" t="s">
        <v>133</v>
      </c>
      <c r="C9" s="150">
        <f>Municipality!B9</f>
        <v>491</v>
      </c>
      <c r="D9" s="150">
        <f>Municipality!C9</f>
        <v>1417</v>
      </c>
      <c r="E9" s="150">
        <f>Municipality!D9</f>
        <v>58</v>
      </c>
      <c r="F9" s="150">
        <f>Municipality!E9</f>
        <v>167</v>
      </c>
      <c r="G9" s="150">
        <f>Municipality!F9</f>
        <v>30</v>
      </c>
      <c r="H9" s="150">
        <f>Municipality!G9</f>
        <v>87</v>
      </c>
    </row>
    <row r="10" ht="14.25" customHeight="1">
      <c r="A10" s="149" t="s">
        <v>87</v>
      </c>
      <c r="B10" s="147" t="s">
        <v>134</v>
      </c>
      <c r="C10" s="150">
        <f>Municipality!B10</f>
        <v>139</v>
      </c>
      <c r="D10" s="150">
        <f>Municipality!C10</f>
        <v>1063</v>
      </c>
      <c r="E10" s="150">
        <f>Municipality!D10</f>
        <v>8</v>
      </c>
      <c r="F10" s="150">
        <f>Municipality!E10</f>
        <v>61</v>
      </c>
      <c r="G10" s="150" t="str">
        <f>Municipality!F10</f>
        <v>&lt;5</v>
      </c>
      <c r="H10" s="150" t="str">
        <f>Municipality!G10</f>
        <v>--</v>
      </c>
    </row>
    <row r="11" ht="14.25" customHeight="1">
      <c r="A11" s="149" t="s">
        <v>88</v>
      </c>
      <c r="B11" s="147" t="s">
        <v>135</v>
      </c>
      <c r="C11" s="150">
        <f>Municipality!B11</f>
        <v>915</v>
      </c>
      <c r="D11" s="150">
        <f>Municipality!C11</f>
        <v>1928</v>
      </c>
      <c r="E11" s="150">
        <f>Municipality!D11</f>
        <v>96</v>
      </c>
      <c r="F11" s="150">
        <f>Municipality!E11</f>
        <v>202</v>
      </c>
      <c r="G11" s="150">
        <f>Municipality!F11</f>
        <v>111</v>
      </c>
      <c r="H11" s="150">
        <f>Municipality!G11</f>
        <v>234</v>
      </c>
    </row>
    <row r="12" ht="14.25" customHeight="1">
      <c r="A12" s="149" t="s">
        <v>89</v>
      </c>
      <c r="B12" s="147" t="s">
        <v>136</v>
      </c>
      <c r="C12" s="150">
        <f>Municipality!B12</f>
        <v>50</v>
      </c>
      <c r="D12" s="150">
        <f>Municipality!C12</f>
        <v>737</v>
      </c>
      <c r="E12" s="150">
        <f>Municipality!D12</f>
        <v>6</v>
      </c>
      <c r="F12" s="150">
        <f>Municipality!E12</f>
        <v>88</v>
      </c>
      <c r="G12" s="150" t="str">
        <f>Municipality!F12</f>
        <v>&lt;5</v>
      </c>
      <c r="H12" s="150" t="str">
        <f>Municipality!G12</f>
        <v>--</v>
      </c>
    </row>
    <row r="13" ht="14.25" customHeight="1">
      <c r="A13" s="149" t="s">
        <v>90</v>
      </c>
      <c r="B13" s="147" t="s">
        <v>137</v>
      </c>
      <c r="C13" s="150">
        <f>Municipality!B13</f>
        <v>32</v>
      </c>
      <c r="D13" s="150">
        <f>Municipality!C13</f>
        <v>682</v>
      </c>
      <c r="E13" s="150" t="str">
        <f>Municipality!D13</f>
        <v>&lt;5</v>
      </c>
      <c r="F13" s="150" t="str">
        <f>Municipality!E13</f>
        <v>--</v>
      </c>
      <c r="G13" s="150">
        <f>Municipality!F13</f>
        <v>0</v>
      </c>
      <c r="H13" s="150">
        <f>Municipality!G13</f>
        <v>0</v>
      </c>
    </row>
    <row r="14" ht="14.25" customHeight="1">
      <c r="A14" s="149" t="s">
        <v>91</v>
      </c>
      <c r="B14" s="147" t="s">
        <v>138</v>
      </c>
      <c r="C14" s="150">
        <f>Municipality!B14</f>
        <v>67</v>
      </c>
      <c r="D14" s="150">
        <f>Municipality!C14</f>
        <v>666</v>
      </c>
      <c r="E14" s="150" t="str">
        <f>Municipality!D14</f>
        <v>&lt;5</v>
      </c>
      <c r="F14" s="150" t="str">
        <f>Municipality!E14</f>
        <v>--</v>
      </c>
      <c r="G14" s="150">
        <f>Municipality!F14</f>
        <v>0</v>
      </c>
      <c r="H14" s="150">
        <f>Municipality!G14</f>
        <v>0</v>
      </c>
    </row>
    <row r="15" ht="14.25" customHeight="1">
      <c r="A15" s="149" t="s">
        <v>92</v>
      </c>
      <c r="B15" s="147" t="s">
        <v>139</v>
      </c>
      <c r="C15" s="150">
        <f>Municipality!B15</f>
        <v>17</v>
      </c>
      <c r="D15" s="150">
        <f>Municipality!C15</f>
        <v>210</v>
      </c>
      <c r="E15" s="150" t="str">
        <f>Municipality!D15</f>
        <v>&lt;5</v>
      </c>
      <c r="F15" s="150" t="str">
        <f>Municipality!E15</f>
        <v>--</v>
      </c>
      <c r="G15" s="150" t="str">
        <f>Municipality!F15</f>
        <v>&lt;5</v>
      </c>
      <c r="H15" s="150" t="str">
        <f>Municipality!G15</f>
        <v>--</v>
      </c>
    </row>
    <row r="16" ht="14.25" customHeight="1">
      <c r="A16" s="149" t="s">
        <v>93</v>
      </c>
      <c r="B16" s="147" t="s">
        <v>140</v>
      </c>
      <c r="C16" s="150">
        <f>Municipality!B16</f>
        <v>29</v>
      </c>
      <c r="D16" s="150">
        <f>Municipality!C16</f>
        <v>528</v>
      </c>
      <c r="E16" s="150" t="str">
        <f>Municipality!D16</f>
        <v>&lt;5</v>
      </c>
      <c r="F16" s="150" t="str">
        <f>Municipality!E16</f>
        <v>--</v>
      </c>
      <c r="G16" s="150">
        <f>Municipality!F16</f>
        <v>0</v>
      </c>
      <c r="H16" s="150">
        <f>Municipality!G16</f>
        <v>0</v>
      </c>
    </row>
    <row r="17" ht="14.25" customHeight="1">
      <c r="A17" s="149" t="s">
        <v>94</v>
      </c>
      <c r="B17" s="147" t="s">
        <v>141</v>
      </c>
      <c r="C17" s="150">
        <f>Municipality!B17</f>
        <v>642</v>
      </c>
      <c r="D17" s="150">
        <f>Municipality!C17</f>
        <v>2196</v>
      </c>
      <c r="E17" s="150">
        <f>Municipality!D17</f>
        <v>57</v>
      </c>
      <c r="F17" s="150">
        <f>Municipality!E17</f>
        <v>195</v>
      </c>
      <c r="G17" s="150">
        <f>Municipality!F17</f>
        <v>66</v>
      </c>
      <c r="H17" s="150">
        <f>Municipality!G17</f>
        <v>226</v>
      </c>
    </row>
    <row r="18" ht="14.25" customHeight="1">
      <c r="A18" s="149" t="s">
        <v>95</v>
      </c>
      <c r="B18" s="147" t="s">
        <v>142</v>
      </c>
      <c r="C18" s="150">
        <f>Municipality!B18</f>
        <v>358</v>
      </c>
      <c r="D18" s="150">
        <f>Municipality!C18</f>
        <v>1654</v>
      </c>
      <c r="E18" s="150">
        <f>Municipality!D18</f>
        <v>34</v>
      </c>
      <c r="F18" s="150">
        <f>Municipality!E18</f>
        <v>157</v>
      </c>
      <c r="G18" s="150">
        <f>Municipality!F18</f>
        <v>37</v>
      </c>
      <c r="H18" s="150">
        <f>Municipality!G18</f>
        <v>171</v>
      </c>
    </row>
    <row r="19" ht="14.25" customHeight="1">
      <c r="A19" s="149" t="s">
        <v>96</v>
      </c>
      <c r="B19" s="147" t="s">
        <v>143</v>
      </c>
      <c r="C19" s="150">
        <f>Municipality!B19</f>
        <v>16</v>
      </c>
      <c r="D19" s="150">
        <f>Municipality!C19</f>
        <v>456</v>
      </c>
      <c r="E19" s="150">
        <f>Municipality!D19</f>
        <v>0</v>
      </c>
      <c r="F19" s="150">
        <f>Municipality!E19</f>
        <v>0</v>
      </c>
      <c r="G19" s="150" t="str">
        <f>Municipality!F19</f>
        <v>&lt;5</v>
      </c>
      <c r="H19" s="150" t="str">
        <f>Municipality!G19</f>
        <v>--</v>
      </c>
    </row>
    <row r="20" ht="14.25" customHeight="1">
      <c r="A20" s="149" t="s">
        <v>97</v>
      </c>
      <c r="B20" s="147" t="s">
        <v>144</v>
      </c>
      <c r="C20" s="150">
        <f>Municipality!B20</f>
        <v>90</v>
      </c>
      <c r="D20" s="150">
        <f>Municipality!C20</f>
        <v>560</v>
      </c>
      <c r="E20" s="150">
        <f>Municipality!D20</f>
        <v>8</v>
      </c>
      <c r="F20" s="150">
        <f>Municipality!E20</f>
        <v>50</v>
      </c>
      <c r="G20" s="150" t="str">
        <f>Municipality!F20</f>
        <v>&lt;5</v>
      </c>
      <c r="H20" s="150" t="str">
        <f>Municipality!G20</f>
        <v>--</v>
      </c>
    </row>
    <row r="21" ht="14.25" customHeight="1">
      <c r="A21" s="149" t="s">
        <v>98</v>
      </c>
      <c r="B21" s="147" t="s">
        <v>145</v>
      </c>
      <c r="C21" s="150">
        <f>Municipality!B21</f>
        <v>118</v>
      </c>
      <c r="D21" s="150">
        <f>Municipality!C21</f>
        <v>759</v>
      </c>
      <c r="E21" s="150">
        <f>Municipality!D21</f>
        <v>6</v>
      </c>
      <c r="F21" s="150">
        <f>Municipality!E21</f>
        <v>39</v>
      </c>
      <c r="G21" s="150">
        <f>Municipality!F21</f>
        <v>0</v>
      </c>
      <c r="H21" s="150">
        <f>Municipality!G21</f>
        <v>0</v>
      </c>
    </row>
    <row r="22" ht="14.25" customHeight="1">
      <c r="A22" s="149" t="s">
        <v>99</v>
      </c>
      <c r="B22" s="147" t="s">
        <v>146</v>
      </c>
      <c r="C22" s="150">
        <f>Municipality!B22</f>
        <v>6</v>
      </c>
      <c r="D22" s="150">
        <f>Municipality!C22</f>
        <v>726</v>
      </c>
      <c r="E22" s="150">
        <f>Municipality!D22</f>
        <v>0</v>
      </c>
      <c r="F22" s="150">
        <f>Municipality!E22</f>
        <v>0</v>
      </c>
      <c r="G22" s="150">
        <f>Municipality!F22</f>
        <v>0</v>
      </c>
      <c r="H22" s="150">
        <f>Municipality!G22</f>
        <v>0</v>
      </c>
    </row>
    <row r="23" ht="14.25" customHeight="1">
      <c r="A23" s="149" t="s">
        <v>100</v>
      </c>
      <c r="B23" s="147" t="s">
        <v>147</v>
      </c>
      <c r="C23" s="150">
        <f>Municipality!B23</f>
        <v>173</v>
      </c>
      <c r="D23" s="150">
        <f>Municipality!C23</f>
        <v>699</v>
      </c>
      <c r="E23" s="150">
        <f>Municipality!D23</f>
        <v>14</v>
      </c>
      <c r="F23" s="150">
        <f>Municipality!E23</f>
        <v>57</v>
      </c>
      <c r="G23" s="150" t="str">
        <f>Municipality!F23</f>
        <v>&lt;5</v>
      </c>
      <c r="H23" s="150" t="str">
        <f>Municipality!G23</f>
        <v>--</v>
      </c>
    </row>
    <row r="24" ht="14.25" customHeight="1">
      <c r="A24" s="149" t="s">
        <v>101</v>
      </c>
      <c r="B24" s="147" t="s">
        <v>148</v>
      </c>
      <c r="C24" s="150">
        <f>Municipality!B24</f>
        <v>304</v>
      </c>
      <c r="D24" s="150">
        <f>Municipality!C24</f>
        <v>1160</v>
      </c>
      <c r="E24" s="150">
        <f>Municipality!D24</f>
        <v>33</v>
      </c>
      <c r="F24" s="150">
        <f>Municipality!E24</f>
        <v>126</v>
      </c>
      <c r="G24" s="150">
        <f>Municipality!F24</f>
        <v>51</v>
      </c>
      <c r="H24" s="150">
        <f>Municipality!G24</f>
        <v>195</v>
      </c>
    </row>
    <row r="25" ht="15.75" customHeight="1">
      <c r="A25" s="149" t="s">
        <v>102</v>
      </c>
      <c r="B25" s="147" t="s">
        <v>149</v>
      </c>
      <c r="C25" s="150">
        <f>Municipality!B25</f>
        <v>1005</v>
      </c>
      <c r="D25" s="150">
        <f>Municipality!C25</f>
        <v>3096</v>
      </c>
      <c r="E25" s="150">
        <f>Municipality!D25</f>
        <v>118</v>
      </c>
      <c r="F25" s="150">
        <f>Municipality!E25</f>
        <v>364</v>
      </c>
      <c r="G25" s="150">
        <f>Municipality!F25</f>
        <v>80</v>
      </c>
      <c r="H25" s="150">
        <f>Municipality!G25</f>
        <v>246</v>
      </c>
    </row>
    <row r="26" ht="14.25" customHeight="1">
      <c r="A26" s="149" t="s">
        <v>103</v>
      </c>
      <c r="B26" s="147" t="s">
        <v>150</v>
      </c>
      <c r="C26" s="150">
        <f>Municipality!B26</f>
        <v>160</v>
      </c>
      <c r="D26" s="150">
        <f>Municipality!C26</f>
        <v>1296</v>
      </c>
      <c r="E26" s="150">
        <f>Municipality!D26</f>
        <v>17</v>
      </c>
      <c r="F26" s="150">
        <f>Municipality!E26</f>
        <v>138</v>
      </c>
      <c r="G26" s="150">
        <f>Municipality!F26</f>
        <v>27</v>
      </c>
      <c r="H26" s="150">
        <f>Municipality!G26</f>
        <v>219</v>
      </c>
    </row>
    <row r="27" ht="14.25" customHeight="1">
      <c r="A27" s="149" t="s">
        <v>104</v>
      </c>
      <c r="B27" s="147" t="s">
        <v>151</v>
      </c>
      <c r="C27" s="150">
        <f>Municipality!B27</f>
        <v>2344</v>
      </c>
      <c r="D27" s="150">
        <f>Municipality!C27</f>
        <v>3267</v>
      </c>
      <c r="E27" s="150">
        <f>Municipality!D27</f>
        <v>210</v>
      </c>
      <c r="F27" s="150">
        <f>Municipality!E27</f>
        <v>293</v>
      </c>
      <c r="G27" s="150">
        <f>Municipality!F27</f>
        <v>49</v>
      </c>
      <c r="H27" s="150">
        <f>Municipality!G27</f>
        <v>68</v>
      </c>
    </row>
    <row r="28" ht="14.25" customHeight="1">
      <c r="A28" s="149" t="s">
        <v>105</v>
      </c>
      <c r="B28" s="147" t="s">
        <v>152</v>
      </c>
      <c r="C28" s="150">
        <f>Municipality!B28</f>
        <v>83</v>
      </c>
      <c r="D28" s="150">
        <f>Municipality!C28</f>
        <v>477</v>
      </c>
      <c r="E28" s="150" t="str">
        <f>Municipality!D28</f>
        <v>&lt;5</v>
      </c>
      <c r="F28" s="150" t="str">
        <f>Municipality!E28</f>
        <v>--</v>
      </c>
      <c r="G28" s="150">
        <f>Municipality!F28</f>
        <v>0</v>
      </c>
      <c r="H28" s="150">
        <f>Municipality!G28</f>
        <v>0</v>
      </c>
    </row>
    <row r="29" ht="14.25" customHeight="1">
      <c r="A29" s="149" t="s">
        <v>106</v>
      </c>
      <c r="B29" s="147" t="s">
        <v>153</v>
      </c>
      <c r="C29" s="150">
        <f>Municipality!B29</f>
        <v>8132</v>
      </c>
      <c r="D29" s="150">
        <f>Municipality!C29</f>
        <v>4532</v>
      </c>
      <c r="E29" s="150">
        <f>Municipality!D29</f>
        <v>837</v>
      </c>
      <c r="F29" s="150">
        <f>Municipality!E29</f>
        <v>466</v>
      </c>
      <c r="G29" s="150">
        <f>Municipality!F29</f>
        <v>290</v>
      </c>
      <c r="H29" s="150">
        <f>Municipality!G29</f>
        <v>162</v>
      </c>
    </row>
    <row r="30" ht="14.25" customHeight="1">
      <c r="A30" s="149" t="s">
        <v>107</v>
      </c>
      <c r="B30" s="147" t="s">
        <v>154</v>
      </c>
      <c r="C30" s="150">
        <f>Municipality!B30</f>
        <v>33</v>
      </c>
      <c r="D30" s="150">
        <f>Municipality!C30</f>
        <v>433</v>
      </c>
      <c r="E30" s="150" t="str">
        <f>Municipality!D30</f>
        <v>&lt;5</v>
      </c>
      <c r="F30" s="150" t="str">
        <f>Municipality!E30</f>
        <v>--</v>
      </c>
      <c r="G30" s="150">
        <f>Municipality!F30</f>
        <v>0</v>
      </c>
      <c r="H30" s="150">
        <f>Municipality!G30</f>
        <v>0</v>
      </c>
    </row>
    <row r="31" ht="14.25" customHeight="1">
      <c r="A31" s="149" t="s">
        <v>108</v>
      </c>
      <c r="B31" s="147" t="s">
        <v>155</v>
      </c>
      <c r="C31" s="150">
        <f>Municipality!B31</f>
        <v>71</v>
      </c>
      <c r="D31" s="150">
        <f>Municipality!C31</f>
        <v>670</v>
      </c>
      <c r="E31" s="150" t="str">
        <f>Municipality!D31</f>
        <v>&lt;5</v>
      </c>
      <c r="F31" s="150" t="str">
        <f>Municipality!E31</f>
        <v>--</v>
      </c>
      <c r="G31" s="150" t="str">
        <f>Municipality!F31</f>
        <v>&lt;5</v>
      </c>
      <c r="H31" s="150" t="str">
        <f>Municipality!G31</f>
        <v>--</v>
      </c>
    </row>
    <row r="32" ht="14.25" customHeight="1">
      <c r="A32" s="149" t="s">
        <v>109</v>
      </c>
      <c r="B32" s="147" t="s">
        <v>156</v>
      </c>
      <c r="C32" s="150">
        <f>Municipality!B32</f>
        <v>379</v>
      </c>
      <c r="D32" s="150">
        <f>Municipality!C32</f>
        <v>1752</v>
      </c>
      <c r="E32" s="150">
        <f>Municipality!D32</f>
        <v>70</v>
      </c>
      <c r="F32" s="150">
        <f>Municipality!E32</f>
        <v>324</v>
      </c>
      <c r="G32" s="150">
        <f>Municipality!F32</f>
        <v>50</v>
      </c>
      <c r="H32" s="150">
        <f>Municipality!G32</f>
        <v>231</v>
      </c>
    </row>
    <row r="33" ht="14.25" customHeight="1">
      <c r="A33" s="149" t="s">
        <v>110</v>
      </c>
      <c r="B33" s="147" t="s">
        <v>157</v>
      </c>
      <c r="C33" s="150">
        <f>Municipality!B33</f>
        <v>131</v>
      </c>
      <c r="D33" s="150">
        <f>Municipality!C33</f>
        <v>426</v>
      </c>
      <c r="E33" s="150">
        <f>Municipality!D33</f>
        <v>14</v>
      </c>
      <c r="F33" s="150">
        <f>Municipality!E33</f>
        <v>46</v>
      </c>
      <c r="G33" s="150">
        <f>Municipality!F33</f>
        <v>16</v>
      </c>
      <c r="H33" s="150">
        <f>Municipality!G33</f>
        <v>52</v>
      </c>
    </row>
    <row r="34" ht="14.25" customHeight="1">
      <c r="A34" s="149" t="s">
        <v>111</v>
      </c>
      <c r="B34" s="147" t="s">
        <v>158</v>
      </c>
      <c r="C34" s="150">
        <f>Municipality!B34</f>
        <v>127</v>
      </c>
      <c r="D34" s="150">
        <f>Municipality!C34</f>
        <v>803</v>
      </c>
      <c r="E34" s="150" t="str">
        <f>Municipality!D34</f>
        <v>&lt;5</v>
      </c>
      <c r="F34" s="150" t="str">
        <f>Municipality!E34</f>
        <v>--</v>
      </c>
      <c r="G34" s="150">
        <f>Municipality!F34</f>
        <v>5</v>
      </c>
      <c r="H34" s="150" t="str">
        <f>Municipality!G34</f>
        <v>--</v>
      </c>
    </row>
    <row r="35" ht="14.25" customHeight="1">
      <c r="A35" s="149" t="s">
        <v>112</v>
      </c>
      <c r="B35" s="147" t="s">
        <v>159</v>
      </c>
      <c r="C35" s="150">
        <f>Municipality!B35</f>
        <v>109</v>
      </c>
      <c r="D35" s="150">
        <f>Municipality!C35</f>
        <v>1039</v>
      </c>
      <c r="E35" s="150">
        <f>Municipality!D35</f>
        <v>7</v>
      </c>
      <c r="F35" s="150">
        <f>Municipality!E35</f>
        <v>67</v>
      </c>
      <c r="G35" s="150">
        <f>Municipality!F35</f>
        <v>7</v>
      </c>
      <c r="H35" s="150">
        <f>Municipality!G35</f>
        <v>67</v>
      </c>
    </row>
    <row r="36" ht="14.25" customHeight="1">
      <c r="A36" s="149" t="s">
        <v>113</v>
      </c>
      <c r="B36" s="147" t="s">
        <v>160</v>
      </c>
      <c r="C36" s="150">
        <f>Municipality!B36</f>
        <v>946</v>
      </c>
      <c r="D36" s="150">
        <f>Municipality!C36</f>
        <v>1167</v>
      </c>
      <c r="E36" s="150">
        <f>Municipality!D36</f>
        <v>84</v>
      </c>
      <c r="F36" s="150">
        <f>Municipality!E36</f>
        <v>104</v>
      </c>
      <c r="G36" s="150">
        <f>Municipality!F36</f>
        <v>74</v>
      </c>
      <c r="H36" s="150">
        <f>Municipality!G36</f>
        <v>91</v>
      </c>
    </row>
    <row r="37" ht="14.25" customHeight="1">
      <c r="A37" s="149" t="s">
        <v>114</v>
      </c>
      <c r="B37" s="147" t="s">
        <v>161</v>
      </c>
      <c r="C37" s="150">
        <f>Municipality!B37</f>
        <v>32</v>
      </c>
      <c r="D37" s="150">
        <f>Municipality!C37</f>
        <v>518</v>
      </c>
      <c r="E37" s="150">
        <f>Municipality!D37</f>
        <v>0</v>
      </c>
      <c r="F37" s="150">
        <f>Municipality!E37</f>
        <v>0</v>
      </c>
      <c r="G37" s="150">
        <f>Municipality!F37</f>
        <v>0</v>
      </c>
      <c r="H37" s="150">
        <f>Municipality!G37</f>
        <v>0</v>
      </c>
    </row>
    <row r="38" ht="14.25" customHeight="1">
      <c r="A38" s="149" t="s">
        <v>115</v>
      </c>
      <c r="B38" s="147" t="s">
        <v>162</v>
      </c>
      <c r="C38" s="150">
        <f>Municipality!B38</f>
        <v>419</v>
      </c>
      <c r="D38" s="150">
        <f>Municipality!C38</f>
        <v>1447</v>
      </c>
      <c r="E38" s="150">
        <f>Municipality!D38</f>
        <v>42</v>
      </c>
      <c r="F38" s="150">
        <f>Municipality!E38</f>
        <v>145</v>
      </c>
      <c r="G38" s="150">
        <f>Municipality!F38</f>
        <v>22</v>
      </c>
      <c r="H38" s="150">
        <f>Municipality!G38</f>
        <v>76</v>
      </c>
    </row>
    <row r="39" ht="14.25" customHeight="1">
      <c r="A39" s="149" t="s">
        <v>116</v>
      </c>
      <c r="B39" s="147" t="s">
        <v>163</v>
      </c>
      <c r="C39" s="150">
        <f>Municipality!B39</f>
        <v>106</v>
      </c>
      <c r="D39" s="150">
        <f>Municipality!C39</f>
        <v>469</v>
      </c>
      <c r="E39" s="150">
        <f>Municipality!D39</f>
        <v>11</v>
      </c>
      <c r="F39" s="150">
        <f>Municipality!E39</f>
        <v>49</v>
      </c>
      <c r="G39" s="150" t="str">
        <f>Municipality!F39</f>
        <v>&lt;5</v>
      </c>
      <c r="H39" s="150" t="str">
        <f>Municipality!G39</f>
        <v>--</v>
      </c>
    </row>
    <row r="40" ht="14.25" customHeight="1">
      <c r="A40" s="149" t="s">
        <v>117</v>
      </c>
      <c r="B40" s="147" t="s">
        <v>164</v>
      </c>
      <c r="C40" s="150">
        <f>Municipality!B40</f>
        <v>871</v>
      </c>
      <c r="D40" s="150">
        <f>Municipality!C40</f>
        <v>2097</v>
      </c>
      <c r="E40" s="150">
        <f>Municipality!D40</f>
        <v>108</v>
      </c>
      <c r="F40" s="150">
        <f>Municipality!E40</f>
        <v>260</v>
      </c>
      <c r="G40" s="150">
        <f>Municipality!F40</f>
        <v>83</v>
      </c>
      <c r="H40" s="150">
        <f>Municipality!G40</f>
        <v>200</v>
      </c>
    </row>
  </sheetData>
  <printOptions/>
  <pageMargins bottom="0.75" footer="0.0" header="0.0" left="0.7" right="0.7" top="0.75"/>
  <pageSetup orientation="portrait"/>
  <drawing r:id="rId1"/>
</worksheet>
</file>