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<sst xmlns="http://schemas.openxmlformats.org/spreadsheetml/2006/main" count="2965" uniqueCount="475">
  <si>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</si>
  <si>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</si>
  <si>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</si>
  <si>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</si>
  <si>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</si>
  <si>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</si>
  <si>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</si>
  <si>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</si>
  <si>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</si>
  <si>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</si>
  <si>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</si>
  <si>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</si>
  <si>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</si>
  <si>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</si>
  <si>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</si>
  <si>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</si>
  <si>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</si>
  <si>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</si>
  <si>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</si>
  <si>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</si>
  <si>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</si>
  <si>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</si>
  <si>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</si>
  <si>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</si>
  <si>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</si>
  <si>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</si>
  <si>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</si>
  <si>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</si>
  <si>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</si>
  <si>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</si>
  <si>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</si>
  <si>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</si>
  <si>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</si>
  <si>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</si>
  <si>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</si>
  <si>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</si>
  <si>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N=305,202</t>
  </si>
  <si>
    <t>N=23,059</t>
  </si>
  <si>
    <t>N=2,698</t>
  </si>
  <si>
    <t>N=1,094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</si>
  <si>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</si>
  <si>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</si>
  <si>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</si>
  <si>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</si>
  <si>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</si>
  <si>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</si>
  <si>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</si>
  <si>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</si>
  <si>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</si>
  <si>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</si>
  <si>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</si>
  <si>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</si>
  <si>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</si>
  <si>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</si>
  <si>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</si>
  <si>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</si>
  <si>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</si>
  <si>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</si>
  <si>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</si>
  <si>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</si>
  <si>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</si>
  <si>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</si>
  <si>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</si>
  <si>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</si>
  <si>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</si>
  <si>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</si>
  <si>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</si>
  <si>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</si>
  <si>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</si>
  <si>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</si>
  <si>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</si>
  <si>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</si>
  <si>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</si>
  <si>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</si>
  <si>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</si>
  <si>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</si>
  <si>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</si>
  <si>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</si>
  <si>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</si>
  <si>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</si>
  <si>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</si>
  <si>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</si>
  <si>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</si>
  <si>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</si>
  <si>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</si>
  <si>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</si>
  <si>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</si>
  <si>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</si>
  <si>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</si>
  <si>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</si>
  <si>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</si>
  <si>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</si>
  <si>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</si>
  <si>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</si>
  <si>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</si>
  <si>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</si>
  <si>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</si>
  <si>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</si>
  <si>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</si>
  <si>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</si>
  <si>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</si>
  <si>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</si>
  <si>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</si>
  <si>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</si>
  <si>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</si>
  <si>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</si>
  <si>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</si>
  <si>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</si>
  <si>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</si>
  <si>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</si>
  <si>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</si>
  <si>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</si>
  <si>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</si>
  <si>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</si>
  <si>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</si>
  <si>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</si>
  <si>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</si>
  <si>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</si>
  <si>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</si>
  <si>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</si>
  <si>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</si>
  <si>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</si>
  <si>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</si>
  <si>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</si>
  <si>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</si>
  <si>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</si>
  <si>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</si>
  <si>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</si>
  <si>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</si>
  <si>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</si>
  <si>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</si>
  <si>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</si>
  <si>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</si>
  <si>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</si>
  <si>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</si>
  <si>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</si>
  <si>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</si>
  <si>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</si>
  <si>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</si>
  <si>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</si>
  <si>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</si>
  <si>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</si>
  <si>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</si>
  <si>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</si>
  <si>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</si>
  <si>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</si>
  <si>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</si>
  <si>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</si>
  <si>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</si>
  <si>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</si>
  <si>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</si>
  <si>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</si>
  <si>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</si>
  <si>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</si>
  <si>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</si>
  <si>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</si>
  <si>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</si>
  <si>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</si>
  <si>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</si>
  <si>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</si>
  <si>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</si>
  <si>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</si>
  <si>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</si>
  <si>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</si>
  <si>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</si>
  <si>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</si>
  <si>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</si>
  <si>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</si>
  <si>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</si>
  <si>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</si>
  <si>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</si>
  <si>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</si>
  <si>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</si>
  <si>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</si>
  <si>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</si>
  <si>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</si>
  <si>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</si>
  <si>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</si>
  <si>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</si>
  <si>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</si>
  <si>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</si>
  <si>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</si>
  <si>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</si>
  <si>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</si>
  <si>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</si>
  <si>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</si>
  <si>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</si>
  <si>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</si>
  <si>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</si>
  <si>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</si>
  <si>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</si>
  <si>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</si>
  <si>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</si>
  <si>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</si>
  <si>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</si>
  <si>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</si>
  <si>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</si>
  <si>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</si>
  <si>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</si>
  <si>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</si>
  <si>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</si>
  <si>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</si>
  <si>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</si>
  <si>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</si>
  <si>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</si>
  <si>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</si>
  <si>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</si>
  <si>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</si>
  <si>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</si>
  <si>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</si>
  <si>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</si>
  <si>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</si>
  <si>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</si>
  <si>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</si>
  <si>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</si>
  <si>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</si>
  <si>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</si>
  <si>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</si>
  <si>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</si>
  <si>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</si>
  <si>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</si>
  <si>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</si>
  <si>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</si>
  <si>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</si>
  <si>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</si>
  <si>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</si>
  <si>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</si>
  <si>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</si>
  <si>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</si>
  <si>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</si>
  <si>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</si>
  <si>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</si>
  <si>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</si>
  <si>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</si>
  <si>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</si>
  <si>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</si>
  <si>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</si>
  <si>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</si>
  <si>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</si>
  <si>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</si>
  <si>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</si>
  <si>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</si>
  <si>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</si>
  <si>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</si>
  <si>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</si>
  <si>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</si>
  <si>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</si>
  <si>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</si>
  <si>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</si>
  <si>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</si>
  <si>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</si>
  <si>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</si>
  <si>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</si>
  <si>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</si>
  <si>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</si>
  <si>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</si>
  <si>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</si>
  <si>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</si>
  <si>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</si>
  <si>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</si>
  <si>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</si>
  <si>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</si>
  <si>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</si>
  <si>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</si>
  <si>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</si>
  <si>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</si>
  <si>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</si>
  <si>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</si>
  <si>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</si>
  <si>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</si>
  <si>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</si>
  <si>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</si>
  <si>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</si>
  <si>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</si>
  <si>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</si>
  <si>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</si>
  <si>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</si>
  <si>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</si>
  <si>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</si>
  <si>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</si>
  <si>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</si>
  <si>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</si>
  <si>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</si>
  <si>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</si>
  <si>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</si>
  <si>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</si>
  <si>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</si>
  <si>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</si>
  <si>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</si>
  <si>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</si>
  <si>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</si>
  <si>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</si>
  <si>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</si>
  <si>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</si>
  <si>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</si>
  <si>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</si>
  <si>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</si>
  <si>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</si>
  <si>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</si>
  <si>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</si>
  <si>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</si>
  <si>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</si>
  <si>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</si>
  <si>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</si>
  <si>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</si>
  <si>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</si>
  <si>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</si>
  <si>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</si>
  <si>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</si>
  <si>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</si>
  <si>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</si>
  <si>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</si>
  <si>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</si>
  <si>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</si>
  <si>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</si>
  <si>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</si>
  <si>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</si>
  <si>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</si>
  <si>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</si>
  <si>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</si>
  <si>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</si>
  <si>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</si>
  <si>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</si>
  <si>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</si>
  <si>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</si>
  <si>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</si>
  <si>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</si>
  <si>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</si>
  <si>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</si>
  <si>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</si>
  <si>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</si>
  <si>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</si>
  <si>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</si>
  <si>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</si>
  <si>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</si>
  <si>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</si>
  <si>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</si>
  <si>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</si>
  <si>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30 to 34</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</si>
  <si>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</si>
  <si>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</si>
  <si>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</si>
  <si>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</si>
  <si>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</si>
  <si>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</si>
  <si>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</si>
  <si>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</si>
  <si>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</si>
  <si>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</si>
  <si>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</si>
  <si>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</si>
  <si>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</si>
  <si>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</si>
  <si>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</si>
  <si>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</si>
  <si>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</si>
  <si>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</si>
  <si>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</si>
  <si>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</si>
  <si>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</si>
  <si>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</si>
  <si>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</si>
  <si>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</si>
  <si>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</si>
  <si>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</si>
  <si>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</si>
  <si>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</si>
  <si>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</si>
  <si>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</si>
  <si>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</si>
  <si>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</si>
  <si>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</si>
  <si>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</si>
  <si>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</si>
  <si>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</si>
  <si>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</si>
  <si>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</si>
  <si>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</si>
  <si>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</si>
  <si>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</si>
  <si>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</si>
  <si>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2970 to 2974</t>
  </si>
  <si>
    <t>795 to 799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</si>
  <si>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</si>
  <si>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</si>
  <si>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</si>
  <si>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</si>
  <si>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</si>
  <si>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</si>
  <si>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</si>
  <si>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</si>
  <si>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</si>
  <si>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</si>
  <si>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</si>
  <si>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</si>
  <si>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</si>
  <si>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</si>
  <si>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</si>
  <si>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</si>
  <si>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255 to 259</t>
  </si>
  <si>
    <t>Note: These data are updated weekly and represent cumulative number of cases and deaths, and number of new resident cases in the past 14 days at each facility. Because these data will change throughout the week, number ranges are being presented. Data last updated 9/23/2020.</t>
  </si>
  <si>
    <t>Number of COVID-19 Cases by School and Learning Style</t>
  </si>
  <si>
    <t>Data last updated 9/23/2020 and include cases notified to RIDOH as of 9/19/2020</t>
  </si>
  <si>
    <t>School</t>
  </si>
  <si>
    <t>LEA</t>
  </si>
  <si>
    <r>
      <t>New Cases in Past 7 Days</t>
    </r>
    <r>
      <rPr>
        <sz val="8.0"/>
      </rPr>
      <t>†</t>
    </r>
  </si>
  <si>
    <t>Cumulative Cases since 9/14/2020</t>
  </si>
  <si>
    <t>In-Person and Hybrid Learning</t>
  </si>
  <si>
    <t>Steere Farm Elementary School</t>
  </si>
  <si>
    <t>Mount St. Charles Academy</t>
  </si>
  <si>
    <t>Catholic Schools</t>
  </si>
  <si>
    <t>Blackrock School</t>
  </si>
  <si>
    <t>Agnes B. Hennessey School</t>
  </si>
  <si>
    <t>Emma G. Whiteknact School</t>
  </si>
  <si>
    <t>Ponaganset High School</t>
  </si>
  <si>
    <t>Foster-Glocester</t>
  </si>
  <si>
    <t>Highlander Elementary Charter School</t>
  </si>
  <si>
    <t>Highlander</t>
  </si>
  <si>
    <t>Nicholas A. Ferri Middle School</t>
  </si>
  <si>
    <t>Sarah Dyer Barnes School</t>
  </si>
  <si>
    <t>Winsor Hill School</t>
  </si>
  <si>
    <t>Islamic School of RI</t>
  </si>
  <si>
    <t>Private Schools</t>
  </si>
  <si>
    <t>Lifespan School Solutions</t>
  </si>
  <si>
    <t>Lincoln School</t>
  </si>
  <si>
    <t>Portsmouth Abbey School</t>
  </si>
  <si>
    <t>Anthony Carnevale Elementary School</t>
  </si>
  <si>
    <t>Juanita Sanchez High School</t>
  </si>
  <si>
    <t>Providence Career and Technical Academy</t>
  </si>
  <si>
    <t>Webster Avenue School</t>
  </si>
  <si>
    <t>Other*</t>
  </si>
  <si>
    <t>N/A</t>
  </si>
  <si>
    <t>Total:</t>
  </si>
  <si>
    <t>Virtual Learning‡</t>
  </si>
  <si>
    <t>Barrington High School</t>
  </si>
  <si>
    <t>Blackstone Valley Prep Upper Elementary School</t>
  </si>
  <si>
    <t>Blackstone Valley Prep, A RI Mayoral Academy</t>
  </si>
  <si>
    <t>St. Teresa School</t>
  </si>
  <si>
    <t>Central Falls Senior High School</t>
  </si>
  <si>
    <t>Alan Shawn Feinstein Middle School Of Coventry</t>
  </si>
  <si>
    <t>Washington Oak School</t>
  </si>
  <si>
    <t>Cranston High School West</t>
  </si>
  <si>
    <t>Hope Highlands Middle School</t>
  </si>
  <si>
    <t>Orchard Farms Elementary School</t>
  </si>
  <si>
    <t>Park View Middle School</t>
  </si>
  <si>
    <t>Community School</t>
  </si>
  <si>
    <t>Cumberland High School</t>
  </si>
  <si>
    <t>Johnston Senior High School</t>
  </si>
  <si>
    <t>The Learning Community Charter School</t>
  </si>
  <si>
    <t>Learning Community</t>
  </si>
  <si>
    <t>Charles E. Shea High School</t>
  </si>
  <si>
    <t>Curvin-McCabe School</t>
  </si>
  <si>
    <t>Lyman B. Goff Middle School</t>
  </si>
  <si>
    <t>Nathanael Greene School</t>
  </si>
  <si>
    <t>San Miguel School</t>
  </si>
  <si>
    <t>St. Mary's Home for Children/George N. Hunt Campus School</t>
  </si>
  <si>
    <t>360 High School</t>
  </si>
  <si>
    <t>E-Cubed Academy</t>
  </si>
  <si>
    <t>Governor Christopher DelSesto Middle School</t>
  </si>
  <si>
    <t>Harry Kizirian Elementary School</t>
  </si>
  <si>
    <t>Hope High School</t>
  </si>
  <si>
    <t>Lillian Feinstein Elementary Sackett Street</t>
  </si>
  <si>
    <t>Mount Pleasant High School</t>
  </si>
  <si>
    <t>Providence Virtual Learning Academy</t>
  </si>
  <si>
    <t>Vartan Gregorian Elementary School</t>
  </si>
  <si>
    <t>RI Nurses Institute Middle College Charter High School</t>
  </si>
  <si>
    <t>Rhode Island Nurses Institute Middle College</t>
  </si>
  <si>
    <t>Smithfield Senior High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</si>
  <si>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</si>
  <si>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9/23/2020.
 †New cases in past 7 days include cases notified to RIDOH between 9/14/2020 and 9/19/2020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</si>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</sst>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6" fillId="0" fontId="21" numFmtId="0" xfId="0" applyAlignment="1" applyBorder="1" applyFont="1">
      <alignment horizontal="left" readingOrder="0" shrinkToFit="0" vertical="bottom" wrapText="0"/>
    </xf>
    <xf borderId="6" fillId="0" fontId="17" numFmtId="0" xfId="0" applyAlignment="1" applyBorder="1" applyFont="1">
      <alignment horizontal="left" readingOrder="0" shrinkToFit="0" vertical="bottom" wrapText="0"/>
    </xf>
    <xf borderId="2" fillId="16" fontId="17" numFmtId="0" xfId="0" applyAlignment="1" applyBorder="1" applyFill="1" applyFont="1">
      <alignment readingOrder="0" vertical="center"/>
    </xf>
    <xf borderId="5" fillId="16" fontId="17" numFmtId="0" xfId="0" applyAlignment="1" applyBorder="1" applyFont="1">
      <alignment readingOrder="0" vertical="center"/>
    </xf>
    <xf borderId="5" fillId="11" fontId="17" numFmtId="0" xfId="0" applyAlignment="1" applyBorder="1" applyFont="1">
      <alignment horizontal="center" readingOrder="0" shrinkToFit="0" vertical="top" wrapText="1"/>
    </xf>
    <xf borderId="5" fillId="4" fontId="17" numFmtId="0" xfId="0" applyAlignment="1" applyBorder="1" applyFont="1">
      <alignment horizontal="center" readingOrder="0" shrinkToFit="0" vertical="top" wrapText="1"/>
    </xf>
    <xf borderId="0" fillId="0" fontId="4" numFmtId="0" xfId="0" applyAlignment="1" applyFont="1">
      <alignment vertical="bottom"/>
    </xf>
    <xf borderId="10" fillId="15" fontId="17" numFmtId="0" xfId="0" applyAlignment="1" applyBorder="1" applyFont="1">
      <alignment horizontal="left" readingOrder="0"/>
    </xf>
    <xf borderId="8" fillId="0" fontId="9" numFmtId="0" xfId="0" applyBorder="1" applyFont="1"/>
    <xf borderId="5" fillId="0" fontId="9" numFmtId="0" xfId="0" applyBorder="1" applyFont="1"/>
    <xf borderId="2" fillId="0" fontId="22"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5" fillId="0" fontId="22" numFmtId="0" xfId="0" applyAlignment="1" applyBorder="1" applyFont="1">
      <alignment horizontal="center" readingOrder="0" shrinkToFit="0" vertical="bottom" wrapText="0"/>
    </xf>
    <xf borderId="2" fillId="0" fontId="22" numFmtId="0" xfId="0" applyAlignment="1" applyBorder="1" applyFont="1">
      <alignment shrinkToFit="0" vertical="bottom" wrapText="0"/>
    </xf>
    <xf borderId="5" fillId="0" fontId="23" numFmtId="0" xfId="0" applyAlignment="1" applyBorder="1" applyFont="1">
      <alignment horizontal="right" readingOrder="0" shrinkToFit="0" vertical="bottom" wrapText="0"/>
    </xf>
    <xf borderId="5" fillId="0" fontId="23" numFmtId="0" xfId="0" applyAlignment="1" applyBorder="1" applyFont="1">
      <alignment horizontal="center" readingOrder="0" shrinkToFit="0" vertical="bottom" wrapText="0"/>
    </xf>
    <xf borderId="6" fillId="15" fontId="23" numFmtId="0" xfId="0" applyAlignment="1" applyBorder="1" applyFont="1">
      <alignment horizontal="left" readingOrder="0" shrinkToFit="0" vertical="bottom" wrapText="0"/>
    </xf>
    <xf borderId="2" fillId="0" fontId="23" numFmtId="0" xfId="0" applyAlignment="1" applyBorder="1" applyFont="1">
      <alignment shrinkToFit="0" vertical="bottom" wrapText="0"/>
    </xf>
    <xf borderId="6" fillId="17" fontId="20" numFmtId="0" xfId="0" applyAlignment="1" applyBorder="1" applyFill="1" applyFont="1">
      <alignment horizontal="left" readingOrder="0" shrinkToFit="0" vertical="bottom" wrapText="1"/>
    </xf>
    <xf borderId="0" fillId="0" fontId="15" numFmtId="14" xfId="0" applyFont="1" applyNumberFormat="1"/>
    <xf borderId="0" fillId="0" fontId="15"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44099.0</v>
      </c>
    </row>
    <row r="2" ht="14.25" customHeight="1">
      <c r="A2" s="3" t="s">
        <v>1</v>
      </c>
      <c r="B2" s="4">
        <v>134.0</v>
      </c>
    </row>
    <row r="3" ht="14.25" customHeight="1">
      <c r="A3" s="3" t="s">
        <v>2</v>
      </c>
      <c r="B3" s="4">
        <v>155.0</v>
      </c>
    </row>
    <row r="4" ht="14.25" customHeight="1">
      <c r="A4" s="3" t="s">
        <v>3</v>
      </c>
      <c r="B4" s="4">
        <v>34299.0</v>
      </c>
    </row>
    <row r="5" ht="14.25" customHeight="1">
      <c r="A5" s="3" t="s">
        <v>4</v>
      </c>
      <c r="B5" s="4">
        <v>7562.0</v>
      </c>
    </row>
    <row r="6" ht="14.25" customHeight="1">
      <c r="A6" s="5" t="s">
        <v>5</v>
      </c>
      <c r="B6" s="4">
        <v>693170.0</v>
      </c>
    </row>
    <row r="7" ht="14.25" customHeight="1">
      <c r="A7" s="6" t="s">
        <v>6</v>
      </c>
      <c r="B7" s="4">
        <v>7696.0</v>
      </c>
    </row>
    <row r="8" ht="14.25" customHeight="1">
      <c r="A8" s="6" t="s">
        <v>7</v>
      </c>
      <c r="B8" s="7">
        <v>727469.0</v>
      </c>
    </row>
    <row r="9" ht="14.25" customHeight="1">
      <c r="A9" s="8" t="s">
        <v>8</v>
      </c>
      <c r="B9" s="7">
        <v>119.0</v>
      </c>
    </row>
    <row r="10" ht="14.25" customHeight="1">
      <c r="A10" s="9" t="s">
        <v>9</v>
      </c>
      <c r="B10" s="7">
        <v>121.0</v>
      </c>
    </row>
    <row r="11" ht="14.25" customHeight="1">
      <c r="A11" s="8" t="s">
        <v>10</v>
      </c>
      <c r="B11" s="7">
        <v>24181.0</v>
      </c>
    </row>
    <row r="12" ht="14.25" customHeight="1">
      <c r="A12" s="8" t="s">
        <v>11</v>
      </c>
      <c r="B12" s="7">
        <v>1667.0</v>
      </c>
    </row>
    <row r="13" ht="14.25" customHeight="1">
      <c r="A13" s="8" t="s">
        <v>12</v>
      </c>
      <c r="B13" s="7">
        <v>305853.0</v>
      </c>
    </row>
    <row r="14" ht="15.0" customHeight="1">
      <c r="A14" s="8" t="s">
        <v>13</v>
      </c>
      <c r="B14" s="7">
        <v>330034.0</v>
      </c>
    </row>
    <row r="15" ht="14.25" customHeight="1">
      <c r="A15" s="10" t="s">
        <v>14</v>
      </c>
      <c r="B15" s="4">
        <v>11.0</v>
      </c>
    </row>
    <row r="16" ht="14.25" customHeight="1">
      <c r="A16" s="10" t="s">
        <v>15</v>
      </c>
      <c r="B16" s="4">
        <v>2725.0</v>
      </c>
    </row>
    <row r="17" ht="14.25" customHeight="1">
      <c r="A17" s="10" t="s">
        <v>16</v>
      </c>
      <c r="B17" s="4">
        <v>3.0</v>
      </c>
    </row>
    <row r="18" ht="14.25" customHeight="1">
      <c r="A18" s="10" t="s">
        <v>17</v>
      </c>
      <c r="B18" s="4">
        <v>2278.0</v>
      </c>
    </row>
    <row r="19" ht="14.25" customHeight="1">
      <c r="A19" s="10" t="s">
        <v>18</v>
      </c>
      <c r="B19" s="4">
        <v>1.0</v>
      </c>
    </row>
    <row r="20" ht="14.25" customHeight="1">
      <c r="A20" s="10" t="s">
        <v>19</v>
      </c>
      <c r="B20" s="4">
        <v>353.0</v>
      </c>
    </row>
    <row r="21" ht="14.25" customHeight="1">
      <c r="A21" s="10" t="s">
        <v>20</v>
      </c>
      <c r="B21" s="7">
        <v>94.0</v>
      </c>
    </row>
    <row r="22" ht="14.25" customHeight="1">
      <c r="A22" s="10" t="s">
        <v>21</v>
      </c>
      <c r="B22" s="7">
        <v>87.0</v>
      </c>
    </row>
    <row r="23" ht="14.25" customHeight="1">
      <c r="A23" s="10" t="s">
        <v>22</v>
      </c>
      <c r="B23" s="7">
        <v>8.0</v>
      </c>
    </row>
    <row r="24" ht="14.25" customHeight="1">
      <c r="A24" s="10" t="s">
        <v>23</v>
      </c>
      <c r="B24" s="7">
        <v>4.0</v>
      </c>
    </row>
    <row r="25" ht="14.25" customHeight="1">
      <c r="A25" s="11" t="s">
        <v>24</v>
      </c>
      <c r="B25" s="7">
        <v>1.0</v>
      </c>
    </row>
    <row r="26" ht="14.25" customHeight="1">
      <c r="A26" s="12" t="s">
        <v>25</v>
      </c>
      <c r="B26" s="7">
        <v>1107.0</v>
      </c>
    </row>
    <row r="27" ht="14.25" customHeight="1">
      <c r="A27" s="13" t="s">
        <v>26</v>
      </c>
      <c r="B27" s="7">
        <v>717351.0</v>
      </c>
    </row>
    <row r="28" ht="14.25" customHeight="1">
      <c r="A28" s="13" t="s">
        <v>27</v>
      </c>
      <c r="B28" s="7">
        <v>7681.0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4" t="s">
        <v>209</v>
      </c>
      <c r="B1" s="155" t="s">
        <v>210</v>
      </c>
      <c r="C1" s="80" t="s">
        <v>75</v>
      </c>
    </row>
    <row r="2" ht="14.25" customHeight="1">
      <c r="A2" s="156" t="s">
        <v>211</v>
      </c>
      <c r="B2" s="157">
        <v>9.0</v>
      </c>
      <c r="C2" s="158">
        <v>1341.0</v>
      </c>
    </row>
    <row r="3" ht="14.25" customHeight="1">
      <c r="A3" s="159" t="s">
        <v>212</v>
      </c>
      <c r="B3" s="160">
        <v>0.0</v>
      </c>
      <c r="C3" s="161">
        <v>0.0</v>
      </c>
    </row>
    <row r="4" ht="14.25" customHeight="1">
      <c r="A4" s="159" t="s">
        <v>213</v>
      </c>
      <c r="B4" s="160">
        <v>82.0</v>
      </c>
      <c r="C4" s="161">
        <v>506.0</v>
      </c>
    </row>
    <row r="5" ht="14.25" customHeight="1">
      <c r="A5" s="159" t="s">
        <v>214</v>
      </c>
      <c r="B5" s="160">
        <v>6.0</v>
      </c>
      <c r="C5" s="161">
        <v>726.0</v>
      </c>
    </row>
    <row r="6" ht="14.25" customHeight="1">
      <c r="A6" s="159" t="s">
        <v>215</v>
      </c>
      <c r="B6" s="160">
        <v>17.0</v>
      </c>
      <c r="C6" s="161">
        <v>663.0</v>
      </c>
    </row>
    <row r="7" ht="14.25" customHeight="1">
      <c r="A7" s="159" t="s">
        <v>216</v>
      </c>
      <c r="B7" s="160">
        <v>209.0</v>
      </c>
      <c r="C7" s="161">
        <v>939.0</v>
      </c>
    </row>
    <row r="8" ht="14.25" customHeight="1">
      <c r="A8" s="159" t="s">
        <v>217</v>
      </c>
      <c r="B8" s="160">
        <v>10.0</v>
      </c>
      <c r="C8" s="161">
        <v>828.0</v>
      </c>
    </row>
    <row r="9" ht="14.25" customHeight="1">
      <c r="A9" s="159" t="s">
        <v>218</v>
      </c>
      <c r="B9" s="160">
        <v>37.0</v>
      </c>
      <c r="C9" s="161">
        <v>476.0</v>
      </c>
    </row>
    <row r="10" ht="14.25" customHeight="1">
      <c r="A10" s="159" t="s">
        <v>219</v>
      </c>
      <c r="B10" s="160">
        <v>55.0</v>
      </c>
      <c r="C10" s="161">
        <v>717.0</v>
      </c>
    </row>
    <row r="11" ht="14.25" customHeight="1">
      <c r="A11" s="159" t="s">
        <v>220</v>
      </c>
      <c r="B11" s="160">
        <v>0.0</v>
      </c>
      <c r="C11" s="161">
        <v>0.0</v>
      </c>
    </row>
    <row r="12" ht="14.25" customHeight="1">
      <c r="A12" s="159" t="s">
        <v>221</v>
      </c>
      <c r="B12" s="160">
        <v>304.0</v>
      </c>
      <c r="C12" s="161">
        <v>926.0</v>
      </c>
    </row>
    <row r="13" ht="14.25" customHeight="1">
      <c r="A13" s="159" t="s">
        <v>222</v>
      </c>
      <c r="B13" s="160">
        <v>32.0</v>
      </c>
      <c r="C13" s="161">
        <v>530.0</v>
      </c>
    </row>
    <row r="14" ht="14.25" customHeight="1">
      <c r="A14" s="159" t="s">
        <v>223</v>
      </c>
      <c r="B14" s="160">
        <v>142.0</v>
      </c>
      <c r="C14" s="161">
        <v>781.0</v>
      </c>
    </row>
    <row r="15" ht="14.25" customHeight="1">
      <c r="A15" s="159" t="s">
        <v>224</v>
      </c>
      <c r="B15" s="160">
        <v>49.0</v>
      </c>
      <c r="C15" s="161">
        <v>745.0</v>
      </c>
    </row>
    <row r="16" ht="14.25" customHeight="1">
      <c r="A16" s="159" t="s">
        <v>225</v>
      </c>
      <c r="B16" s="160">
        <v>35.0</v>
      </c>
      <c r="C16" s="161">
        <v>636.0</v>
      </c>
    </row>
    <row r="17" ht="14.25" customHeight="1">
      <c r="A17" s="159" t="s">
        <v>226</v>
      </c>
      <c r="B17" s="160">
        <v>0.0</v>
      </c>
      <c r="C17" s="161">
        <v>0.0</v>
      </c>
    </row>
    <row r="18" ht="14.25" customHeight="1">
      <c r="A18" s="159" t="s">
        <v>227</v>
      </c>
      <c r="B18" s="160">
        <v>19.0</v>
      </c>
      <c r="C18" s="161">
        <v>922.0</v>
      </c>
    </row>
    <row r="19" ht="14.25" customHeight="1">
      <c r="A19" s="159" t="s">
        <v>228</v>
      </c>
      <c r="B19" s="160">
        <v>235.0</v>
      </c>
      <c r="C19" s="161">
        <v>2989.0</v>
      </c>
    </row>
    <row r="20" ht="14.25" customHeight="1">
      <c r="A20" s="159" t="s">
        <v>229</v>
      </c>
      <c r="B20" s="160">
        <v>35.0</v>
      </c>
      <c r="C20" s="161">
        <v>590.0</v>
      </c>
    </row>
    <row r="21" ht="14.25" customHeight="1">
      <c r="A21" s="159" t="s">
        <v>230</v>
      </c>
      <c r="B21" s="160">
        <v>39.0</v>
      </c>
      <c r="C21" s="161">
        <v>1114.0</v>
      </c>
    </row>
    <row r="22" ht="14.25" customHeight="1">
      <c r="A22" s="159" t="s">
        <v>231</v>
      </c>
      <c r="B22" s="160">
        <v>19.0</v>
      </c>
      <c r="C22" s="161">
        <v>440.0</v>
      </c>
    </row>
    <row r="23" ht="14.25" customHeight="1">
      <c r="A23" s="159" t="s">
        <v>232</v>
      </c>
      <c r="B23" s="160">
        <v>0.0</v>
      </c>
      <c r="C23" s="161">
        <v>0.0</v>
      </c>
    </row>
    <row r="24" ht="14.25" customHeight="1">
      <c r="A24" s="159" t="s">
        <v>233</v>
      </c>
      <c r="B24" s="160">
        <v>29.0</v>
      </c>
      <c r="C24" s="161">
        <v>528.0</v>
      </c>
    </row>
    <row r="25" ht="14.25" customHeight="1">
      <c r="A25" s="159" t="s">
        <v>234</v>
      </c>
      <c r="B25" s="162">
        <v>0.0</v>
      </c>
      <c r="C25" s="161">
        <v>0.0</v>
      </c>
    </row>
    <row r="26" ht="14.25" customHeight="1">
      <c r="A26" s="159" t="s">
        <v>235</v>
      </c>
      <c r="B26" s="160">
        <v>14.0</v>
      </c>
      <c r="C26" s="161">
        <v>399.0</v>
      </c>
    </row>
    <row r="27" ht="14.25" customHeight="1">
      <c r="A27" s="159" t="s">
        <v>236</v>
      </c>
      <c r="B27" s="160">
        <v>126.0</v>
      </c>
      <c r="C27" s="161">
        <v>3581.0</v>
      </c>
    </row>
    <row r="28" ht="14.25" customHeight="1">
      <c r="A28" s="159" t="s">
        <v>237</v>
      </c>
      <c r="B28" s="160">
        <v>14.0</v>
      </c>
      <c r="C28" s="161">
        <v>679.0</v>
      </c>
    </row>
    <row r="29" ht="14.25" customHeight="1">
      <c r="A29" s="159" t="s">
        <v>238</v>
      </c>
      <c r="B29" s="160">
        <v>157.0</v>
      </c>
      <c r="C29" s="161">
        <v>676.0</v>
      </c>
    </row>
    <row r="30" ht="14.25" customHeight="1">
      <c r="A30" s="159" t="s">
        <v>239</v>
      </c>
      <c r="B30" s="160">
        <v>10.0</v>
      </c>
      <c r="C30" s="161">
        <v>613.0</v>
      </c>
    </row>
    <row r="31" ht="14.25" customHeight="1">
      <c r="A31" s="159" t="s">
        <v>240</v>
      </c>
      <c r="B31" s="160">
        <v>90.0</v>
      </c>
      <c r="C31" s="161">
        <v>563.0</v>
      </c>
    </row>
    <row r="32" ht="14.25" customHeight="1">
      <c r="A32" s="159" t="s">
        <v>241</v>
      </c>
      <c r="B32" s="160">
        <v>288.0</v>
      </c>
      <c r="C32" s="161">
        <v>1307.0</v>
      </c>
    </row>
    <row r="33" ht="14.25" customHeight="1">
      <c r="A33" s="159" t="s">
        <v>242</v>
      </c>
      <c r="B33" s="160">
        <v>57.0</v>
      </c>
      <c r="C33" s="161">
        <v>653.0</v>
      </c>
    </row>
    <row r="34" ht="14.25" customHeight="1">
      <c r="A34" s="159" t="s">
        <v>243</v>
      </c>
      <c r="B34" s="162">
        <v>0.0</v>
      </c>
      <c r="C34" s="161">
        <v>0.0</v>
      </c>
    </row>
    <row r="35" ht="14.25" customHeight="1">
      <c r="A35" s="159" t="s">
        <v>244</v>
      </c>
      <c r="B35" s="160">
        <v>98.0</v>
      </c>
      <c r="C35" s="161">
        <v>1356.0</v>
      </c>
    </row>
    <row r="36" ht="14.25" customHeight="1">
      <c r="A36" s="159" t="s">
        <v>245</v>
      </c>
      <c r="B36" s="160">
        <v>1742.0</v>
      </c>
      <c r="C36" s="161">
        <v>3696.0</v>
      </c>
    </row>
    <row r="37" ht="14.25" customHeight="1">
      <c r="A37" s="159" t="s">
        <v>246</v>
      </c>
      <c r="B37" s="160">
        <v>573.0</v>
      </c>
      <c r="C37" s="161">
        <v>2288.0</v>
      </c>
    </row>
    <row r="38" ht="14.25" customHeight="1">
      <c r="A38" s="159" t="s">
        <v>247</v>
      </c>
      <c r="B38" s="160">
        <v>1246.0</v>
      </c>
      <c r="C38" s="161">
        <v>6441.0</v>
      </c>
    </row>
    <row r="39" ht="14.25" customHeight="1">
      <c r="A39" s="159" t="s">
        <v>248</v>
      </c>
      <c r="B39" s="160">
        <v>480.0</v>
      </c>
      <c r="C39" s="161">
        <v>1386.0</v>
      </c>
    </row>
    <row r="40" ht="14.25" customHeight="1">
      <c r="A40" s="159" t="s">
        <v>249</v>
      </c>
      <c r="B40" s="160">
        <v>220.0</v>
      </c>
      <c r="C40" s="161">
        <v>1261.0</v>
      </c>
    </row>
    <row r="41" ht="14.25" customHeight="1">
      <c r="A41" s="159" t="s">
        <v>250</v>
      </c>
      <c r="B41" s="160">
        <v>82.0</v>
      </c>
      <c r="C41" s="161">
        <v>478.0</v>
      </c>
    </row>
    <row r="42" ht="14.25" customHeight="1">
      <c r="A42" s="159" t="s">
        <v>251</v>
      </c>
      <c r="B42" s="160">
        <v>0.0</v>
      </c>
      <c r="C42" s="161">
        <v>0.0</v>
      </c>
    </row>
    <row r="43" ht="14.25" customHeight="1">
      <c r="A43" s="159" t="s">
        <v>252</v>
      </c>
      <c r="B43" s="160">
        <v>0.0</v>
      </c>
      <c r="C43" s="161">
        <v>0.0</v>
      </c>
    </row>
    <row r="44" ht="14.25" customHeight="1">
      <c r="A44" s="159" t="s">
        <v>253</v>
      </c>
      <c r="B44" s="160">
        <v>44.0</v>
      </c>
      <c r="C44" s="161">
        <v>738.0</v>
      </c>
    </row>
    <row r="45" ht="14.25" customHeight="1">
      <c r="A45" s="159" t="s">
        <v>254</v>
      </c>
      <c r="B45" s="160">
        <v>0.0</v>
      </c>
      <c r="C45" s="161">
        <v>0.0</v>
      </c>
    </row>
    <row r="46" ht="14.25" customHeight="1">
      <c r="A46" s="159" t="s">
        <v>255</v>
      </c>
      <c r="B46" s="160">
        <v>7.0</v>
      </c>
      <c r="C46" s="161">
        <v>2405.0</v>
      </c>
    </row>
    <row r="47" ht="14.25" customHeight="1">
      <c r="A47" s="159" t="s">
        <v>256</v>
      </c>
      <c r="B47" s="160">
        <v>126.0</v>
      </c>
      <c r="C47" s="161">
        <v>797.0</v>
      </c>
    </row>
    <row r="48" ht="14.25" customHeight="1">
      <c r="A48" s="159" t="s">
        <v>257</v>
      </c>
      <c r="B48" s="160">
        <v>148.0</v>
      </c>
      <c r="C48" s="161">
        <v>721.0</v>
      </c>
    </row>
    <row r="49" ht="14.25" customHeight="1">
      <c r="A49" s="159" t="s">
        <v>258</v>
      </c>
      <c r="B49" s="160">
        <v>15.0</v>
      </c>
      <c r="C49" s="161">
        <v>191.0</v>
      </c>
    </row>
    <row r="50" ht="14.25" customHeight="1">
      <c r="A50" s="159" t="s">
        <v>259</v>
      </c>
      <c r="B50" s="160">
        <v>111.0</v>
      </c>
      <c r="C50" s="161">
        <v>796.0</v>
      </c>
    </row>
    <row r="51" ht="14.25" customHeight="1">
      <c r="A51" s="159" t="s">
        <v>260</v>
      </c>
      <c r="B51" s="160">
        <v>108.0</v>
      </c>
      <c r="C51" s="161">
        <v>1032.0</v>
      </c>
    </row>
    <row r="52" ht="14.25" customHeight="1">
      <c r="A52" s="159" t="s">
        <v>261</v>
      </c>
      <c r="B52" s="160">
        <v>287.0</v>
      </c>
      <c r="C52" s="161">
        <v>989.0</v>
      </c>
    </row>
    <row r="53" ht="14.25" customHeight="1">
      <c r="A53" s="159" t="s">
        <v>262</v>
      </c>
      <c r="B53" s="160">
        <v>212.0</v>
      </c>
      <c r="C53" s="161">
        <v>1106.0</v>
      </c>
    </row>
    <row r="54" ht="14.25" customHeight="1">
      <c r="A54" s="159" t="s">
        <v>263</v>
      </c>
      <c r="B54" s="160">
        <v>409.0</v>
      </c>
      <c r="C54" s="161">
        <v>1496.0</v>
      </c>
    </row>
    <row r="55" ht="14.25" customHeight="1">
      <c r="A55" s="159" t="s">
        <v>264</v>
      </c>
      <c r="B55" s="160">
        <v>92.0</v>
      </c>
      <c r="C55" s="161">
        <v>436.0</v>
      </c>
    </row>
    <row r="56" ht="14.25" customHeight="1">
      <c r="A56" s="159" t="s">
        <v>265</v>
      </c>
      <c r="B56" s="160">
        <v>40.0</v>
      </c>
      <c r="C56" s="161">
        <v>771.0</v>
      </c>
    </row>
    <row r="57" ht="14.25" customHeight="1">
      <c r="A57" s="159" t="s">
        <v>266</v>
      </c>
      <c r="B57" s="160">
        <v>429.0</v>
      </c>
      <c r="C57" s="161">
        <v>1472.0</v>
      </c>
    </row>
    <row r="58" ht="14.25" customHeight="1">
      <c r="A58" s="159" t="s">
        <v>267</v>
      </c>
      <c r="B58" s="160">
        <v>0.0</v>
      </c>
      <c r="C58" s="161">
        <v>0.0</v>
      </c>
    </row>
    <row r="59" ht="14.25" customHeight="1">
      <c r="A59" s="159" t="s">
        <v>268</v>
      </c>
      <c r="B59" s="160">
        <v>857.0</v>
      </c>
      <c r="C59" s="161">
        <v>2063.0</v>
      </c>
    </row>
    <row r="60" ht="14.25" customHeight="1">
      <c r="A60" s="159" t="s">
        <v>269</v>
      </c>
      <c r="B60" s="160">
        <v>158.0</v>
      </c>
      <c r="C60" s="161">
        <v>1310.0</v>
      </c>
    </row>
    <row r="61" ht="14.25" customHeight="1">
      <c r="A61" s="159" t="s">
        <v>270</v>
      </c>
      <c r="B61" s="160">
        <v>19.0</v>
      </c>
      <c r="C61" s="161">
        <v>1156.0</v>
      </c>
    </row>
    <row r="62" ht="14.25" customHeight="1">
      <c r="A62" s="159" t="s">
        <v>271</v>
      </c>
      <c r="B62" s="160">
        <v>245.0</v>
      </c>
      <c r="C62" s="161">
        <v>2324.0</v>
      </c>
    </row>
    <row r="63" ht="14.25" customHeight="1">
      <c r="A63" s="159" t="s">
        <v>272</v>
      </c>
      <c r="B63" s="160">
        <v>1176.0</v>
      </c>
      <c r="C63" s="161">
        <v>3853.0</v>
      </c>
    </row>
    <row r="64" ht="14.25" customHeight="1">
      <c r="A64" s="159" t="s">
        <v>273</v>
      </c>
      <c r="B64" s="160">
        <v>866.0</v>
      </c>
      <c r="C64" s="161">
        <v>3398.0</v>
      </c>
    </row>
    <row r="65" ht="14.25" customHeight="1">
      <c r="A65" s="159" t="s">
        <v>274</v>
      </c>
      <c r="B65" s="160">
        <v>414.0</v>
      </c>
      <c r="C65" s="161">
        <v>1468.0</v>
      </c>
    </row>
    <row r="66" ht="14.25" customHeight="1">
      <c r="A66" s="159" t="s">
        <v>275</v>
      </c>
      <c r="B66" s="160">
        <v>1822.0</v>
      </c>
      <c r="C66" s="161">
        <v>5919.0</v>
      </c>
    </row>
    <row r="67" ht="14.25" customHeight="1">
      <c r="A67" s="159" t="s">
        <v>276</v>
      </c>
      <c r="B67" s="160">
        <v>1881.0</v>
      </c>
      <c r="C67" s="161">
        <v>5009.0</v>
      </c>
    </row>
    <row r="68" ht="14.25" customHeight="1">
      <c r="A68" s="159" t="s">
        <v>277</v>
      </c>
      <c r="B68" s="160">
        <v>2525.0</v>
      </c>
      <c r="C68" s="161">
        <v>6224.0</v>
      </c>
    </row>
    <row r="69" ht="14.25" customHeight="1">
      <c r="A69" s="159" t="s">
        <v>278</v>
      </c>
      <c r="B69" s="160">
        <v>403.0</v>
      </c>
      <c r="C69" s="161">
        <v>1820.0</v>
      </c>
    </row>
    <row r="70" ht="14.25" customHeight="1">
      <c r="A70" s="159" t="s">
        <v>279</v>
      </c>
      <c r="B70" s="160">
        <v>304.0</v>
      </c>
      <c r="C70" s="161">
        <v>1916.0</v>
      </c>
    </row>
    <row r="71" ht="14.25" customHeight="1">
      <c r="A71" s="159" t="s">
        <v>280</v>
      </c>
      <c r="B71" s="160">
        <v>0.0</v>
      </c>
      <c r="C71" s="161">
        <v>0.0</v>
      </c>
    </row>
    <row r="72" ht="14.25" customHeight="1">
      <c r="A72" s="159" t="s">
        <v>281</v>
      </c>
      <c r="B72" s="160">
        <v>535.0</v>
      </c>
      <c r="C72" s="161">
        <v>2476.0</v>
      </c>
    </row>
    <row r="73" ht="14.25" customHeight="1">
      <c r="A73" s="159" t="s">
        <v>282</v>
      </c>
      <c r="B73" s="160">
        <v>264.0</v>
      </c>
      <c r="C73" s="161">
        <v>1586.0</v>
      </c>
    </row>
    <row r="74" ht="14.25" customHeight="1">
      <c r="A74" s="159" t="s">
        <v>283</v>
      </c>
      <c r="B74" s="160">
        <v>99.0</v>
      </c>
      <c r="C74" s="161">
        <v>1091.0</v>
      </c>
    </row>
    <row r="75" ht="14.25" customHeight="1">
      <c r="A75" s="159" t="s">
        <v>284</v>
      </c>
      <c r="B75" s="160">
        <v>137.0</v>
      </c>
      <c r="C75" s="161">
        <v>993.0</v>
      </c>
    </row>
    <row r="76" ht="14.25" customHeight="1">
      <c r="A76" s="159" t="s">
        <v>285</v>
      </c>
      <c r="B76" s="160">
        <v>639.0</v>
      </c>
      <c r="C76" s="161">
        <v>2184.0</v>
      </c>
    </row>
    <row r="77" ht="14.25" customHeight="1">
      <c r="A77" s="159" t="s">
        <v>286</v>
      </c>
      <c r="B77" s="160">
        <v>798.0</v>
      </c>
      <c r="C77" s="161">
        <v>2145.0</v>
      </c>
    </row>
    <row r="78" ht="14.25" customHeight="1">
      <c r="A78" s="159" t="s">
        <v>287</v>
      </c>
      <c r="B78" s="160">
        <v>142.0</v>
      </c>
      <c r="C78" s="161">
        <v>1144.0</v>
      </c>
    </row>
    <row r="79" ht="14.25" customHeight="1">
      <c r="A79" s="163" t="s">
        <v>288</v>
      </c>
      <c r="B79" s="160">
        <v>1167.0</v>
      </c>
      <c r="C79" s="161" t="s">
        <v>30</v>
      </c>
    </row>
    <row r="80" ht="14.25" customHeight="1">
      <c r="A80" s="163" t="s">
        <v>118</v>
      </c>
      <c r="B80" s="160">
        <v>23059.0</v>
      </c>
      <c r="C80" s="161">
        <v>2182.0</v>
      </c>
    </row>
    <row r="81" ht="14.25" customHeight="1">
      <c r="A81" s="164" t="s">
        <v>289</v>
      </c>
    </row>
    <row r="82" ht="14.25" customHeight="1">
      <c r="A82" s="88" t="s">
        <v>290</v>
      </c>
    </row>
    <row r="83" ht="14.25" customHeight="1"/>
    <row r="84" ht="14.25" customHeight="1"/>
    <row r="85" ht="14.25" customHeight="1"/>
    <row r="86" ht="14.25" customHeight="1">
      <c r="A86" s="75" t="s">
        <v>0</v>
      </c>
      <c r="B86" s="76">
        <v>44097.0</v>
      </c>
      <c r="C86" s="16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6" t="s">
        <v>291</v>
      </c>
    </row>
    <row r="2">
      <c r="A2" s="167" t="s">
        <v>292</v>
      </c>
      <c r="B2" s="168"/>
      <c r="C2" s="168"/>
      <c r="D2" s="168"/>
    </row>
    <row r="3">
      <c r="A3" s="169" t="s">
        <v>293</v>
      </c>
      <c r="B3" s="170" t="s">
        <v>294</v>
      </c>
      <c r="C3" s="170" t="s">
        <v>295</v>
      </c>
      <c r="D3" s="171" t="s">
        <v>296</v>
      </c>
    </row>
    <row r="4">
      <c r="A4" s="172" t="s">
        <v>297</v>
      </c>
      <c r="B4" s="101"/>
      <c r="C4" s="101"/>
      <c r="D4" s="39"/>
    </row>
    <row r="5">
      <c r="A5" s="173" t="s">
        <v>298</v>
      </c>
      <c r="B5" s="174" t="s">
        <v>299</v>
      </c>
      <c r="C5" s="175">
        <v>0.0</v>
      </c>
      <c r="D5" s="176">
        <v>0.0</v>
      </c>
    </row>
    <row r="6">
      <c r="A6" s="173" t="s">
        <v>300</v>
      </c>
      <c r="B6" s="174" t="s">
        <v>301</v>
      </c>
      <c r="C6" s="175" t="s">
        <v>302</v>
      </c>
      <c r="D6" s="176" t="s">
        <v>303</v>
      </c>
    </row>
    <row r="7">
      <c r="A7" s="173" t="s">
        <v>304</v>
      </c>
      <c r="B7" s="174" t="s">
        <v>305</v>
      </c>
      <c r="C7" s="175">
        <v>0.0</v>
      </c>
      <c r="D7" s="176" t="s">
        <v>306</v>
      </c>
    </row>
    <row r="8">
      <c r="A8" s="173" t="s">
        <v>307</v>
      </c>
      <c r="B8" s="174" t="s">
        <v>303</v>
      </c>
      <c r="C8" s="175">
        <v>0.0</v>
      </c>
      <c r="D8" s="176" t="s">
        <v>299</v>
      </c>
    </row>
    <row r="9">
      <c r="A9" s="173" t="s">
        <v>308</v>
      </c>
      <c r="B9" s="174" t="s">
        <v>306</v>
      </c>
      <c r="C9" s="175">
        <v>0.0</v>
      </c>
      <c r="D9" s="176" t="s">
        <v>309</v>
      </c>
    </row>
    <row r="10">
      <c r="A10" s="173" t="s">
        <v>310</v>
      </c>
      <c r="B10" s="174" t="s">
        <v>311</v>
      </c>
      <c r="C10" s="175" t="s">
        <v>302</v>
      </c>
      <c r="D10" s="176" t="s">
        <v>312</v>
      </c>
    </row>
    <row r="11">
      <c r="A11" s="173" t="s">
        <v>313</v>
      </c>
      <c r="B11" s="174" t="s">
        <v>309</v>
      </c>
      <c r="C11" s="175">
        <v>0.0</v>
      </c>
      <c r="D11" s="176" t="s">
        <v>302</v>
      </c>
    </row>
    <row r="12">
      <c r="A12" s="173" t="s">
        <v>314</v>
      </c>
      <c r="B12" s="174" t="s">
        <v>303</v>
      </c>
      <c r="C12" s="175" t="s">
        <v>302</v>
      </c>
      <c r="D12" s="176" t="s">
        <v>302</v>
      </c>
    </row>
    <row r="13">
      <c r="A13" s="173" t="s">
        <v>315</v>
      </c>
      <c r="B13" s="174" t="s">
        <v>299</v>
      </c>
      <c r="C13" s="175" t="s">
        <v>302</v>
      </c>
      <c r="D13" s="176">
        <v>0.0</v>
      </c>
    </row>
    <row r="14">
      <c r="A14" s="173" t="s">
        <v>316</v>
      </c>
      <c r="B14" s="174" t="s">
        <v>317</v>
      </c>
      <c r="C14" s="175">
        <v>0.0</v>
      </c>
      <c r="D14" s="176" t="s">
        <v>309</v>
      </c>
    </row>
    <row r="15">
      <c r="A15" s="173" t="s">
        <v>318</v>
      </c>
      <c r="B15" s="174" t="s">
        <v>317</v>
      </c>
      <c r="C15" s="175">
        <v>0.0</v>
      </c>
      <c r="D15" s="176" t="s">
        <v>319</v>
      </c>
    </row>
    <row r="16">
      <c r="A16" s="173" t="s">
        <v>320</v>
      </c>
      <c r="B16" s="174" t="s">
        <v>319</v>
      </c>
      <c r="C16" s="175" t="s">
        <v>309</v>
      </c>
      <c r="D16" s="176" t="s">
        <v>302</v>
      </c>
    </row>
    <row r="17">
      <c r="A17" s="173" t="s">
        <v>321</v>
      </c>
      <c r="B17" s="174" t="s">
        <v>322</v>
      </c>
      <c r="C17" s="175">
        <v>0.0</v>
      </c>
      <c r="D17" s="176" t="s">
        <v>303</v>
      </c>
    </row>
    <row r="18">
      <c r="A18" s="173" t="s">
        <v>323</v>
      </c>
      <c r="B18" s="174" t="s">
        <v>322</v>
      </c>
      <c r="C18" s="175">
        <v>0.0</v>
      </c>
      <c r="D18" s="176" t="s">
        <v>309</v>
      </c>
    </row>
    <row r="19">
      <c r="A19" s="173" t="s">
        <v>324</v>
      </c>
      <c r="B19" s="174" t="s">
        <v>325</v>
      </c>
      <c r="C19" s="175">
        <v>0.0</v>
      </c>
      <c r="D19" s="176" t="s">
        <v>319</v>
      </c>
    </row>
    <row r="20">
      <c r="A20" s="173" t="s">
        <v>326</v>
      </c>
      <c r="B20" s="174" t="s">
        <v>327</v>
      </c>
      <c r="C20" s="175">
        <v>0.0</v>
      </c>
      <c r="D20" s="176" t="s">
        <v>299</v>
      </c>
    </row>
    <row r="21">
      <c r="A21" s="173" t="s">
        <v>328</v>
      </c>
      <c r="B21" s="174" t="s">
        <v>329</v>
      </c>
      <c r="C21" s="175">
        <v>0.0</v>
      </c>
      <c r="D21" s="176" t="s">
        <v>312</v>
      </c>
    </row>
    <row r="22">
      <c r="A22" s="173" t="s">
        <v>330</v>
      </c>
      <c r="B22" s="174" t="s">
        <v>331</v>
      </c>
      <c r="C22" s="175">
        <v>0.0</v>
      </c>
      <c r="D22" s="176" t="s">
        <v>303</v>
      </c>
    </row>
    <row r="23">
      <c r="A23" s="173" t="s">
        <v>332</v>
      </c>
      <c r="B23" s="174" t="s">
        <v>333</v>
      </c>
      <c r="C23" s="175" t="s">
        <v>302</v>
      </c>
      <c r="D23" s="176" t="s">
        <v>306</v>
      </c>
    </row>
    <row r="24">
      <c r="A24" s="173" t="s">
        <v>334</v>
      </c>
      <c r="B24" s="174" t="s">
        <v>335</v>
      </c>
      <c r="C24" s="175">
        <v>0.0</v>
      </c>
      <c r="D24" s="176">
        <v>0.0</v>
      </c>
    </row>
    <row r="25">
      <c r="A25" s="173" t="s">
        <v>336</v>
      </c>
      <c r="B25" s="174" t="s">
        <v>335</v>
      </c>
      <c r="C25" s="175">
        <v>0.0</v>
      </c>
      <c r="D25" s="176" t="s">
        <v>302</v>
      </c>
    </row>
    <row r="26">
      <c r="A26" s="173" t="s">
        <v>337</v>
      </c>
      <c r="B26" s="174" t="s">
        <v>338</v>
      </c>
      <c r="C26" s="175" t="s">
        <v>303</v>
      </c>
      <c r="D26" s="176" t="s">
        <v>302</v>
      </c>
    </row>
    <row r="27">
      <c r="A27" s="173" t="s">
        <v>339</v>
      </c>
      <c r="B27" s="174" t="s">
        <v>317</v>
      </c>
      <c r="C27" s="175">
        <v>0.0</v>
      </c>
      <c r="D27" s="176" t="s">
        <v>312</v>
      </c>
    </row>
    <row r="28">
      <c r="A28" s="173" t="s">
        <v>340</v>
      </c>
      <c r="B28" s="174" t="s">
        <v>335</v>
      </c>
      <c r="C28" s="175">
        <v>0.0</v>
      </c>
      <c r="D28" s="176">
        <v>0.0</v>
      </c>
    </row>
    <row r="29">
      <c r="A29" s="173" t="s">
        <v>341</v>
      </c>
      <c r="B29" s="174" t="s">
        <v>319</v>
      </c>
      <c r="C29" s="175">
        <v>0.0</v>
      </c>
      <c r="D29" s="176" t="s">
        <v>309</v>
      </c>
    </row>
    <row r="30">
      <c r="A30" s="173" t="s">
        <v>342</v>
      </c>
      <c r="B30" s="174" t="s">
        <v>312</v>
      </c>
      <c r="C30" s="175">
        <v>0.0</v>
      </c>
      <c r="D30" s="176" t="s">
        <v>302</v>
      </c>
    </row>
    <row r="31">
      <c r="A31" s="173" t="s">
        <v>343</v>
      </c>
      <c r="B31" s="174" t="s">
        <v>335</v>
      </c>
      <c r="C31" s="175">
        <v>0.0</v>
      </c>
      <c r="D31" s="176">
        <v>0.0</v>
      </c>
    </row>
    <row r="32">
      <c r="A32" s="173" t="s">
        <v>344</v>
      </c>
      <c r="B32" s="174" t="s">
        <v>335</v>
      </c>
      <c r="C32" s="175">
        <v>0.0</v>
      </c>
      <c r="D32" s="176">
        <v>0.0</v>
      </c>
    </row>
    <row r="33">
      <c r="A33" s="173" t="s">
        <v>345</v>
      </c>
      <c r="B33" s="174" t="s">
        <v>299</v>
      </c>
      <c r="C33" s="175">
        <v>0.0</v>
      </c>
      <c r="D33" s="176">
        <v>0.0</v>
      </c>
    </row>
    <row r="34">
      <c r="A34" s="173" t="s">
        <v>346</v>
      </c>
      <c r="B34" s="174" t="s">
        <v>347</v>
      </c>
      <c r="C34" s="175">
        <v>0.0</v>
      </c>
      <c r="D34" s="176" t="s">
        <v>319</v>
      </c>
    </row>
    <row r="35">
      <c r="A35" s="173" t="s">
        <v>348</v>
      </c>
      <c r="B35" s="174" t="s">
        <v>349</v>
      </c>
      <c r="C35" s="175">
        <v>0.0</v>
      </c>
      <c r="D35" s="176" t="s">
        <v>312</v>
      </c>
    </row>
    <row r="36">
      <c r="A36" s="173" t="s">
        <v>350</v>
      </c>
      <c r="B36" s="174" t="s">
        <v>319</v>
      </c>
      <c r="C36" s="175">
        <v>0.0</v>
      </c>
      <c r="D36" s="176" t="s">
        <v>302</v>
      </c>
    </row>
    <row r="37">
      <c r="A37" s="173" t="s">
        <v>351</v>
      </c>
      <c r="B37" s="174" t="s">
        <v>306</v>
      </c>
      <c r="C37" s="175">
        <v>0.0</v>
      </c>
      <c r="D37" s="176" t="s">
        <v>309</v>
      </c>
    </row>
    <row r="38">
      <c r="A38" s="173" t="s">
        <v>352</v>
      </c>
      <c r="B38" s="174" t="s">
        <v>319</v>
      </c>
      <c r="C38" s="175">
        <v>0.0</v>
      </c>
      <c r="D38" s="176" t="s">
        <v>299</v>
      </c>
    </row>
    <row r="39">
      <c r="A39" s="173" t="s">
        <v>353</v>
      </c>
      <c r="B39" s="174" t="s">
        <v>317</v>
      </c>
      <c r="C39" s="175">
        <v>0.0</v>
      </c>
      <c r="D39" s="176" t="s">
        <v>312</v>
      </c>
    </row>
    <row r="40">
      <c r="A40" s="173" t="s">
        <v>354</v>
      </c>
      <c r="B40" s="174" t="s">
        <v>325</v>
      </c>
      <c r="C40" s="175">
        <v>0.0</v>
      </c>
      <c r="D40" s="176" t="s">
        <v>319</v>
      </c>
    </row>
    <row r="41">
      <c r="A41" s="173" t="s">
        <v>355</v>
      </c>
      <c r="B41" s="174" t="s">
        <v>317</v>
      </c>
      <c r="C41" s="175">
        <v>0.0</v>
      </c>
      <c r="D41" s="176" t="s">
        <v>312</v>
      </c>
    </row>
    <row r="42">
      <c r="A42" s="173" t="s">
        <v>356</v>
      </c>
      <c r="B42" s="174" t="s">
        <v>357</v>
      </c>
      <c r="C42" s="175">
        <v>0.0</v>
      </c>
      <c r="D42" s="176" t="s">
        <v>327</v>
      </c>
    </row>
    <row r="43">
      <c r="A43" s="173" t="s">
        <v>358</v>
      </c>
      <c r="B43" s="174" t="s">
        <v>327</v>
      </c>
      <c r="C43" s="175">
        <v>0.0</v>
      </c>
      <c r="D43" s="176" t="s">
        <v>299</v>
      </c>
    </row>
    <row r="44">
      <c r="A44" s="173" t="s">
        <v>359</v>
      </c>
      <c r="B44" s="174" t="s">
        <v>312</v>
      </c>
      <c r="C44" s="175">
        <v>0.0</v>
      </c>
      <c r="D44" s="176" t="s">
        <v>299</v>
      </c>
    </row>
    <row r="45">
      <c r="A45" s="173" t="s">
        <v>360</v>
      </c>
      <c r="B45" s="174" t="s">
        <v>333</v>
      </c>
      <c r="C45" s="175" t="s">
        <v>303</v>
      </c>
      <c r="D45" s="176" t="s">
        <v>309</v>
      </c>
    </row>
    <row r="46">
      <c r="A46" s="173" t="s">
        <v>361</v>
      </c>
      <c r="B46" s="174" t="s">
        <v>335</v>
      </c>
      <c r="C46" s="175" t="s">
        <v>302</v>
      </c>
      <c r="D46" s="176">
        <v>0.0</v>
      </c>
    </row>
    <row r="47">
      <c r="A47" s="173" t="s">
        <v>362</v>
      </c>
      <c r="B47" s="174" t="s">
        <v>363</v>
      </c>
      <c r="C47" s="175">
        <v>0.0</v>
      </c>
      <c r="D47" s="176" t="s">
        <v>312</v>
      </c>
    </row>
    <row r="48">
      <c r="A48" s="173" t="s">
        <v>364</v>
      </c>
      <c r="B48" s="174" t="s">
        <v>335</v>
      </c>
      <c r="C48" s="175">
        <v>0.0</v>
      </c>
      <c r="D48" s="176">
        <v>0.0</v>
      </c>
    </row>
    <row r="49">
      <c r="A49" s="173" t="s">
        <v>365</v>
      </c>
      <c r="B49" s="174" t="s">
        <v>309</v>
      </c>
      <c r="C49" s="175">
        <v>0.0</v>
      </c>
      <c r="D49" s="176" t="s">
        <v>302</v>
      </c>
    </row>
    <row r="50">
      <c r="A50" s="173" t="s">
        <v>366</v>
      </c>
      <c r="B50" s="174" t="s">
        <v>311</v>
      </c>
      <c r="C50" s="175">
        <v>0.0</v>
      </c>
      <c r="D50" s="176" t="s">
        <v>312</v>
      </c>
    </row>
    <row r="51">
      <c r="A51" s="177" t="s">
        <v>367</v>
      </c>
      <c r="B51" s="178" t="s">
        <v>303</v>
      </c>
      <c r="C51" s="178" t="s">
        <v>309</v>
      </c>
      <c r="D51" s="178" t="s">
        <v>302</v>
      </c>
    </row>
    <row r="52">
      <c r="A52" s="173" t="s">
        <v>368</v>
      </c>
      <c r="B52" s="174" t="s">
        <v>335</v>
      </c>
      <c r="C52" s="175">
        <v>0.0</v>
      </c>
      <c r="D52" s="176">
        <v>0.0</v>
      </c>
    </row>
    <row r="53">
      <c r="A53" s="173" t="s">
        <v>369</v>
      </c>
      <c r="B53" s="174" t="s">
        <v>325</v>
      </c>
      <c r="C53" s="175">
        <v>0.0</v>
      </c>
      <c r="D53" s="176" t="s">
        <v>319</v>
      </c>
    </row>
    <row r="54">
      <c r="A54" s="173" t="s">
        <v>370</v>
      </c>
      <c r="B54" s="174" t="s">
        <v>312</v>
      </c>
      <c r="C54" s="175">
        <v>0.0</v>
      </c>
      <c r="D54" s="176" t="s">
        <v>299</v>
      </c>
    </row>
    <row r="55">
      <c r="A55" s="173" t="s">
        <v>371</v>
      </c>
      <c r="B55" s="174" t="s">
        <v>317</v>
      </c>
      <c r="C55" s="175">
        <v>0.0</v>
      </c>
      <c r="D55" s="176" t="s">
        <v>319</v>
      </c>
    </row>
    <row r="56">
      <c r="A56" s="173" t="s">
        <v>372</v>
      </c>
      <c r="B56" s="174" t="s">
        <v>331</v>
      </c>
      <c r="C56" s="175">
        <v>0.0</v>
      </c>
      <c r="D56" s="176" t="s">
        <v>312</v>
      </c>
    </row>
    <row r="57">
      <c r="A57" s="173" t="s">
        <v>373</v>
      </c>
      <c r="B57" s="174" t="s">
        <v>349</v>
      </c>
      <c r="C57" s="175">
        <v>0.0</v>
      </c>
      <c r="D57" s="176" t="s">
        <v>338</v>
      </c>
    </row>
    <row r="58">
      <c r="A58" s="173" t="s">
        <v>374</v>
      </c>
      <c r="B58" s="174" t="s">
        <v>312</v>
      </c>
      <c r="C58" s="175">
        <v>0.0</v>
      </c>
      <c r="D58" s="176" t="s">
        <v>302</v>
      </c>
    </row>
    <row r="59">
      <c r="A59" s="173" t="s">
        <v>375</v>
      </c>
      <c r="B59" s="174" t="s">
        <v>335</v>
      </c>
      <c r="C59" s="175">
        <v>0.0</v>
      </c>
      <c r="D59" s="176">
        <v>0.0</v>
      </c>
    </row>
    <row r="60">
      <c r="A60" s="173" t="s">
        <v>376</v>
      </c>
      <c r="B60" s="174" t="s">
        <v>327</v>
      </c>
      <c r="C60" s="175">
        <v>0.0</v>
      </c>
      <c r="D60" s="176" t="s">
        <v>309</v>
      </c>
    </row>
    <row r="61">
      <c r="A61" s="173" t="s">
        <v>377</v>
      </c>
      <c r="B61" s="174" t="s">
        <v>329</v>
      </c>
      <c r="C61" s="175">
        <v>0.0</v>
      </c>
      <c r="D61" s="176" t="s">
        <v>327</v>
      </c>
    </row>
    <row r="62">
      <c r="A62" s="173" t="s">
        <v>378</v>
      </c>
      <c r="B62" s="174" t="s">
        <v>363</v>
      </c>
      <c r="C62" s="175">
        <v>0.0</v>
      </c>
      <c r="D62" s="176" t="s">
        <v>303</v>
      </c>
    </row>
    <row r="63">
      <c r="A63" s="173" t="s">
        <v>379</v>
      </c>
      <c r="B63" s="174" t="s">
        <v>301</v>
      </c>
      <c r="C63" s="175">
        <v>0.0</v>
      </c>
      <c r="D63" s="176" t="s">
        <v>312</v>
      </c>
    </row>
    <row r="64">
      <c r="A64" s="179" t="s">
        <v>380</v>
      </c>
      <c r="B64" s="180" t="s">
        <v>381</v>
      </c>
      <c r="C64" s="181" t="s">
        <v>311</v>
      </c>
      <c r="D64" s="182" t="s">
        <v>382</v>
      </c>
    </row>
    <row r="65">
      <c r="A65" s="172" t="s">
        <v>383</v>
      </c>
      <c r="B65" s="101"/>
      <c r="C65" s="101"/>
      <c r="D65" s="39"/>
    </row>
    <row r="66">
      <c r="A66" s="183" t="s">
        <v>384</v>
      </c>
      <c r="B66" s="184" t="s">
        <v>299</v>
      </c>
      <c r="C66" s="185">
        <v>0.0</v>
      </c>
      <c r="D66" s="186" t="s">
        <v>302</v>
      </c>
    </row>
    <row r="67">
      <c r="A67" s="173" t="s">
        <v>385</v>
      </c>
      <c r="B67" s="174" t="s">
        <v>335</v>
      </c>
      <c r="C67" s="175">
        <v>0.0</v>
      </c>
      <c r="D67" s="176">
        <v>0.0</v>
      </c>
    </row>
    <row r="68">
      <c r="A68" s="173" t="s">
        <v>386</v>
      </c>
      <c r="B68" s="174" t="s">
        <v>335</v>
      </c>
      <c r="C68" s="175" t="s">
        <v>302</v>
      </c>
      <c r="D68" s="176">
        <v>0.0</v>
      </c>
    </row>
    <row r="69">
      <c r="A69" s="173" t="s">
        <v>387</v>
      </c>
      <c r="B69" s="174" t="s">
        <v>335</v>
      </c>
      <c r="C69" s="175">
        <v>0.0</v>
      </c>
      <c r="D69" s="176" t="s">
        <v>302</v>
      </c>
    </row>
    <row r="70">
      <c r="A70" s="173" t="s">
        <v>388</v>
      </c>
      <c r="B70" s="174" t="s">
        <v>312</v>
      </c>
      <c r="C70" s="175">
        <v>0.0</v>
      </c>
      <c r="D70" s="187" t="s">
        <v>299</v>
      </c>
    </row>
    <row r="71">
      <c r="A71" s="188" t="s">
        <v>389</v>
      </c>
      <c r="B71" s="174" t="s">
        <v>390</v>
      </c>
      <c r="C71" s="175">
        <v>0.0</v>
      </c>
      <c r="D71" s="176" t="s">
        <v>309</v>
      </c>
    </row>
    <row r="72">
      <c r="A72" s="173" t="s">
        <v>391</v>
      </c>
      <c r="B72" s="174" t="s">
        <v>306</v>
      </c>
      <c r="C72" s="175">
        <v>0.0</v>
      </c>
      <c r="D72" s="176" t="s">
        <v>299</v>
      </c>
    </row>
    <row r="73">
      <c r="A73" s="173" t="s">
        <v>392</v>
      </c>
      <c r="B73" s="174" t="s">
        <v>303</v>
      </c>
      <c r="C73" s="175">
        <v>0.0</v>
      </c>
      <c r="D73" s="176" t="s">
        <v>302</v>
      </c>
    </row>
    <row r="74">
      <c r="A74" s="173" t="s">
        <v>393</v>
      </c>
      <c r="B74" s="174" t="s">
        <v>309</v>
      </c>
      <c r="C74" s="175">
        <v>0.0</v>
      </c>
      <c r="D74" s="176" t="s">
        <v>302</v>
      </c>
    </row>
    <row r="75">
      <c r="A75" s="173" t="s">
        <v>394</v>
      </c>
      <c r="B75" s="174" t="s">
        <v>303</v>
      </c>
      <c r="C75" s="175">
        <v>0.0</v>
      </c>
      <c r="D75" s="176" t="s">
        <v>302</v>
      </c>
    </row>
    <row r="76">
      <c r="A76" s="173" t="s">
        <v>395</v>
      </c>
      <c r="B76" s="174" t="s">
        <v>299</v>
      </c>
      <c r="C76" s="175" t="s">
        <v>302</v>
      </c>
      <c r="D76" s="176" t="s">
        <v>302</v>
      </c>
    </row>
    <row r="77">
      <c r="A77" s="188" t="s">
        <v>396</v>
      </c>
      <c r="B77" s="174" t="s">
        <v>322</v>
      </c>
      <c r="C77" s="175" t="s">
        <v>319</v>
      </c>
      <c r="D77" s="176" t="s">
        <v>302</v>
      </c>
    </row>
    <row r="78">
      <c r="A78" s="188" t="s">
        <v>397</v>
      </c>
      <c r="B78" s="174" t="s">
        <v>312</v>
      </c>
      <c r="C78" s="175">
        <v>0.0</v>
      </c>
      <c r="D78" s="176" t="s">
        <v>309</v>
      </c>
    </row>
    <row r="79">
      <c r="A79" s="188" t="s">
        <v>398</v>
      </c>
      <c r="B79" s="174" t="s">
        <v>303</v>
      </c>
      <c r="C79" s="175">
        <v>0.0</v>
      </c>
      <c r="D79" s="176" t="s">
        <v>302</v>
      </c>
    </row>
    <row r="80">
      <c r="A80" s="179" t="s">
        <v>380</v>
      </c>
      <c r="B80" s="180" t="s">
        <v>399</v>
      </c>
      <c r="C80" s="181" t="s">
        <v>319</v>
      </c>
      <c r="D80" s="182" t="s">
        <v>331</v>
      </c>
    </row>
    <row r="81" ht="45.0" customHeight="1">
      <c r="A81" s="189" t="s">
        <v>400</v>
      </c>
      <c r="B81" s="190"/>
      <c r="C81" s="190"/>
      <c r="D81" s="190"/>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91" t="s">
        <v>401</v>
      </c>
      <c r="B1" s="101"/>
      <c r="C1" s="101"/>
      <c r="D1" s="39"/>
      <c r="E1" s="91"/>
    </row>
    <row r="2">
      <c r="A2" s="192" t="s">
        <v>402</v>
      </c>
      <c r="B2" s="101"/>
      <c r="C2" s="101"/>
      <c r="D2" s="39"/>
      <c r="E2" s="91"/>
    </row>
    <row r="3" ht="29.25" customHeight="1">
      <c r="A3" s="193" t="s">
        <v>403</v>
      </c>
      <c r="B3" s="194" t="s">
        <v>404</v>
      </c>
      <c r="C3" s="195" t="s">
        <v>405</v>
      </c>
      <c r="D3" s="196" t="s">
        <v>406</v>
      </c>
      <c r="E3" s="197"/>
    </row>
    <row r="4">
      <c r="A4" s="198" t="s">
        <v>407</v>
      </c>
      <c r="B4" s="199"/>
      <c r="C4" s="199"/>
      <c r="D4" s="200"/>
      <c r="E4" s="197"/>
    </row>
    <row r="5">
      <c r="A5" s="201" t="s">
        <v>408</v>
      </c>
      <c r="B5" s="202" t="s">
        <v>81</v>
      </c>
      <c r="C5" s="203" t="s">
        <v>302</v>
      </c>
      <c r="D5" s="203" t="s">
        <v>302</v>
      </c>
      <c r="E5" s="91"/>
    </row>
    <row r="6">
      <c r="A6" s="201" t="s">
        <v>409</v>
      </c>
      <c r="B6" s="202" t="s">
        <v>410</v>
      </c>
      <c r="C6" s="203" t="s">
        <v>299</v>
      </c>
      <c r="D6" s="203" t="s">
        <v>299</v>
      </c>
      <c r="E6" s="91"/>
    </row>
    <row r="7">
      <c r="A7" s="201" t="s">
        <v>411</v>
      </c>
      <c r="B7" s="202" t="s">
        <v>84</v>
      </c>
      <c r="C7" s="203" t="s">
        <v>302</v>
      </c>
      <c r="D7" s="203" t="s">
        <v>302</v>
      </c>
      <c r="E7" s="91"/>
    </row>
    <row r="8">
      <c r="A8" s="201" t="s">
        <v>412</v>
      </c>
      <c r="B8" s="202" t="s">
        <v>88</v>
      </c>
      <c r="C8" s="203" t="s">
        <v>302</v>
      </c>
      <c r="D8" s="203" t="s">
        <v>302</v>
      </c>
      <c r="E8" s="91"/>
    </row>
    <row r="9">
      <c r="A9" s="201" t="s">
        <v>413</v>
      </c>
      <c r="B9" s="202" t="s">
        <v>88</v>
      </c>
      <c r="C9" s="203" t="s">
        <v>302</v>
      </c>
      <c r="D9" s="203" t="s">
        <v>302</v>
      </c>
      <c r="E9" s="91"/>
    </row>
    <row r="10">
      <c r="A10" s="201" t="s">
        <v>414</v>
      </c>
      <c r="B10" s="202" t="s">
        <v>415</v>
      </c>
      <c r="C10" s="203" t="s">
        <v>302</v>
      </c>
      <c r="D10" s="203" t="s">
        <v>302</v>
      </c>
      <c r="E10" s="91"/>
    </row>
    <row r="11">
      <c r="A11" s="201" t="s">
        <v>416</v>
      </c>
      <c r="B11" s="202" t="s">
        <v>417</v>
      </c>
      <c r="C11" s="203" t="s">
        <v>302</v>
      </c>
      <c r="D11" s="203" t="s">
        <v>302</v>
      </c>
      <c r="E11" s="91"/>
    </row>
    <row r="12">
      <c r="A12" s="201" t="s">
        <v>418</v>
      </c>
      <c r="B12" s="202" t="s">
        <v>94</v>
      </c>
      <c r="C12" s="203" t="s">
        <v>302</v>
      </c>
      <c r="D12" s="203" t="s">
        <v>302</v>
      </c>
      <c r="E12" s="91"/>
    </row>
    <row r="13">
      <c r="A13" s="201" t="s">
        <v>419</v>
      </c>
      <c r="B13" s="202" t="s">
        <v>94</v>
      </c>
      <c r="C13" s="203" t="s">
        <v>302</v>
      </c>
      <c r="D13" s="203" t="s">
        <v>302</v>
      </c>
      <c r="E13" s="91"/>
    </row>
    <row r="14">
      <c r="A14" s="201" t="s">
        <v>420</v>
      </c>
      <c r="B14" s="202" t="s">
        <v>94</v>
      </c>
      <c r="C14" s="203" t="s">
        <v>302</v>
      </c>
      <c r="D14" s="203" t="s">
        <v>302</v>
      </c>
      <c r="E14" s="91"/>
    </row>
    <row r="15">
      <c r="A15" s="201" t="s">
        <v>421</v>
      </c>
      <c r="B15" s="202" t="s">
        <v>422</v>
      </c>
      <c r="C15" s="203" t="s">
        <v>302</v>
      </c>
      <c r="D15" s="203" t="s">
        <v>302</v>
      </c>
      <c r="E15" s="91"/>
    </row>
    <row r="16">
      <c r="A16" s="201" t="s">
        <v>423</v>
      </c>
      <c r="B16" s="202" t="s">
        <v>422</v>
      </c>
      <c r="C16" s="203" t="s">
        <v>302</v>
      </c>
      <c r="D16" s="203" t="s">
        <v>302</v>
      </c>
      <c r="E16" s="91"/>
    </row>
    <row r="17">
      <c r="A17" s="201" t="s">
        <v>424</v>
      </c>
      <c r="B17" s="202" t="s">
        <v>422</v>
      </c>
      <c r="C17" s="203" t="s">
        <v>302</v>
      </c>
      <c r="D17" s="203" t="s">
        <v>302</v>
      </c>
      <c r="E17" s="91"/>
    </row>
    <row r="18">
      <c r="A18" s="201" t="s">
        <v>425</v>
      </c>
      <c r="B18" s="202" t="s">
        <v>422</v>
      </c>
      <c r="C18" s="203" t="s">
        <v>302</v>
      </c>
      <c r="D18" s="203" t="s">
        <v>302</v>
      </c>
      <c r="E18" s="91"/>
    </row>
    <row r="19">
      <c r="A19" s="201" t="s">
        <v>426</v>
      </c>
      <c r="B19" s="202" t="s">
        <v>106</v>
      </c>
      <c r="C19" s="203" t="s">
        <v>302</v>
      </c>
      <c r="D19" s="203" t="s">
        <v>302</v>
      </c>
      <c r="E19" s="91"/>
    </row>
    <row r="20">
      <c r="A20" s="201" t="s">
        <v>427</v>
      </c>
      <c r="B20" s="202" t="s">
        <v>106</v>
      </c>
      <c r="C20" s="203" t="s">
        <v>302</v>
      </c>
      <c r="D20" s="203" t="s">
        <v>302</v>
      </c>
      <c r="E20" s="91"/>
    </row>
    <row r="21">
      <c r="A21" s="201" t="s">
        <v>428</v>
      </c>
      <c r="B21" s="202" t="s">
        <v>106</v>
      </c>
      <c r="C21" s="203" t="s">
        <v>302</v>
      </c>
      <c r="D21" s="203" t="s">
        <v>302</v>
      </c>
      <c r="E21" s="91"/>
    </row>
    <row r="22">
      <c r="A22" s="201" t="s">
        <v>429</v>
      </c>
      <c r="B22" s="202" t="s">
        <v>106</v>
      </c>
      <c r="C22" s="203" t="s">
        <v>302</v>
      </c>
      <c r="D22" s="203" t="s">
        <v>302</v>
      </c>
      <c r="E22" s="91"/>
    </row>
    <row r="23">
      <c r="A23" s="201" t="s">
        <v>430</v>
      </c>
      <c r="B23" s="202" t="s">
        <v>431</v>
      </c>
      <c r="C23" s="203" t="s">
        <v>302</v>
      </c>
      <c r="D23" s="203" t="s">
        <v>302</v>
      </c>
      <c r="E23" s="91"/>
    </row>
    <row r="24">
      <c r="A24" s="204"/>
      <c r="B24" s="205" t="s">
        <v>432</v>
      </c>
      <c r="C24" s="206" t="s">
        <v>338</v>
      </c>
      <c r="D24" s="206" t="s">
        <v>338</v>
      </c>
      <c r="E24" s="91"/>
    </row>
    <row r="25">
      <c r="A25" s="207" t="s">
        <v>433</v>
      </c>
      <c r="B25" s="101"/>
      <c r="C25" s="101"/>
      <c r="D25" s="39"/>
      <c r="E25" s="91"/>
    </row>
    <row r="26">
      <c r="A26" s="201" t="s">
        <v>434</v>
      </c>
      <c r="B26" s="202" t="s">
        <v>79</v>
      </c>
      <c r="C26" s="203" t="s">
        <v>302</v>
      </c>
      <c r="D26" s="203" t="s">
        <v>302</v>
      </c>
      <c r="E26" s="91"/>
    </row>
    <row r="27">
      <c r="A27" s="201" t="s">
        <v>435</v>
      </c>
      <c r="B27" s="202" t="s">
        <v>436</v>
      </c>
      <c r="C27" s="203" t="s">
        <v>302</v>
      </c>
      <c r="D27" s="203" t="s">
        <v>302</v>
      </c>
      <c r="E27" s="91"/>
    </row>
    <row r="28">
      <c r="A28" s="201" t="s">
        <v>437</v>
      </c>
      <c r="B28" s="202" t="s">
        <v>410</v>
      </c>
      <c r="C28" s="203" t="s">
        <v>302</v>
      </c>
      <c r="D28" s="203" t="s">
        <v>302</v>
      </c>
      <c r="E28" s="91"/>
    </row>
    <row r="29">
      <c r="A29" s="201" t="s">
        <v>438</v>
      </c>
      <c r="B29" s="202" t="s">
        <v>82</v>
      </c>
      <c r="C29" s="203" t="s">
        <v>302</v>
      </c>
      <c r="D29" s="203" t="s">
        <v>302</v>
      </c>
      <c r="E29" s="91"/>
    </row>
    <row r="30">
      <c r="A30" s="201" t="s">
        <v>439</v>
      </c>
      <c r="B30" s="202" t="s">
        <v>84</v>
      </c>
      <c r="C30" s="203" t="s">
        <v>302</v>
      </c>
      <c r="D30" s="203" t="s">
        <v>302</v>
      </c>
      <c r="E30" s="91"/>
    </row>
    <row r="31">
      <c r="A31" s="201" t="s">
        <v>440</v>
      </c>
      <c r="B31" s="202" t="s">
        <v>84</v>
      </c>
      <c r="C31" s="203" t="s">
        <v>302</v>
      </c>
      <c r="D31" s="203" t="s">
        <v>302</v>
      </c>
      <c r="E31" s="91"/>
    </row>
    <row r="32">
      <c r="A32" s="201" t="s">
        <v>441</v>
      </c>
      <c r="B32" s="202" t="s">
        <v>85</v>
      </c>
      <c r="C32" s="203" t="s">
        <v>302</v>
      </c>
      <c r="D32" s="203" t="s">
        <v>302</v>
      </c>
      <c r="E32" s="91"/>
    </row>
    <row r="33">
      <c r="A33" s="201" t="s">
        <v>442</v>
      </c>
      <c r="B33" s="202" t="s">
        <v>85</v>
      </c>
      <c r="C33" s="203" t="s">
        <v>302</v>
      </c>
      <c r="D33" s="203" t="s">
        <v>302</v>
      </c>
      <c r="E33" s="91"/>
    </row>
    <row r="34">
      <c r="A34" s="201" t="s">
        <v>443</v>
      </c>
      <c r="B34" s="202" t="s">
        <v>85</v>
      </c>
      <c r="C34" s="203" t="s">
        <v>302</v>
      </c>
      <c r="D34" s="203" t="s">
        <v>302</v>
      </c>
      <c r="E34" s="91"/>
    </row>
    <row r="35">
      <c r="A35" s="201" t="s">
        <v>444</v>
      </c>
      <c r="B35" s="202" t="s">
        <v>85</v>
      </c>
      <c r="C35" s="203" t="s">
        <v>302</v>
      </c>
      <c r="D35" s="203" t="s">
        <v>302</v>
      </c>
      <c r="E35" s="91"/>
    </row>
    <row r="36">
      <c r="A36" s="201" t="s">
        <v>445</v>
      </c>
      <c r="B36" s="202" t="s">
        <v>86</v>
      </c>
      <c r="C36" s="203" t="s">
        <v>302</v>
      </c>
      <c r="D36" s="203" t="s">
        <v>302</v>
      </c>
      <c r="E36" s="91"/>
    </row>
    <row r="37">
      <c r="A37" s="201" t="s">
        <v>446</v>
      </c>
      <c r="B37" s="202" t="s">
        <v>86</v>
      </c>
      <c r="C37" s="203" t="s">
        <v>302</v>
      </c>
      <c r="D37" s="203" t="s">
        <v>302</v>
      </c>
      <c r="E37" s="91"/>
    </row>
    <row r="38">
      <c r="A38" s="201" t="s">
        <v>447</v>
      </c>
      <c r="B38" s="202" t="s">
        <v>94</v>
      </c>
      <c r="C38" s="203" t="s">
        <v>302</v>
      </c>
      <c r="D38" s="203" t="s">
        <v>302</v>
      </c>
      <c r="E38" s="91"/>
    </row>
    <row r="39">
      <c r="A39" s="201" t="s">
        <v>418</v>
      </c>
      <c r="B39" s="202" t="s">
        <v>94</v>
      </c>
      <c r="C39" s="203" t="s">
        <v>302</v>
      </c>
      <c r="D39" s="203" t="s">
        <v>302</v>
      </c>
      <c r="E39" s="91"/>
    </row>
    <row r="40">
      <c r="A40" s="201" t="s">
        <v>419</v>
      </c>
      <c r="B40" s="202" t="s">
        <v>94</v>
      </c>
      <c r="C40" s="203" t="s">
        <v>302</v>
      </c>
      <c r="D40" s="203" t="s">
        <v>302</v>
      </c>
      <c r="E40" s="91"/>
    </row>
    <row r="41">
      <c r="A41" s="201" t="s">
        <v>448</v>
      </c>
      <c r="B41" s="202" t="s">
        <v>449</v>
      </c>
      <c r="C41" s="203" t="s">
        <v>302</v>
      </c>
      <c r="D41" s="203" t="s">
        <v>302</v>
      </c>
      <c r="E41" s="91"/>
    </row>
    <row r="42">
      <c r="A42" s="201" t="s">
        <v>450</v>
      </c>
      <c r="B42" s="202" t="s">
        <v>104</v>
      </c>
      <c r="C42" s="203" t="s">
        <v>302</v>
      </c>
      <c r="D42" s="203" t="s">
        <v>302</v>
      </c>
      <c r="E42" s="91"/>
    </row>
    <row r="43">
      <c r="A43" s="201" t="s">
        <v>451</v>
      </c>
      <c r="B43" s="202" t="s">
        <v>104</v>
      </c>
      <c r="C43" s="203" t="s">
        <v>302</v>
      </c>
      <c r="D43" s="203" t="s">
        <v>302</v>
      </c>
      <c r="E43" s="91"/>
    </row>
    <row r="44">
      <c r="A44" s="201" t="s">
        <v>452</v>
      </c>
      <c r="B44" s="202" t="s">
        <v>104</v>
      </c>
      <c r="C44" s="203" t="s">
        <v>302</v>
      </c>
      <c r="D44" s="203" t="s">
        <v>302</v>
      </c>
      <c r="E44" s="91"/>
    </row>
    <row r="45">
      <c r="A45" s="201" t="s">
        <v>453</v>
      </c>
      <c r="B45" s="202" t="s">
        <v>104</v>
      </c>
      <c r="C45" s="203" t="s">
        <v>302</v>
      </c>
      <c r="D45" s="203" t="s">
        <v>302</v>
      </c>
      <c r="E45" s="91"/>
    </row>
    <row r="46">
      <c r="A46" s="201" t="s">
        <v>454</v>
      </c>
      <c r="B46" s="202" t="s">
        <v>422</v>
      </c>
      <c r="C46" s="203" t="s">
        <v>302</v>
      </c>
      <c r="D46" s="203" t="s">
        <v>302</v>
      </c>
      <c r="E46" s="91"/>
    </row>
    <row r="47">
      <c r="A47" s="201" t="s">
        <v>455</v>
      </c>
      <c r="B47" s="202" t="s">
        <v>422</v>
      </c>
      <c r="C47" s="203" t="s">
        <v>302</v>
      </c>
      <c r="D47" s="203" t="s">
        <v>302</v>
      </c>
      <c r="E47" s="91"/>
    </row>
    <row r="48">
      <c r="A48" s="201" t="s">
        <v>456</v>
      </c>
      <c r="B48" s="202" t="s">
        <v>106</v>
      </c>
      <c r="C48" s="203" t="s">
        <v>302</v>
      </c>
      <c r="D48" s="203" t="s">
        <v>302</v>
      </c>
      <c r="E48" s="91"/>
    </row>
    <row r="49">
      <c r="A49" s="201" t="s">
        <v>457</v>
      </c>
      <c r="B49" s="202" t="s">
        <v>106</v>
      </c>
      <c r="C49" s="203" t="s">
        <v>302</v>
      </c>
      <c r="D49" s="203" t="s">
        <v>302</v>
      </c>
      <c r="E49" s="91"/>
    </row>
    <row r="50">
      <c r="A50" s="201" t="s">
        <v>458</v>
      </c>
      <c r="B50" s="202" t="s">
        <v>106</v>
      </c>
      <c r="C50" s="203" t="s">
        <v>302</v>
      </c>
      <c r="D50" s="203" t="s">
        <v>302</v>
      </c>
      <c r="E50" s="91"/>
    </row>
    <row r="51">
      <c r="A51" s="201" t="s">
        <v>459</v>
      </c>
      <c r="B51" s="202" t="s">
        <v>106</v>
      </c>
      <c r="C51" s="203" t="s">
        <v>302</v>
      </c>
      <c r="D51" s="203" t="s">
        <v>302</v>
      </c>
      <c r="E51" s="91"/>
    </row>
    <row r="52">
      <c r="A52" s="201" t="s">
        <v>460</v>
      </c>
      <c r="B52" s="202" t="s">
        <v>106</v>
      </c>
      <c r="C52" s="203" t="s">
        <v>302</v>
      </c>
      <c r="D52" s="203" t="s">
        <v>302</v>
      </c>
      <c r="E52" s="91"/>
    </row>
    <row r="53">
      <c r="A53" s="201" t="s">
        <v>461</v>
      </c>
      <c r="B53" s="202" t="s">
        <v>106</v>
      </c>
      <c r="C53" s="203" t="s">
        <v>302</v>
      </c>
      <c r="D53" s="203" t="s">
        <v>302</v>
      </c>
      <c r="E53" s="91"/>
    </row>
    <row r="54">
      <c r="A54" s="201" t="s">
        <v>462</v>
      </c>
      <c r="B54" s="202" t="s">
        <v>106</v>
      </c>
      <c r="C54" s="203" t="s">
        <v>302</v>
      </c>
      <c r="D54" s="203" t="s">
        <v>302</v>
      </c>
      <c r="E54" s="91"/>
    </row>
    <row r="55">
      <c r="A55" s="201" t="s">
        <v>463</v>
      </c>
      <c r="B55" s="202" t="s">
        <v>106</v>
      </c>
      <c r="C55" s="203" t="s">
        <v>302</v>
      </c>
      <c r="D55" s="203" t="s">
        <v>302</v>
      </c>
      <c r="E55" s="91"/>
    </row>
    <row r="56">
      <c r="A56" s="201" t="s">
        <v>464</v>
      </c>
      <c r="B56" s="202" t="s">
        <v>106</v>
      </c>
      <c r="C56" s="203" t="s">
        <v>302</v>
      </c>
      <c r="D56" s="203" t="s">
        <v>302</v>
      </c>
      <c r="E56" s="91"/>
    </row>
    <row r="57">
      <c r="A57" s="201" t="s">
        <v>465</v>
      </c>
      <c r="B57" s="202" t="s">
        <v>466</v>
      </c>
      <c r="C57" s="203" t="s">
        <v>302</v>
      </c>
      <c r="D57" s="203" t="s">
        <v>302</v>
      </c>
      <c r="E57" s="91"/>
    </row>
    <row r="58">
      <c r="A58" s="201" t="s">
        <v>467</v>
      </c>
      <c r="B58" s="202" t="s">
        <v>109</v>
      </c>
      <c r="C58" s="203" t="s">
        <v>302</v>
      </c>
      <c r="D58" s="203" t="s">
        <v>302</v>
      </c>
      <c r="E58" s="91"/>
    </row>
    <row r="59">
      <c r="A59" s="201" t="s">
        <v>468</v>
      </c>
      <c r="B59" s="202" t="s">
        <v>117</v>
      </c>
      <c r="C59" s="203" t="s">
        <v>302</v>
      </c>
      <c r="D59" s="203" t="s">
        <v>302</v>
      </c>
      <c r="E59" s="91"/>
    </row>
    <row r="60">
      <c r="A60" s="208"/>
      <c r="B60" s="205" t="s">
        <v>432</v>
      </c>
      <c r="C60" s="206" t="s">
        <v>306</v>
      </c>
      <c r="D60" s="206" t="s">
        <v>306</v>
      </c>
      <c r="E60" s="91"/>
    </row>
    <row r="61">
      <c r="A61" s="209" t="s">
        <v>469</v>
      </c>
      <c r="B61" s="101"/>
      <c r="C61" s="101"/>
      <c r="D61" s="39"/>
      <c r="E61" s="91"/>
    </row>
  </sheetData>
  <mergeCells count="5">
    <mergeCell ref="A1:D1"/>
    <mergeCell ref="A2:D2"/>
    <mergeCell ref="A4:D4"/>
    <mergeCell ref="A25:D25"/>
    <mergeCell ref="A61:D6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0">
        <f>IFERROR(__xludf.DUMMYFUNCTION("filter( Trends!A1:AO1000, row(Trends!A1:A1000) &gt; counta(Trends!A1:A1000) - 199 )"),43900.0)</f>
        <v>43900</v>
      </c>
      <c r="B1" s="153">
        <f>IFERROR(__xludf.DUMMYFUNCTION("""COMPUTED_VALUE"""),2.0)</f>
        <v>2</v>
      </c>
      <c r="C1" s="153">
        <f>IFERROR(__xludf.DUMMYFUNCTION("""COMPUTED_VALUE"""),1.0)</f>
        <v>1</v>
      </c>
      <c r="D1" s="153">
        <f>IFERROR(__xludf.DUMMYFUNCTION("""COMPUTED_VALUE"""),6.0)</f>
        <v>6</v>
      </c>
      <c r="E1" s="153">
        <f>IFERROR(__xludf.DUMMYFUNCTION("""COMPUTED_VALUE"""),25.0)</f>
        <v>25</v>
      </c>
      <c r="F1" s="153">
        <f>IFERROR(__xludf.DUMMYFUNCTION("""COMPUTED_VALUE"""),110.0)</f>
        <v>110</v>
      </c>
      <c r="G1" s="153">
        <f>IFERROR(__xludf.DUMMYFUNCTION("""COMPUTED_VALUE"""),27.0)</f>
        <v>27</v>
      </c>
      <c r="H1" s="153">
        <f>IFERROR(__xludf.DUMMYFUNCTION("""COMPUTED_VALUE"""),116.0)</f>
        <v>116</v>
      </c>
      <c r="I1" s="153">
        <f>IFERROR(__xludf.DUMMYFUNCTION("""COMPUTED_VALUE"""),1.0)</f>
        <v>1</v>
      </c>
      <c r="J1" s="153">
        <f>IFERROR(__xludf.DUMMYFUNCTION("""COMPUTED_VALUE"""),1.0)</f>
        <v>1</v>
      </c>
      <c r="K1" s="153">
        <f>IFERROR(__xludf.DUMMYFUNCTION("""COMPUTED_VALUE"""),5.0)</f>
        <v>5</v>
      </c>
      <c r="L1" s="153">
        <f>IFERROR(__xludf.DUMMYFUNCTION("""COMPUTED_VALUE"""),23.0)</f>
        <v>23</v>
      </c>
      <c r="M1" s="153">
        <f>IFERROR(__xludf.DUMMYFUNCTION("""COMPUTED_VALUE"""),105.0)</f>
        <v>105</v>
      </c>
      <c r="N1" s="153">
        <f>IFERROR(__xludf.DUMMYFUNCTION("""COMPUTED_VALUE"""),110.0)</f>
        <v>110</v>
      </c>
      <c r="O1" s="153">
        <f>IFERROR(__xludf.DUMMYFUNCTION("""COMPUTED_VALUE"""),0.0)</f>
        <v>0</v>
      </c>
      <c r="P1" s="153">
        <f>IFERROR(__xludf.DUMMYFUNCTION("""COMPUTED_VALUE"""),3.0)</f>
        <v>3</v>
      </c>
      <c r="Q1" s="153">
        <f>IFERROR(__xludf.DUMMYFUNCTION("""COMPUTED_VALUE"""),0.0)</f>
        <v>0</v>
      </c>
      <c r="R1" s="153">
        <f>IFERROR(__xludf.DUMMYFUNCTION("""COMPUTED_VALUE"""),0.0)</f>
        <v>0</v>
      </c>
      <c r="S1" s="153">
        <f>IFERROR(__xludf.DUMMYFUNCTION("""COMPUTED_VALUE"""),0.0)</f>
        <v>0</v>
      </c>
      <c r="T1" s="153">
        <f>IFERROR(__xludf.DUMMYFUNCTION("""COMPUTED_VALUE"""),0.0)</f>
        <v>0</v>
      </c>
      <c r="U1" s="153">
        <f>IFERROR(__xludf.DUMMYFUNCTION("""COMPUTED_VALUE"""),3.0)</f>
        <v>3</v>
      </c>
      <c r="V1" s="153">
        <f>IFERROR(__xludf.DUMMYFUNCTION("""COMPUTED_VALUE"""),3.0)</f>
        <v>3</v>
      </c>
      <c r="W1" s="153">
        <f>IFERROR(__xludf.DUMMYFUNCTION("""COMPUTED_VALUE"""),2.0)</f>
        <v>2</v>
      </c>
      <c r="X1" s="153">
        <f>IFERROR(__xludf.DUMMYFUNCTION("""COMPUTED_VALUE"""),1.0)</f>
        <v>1</v>
      </c>
      <c r="Y1" s="153">
        <f>IFERROR(__xludf.DUMMYFUNCTION("""COMPUTED_VALUE"""),0.0)</f>
        <v>0</v>
      </c>
      <c r="Z1" s="153">
        <f>IFERROR(__xludf.DUMMYFUNCTION("""COMPUTED_VALUE"""),0.0)</f>
        <v>0</v>
      </c>
    </row>
    <row r="2">
      <c r="A2" s="210">
        <f>IFERROR(__xludf.DUMMYFUNCTION("""COMPUTED_VALUE"""),43901.0)</f>
        <v>43901</v>
      </c>
      <c r="B2" s="153">
        <f>IFERROR(__xludf.DUMMYFUNCTION("""COMPUTED_VALUE"""),0.0)</f>
        <v>0</v>
      </c>
      <c r="C2" s="153">
        <f>IFERROR(__xludf.DUMMYFUNCTION("""COMPUTED_VALUE"""),1.0)</f>
        <v>1</v>
      </c>
      <c r="D2" s="153">
        <f>IFERROR(__xludf.DUMMYFUNCTION("""COMPUTED_VALUE"""),6.0)</f>
        <v>6</v>
      </c>
      <c r="E2" s="153">
        <f>IFERROR(__xludf.DUMMYFUNCTION("""COMPUTED_VALUE"""),34.0)</f>
        <v>34</v>
      </c>
      <c r="F2" s="153">
        <f>IFERROR(__xludf.DUMMYFUNCTION("""COMPUTED_VALUE"""),144.0)</f>
        <v>144</v>
      </c>
      <c r="G2" s="153">
        <f>IFERROR(__xludf.DUMMYFUNCTION("""COMPUTED_VALUE"""),34.0)</f>
        <v>34</v>
      </c>
      <c r="H2" s="153">
        <f>IFERROR(__xludf.DUMMYFUNCTION("""COMPUTED_VALUE"""),150.0)</f>
        <v>150</v>
      </c>
      <c r="I2" s="153">
        <f>IFERROR(__xludf.DUMMYFUNCTION("""COMPUTED_VALUE"""),0.0)</f>
        <v>0</v>
      </c>
      <c r="J2" s="153">
        <f>IFERROR(__xludf.DUMMYFUNCTION("""COMPUTED_VALUE"""),1.0)</f>
        <v>1</v>
      </c>
      <c r="K2" s="153">
        <f>IFERROR(__xludf.DUMMYFUNCTION("""COMPUTED_VALUE"""),5.0)</f>
        <v>5</v>
      </c>
      <c r="L2" s="153">
        <f>IFERROR(__xludf.DUMMYFUNCTION("""COMPUTED_VALUE"""),34.0)</f>
        <v>34</v>
      </c>
      <c r="M2" s="153">
        <f>IFERROR(__xludf.DUMMYFUNCTION("""COMPUTED_VALUE"""),139.0)</f>
        <v>139</v>
      </c>
      <c r="N2" s="153">
        <f>IFERROR(__xludf.DUMMYFUNCTION("""COMPUTED_VALUE"""),144.0)</f>
        <v>144</v>
      </c>
      <c r="O2" s="153">
        <f>IFERROR(__xludf.DUMMYFUNCTION("""COMPUTED_VALUE"""),1.0)</f>
        <v>1</v>
      </c>
      <c r="P2" s="153">
        <f>IFERROR(__xludf.DUMMYFUNCTION("""COMPUTED_VALUE"""),4.0)</f>
        <v>4</v>
      </c>
      <c r="Q2" s="153">
        <f>IFERROR(__xludf.DUMMYFUNCTION("""COMPUTED_VALUE"""),0.0)</f>
        <v>0</v>
      </c>
      <c r="R2" s="153">
        <f>IFERROR(__xludf.DUMMYFUNCTION("""COMPUTED_VALUE"""),0.0)</f>
        <v>0</v>
      </c>
      <c r="S2" s="153">
        <f>IFERROR(__xludf.DUMMYFUNCTION("""COMPUTED_VALUE"""),0.0)</f>
        <v>0</v>
      </c>
      <c r="T2" s="153">
        <f>IFERROR(__xludf.DUMMYFUNCTION("""COMPUTED_VALUE"""),0.0)</f>
        <v>0</v>
      </c>
      <c r="U2" s="153">
        <f>IFERROR(__xludf.DUMMYFUNCTION("""COMPUTED_VALUE"""),4.0)</f>
        <v>4</v>
      </c>
      <c r="V2" s="153">
        <f>IFERROR(__xludf.DUMMYFUNCTION("""COMPUTED_VALUE"""),3.0)</f>
        <v>3</v>
      </c>
      <c r="W2" s="153">
        <f>IFERROR(__xludf.DUMMYFUNCTION("""COMPUTED_VALUE"""),1.0)</f>
        <v>1</v>
      </c>
      <c r="X2" s="153">
        <f>IFERROR(__xludf.DUMMYFUNCTION("""COMPUTED_VALUE"""),1.0)</f>
        <v>1</v>
      </c>
      <c r="Y2" s="153">
        <f>IFERROR(__xludf.DUMMYFUNCTION("""COMPUTED_VALUE"""),0.0)</f>
        <v>0</v>
      </c>
      <c r="Z2" s="153">
        <f>IFERROR(__xludf.DUMMYFUNCTION("""COMPUTED_VALUE"""),0.0)</f>
        <v>0</v>
      </c>
    </row>
    <row r="3">
      <c r="A3" s="210">
        <f>IFERROR(__xludf.DUMMYFUNCTION("""COMPUTED_VALUE"""),43902.0)</f>
        <v>43902</v>
      </c>
      <c r="B3" s="153">
        <f>IFERROR(__xludf.DUMMYFUNCTION("""COMPUTED_VALUE"""),9.0)</f>
        <v>9</v>
      </c>
      <c r="C3" s="153">
        <f>IFERROR(__xludf.DUMMYFUNCTION("""COMPUTED_VALUE"""),4.0)</f>
        <v>4</v>
      </c>
      <c r="D3" s="153">
        <f>IFERROR(__xludf.DUMMYFUNCTION("""COMPUTED_VALUE"""),15.0)</f>
        <v>15</v>
      </c>
      <c r="E3" s="153">
        <f>IFERROR(__xludf.DUMMYFUNCTION("""COMPUTED_VALUE"""),41.0)</f>
        <v>41</v>
      </c>
      <c r="F3" s="153">
        <f>IFERROR(__xludf.DUMMYFUNCTION("""COMPUTED_VALUE"""),185.0)</f>
        <v>185</v>
      </c>
      <c r="G3" s="153">
        <f>IFERROR(__xludf.DUMMYFUNCTION("""COMPUTED_VALUE"""),50.0)</f>
        <v>50</v>
      </c>
      <c r="H3" s="153">
        <f>IFERROR(__xludf.DUMMYFUNCTION("""COMPUTED_VALUE"""),200.0)</f>
        <v>200</v>
      </c>
      <c r="I3" s="153">
        <f>IFERROR(__xludf.DUMMYFUNCTION("""COMPUTED_VALUE"""),8.0)</f>
        <v>8</v>
      </c>
      <c r="J3" s="153">
        <f>IFERROR(__xludf.DUMMYFUNCTION("""COMPUTED_VALUE"""),3.0)</f>
        <v>3</v>
      </c>
      <c r="K3" s="153">
        <f>IFERROR(__xludf.DUMMYFUNCTION("""COMPUTED_VALUE"""),13.0)</f>
        <v>13</v>
      </c>
      <c r="L3" s="153">
        <f>IFERROR(__xludf.DUMMYFUNCTION("""COMPUTED_VALUE"""),38.0)</f>
        <v>38</v>
      </c>
      <c r="M3" s="153">
        <f>IFERROR(__xludf.DUMMYFUNCTION("""COMPUTED_VALUE"""),177.0)</f>
        <v>177</v>
      </c>
      <c r="N3" s="153">
        <f>IFERROR(__xludf.DUMMYFUNCTION("""COMPUTED_VALUE"""),190.0)</f>
        <v>190</v>
      </c>
      <c r="O3" s="153">
        <f>IFERROR(__xludf.DUMMYFUNCTION("""COMPUTED_VALUE"""),1.0)</f>
        <v>1</v>
      </c>
      <c r="P3" s="153">
        <f>IFERROR(__xludf.DUMMYFUNCTION("""COMPUTED_VALUE"""),5.0)</f>
        <v>5</v>
      </c>
      <c r="Q3" s="153">
        <f>IFERROR(__xludf.DUMMYFUNCTION("""COMPUTED_VALUE"""),0.0)</f>
        <v>0</v>
      </c>
      <c r="R3" s="153">
        <f>IFERROR(__xludf.DUMMYFUNCTION("""COMPUTED_VALUE"""),0.0)</f>
        <v>0</v>
      </c>
      <c r="S3" s="153">
        <f>IFERROR(__xludf.DUMMYFUNCTION("""COMPUTED_VALUE"""),0.0)</f>
        <v>0</v>
      </c>
      <c r="T3" s="153">
        <f>IFERROR(__xludf.DUMMYFUNCTION("""COMPUTED_VALUE"""),0.0)</f>
        <v>0</v>
      </c>
      <c r="U3" s="153">
        <f>IFERROR(__xludf.DUMMYFUNCTION("""COMPUTED_VALUE"""),5.0)</f>
        <v>5</v>
      </c>
      <c r="V3" s="153">
        <f>IFERROR(__xludf.DUMMYFUNCTION("""COMPUTED_VALUE"""),4.0)</f>
        <v>4</v>
      </c>
      <c r="W3" s="153">
        <f>IFERROR(__xludf.DUMMYFUNCTION("""COMPUTED_VALUE"""),1.0)</f>
        <v>1</v>
      </c>
      <c r="X3" s="153">
        <f>IFERROR(__xludf.DUMMYFUNCTION("""COMPUTED_VALUE"""),1.0)</f>
        <v>1</v>
      </c>
      <c r="Y3" s="153">
        <f>IFERROR(__xludf.DUMMYFUNCTION("""COMPUTED_VALUE"""),0.0)</f>
        <v>0</v>
      </c>
      <c r="Z3" s="153">
        <f>IFERROR(__xludf.DUMMYFUNCTION("""COMPUTED_VALUE"""),0.0)</f>
        <v>0</v>
      </c>
    </row>
    <row r="4">
      <c r="A4" s="210">
        <f>IFERROR(__xludf.DUMMYFUNCTION("""COMPUTED_VALUE"""),43903.0)</f>
        <v>43903</v>
      </c>
      <c r="B4" s="153">
        <f>IFERROR(__xludf.DUMMYFUNCTION("""COMPUTED_VALUE"""),6.0)</f>
        <v>6</v>
      </c>
      <c r="C4" s="153">
        <f>IFERROR(__xludf.DUMMYFUNCTION("""COMPUTED_VALUE"""),5.0)</f>
        <v>5</v>
      </c>
      <c r="D4" s="153">
        <f>IFERROR(__xludf.DUMMYFUNCTION("""COMPUTED_VALUE"""),21.0)</f>
        <v>21</v>
      </c>
      <c r="E4" s="153">
        <f>IFERROR(__xludf.DUMMYFUNCTION("""COMPUTED_VALUE"""),50.0)</f>
        <v>50</v>
      </c>
      <c r="F4" s="153">
        <f>IFERROR(__xludf.DUMMYFUNCTION("""COMPUTED_VALUE"""),235.0)</f>
        <v>235</v>
      </c>
      <c r="G4" s="153">
        <f>IFERROR(__xludf.DUMMYFUNCTION("""COMPUTED_VALUE"""),56.0)</f>
        <v>56</v>
      </c>
      <c r="H4" s="153">
        <f>IFERROR(__xludf.DUMMYFUNCTION("""COMPUTED_VALUE"""),256.0)</f>
        <v>256</v>
      </c>
      <c r="I4" s="153">
        <f>IFERROR(__xludf.DUMMYFUNCTION("""COMPUTED_VALUE"""),6.0)</f>
        <v>6</v>
      </c>
      <c r="J4" s="153">
        <f>IFERROR(__xludf.DUMMYFUNCTION("""COMPUTED_VALUE"""),5.0)</f>
        <v>5</v>
      </c>
      <c r="K4" s="153">
        <f>IFERROR(__xludf.DUMMYFUNCTION("""COMPUTED_VALUE"""),19.0)</f>
        <v>19</v>
      </c>
      <c r="L4" s="153">
        <f>IFERROR(__xludf.DUMMYFUNCTION("""COMPUTED_VALUE"""),48.0)</f>
        <v>48</v>
      </c>
      <c r="M4" s="153">
        <f>IFERROR(__xludf.DUMMYFUNCTION("""COMPUTED_VALUE"""),225.0)</f>
        <v>225</v>
      </c>
      <c r="N4" s="153">
        <f>IFERROR(__xludf.DUMMYFUNCTION("""COMPUTED_VALUE"""),244.0)</f>
        <v>244</v>
      </c>
      <c r="O4" s="153">
        <f>IFERROR(__xludf.DUMMYFUNCTION("""COMPUTED_VALUE"""),4.0)</f>
        <v>4</v>
      </c>
      <c r="P4" s="153">
        <f>IFERROR(__xludf.DUMMYFUNCTION("""COMPUTED_VALUE"""),9.0)</f>
        <v>9</v>
      </c>
      <c r="Q4" s="153">
        <f>IFERROR(__xludf.DUMMYFUNCTION("""COMPUTED_VALUE"""),1.0)</f>
        <v>1</v>
      </c>
      <c r="R4" s="153">
        <f>IFERROR(__xludf.DUMMYFUNCTION("""COMPUTED_VALUE"""),1.0)</f>
        <v>1</v>
      </c>
      <c r="S4" s="153">
        <f>IFERROR(__xludf.DUMMYFUNCTION("""COMPUTED_VALUE"""),0.0)</f>
        <v>0</v>
      </c>
      <c r="T4" s="153">
        <f>IFERROR(__xludf.DUMMYFUNCTION("""COMPUTED_VALUE"""),0.0)</f>
        <v>0</v>
      </c>
      <c r="U4" s="153">
        <f>IFERROR(__xludf.DUMMYFUNCTION("""COMPUTED_VALUE"""),8.0)</f>
        <v>8</v>
      </c>
      <c r="V4" s="153">
        <f>IFERROR(__xludf.DUMMYFUNCTION("""COMPUTED_VALUE"""),6.0)</f>
        <v>6</v>
      </c>
      <c r="W4" s="153">
        <f>IFERROR(__xludf.DUMMYFUNCTION("""COMPUTED_VALUE"""),1.0)</f>
        <v>1</v>
      </c>
      <c r="X4" s="153">
        <f>IFERROR(__xludf.DUMMYFUNCTION("""COMPUTED_VALUE"""),1.0)</f>
        <v>1</v>
      </c>
      <c r="Y4" s="153">
        <f>IFERROR(__xludf.DUMMYFUNCTION("""COMPUTED_VALUE"""),0.0)</f>
        <v>0</v>
      </c>
      <c r="Z4" s="153">
        <f>IFERROR(__xludf.DUMMYFUNCTION("""COMPUTED_VALUE"""),0.0)</f>
        <v>0</v>
      </c>
    </row>
    <row r="5">
      <c r="A5" s="210">
        <f>IFERROR(__xludf.DUMMYFUNCTION("""COMPUTED_VALUE"""),43904.0)</f>
        <v>43904</v>
      </c>
      <c r="B5" s="153">
        <f>IFERROR(__xludf.DUMMYFUNCTION("""COMPUTED_VALUE"""),0.0)</f>
        <v>0</v>
      </c>
      <c r="C5" s="153">
        <f>IFERROR(__xludf.DUMMYFUNCTION("""COMPUTED_VALUE"""),5.0)</f>
        <v>5</v>
      </c>
      <c r="D5" s="153">
        <f>IFERROR(__xludf.DUMMYFUNCTION("""COMPUTED_VALUE"""),21.0)</f>
        <v>21</v>
      </c>
      <c r="E5" s="153">
        <f>IFERROR(__xludf.DUMMYFUNCTION("""COMPUTED_VALUE"""),90.0)</f>
        <v>90</v>
      </c>
      <c r="F5" s="153">
        <f>IFERROR(__xludf.DUMMYFUNCTION("""COMPUTED_VALUE"""),325.0)</f>
        <v>325</v>
      </c>
      <c r="G5" s="153">
        <f>IFERROR(__xludf.DUMMYFUNCTION("""COMPUTED_VALUE"""),90.0)</f>
        <v>90</v>
      </c>
      <c r="H5" s="153">
        <f>IFERROR(__xludf.DUMMYFUNCTION("""COMPUTED_VALUE"""),346.0)</f>
        <v>346</v>
      </c>
      <c r="I5" s="153">
        <f>IFERROR(__xludf.DUMMYFUNCTION("""COMPUTED_VALUE"""),0.0)</f>
        <v>0</v>
      </c>
      <c r="J5" s="153">
        <f>IFERROR(__xludf.DUMMYFUNCTION("""COMPUTED_VALUE"""),5.0)</f>
        <v>5</v>
      </c>
      <c r="K5" s="153">
        <f>IFERROR(__xludf.DUMMYFUNCTION("""COMPUTED_VALUE"""),19.0)</f>
        <v>19</v>
      </c>
      <c r="L5" s="153">
        <f>IFERROR(__xludf.DUMMYFUNCTION("""COMPUTED_VALUE"""),86.0)</f>
        <v>86</v>
      </c>
      <c r="M5" s="153">
        <f>IFERROR(__xludf.DUMMYFUNCTION("""COMPUTED_VALUE"""),311.0)</f>
        <v>311</v>
      </c>
      <c r="N5" s="153">
        <f>IFERROR(__xludf.DUMMYFUNCTION("""COMPUTED_VALUE"""),330.0)</f>
        <v>330</v>
      </c>
      <c r="O5" s="153">
        <f>IFERROR(__xludf.DUMMYFUNCTION("""COMPUTED_VALUE"""),0.0)</f>
        <v>0</v>
      </c>
      <c r="P5" s="153">
        <f>IFERROR(__xludf.DUMMYFUNCTION("""COMPUTED_VALUE"""),9.0)</f>
        <v>9</v>
      </c>
      <c r="Q5" s="153">
        <f>IFERROR(__xludf.DUMMYFUNCTION("""COMPUTED_VALUE"""),0.0)</f>
        <v>0</v>
      </c>
      <c r="R5" s="153">
        <f>IFERROR(__xludf.DUMMYFUNCTION("""COMPUTED_VALUE"""),1.0)</f>
        <v>1</v>
      </c>
      <c r="S5" s="153">
        <f>IFERROR(__xludf.DUMMYFUNCTION("""COMPUTED_VALUE"""),0.0)</f>
        <v>0</v>
      </c>
      <c r="T5" s="153">
        <f>IFERROR(__xludf.DUMMYFUNCTION("""COMPUTED_VALUE"""),0.0)</f>
        <v>0</v>
      </c>
      <c r="U5" s="153">
        <f>IFERROR(__xludf.DUMMYFUNCTION("""COMPUTED_VALUE"""),8.0)</f>
        <v>8</v>
      </c>
      <c r="V5" s="153">
        <f>IFERROR(__xludf.DUMMYFUNCTION("""COMPUTED_VALUE"""),7.0)</f>
        <v>7</v>
      </c>
      <c r="W5" s="153">
        <f>IFERROR(__xludf.DUMMYFUNCTION("""COMPUTED_VALUE"""),1.0)</f>
        <v>1</v>
      </c>
      <c r="X5" s="153">
        <f>IFERROR(__xludf.DUMMYFUNCTION("""COMPUTED_VALUE"""),1.0)</f>
        <v>1</v>
      </c>
      <c r="Y5" s="153">
        <f>IFERROR(__xludf.DUMMYFUNCTION("""COMPUTED_VALUE"""),0.0)</f>
        <v>0</v>
      </c>
      <c r="Z5" s="153">
        <f>IFERROR(__xludf.DUMMYFUNCTION("""COMPUTED_VALUE"""),0.0)</f>
        <v>0</v>
      </c>
    </row>
    <row r="6">
      <c r="A6" s="210">
        <f>IFERROR(__xludf.DUMMYFUNCTION("""COMPUTED_VALUE"""),43905.0)</f>
        <v>43905</v>
      </c>
      <c r="B6" s="153">
        <f>IFERROR(__xludf.DUMMYFUNCTION("""COMPUTED_VALUE"""),1.0)</f>
        <v>1</v>
      </c>
      <c r="C6" s="153">
        <f>IFERROR(__xludf.DUMMYFUNCTION("""COMPUTED_VALUE"""),2.0)</f>
        <v>2</v>
      </c>
      <c r="D6" s="153">
        <f>IFERROR(__xludf.DUMMYFUNCTION("""COMPUTED_VALUE"""),22.0)</f>
        <v>22</v>
      </c>
      <c r="E6" s="153">
        <f>IFERROR(__xludf.DUMMYFUNCTION("""COMPUTED_VALUE"""),54.0)</f>
        <v>54</v>
      </c>
      <c r="F6" s="153">
        <f>IFERROR(__xludf.DUMMYFUNCTION("""COMPUTED_VALUE"""),379.0)</f>
        <v>379</v>
      </c>
      <c r="G6" s="153">
        <f>IFERROR(__xludf.DUMMYFUNCTION("""COMPUTED_VALUE"""),55.0)</f>
        <v>55</v>
      </c>
      <c r="H6" s="153">
        <f>IFERROR(__xludf.DUMMYFUNCTION("""COMPUTED_VALUE"""),401.0)</f>
        <v>401</v>
      </c>
      <c r="I6" s="153">
        <f>IFERROR(__xludf.DUMMYFUNCTION("""COMPUTED_VALUE"""),1.0)</f>
        <v>1</v>
      </c>
      <c r="J6" s="153">
        <f>IFERROR(__xludf.DUMMYFUNCTION("""COMPUTED_VALUE"""),2.0)</f>
        <v>2</v>
      </c>
      <c r="K6" s="153">
        <f>IFERROR(__xludf.DUMMYFUNCTION("""COMPUTED_VALUE"""),20.0)</f>
        <v>20</v>
      </c>
      <c r="L6" s="153">
        <f>IFERROR(__xludf.DUMMYFUNCTION("""COMPUTED_VALUE"""),54.0)</f>
        <v>54</v>
      </c>
      <c r="M6" s="153">
        <f>IFERROR(__xludf.DUMMYFUNCTION("""COMPUTED_VALUE"""),365.0)</f>
        <v>365</v>
      </c>
      <c r="N6" s="153">
        <f>IFERROR(__xludf.DUMMYFUNCTION("""COMPUTED_VALUE"""),385.0)</f>
        <v>385</v>
      </c>
      <c r="O6" s="153">
        <f>IFERROR(__xludf.DUMMYFUNCTION("""COMPUTED_VALUE"""),1.0)</f>
        <v>1</v>
      </c>
      <c r="P6" s="153">
        <f>IFERROR(__xludf.DUMMYFUNCTION("""COMPUTED_VALUE"""),10.0)</f>
        <v>10</v>
      </c>
      <c r="Q6" s="153">
        <f>IFERROR(__xludf.DUMMYFUNCTION("""COMPUTED_VALUE"""),0.0)</f>
        <v>0</v>
      </c>
      <c r="R6" s="153">
        <f>IFERROR(__xludf.DUMMYFUNCTION("""COMPUTED_VALUE"""),1.0)</f>
        <v>1</v>
      </c>
      <c r="S6" s="153">
        <f>IFERROR(__xludf.DUMMYFUNCTION("""COMPUTED_VALUE"""),0.0)</f>
        <v>0</v>
      </c>
      <c r="T6" s="153">
        <f>IFERROR(__xludf.DUMMYFUNCTION("""COMPUTED_VALUE"""),0.0)</f>
        <v>0</v>
      </c>
      <c r="U6" s="153">
        <f>IFERROR(__xludf.DUMMYFUNCTION("""COMPUTED_VALUE"""),9.0)</f>
        <v>9</v>
      </c>
      <c r="V6" s="153">
        <f>IFERROR(__xludf.DUMMYFUNCTION("""COMPUTED_VALUE"""),8.0)</f>
        <v>8</v>
      </c>
      <c r="W6" s="153">
        <f>IFERROR(__xludf.DUMMYFUNCTION("""COMPUTED_VALUE"""),2.0)</f>
        <v>2</v>
      </c>
      <c r="X6" s="153">
        <f>IFERROR(__xludf.DUMMYFUNCTION("""COMPUTED_VALUE"""),1.0)</f>
        <v>1</v>
      </c>
      <c r="Y6" s="153">
        <f>IFERROR(__xludf.DUMMYFUNCTION("""COMPUTED_VALUE"""),0.0)</f>
        <v>0</v>
      </c>
      <c r="Z6" s="153">
        <f>IFERROR(__xludf.DUMMYFUNCTION("""COMPUTED_VALUE"""),0.0)</f>
        <v>0</v>
      </c>
    </row>
    <row r="7">
      <c r="A7" s="210">
        <f>IFERROR(__xludf.DUMMYFUNCTION("""COMPUTED_VALUE"""),43906.0)</f>
        <v>43906</v>
      </c>
      <c r="B7" s="153">
        <f>IFERROR(__xludf.DUMMYFUNCTION("""COMPUTED_VALUE"""),2.0)</f>
        <v>2</v>
      </c>
      <c r="C7" s="153">
        <f>IFERROR(__xludf.DUMMYFUNCTION("""COMPUTED_VALUE"""),1.0)</f>
        <v>1</v>
      </c>
      <c r="D7" s="153">
        <f>IFERROR(__xludf.DUMMYFUNCTION("""COMPUTED_VALUE"""),24.0)</f>
        <v>24</v>
      </c>
      <c r="E7" s="153">
        <f>IFERROR(__xludf.DUMMYFUNCTION("""COMPUTED_VALUE"""),95.0)</f>
        <v>95</v>
      </c>
      <c r="F7" s="153">
        <f>IFERROR(__xludf.DUMMYFUNCTION("""COMPUTED_VALUE"""),474.0)</f>
        <v>474</v>
      </c>
      <c r="G7" s="153">
        <f>IFERROR(__xludf.DUMMYFUNCTION("""COMPUTED_VALUE"""),97.0)</f>
        <v>97</v>
      </c>
      <c r="H7" s="153">
        <f>IFERROR(__xludf.DUMMYFUNCTION("""COMPUTED_VALUE"""),498.0)</f>
        <v>498</v>
      </c>
      <c r="I7" s="153">
        <f>IFERROR(__xludf.DUMMYFUNCTION("""COMPUTED_VALUE"""),2.0)</f>
        <v>2</v>
      </c>
      <c r="J7" s="153">
        <f>IFERROR(__xludf.DUMMYFUNCTION("""COMPUTED_VALUE"""),1.0)</f>
        <v>1</v>
      </c>
      <c r="K7" s="153">
        <f>IFERROR(__xludf.DUMMYFUNCTION("""COMPUTED_VALUE"""),22.0)</f>
        <v>22</v>
      </c>
      <c r="L7" s="153">
        <f>IFERROR(__xludf.DUMMYFUNCTION("""COMPUTED_VALUE"""),92.0)</f>
        <v>92</v>
      </c>
      <c r="M7" s="153">
        <f>IFERROR(__xludf.DUMMYFUNCTION("""COMPUTED_VALUE"""),457.0)</f>
        <v>457</v>
      </c>
      <c r="N7" s="153">
        <f>IFERROR(__xludf.DUMMYFUNCTION("""COMPUTED_VALUE"""),479.0)</f>
        <v>479</v>
      </c>
      <c r="O7" s="153">
        <f>IFERROR(__xludf.DUMMYFUNCTION("""COMPUTED_VALUE"""),2.0)</f>
        <v>2</v>
      </c>
      <c r="P7" s="153">
        <f>IFERROR(__xludf.DUMMYFUNCTION("""COMPUTED_VALUE"""),12.0)</f>
        <v>12</v>
      </c>
      <c r="Q7" s="153">
        <f>IFERROR(__xludf.DUMMYFUNCTION("""COMPUTED_VALUE"""),0.0)</f>
        <v>0</v>
      </c>
      <c r="R7" s="153">
        <f>IFERROR(__xludf.DUMMYFUNCTION("""COMPUTED_VALUE"""),1.0)</f>
        <v>1</v>
      </c>
      <c r="S7" s="153">
        <f>IFERROR(__xludf.DUMMYFUNCTION("""COMPUTED_VALUE"""),0.0)</f>
        <v>0</v>
      </c>
      <c r="T7" s="153">
        <f>IFERROR(__xludf.DUMMYFUNCTION("""COMPUTED_VALUE"""),0.0)</f>
        <v>0</v>
      </c>
      <c r="U7" s="153">
        <f>IFERROR(__xludf.DUMMYFUNCTION("""COMPUTED_VALUE"""),11.0)</f>
        <v>11</v>
      </c>
      <c r="V7" s="153">
        <f>IFERROR(__xludf.DUMMYFUNCTION("""COMPUTED_VALUE"""),9.0)</f>
        <v>9</v>
      </c>
      <c r="W7" s="153">
        <f>IFERROR(__xludf.DUMMYFUNCTION("""COMPUTED_VALUE"""),2.0)</f>
        <v>2</v>
      </c>
      <c r="X7" s="153">
        <f>IFERROR(__xludf.DUMMYFUNCTION("""COMPUTED_VALUE"""),0.0)</f>
        <v>0</v>
      </c>
      <c r="Y7" s="153">
        <f>IFERROR(__xludf.DUMMYFUNCTION("""COMPUTED_VALUE"""),0.0)</f>
        <v>0</v>
      </c>
      <c r="Z7" s="153">
        <f>IFERROR(__xludf.DUMMYFUNCTION("""COMPUTED_VALUE"""),0.0)</f>
        <v>0</v>
      </c>
    </row>
    <row r="8">
      <c r="A8" s="210">
        <f>IFERROR(__xludf.DUMMYFUNCTION("""COMPUTED_VALUE"""),43907.0)</f>
        <v>43907</v>
      </c>
      <c r="B8" s="153">
        <f>IFERROR(__xludf.DUMMYFUNCTION("""COMPUTED_VALUE"""),12.0)</f>
        <v>12</v>
      </c>
      <c r="C8" s="153">
        <f>IFERROR(__xludf.DUMMYFUNCTION("""COMPUTED_VALUE"""),5.0)</f>
        <v>5</v>
      </c>
      <c r="D8" s="153">
        <f>IFERROR(__xludf.DUMMYFUNCTION("""COMPUTED_VALUE"""),36.0)</f>
        <v>36</v>
      </c>
      <c r="E8" s="153">
        <f>IFERROR(__xludf.DUMMYFUNCTION("""COMPUTED_VALUE"""),162.0)</f>
        <v>162</v>
      </c>
      <c r="F8" s="153">
        <f>IFERROR(__xludf.DUMMYFUNCTION("""COMPUTED_VALUE"""),636.0)</f>
        <v>636</v>
      </c>
      <c r="G8" s="153">
        <f>IFERROR(__xludf.DUMMYFUNCTION("""COMPUTED_VALUE"""),174.0)</f>
        <v>174</v>
      </c>
      <c r="H8" s="153">
        <f>IFERROR(__xludf.DUMMYFUNCTION("""COMPUTED_VALUE"""),672.0)</f>
        <v>672</v>
      </c>
      <c r="I8" s="153">
        <f>IFERROR(__xludf.DUMMYFUNCTION("""COMPUTED_VALUE"""),11.0)</f>
        <v>11</v>
      </c>
      <c r="J8" s="153">
        <f>IFERROR(__xludf.DUMMYFUNCTION("""COMPUTED_VALUE"""),5.0)</f>
        <v>5</v>
      </c>
      <c r="K8" s="153">
        <f>IFERROR(__xludf.DUMMYFUNCTION("""COMPUTED_VALUE"""),33.0)</f>
        <v>33</v>
      </c>
      <c r="L8" s="153">
        <f>IFERROR(__xludf.DUMMYFUNCTION("""COMPUTED_VALUE"""),151.0)</f>
        <v>151</v>
      </c>
      <c r="M8" s="153">
        <f>IFERROR(__xludf.DUMMYFUNCTION("""COMPUTED_VALUE"""),608.0)</f>
        <v>608</v>
      </c>
      <c r="N8" s="153">
        <f>IFERROR(__xludf.DUMMYFUNCTION("""COMPUTED_VALUE"""),641.0)</f>
        <v>641</v>
      </c>
      <c r="O8" s="153">
        <f>IFERROR(__xludf.DUMMYFUNCTION("""COMPUTED_VALUE"""),6.0)</f>
        <v>6</v>
      </c>
      <c r="P8" s="153">
        <f>IFERROR(__xludf.DUMMYFUNCTION("""COMPUTED_VALUE"""),18.0)</f>
        <v>18</v>
      </c>
      <c r="Q8" s="153">
        <f>IFERROR(__xludf.DUMMYFUNCTION("""COMPUTED_VALUE"""),0.0)</f>
        <v>0</v>
      </c>
      <c r="R8" s="153">
        <f>IFERROR(__xludf.DUMMYFUNCTION("""COMPUTED_VALUE"""),1.0)</f>
        <v>1</v>
      </c>
      <c r="S8" s="153">
        <f>IFERROR(__xludf.DUMMYFUNCTION("""COMPUTED_VALUE"""),0.0)</f>
        <v>0</v>
      </c>
      <c r="T8" s="153">
        <f>IFERROR(__xludf.DUMMYFUNCTION("""COMPUTED_VALUE"""),0.0)</f>
        <v>0</v>
      </c>
      <c r="U8" s="153">
        <f>IFERROR(__xludf.DUMMYFUNCTION("""COMPUTED_VALUE"""),17.0)</f>
        <v>17</v>
      </c>
      <c r="V8" s="153">
        <f>IFERROR(__xludf.DUMMYFUNCTION("""COMPUTED_VALUE"""),12.0)</f>
        <v>12</v>
      </c>
      <c r="W8" s="153">
        <f>IFERROR(__xludf.DUMMYFUNCTION("""COMPUTED_VALUE"""),2.0)</f>
        <v>2</v>
      </c>
      <c r="X8" s="153">
        <f>IFERROR(__xludf.DUMMYFUNCTION("""COMPUTED_VALUE"""),0.0)</f>
        <v>0</v>
      </c>
      <c r="Y8" s="153">
        <f>IFERROR(__xludf.DUMMYFUNCTION("""COMPUTED_VALUE"""),0.0)</f>
        <v>0</v>
      </c>
      <c r="Z8" s="153">
        <f>IFERROR(__xludf.DUMMYFUNCTION("""COMPUTED_VALUE"""),0.0)</f>
        <v>0</v>
      </c>
    </row>
    <row r="9">
      <c r="A9" s="210">
        <f>IFERROR(__xludf.DUMMYFUNCTION("""COMPUTED_VALUE"""),43908.0)</f>
        <v>43908</v>
      </c>
      <c r="B9" s="153">
        <f>IFERROR(__xludf.DUMMYFUNCTION("""COMPUTED_VALUE"""),9.0)</f>
        <v>9</v>
      </c>
      <c r="C9" s="153">
        <f>IFERROR(__xludf.DUMMYFUNCTION("""COMPUTED_VALUE"""),8.0)</f>
        <v>8</v>
      </c>
      <c r="D9" s="153">
        <f>IFERROR(__xludf.DUMMYFUNCTION("""COMPUTED_VALUE"""),45.0)</f>
        <v>45</v>
      </c>
      <c r="E9" s="153">
        <f>IFERROR(__xludf.DUMMYFUNCTION("""COMPUTED_VALUE"""),116.0)</f>
        <v>116</v>
      </c>
      <c r="F9" s="153">
        <f>IFERROR(__xludf.DUMMYFUNCTION("""COMPUTED_VALUE"""),752.0)</f>
        <v>752</v>
      </c>
      <c r="G9" s="153">
        <f>IFERROR(__xludf.DUMMYFUNCTION("""COMPUTED_VALUE"""),125.0)</f>
        <v>125</v>
      </c>
      <c r="H9" s="153">
        <f>IFERROR(__xludf.DUMMYFUNCTION("""COMPUTED_VALUE"""),797.0)</f>
        <v>797</v>
      </c>
      <c r="I9" s="153">
        <f>IFERROR(__xludf.DUMMYFUNCTION("""COMPUTED_VALUE"""),11.0)</f>
        <v>11</v>
      </c>
      <c r="J9" s="153">
        <f>IFERROR(__xludf.DUMMYFUNCTION("""COMPUTED_VALUE"""),8.0)</f>
        <v>8</v>
      </c>
      <c r="K9" s="153">
        <f>IFERROR(__xludf.DUMMYFUNCTION("""COMPUTED_VALUE"""),44.0)</f>
        <v>44</v>
      </c>
      <c r="L9" s="153">
        <f>IFERROR(__xludf.DUMMYFUNCTION("""COMPUTED_VALUE"""),110.0)</f>
        <v>110</v>
      </c>
      <c r="M9" s="153">
        <f>IFERROR(__xludf.DUMMYFUNCTION("""COMPUTED_VALUE"""),718.0)</f>
        <v>718</v>
      </c>
      <c r="N9" s="153">
        <f>IFERROR(__xludf.DUMMYFUNCTION("""COMPUTED_VALUE"""),762.0)</f>
        <v>762</v>
      </c>
      <c r="O9" s="153">
        <f>IFERROR(__xludf.DUMMYFUNCTION("""COMPUTED_VALUE"""),3.0)</f>
        <v>3</v>
      </c>
      <c r="P9" s="153">
        <f>IFERROR(__xludf.DUMMYFUNCTION("""COMPUTED_VALUE"""),21.0)</f>
        <v>21</v>
      </c>
      <c r="Q9" s="153">
        <f>IFERROR(__xludf.DUMMYFUNCTION("""COMPUTED_VALUE"""),0.0)</f>
        <v>0</v>
      </c>
      <c r="R9" s="153">
        <f>IFERROR(__xludf.DUMMYFUNCTION("""COMPUTED_VALUE"""),1.0)</f>
        <v>1</v>
      </c>
      <c r="S9" s="153">
        <f>IFERROR(__xludf.DUMMYFUNCTION("""COMPUTED_VALUE"""),0.0)</f>
        <v>0</v>
      </c>
      <c r="T9" s="153">
        <f>IFERROR(__xludf.DUMMYFUNCTION("""COMPUTED_VALUE"""),0.0)</f>
        <v>0</v>
      </c>
      <c r="U9" s="153">
        <f>IFERROR(__xludf.DUMMYFUNCTION("""COMPUTED_VALUE"""),20.0)</f>
        <v>20</v>
      </c>
      <c r="V9" s="153">
        <f>IFERROR(__xludf.DUMMYFUNCTION("""COMPUTED_VALUE"""),16.0)</f>
        <v>16</v>
      </c>
      <c r="W9" s="153">
        <f>IFERROR(__xludf.DUMMYFUNCTION("""COMPUTED_VALUE"""),2.0)</f>
        <v>2</v>
      </c>
      <c r="X9" s="153">
        <f>IFERROR(__xludf.DUMMYFUNCTION("""COMPUTED_VALUE"""),0.0)</f>
        <v>0</v>
      </c>
      <c r="Y9" s="153">
        <f>IFERROR(__xludf.DUMMYFUNCTION("""COMPUTED_VALUE"""),0.0)</f>
        <v>0</v>
      </c>
      <c r="Z9" s="153">
        <f>IFERROR(__xludf.DUMMYFUNCTION("""COMPUTED_VALUE"""),0.0)</f>
        <v>0</v>
      </c>
    </row>
    <row r="10">
      <c r="A10" s="210">
        <f>IFERROR(__xludf.DUMMYFUNCTION("""COMPUTED_VALUE"""),43909.0)</f>
        <v>43909</v>
      </c>
      <c r="B10" s="153">
        <f>IFERROR(__xludf.DUMMYFUNCTION("""COMPUTED_VALUE"""),15.0)</f>
        <v>15</v>
      </c>
      <c r="C10" s="153">
        <f>IFERROR(__xludf.DUMMYFUNCTION("""COMPUTED_VALUE"""),12.0)</f>
        <v>12</v>
      </c>
      <c r="D10" s="153">
        <f>IFERROR(__xludf.DUMMYFUNCTION("""COMPUTED_VALUE"""),60.0)</f>
        <v>60</v>
      </c>
      <c r="E10" s="153">
        <f>IFERROR(__xludf.DUMMYFUNCTION("""COMPUTED_VALUE"""),262.0)</f>
        <v>262</v>
      </c>
      <c r="F10" s="153">
        <f>IFERROR(__xludf.DUMMYFUNCTION("""COMPUTED_VALUE"""),1014.0)</f>
        <v>1014</v>
      </c>
      <c r="G10" s="153">
        <f>IFERROR(__xludf.DUMMYFUNCTION("""COMPUTED_VALUE"""),277.0)</f>
        <v>277</v>
      </c>
      <c r="H10" s="153">
        <f>IFERROR(__xludf.DUMMYFUNCTION("""COMPUTED_VALUE"""),1074.0)</f>
        <v>1074</v>
      </c>
      <c r="I10" s="153">
        <f>IFERROR(__xludf.DUMMYFUNCTION("""COMPUTED_VALUE"""),17.0)</f>
        <v>17</v>
      </c>
      <c r="J10" s="153">
        <f>IFERROR(__xludf.DUMMYFUNCTION("""COMPUTED_VALUE"""),13.0)</f>
        <v>13</v>
      </c>
      <c r="K10" s="153">
        <f>IFERROR(__xludf.DUMMYFUNCTION("""COMPUTED_VALUE"""),61.0)</f>
        <v>61</v>
      </c>
      <c r="L10" s="153">
        <f>IFERROR(__xludf.DUMMYFUNCTION("""COMPUTED_VALUE"""),251.0)</f>
        <v>251</v>
      </c>
      <c r="M10" s="153">
        <f>IFERROR(__xludf.DUMMYFUNCTION("""COMPUTED_VALUE"""),969.0)</f>
        <v>969</v>
      </c>
      <c r="N10" s="153">
        <f>IFERROR(__xludf.DUMMYFUNCTION("""COMPUTED_VALUE"""),1030.0)</f>
        <v>1030</v>
      </c>
      <c r="O10" s="153">
        <f>IFERROR(__xludf.DUMMYFUNCTION("""COMPUTED_VALUE"""),2.0)</f>
        <v>2</v>
      </c>
      <c r="P10" s="153">
        <f>IFERROR(__xludf.DUMMYFUNCTION("""COMPUTED_VALUE"""),23.0)</f>
        <v>23</v>
      </c>
      <c r="Q10" s="153">
        <f>IFERROR(__xludf.DUMMYFUNCTION("""COMPUTED_VALUE"""),1.0)</f>
        <v>1</v>
      </c>
      <c r="R10" s="153">
        <f>IFERROR(__xludf.DUMMYFUNCTION("""COMPUTED_VALUE"""),2.0)</f>
        <v>2</v>
      </c>
      <c r="S10" s="153">
        <f>IFERROR(__xludf.DUMMYFUNCTION("""COMPUTED_VALUE"""),0.0)</f>
        <v>0</v>
      </c>
      <c r="T10" s="153">
        <f>IFERROR(__xludf.DUMMYFUNCTION("""COMPUTED_VALUE"""),0.0)</f>
        <v>0</v>
      </c>
      <c r="U10" s="153">
        <f>IFERROR(__xludf.DUMMYFUNCTION("""COMPUTED_VALUE"""),21.0)</f>
        <v>21</v>
      </c>
      <c r="V10" s="153">
        <f>IFERROR(__xludf.DUMMYFUNCTION("""COMPUTED_VALUE"""),19.0)</f>
        <v>19</v>
      </c>
      <c r="W10" s="153">
        <f>IFERROR(__xludf.DUMMYFUNCTION("""COMPUTED_VALUE"""),3.0)</f>
        <v>3</v>
      </c>
      <c r="X10" s="153">
        <f>IFERROR(__xludf.DUMMYFUNCTION("""COMPUTED_VALUE"""),0.0)</f>
        <v>0</v>
      </c>
      <c r="Y10" s="153">
        <f>IFERROR(__xludf.DUMMYFUNCTION("""COMPUTED_VALUE"""),1.0)</f>
        <v>1</v>
      </c>
      <c r="Z10" s="153">
        <f>IFERROR(__xludf.DUMMYFUNCTION("""COMPUTED_VALUE"""),1.0)</f>
        <v>1</v>
      </c>
    </row>
    <row r="11">
      <c r="A11" s="210">
        <f>IFERROR(__xludf.DUMMYFUNCTION("""COMPUTED_VALUE"""),43910.0)</f>
        <v>43910</v>
      </c>
      <c r="B11" s="153">
        <f>IFERROR(__xludf.DUMMYFUNCTION("""COMPUTED_VALUE"""),13.0)</f>
        <v>13</v>
      </c>
      <c r="C11" s="153">
        <f>IFERROR(__xludf.DUMMYFUNCTION("""COMPUTED_VALUE"""),12.0)</f>
        <v>12</v>
      </c>
      <c r="D11" s="153">
        <f>IFERROR(__xludf.DUMMYFUNCTION("""COMPUTED_VALUE"""),73.0)</f>
        <v>73</v>
      </c>
      <c r="E11" s="153">
        <f>IFERROR(__xludf.DUMMYFUNCTION("""COMPUTED_VALUE"""),197.0)</f>
        <v>197</v>
      </c>
      <c r="F11" s="153">
        <f>IFERROR(__xludf.DUMMYFUNCTION("""COMPUTED_VALUE"""),1211.0)</f>
        <v>1211</v>
      </c>
      <c r="G11" s="153">
        <f>IFERROR(__xludf.DUMMYFUNCTION("""COMPUTED_VALUE"""),210.0)</f>
        <v>210</v>
      </c>
      <c r="H11" s="153">
        <f>IFERROR(__xludf.DUMMYFUNCTION("""COMPUTED_VALUE"""),1284.0)</f>
        <v>1284</v>
      </c>
      <c r="I11" s="153">
        <f>IFERROR(__xludf.DUMMYFUNCTION("""COMPUTED_VALUE"""),13.0)</f>
        <v>13</v>
      </c>
      <c r="J11" s="153">
        <f>IFERROR(__xludf.DUMMYFUNCTION("""COMPUTED_VALUE"""),14.0)</f>
        <v>14</v>
      </c>
      <c r="K11" s="153">
        <f>IFERROR(__xludf.DUMMYFUNCTION("""COMPUTED_VALUE"""),74.0)</f>
        <v>74</v>
      </c>
      <c r="L11" s="153">
        <f>IFERROR(__xludf.DUMMYFUNCTION("""COMPUTED_VALUE"""),191.0)</f>
        <v>191</v>
      </c>
      <c r="M11" s="153">
        <f>IFERROR(__xludf.DUMMYFUNCTION("""COMPUTED_VALUE"""),1160.0)</f>
        <v>1160</v>
      </c>
      <c r="N11" s="153">
        <f>IFERROR(__xludf.DUMMYFUNCTION("""COMPUTED_VALUE"""),1234.0)</f>
        <v>1234</v>
      </c>
      <c r="O11" s="153">
        <f>IFERROR(__xludf.DUMMYFUNCTION("""COMPUTED_VALUE"""),5.0)</f>
        <v>5</v>
      </c>
      <c r="P11" s="153">
        <f>IFERROR(__xludf.DUMMYFUNCTION("""COMPUTED_VALUE"""),28.0)</f>
        <v>28</v>
      </c>
      <c r="Q11" s="153">
        <f>IFERROR(__xludf.DUMMYFUNCTION("""COMPUTED_VALUE"""),0.0)</f>
        <v>0</v>
      </c>
      <c r="R11" s="153">
        <f>IFERROR(__xludf.DUMMYFUNCTION("""COMPUTED_VALUE"""),2.0)</f>
        <v>2</v>
      </c>
      <c r="S11" s="153">
        <f>IFERROR(__xludf.DUMMYFUNCTION("""COMPUTED_VALUE"""),0.0)</f>
        <v>0</v>
      </c>
      <c r="T11" s="153">
        <f>IFERROR(__xludf.DUMMYFUNCTION("""COMPUTED_VALUE"""),0.0)</f>
        <v>0</v>
      </c>
      <c r="U11" s="153">
        <f>IFERROR(__xludf.DUMMYFUNCTION("""COMPUTED_VALUE"""),26.0)</f>
        <v>26</v>
      </c>
      <c r="V11" s="153">
        <f>IFERROR(__xludf.DUMMYFUNCTION("""COMPUTED_VALUE"""),22.0)</f>
        <v>22</v>
      </c>
      <c r="W11" s="153">
        <f>IFERROR(__xludf.DUMMYFUNCTION("""COMPUTED_VALUE"""),4.0)</f>
        <v>4</v>
      </c>
      <c r="X11" s="153">
        <f>IFERROR(__xludf.DUMMYFUNCTION("""COMPUTED_VALUE"""),0.0)</f>
        <v>0</v>
      </c>
      <c r="Y11" s="153">
        <f>IFERROR(__xludf.DUMMYFUNCTION("""COMPUTED_VALUE"""),0.0)</f>
        <v>0</v>
      </c>
      <c r="Z11" s="153">
        <f>IFERROR(__xludf.DUMMYFUNCTION("""COMPUTED_VALUE"""),1.0)</f>
        <v>1</v>
      </c>
    </row>
    <row r="12">
      <c r="A12" s="210">
        <f>IFERROR(__xludf.DUMMYFUNCTION("""COMPUTED_VALUE"""),43911.0)</f>
        <v>43911</v>
      </c>
      <c r="B12" s="153">
        <f>IFERROR(__xludf.DUMMYFUNCTION("""COMPUTED_VALUE"""),12.0)</f>
        <v>12</v>
      </c>
      <c r="C12" s="153">
        <f>IFERROR(__xludf.DUMMYFUNCTION("""COMPUTED_VALUE"""),13.0)</f>
        <v>13</v>
      </c>
      <c r="D12" s="153">
        <f>IFERROR(__xludf.DUMMYFUNCTION("""COMPUTED_VALUE"""),85.0)</f>
        <v>85</v>
      </c>
      <c r="E12" s="153">
        <f>IFERROR(__xludf.DUMMYFUNCTION("""COMPUTED_VALUE"""),126.0)</f>
        <v>126</v>
      </c>
      <c r="F12" s="153">
        <f>IFERROR(__xludf.DUMMYFUNCTION("""COMPUTED_VALUE"""),1337.0)</f>
        <v>1337</v>
      </c>
      <c r="G12" s="153">
        <f>IFERROR(__xludf.DUMMYFUNCTION("""COMPUTED_VALUE"""),138.0)</f>
        <v>138</v>
      </c>
      <c r="H12" s="153">
        <f>IFERROR(__xludf.DUMMYFUNCTION("""COMPUTED_VALUE"""),1422.0)</f>
        <v>1422</v>
      </c>
      <c r="I12" s="153">
        <f>IFERROR(__xludf.DUMMYFUNCTION("""COMPUTED_VALUE"""),14.0)</f>
        <v>14</v>
      </c>
      <c r="J12" s="153">
        <f>IFERROR(__xludf.DUMMYFUNCTION("""COMPUTED_VALUE"""),15.0)</f>
        <v>15</v>
      </c>
      <c r="K12" s="153">
        <f>IFERROR(__xludf.DUMMYFUNCTION("""COMPUTED_VALUE"""),88.0)</f>
        <v>88</v>
      </c>
      <c r="L12" s="153">
        <f>IFERROR(__xludf.DUMMYFUNCTION("""COMPUTED_VALUE"""),123.0)</f>
        <v>123</v>
      </c>
      <c r="M12" s="153">
        <f>IFERROR(__xludf.DUMMYFUNCTION("""COMPUTED_VALUE"""),1283.0)</f>
        <v>1283</v>
      </c>
      <c r="N12" s="153">
        <f>IFERROR(__xludf.DUMMYFUNCTION("""COMPUTED_VALUE"""),1371.0)</f>
        <v>1371</v>
      </c>
      <c r="O12" s="153">
        <f>IFERROR(__xludf.DUMMYFUNCTION("""COMPUTED_VALUE"""),3.0)</f>
        <v>3</v>
      </c>
      <c r="P12" s="153">
        <f>IFERROR(__xludf.DUMMYFUNCTION("""COMPUTED_VALUE"""),31.0)</f>
        <v>31</v>
      </c>
      <c r="Q12" s="153">
        <f>IFERROR(__xludf.DUMMYFUNCTION("""COMPUTED_VALUE"""),2.0)</f>
        <v>2</v>
      </c>
      <c r="R12" s="153">
        <f>IFERROR(__xludf.DUMMYFUNCTION("""COMPUTED_VALUE"""),4.0)</f>
        <v>4</v>
      </c>
      <c r="S12" s="153">
        <f>IFERROR(__xludf.DUMMYFUNCTION("""COMPUTED_VALUE"""),0.0)</f>
        <v>0</v>
      </c>
      <c r="T12" s="153">
        <f>IFERROR(__xludf.DUMMYFUNCTION("""COMPUTED_VALUE"""),0.0)</f>
        <v>0</v>
      </c>
      <c r="U12" s="153">
        <f>IFERROR(__xludf.DUMMYFUNCTION("""COMPUTED_VALUE"""),27.0)</f>
        <v>27</v>
      </c>
      <c r="V12" s="153">
        <f>IFERROR(__xludf.DUMMYFUNCTION("""COMPUTED_VALUE"""),25.0)</f>
        <v>25</v>
      </c>
      <c r="W12" s="153">
        <f>IFERROR(__xludf.DUMMYFUNCTION("""COMPUTED_VALUE"""),5.0)</f>
        <v>5</v>
      </c>
      <c r="X12" s="153">
        <f>IFERROR(__xludf.DUMMYFUNCTION("""COMPUTED_VALUE"""),0.0)</f>
        <v>0</v>
      </c>
      <c r="Y12" s="153">
        <f>IFERROR(__xludf.DUMMYFUNCTION("""COMPUTED_VALUE"""),0.0)</f>
        <v>0</v>
      </c>
      <c r="Z12" s="153">
        <f>IFERROR(__xludf.DUMMYFUNCTION("""COMPUTED_VALUE"""),1.0)</f>
        <v>1</v>
      </c>
    </row>
    <row r="13">
      <c r="A13" s="210">
        <f>IFERROR(__xludf.DUMMYFUNCTION("""COMPUTED_VALUE"""),43912.0)</f>
        <v>43912</v>
      </c>
      <c r="B13" s="153">
        <f>IFERROR(__xludf.DUMMYFUNCTION("""COMPUTED_VALUE"""),27.0)</f>
        <v>27</v>
      </c>
      <c r="C13" s="153">
        <f>IFERROR(__xludf.DUMMYFUNCTION("""COMPUTED_VALUE"""),17.0)</f>
        <v>17</v>
      </c>
      <c r="D13" s="153">
        <f>IFERROR(__xludf.DUMMYFUNCTION("""COMPUTED_VALUE"""),112.0)</f>
        <v>112</v>
      </c>
      <c r="E13" s="153">
        <f>IFERROR(__xludf.DUMMYFUNCTION("""COMPUTED_VALUE"""),282.0)</f>
        <v>282</v>
      </c>
      <c r="F13" s="153">
        <f>IFERROR(__xludf.DUMMYFUNCTION("""COMPUTED_VALUE"""),1619.0)</f>
        <v>1619</v>
      </c>
      <c r="G13" s="153">
        <f>IFERROR(__xludf.DUMMYFUNCTION("""COMPUTED_VALUE"""),309.0)</f>
        <v>309</v>
      </c>
      <c r="H13" s="153">
        <f>IFERROR(__xludf.DUMMYFUNCTION("""COMPUTED_VALUE"""),1731.0)</f>
        <v>1731</v>
      </c>
      <c r="I13" s="153">
        <f>IFERROR(__xludf.DUMMYFUNCTION("""COMPUTED_VALUE"""),25.0)</f>
        <v>25</v>
      </c>
      <c r="J13" s="153">
        <f>IFERROR(__xludf.DUMMYFUNCTION("""COMPUTED_VALUE"""),17.0)</f>
        <v>17</v>
      </c>
      <c r="K13" s="153">
        <f>IFERROR(__xludf.DUMMYFUNCTION("""COMPUTED_VALUE"""),113.0)</f>
        <v>113</v>
      </c>
      <c r="L13" s="153">
        <f>IFERROR(__xludf.DUMMYFUNCTION("""COMPUTED_VALUE"""),262.0)</f>
        <v>262</v>
      </c>
      <c r="M13" s="153">
        <f>IFERROR(__xludf.DUMMYFUNCTION("""COMPUTED_VALUE"""),1545.0)</f>
        <v>1545</v>
      </c>
      <c r="N13" s="153">
        <f>IFERROR(__xludf.DUMMYFUNCTION("""COMPUTED_VALUE"""),1658.0)</f>
        <v>1658</v>
      </c>
      <c r="O13" s="153">
        <f>IFERROR(__xludf.DUMMYFUNCTION("""COMPUTED_VALUE"""),2.0)</f>
        <v>2</v>
      </c>
      <c r="P13" s="153">
        <f>IFERROR(__xludf.DUMMYFUNCTION("""COMPUTED_VALUE"""),33.0)</f>
        <v>33</v>
      </c>
      <c r="Q13" s="153">
        <f>IFERROR(__xludf.DUMMYFUNCTION("""COMPUTED_VALUE"""),0.0)</f>
        <v>0</v>
      </c>
      <c r="R13" s="153">
        <f>IFERROR(__xludf.DUMMYFUNCTION("""COMPUTED_VALUE"""),4.0)</f>
        <v>4</v>
      </c>
      <c r="S13" s="153">
        <f>IFERROR(__xludf.DUMMYFUNCTION("""COMPUTED_VALUE"""),0.0)</f>
        <v>0</v>
      </c>
      <c r="T13" s="153">
        <f>IFERROR(__xludf.DUMMYFUNCTION("""COMPUTED_VALUE"""),0.0)</f>
        <v>0</v>
      </c>
      <c r="U13" s="153">
        <f>IFERROR(__xludf.DUMMYFUNCTION("""COMPUTED_VALUE"""),29.0)</f>
        <v>29</v>
      </c>
      <c r="V13" s="153">
        <f>IFERROR(__xludf.DUMMYFUNCTION("""COMPUTED_VALUE"""),27.0)</f>
        <v>27</v>
      </c>
      <c r="W13" s="153">
        <f>IFERROR(__xludf.DUMMYFUNCTION("""COMPUTED_VALUE"""),5.0)</f>
        <v>5</v>
      </c>
      <c r="X13" s="153">
        <f>IFERROR(__xludf.DUMMYFUNCTION("""COMPUTED_VALUE"""),0.0)</f>
        <v>0</v>
      </c>
      <c r="Y13" s="153">
        <f>IFERROR(__xludf.DUMMYFUNCTION("""COMPUTED_VALUE"""),0.0)</f>
        <v>0</v>
      </c>
      <c r="Z13" s="153">
        <f>IFERROR(__xludf.DUMMYFUNCTION("""COMPUTED_VALUE"""),1.0)</f>
        <v>1</v>
      </c>
    </row>
    <row r="14">
      <c r="A14" s="210">
        <f>IFERROR(__xludf.DUMMYFUNCTION("""COMPUTED_VALUE"""),43913.0)</f>
        <v>43913</v>
      </c>
      <c r="B14" s="153">
        <f>IFERROR(__xludf.DUMMYFUNCTION("""COMPUTED_VALUE"""),14.0)</f>
        <v>14</v>
      </c>
      <c r="C14" s="153">
        <f>IFERROR(__xludf.DUMMYFUNCTION("""COMPUTED_VALUE"""),18.0)</f>
        <v>18</v>
      </c>
      <c r="D14" s="153">
        <f>IFERROR(__xludf.DUMMYFUNCTION("""COMPUTED_VALUE"""),126.0)</f>
        <v>126</v>
      </c>
      <c r="E14" s="153">
        <f>IFERROR(__xludf.DUMMYFUNCTION("""COMPUTED_VALUE"""),169.0)</f>
        <v>169</v>
      </c>
      <c r="F14" s="153">
        <f>IFERROR(__xludf.DUMMYFUNCTION("""COMPUTED_VALUE"""),1788.0)</f>
        <v>1788</v>
      </c>
      <c r="G14" s="153">
        <f>IFERROR(__xludf.DUMMYFUNCTION("""COMPUTED_VALUE"""),183.0)</f>
        <v>183</v>
      </c>
      <c r="H14" s="153">
        <f>IFERROR(__xludf.DUMMYFUNCTION("""COMPUTED_VALUE"""),1914.0)</f>
        <v>1914</v>
      </c>
      <c r="I14" s="153">
        <f>IFERROR(__xludf.DUMMYFUNCTION("""COMPUTED_VALUE"""),16.0)</f>
        <v>16</v>
      </c>
      <c r="J14" s="153">
        <f>IFERROR(__xludf.DUMMYFUNCTION("""COMPUTED_VALUE"""),18.0)</f>
        <v>18</v>
      </c>
      <c r="K14" s="153">
        <f>IFERROR(__xludf.DUMMYFUNCTION("""COMPUTED_VALUE"""),129.0)</f>
        <v>129</v>
      </c>
      <c r="L14" s="153">
        <f>IFERROR(__xludf.DUMMYFUNCTION("""COMPUTED_VALUE"""),165.0)</f>
        <v>165</v>
      </c>
      <c r="M14" s="153">
        <f>IFERROR(__xludf.DUMMYFUNCTION("""COMPUTED_VALUE"""),1710.0)</f>
        <v>1710</v>
      </c>
      <c r="N14" s="153">
        <f>IFERROR(__xludf.DUMMYFUNCTION("""COMPUTED_VALUE"""),1839.0)</f>
        <v>1839</v>
      </c>
      <c r="O14" s="153">
        <f>IFERROR(__xludf.DUMMYFUNCTION("""COMPUTED_VALUE"""),15.0)</f>
        <v>15</v>
      </c>
      <c r="P14" s="153">
        <f>IFERROR(__xludf.DUMMYFUNCTION("""COMPUTED_VALUE"""),48.0)</f>
        <v>48</v>
      </c>
      <c r="Q14" s="153">
        <f>IFERROR(__xludf.DUMMYFUNCTION("""COMPUTED_VALUE"""),1.0)</f>
        <v>1</v>
      </c>
      <c r="R14" s="153">
        <f>IFERROR(__xludf.DUMMYFUNCTION("""COMPUTED_VALUE"""),5.0)</f>
        <v>5</v>
      </c>
      <c r="S14" s="153">
        <f>IFERROR(__xludf.DUMMYFUNCTION("""COMPUTED_VALUE"""),0.0)</f>
        <v>0</v>
      </c>
      <c r="T14" s="153">
        <f>IFERROR(__xludf.DUMMYFUNCTION("""COMPUTED_VALUE"""),0.0)</f>
        <v>0</v>
      </c>
      <c r="U14" s="153">
        <f>IFERROR(__xludf.DUMMYFUNCTION("""COMPUTED_VALUE"""),43.0)</f>
        <v>43</v>
      </c>
      <c r="V14" s="153">
        <f>IFERROR(__xludf.DUMMYFUNCTION("""COMPUTED_VALUE"""),33.0)</f>
        <v>33</v>
      </c>
      <c r="W14" s="153">
        <f>IFERROR(__xludf.DUMMYFUNCTION("""COMPUTED_VALUE"""),9.0)</f>
        <v>9</v>
      </c>
      <c r="X14" s="153">
        <f>IFERROR(__xludf.DUMMYFUNCTION("""COMPUTED_VALUE"""),3.0)</f>
        <v>3</v>
      </c>
      <c r="Y14" s="153">
        <f>IFERROR(__xludf.DUMMYFUNCTION("""COMPUTED_VALUE"""),0.0)</f>
        <v>0</v>
      </c>
      <c r="Z14" s="153">
        <f>IFERROR(__xludf.DUMMYFUNCTION("""COMPUTED_VALUE"""),1.0)</f>
        <v>1</v>
      </c>
    </row>
    <row r="15">
      <c r="A15" s="210">
        <f>IFERROR(__xludf.DUMMYFUNCTION("""COMPUTED_VALUE"""),43914.0)</f>
        <v>43914</v>
      </c>
      <c r="B15" s="153">
        <f>IFERROR(__xludf.DUMMYFUNCTION("""COMPUTED_VALUE"""),20.0)</f>
        <v>20</v>
      </c>
      <c r="C15" s="153">
        <f>IFERROR(__xludf.DUMMYFUNCTION("""COMPUTED_VALUE"""),20.0)</f>
        <v>20</v>
      </c>
      <c r="D15" s="153">
        <f>IFERROR(__xludf.DUMMYFUNCTION("""COMPUTED_VALUE"""),146.0)</f>
        <v>146</v>
      </c>
      <c r="E15" s="153">
        <f>IFERROR(__xludf.DUMMYFUNCTION("""COMPUTED_VALUE"""),242.0)</f>
        <v>242</v>
      </c>
      <c r="F15" s="153">
        <f>IFERROR(__xludf.DUMMYFUNCTION("""COMPUTED_VALUE"""),2030.0)</f>
        <v>2030</v>
      </c>
      <c r="G15" s="153">
        <f>IFERROR(__xludf.DUMMYFUNCTION("""COMPUTED_VALUE"""),262.0)</f>
        <v>262</v>
      </c>
      <c r="H15" s="153">
        <f>IFERROR(__xludf.DUMMYFUNCTION("""COMPUTED_VALUE"""),2176.0)</f>
        <v>2176</v>
      </c>
      <c r="I15" s="153">
        <f>IFERROR(__xludf.DUMMYFUNCTION("""COMPUTED_VALUE"""),19.0)</f>
        <v>19</v>
      </c>
      <c r="J15" s="153">
        <f>IFERROR(__xludf.DUMMYFUNCTION("""COMPUTED_VALUE"""),20.0)</f>
        <v>20</v>
      </c>
      <c r="K15" s="153">
        <f>IFERROR(__xludf.DUMMYFUNCTION("""COMPUTED_VALUE"""),148.0)</f>
        <v>148</v>
      </c>
      <c r="L15" s="153">
        <f>IFERROR(__xludf.DUMMYFUNCTION("""COMPUTED_VALUE"""),237.0)</f>
        <v>237</v>
      </c>
      <c r="M15" s="153">
        <f>IFERROR(__xludf.DUMMYFUNCTION("""COMPUTED_VALUE"""),1947.0)</f>
        <v>1947</v>
      </c>
      <c r="N15" s="153">
        <f>IFERROR(__xludf.DUMMYFUNCTION("""COMPUTED_VALUE"""),2095.0)</f>
        <v>2095</v>
      </c>
      <c r="O15" s="153">
        <f>IFERROR(__xludf.DUMMYFUNCTION("""COMPUTED_VALUE"""),7.0)</f>
        <v>7</v>
      </c>
      <c r="P15" s="153">
        <f>IFERROR(__xludf.DUMMYFUNCTION("""COMPUTED_VALUE"""),55.0)</f>
        <v>55</v>
      </c>
      <c r="Q15" s="153">
        <f>IFERROR(__xludf.DUMMYFUNCTION("""COMPUTED_VALUE"""),0.0)</f>
        <v>0</v>
      </c>
      <c r="R15" s="153">
        <f>IFERROR(__xludf.DUMMYFUNCTION("""COMPUTED_VALUE"""),5.0)</f>
        <v>5</v>
      </c>
      <c r="S15" s="153">
        <f>IFERROR(__xludf.DUMMYFUNCTION("""COMPUTED_VALUE"""),0.0)</f>
        <v>0</v>
      </c>
      <c r="T15" s="153">
        <f>IFERROR(__xludf.DUMMYFUNCTION("""COMPUTED_VALUE"""),0.0)</f>
        <v>0</v>
      </c>
      <c r="U15" s="153">
        <f>IFERROR(__xludf.DUMMYFUNCTION("""COMPUTED_VALUE"""),50.0)</f>
        <v>50</v>
      </c>
      <c r="V15" s="153">
        <f>IFERROR(__xludf.DUMMYFUNCTION("""COMPUTED_VALUE"""),41.0)</f>
        <v>41</v>
      </c>
      <c r="W15" s="153">
        <f>IFERROR(__xludf.DUMMYFUNCTION("""COMPUTED_VALUE"""),10.0)</f>
        <v>10</v>
      </c>
      <c r="X15" s="153">
        <f>IFERROR(__xludf.DUMMYFUNCTION("""COMPUTED_VALUE"""),4.0)</f>
        <v>4</v>
      </c>
      <c r="Y15" s="153">
        <f>IFERROR(__xludf.DUMMYFUNCTION("""COMPUTED_VALUE"""),0.0)</f>
        <v>0</v>
      </c>
      <c r="Z15" s="153">
        <f>IFERROR(__xludf.DUMMYFUNCTION("""COMPUTED_VALUE"""),1.0)</f>
        <v>1</v>
      </c>
    </row>
    <row r="16">
      <c r="A16" s="210">
        <f>IFERROR(__xludf.DUMMYFUNCTION("""COMPUTED_VALUE"""),43915.0)</f>
        <v>43915</v>
      </c>
      <c r="B16" s="153">
        <f>IFERROR(__xludf.DUMMYFUNCTION("""COMPUTED_VALUE"""),26.0)</f>
        <v>26</v>
      </c>
      <c r="C16" s="153">
        <f>IFERROR(__xludf.DUMMYFUNCTION("""COMPUTED_VALUE"""),20.0)</f>
        <v>20</v>
      </c>
      <c r="D16" s="153">
        <f>IFERROR(__xludf.DUMMYFUNCTION("""COMPUTED_VALUE"""),172.0)</f>
        <v>172</v>
      </c>
      <c r="E16" s="153">
        <f>IFERROR(__xludf.DUMMYFUNCTION("""COMPUTED_VALUE"""),182.0)</f>
        <v>182</v>
      </c>
      <c r="F16" s="153">
        <f>IFERROR(__xludf.DUMMYFUNCTION("""COMPUTED_VALUE"""),2212.0)</f>
        <v>2212</v>
      </c>
      <c r="G16" s="153">
        <f>IFERROR(__xludf.DUMMYFUNCTION("""COMPUTED_VALUE"""),208.0)</f>
        <v>208</v>
      </c>
      <c r="H16" s="153">
        <f>IFERROR(__xludf.DUMMYFUNCTION("""COMPUTED_VALUE"""),2384.0)</f>
        <v>2384</v>
      </c>
      <c r="I16" s="153">
        <f>IFERROR(__xludf.DUMMYFUNCTION("""COMPUTED_VALUE"""),28.0)</f>
        <v>28</v>
      </c>
      <c r="J16" s="153">
        <f>IFERROR(__xludf.DUMMYFUNCTION("""COMPUTED_VALUE"""),21.0)</f>
        <v>21</v>
      </c>
      <c r="K16" s="153">
        <f>IFERROR(__xludf.DUMMYFUNCTION("""COMPUTED_VALUE"""),176.0)</f>
        <v>176</v>
      </c>
      <c r="L16" s="153">
        <f>IFERROR(__xludf.DUMMYFUNCTION("""COMPUTED_VALUE"""),172.0)</f>
        <v>172</v>
      </c>
      <c r="M16" s="153">
        <f>IFERROR(__xludf.DUMMYFUNCTION("""COMPUTED_VALUE"""),2119.0)</f>
        <v>2119</v>
      </c>
      <c r="N16" s="153">
        <f>IFERROR(__xludf.DUMMYFUNCTION("""COMPUTED_VALUE"""),2295.0)</f>
        <v>2295</v>
      </c>
      <c r="O16" s="153">
        <f>IFERROR(__xludf.DUMMYFUNCTION("""COMPUTED_VALUE"""),5.0)</f>
        <v>5</v>
      </c>
      <c r="P16" s="153">
        <f>IFERROR(__xludf.DUMMYFUNCTION("""COMPUTED_VALUE"""),60.0)</f>
        <v>60</v>
      </c>
      <c r="Q16" s="153">
        <f>IFERROR(__xludf.DUMMYFUNCTION("""COMPUTED_VALUE"""),1.0)</f>
        <v>1</v>
      </c>
      <c r="R16" s="153">
        <f>IFERROR(__xludf.DUMMYFUNCTION("""COMPUTED_VALUE"""),6.0)</f>
        <v>6</v>
      </c>
      <c r="S16" s="153">
        <f>IFERROR(__xludf.DUMMYFUNCTION("""COMPUTED_VALUE"""),0.0)</f>
        <v>0</v>
      </c>
      <c r="T16" s="153">
        <f>IFERROR(__xludf.DUMMYFUNCTION("""COMPUTED_VALUE"""),0.0)</f>
        <v>0</v>
      </c>
      <c r="U16" s="153">
        <f>IFERROR(__xludf.DUMMYFUNCTION("""COMPUTED_VALUE"""),54.0)</f>
        <v>54</v>
      </c>
      <c r="V16" s="153">
        <f>IFERROR(__xludf.DUMMYFUNCTION("""COMPUTED_VALUE"""),49.0)</f>
        <v>49</v>
      </c>
      <c r="W16" s="153">
        <f>IFERROR(__xludf.DUMMYFUNCTION("""COMPUTED_VALUE"""),11.0)</f>
        <v>11</v>
      </c>
      <c r="X16" s="153">
        <f>IFERROR(__xludf.DUMMYFUNCTION("""COMPUTED_VALUE"""),3.0)</f>
        <v>3</v>
      </c>
      <c r="Y16" s="153">
        <f>IFERROR(__xludf.DUMMYFUNCTION("""COMPUTED_VALUE"""),0.0)</f>
        <v>0</v>
      </c>
      <c r="Z16" s="153">
        <f>IFERROR(__xludf.DUMMYFUNCTION("""COMPUTED_VALUE"""),1.0)</f>
        <v>1</v>
      </c>
    </row>
    <row r="17">
      <c r="A17" s="210">
        <f>IFERROR(__xludf.DUMMYFUNCTION("""COMPUTED_VALUE"""),43916.0)</f>
        <v>43916</v>
      </c>
      <c r="B17" s="153">
        <f>IFERROR(__xludf.DUMMYFUNCTION("""COMPUTED_VALUE"""),35.0)</f>
        <v>35</v>
      </c>
      <c r="C17" s="153">
        <f>IFERROR(__xludf.DUMMYFUNCTION("""COMPUTED_VALUE"""),27.0)</f>
        <v>27</v>
      </c>
      <c r="D17" s="153">
        <f>IFERROR(__xludf.DUMMYFUNCTION("""COMPUTED_VALUE"""),207.0)</f>
        <v>207</v>
      </c>
      <c r="E17" s="153">
        <f>IFERROR(__xludf.DUMMYFUNCTION("""COMPUTED_VALUE"""),181.0)</f>
        <v>181</v>
      </c>
      <c r="F17" s="153">
        <f>IFERROR(__xludf.DUMMYFUNCTION("""COMPUTED_VALUE"""),2393.0)</f>
        <v>2393</v>
      </c>
      <c r="G17" s="153">
        <f>IFERROR(__xludf.DUMMYFUNCTION("""COMPUTED_VALUE"""),216.0)</f>
        <v>216</v>
      </c>
      <c r="H17" s="153">
        <f>IFERROR(__xludf.DUMMYFUNCTION("""COMPUTED_VALUE"""),2600.0)</f>
        <v>2600</v>
      </c>
      <c r="I17" s="153">
        <f>IFERROR(__xludf.DUMMYFUNCTION("""COMPUTED_VALUE"""),41.0)</f>
        <v>41</v>
      </c>
      <c r="J17" s="153">
        <f>IFERROR(__xludf.DUMMYFUNCTION("""COMPUTED_VALUE"""),29.0)</f>
        <v>29</v>
      </c>
      <c r="K17" s="153">
        <f>IFERROR(__xludf.DUMMYFUNCTION("""COMPUTED_VALUE"""),217.0)</f>
        <v>217</v>
      </c>
      <c r="L17" s="153">
        <f>IFERROR(__xludf.DUMMYFUNCTION("""COMPUTED_VALUE"""),175.0)</f>
        <v>175</v>
      </c>
      <c r="M17" s="153">
        <f>IFERROR(__xludf.DUMMYFUNCTION("""COMPUTED_VALUE"""),2294.0)</f>
        <v>2294</v>
      </c>
      <c r="N17" s="153">
        <f>IFERROR(__xludf.DUMMYFUNCTION("""COMPUTED_VALUE"""),2511.0)</f>
        <v>2511</v>
      </c>
      <c r="O17" s="153">
        <f>IFERROR(__xludf.DUMMYFUNCTION("""COMPUTED_VALUE"""),10.0)</f>
        <v>10</v>
      </c>
      <c r="P17" s="153">
        <f>IFERROR(__xludf.DUMMYFUNCTION("""COMPUTED_VALUE"""),70.0)</f>
        <v>70</v>
      </c>
      <c r="Q17" s="153">
        <f>IFERROR(__xludf.DUMMYFUNCTION("""COMPUTED_VALUE"""),5.0)</f>
        <v>5</v>
      </c>
      <c r="R17" s="153">
        <f>IFERROR(__xludf.DUMMYFUNCTION("""COMPUTED_VALUE"""),11.0)</f>
        <v>11</v>
      </c>
      <c r="S17" s="153">
        <f>IFERROR(__xludf.DUMMYFUNCTION("""COMPUTED_VALUE"""),0.0)</f>
        <v>0</v>
      </c>
      <c r="T17" s="153">
        <f>IFERROR(__xludf.DUMMYFUNCTION("""COMPUTED_VALUE"""),0.0)</f>
        <v>0</v>
      </c>
      <c r="U17" s="153">
        <f>IFERROR(__xludf.DUMMYFUNCTION("""COMPUTED_VALUE"""),59.0)</f>
        <v>59</v>
      </c>
      <c r="V17" s="153">
        <f>IFERROR(__xludf.DUMMYFUNCTION("""COMPUTED_VALUE"""),54.0)</f>
        <v>54</v>
      </c>
      <c r="W17" s="153">
        <f>IFERROR(__xludf.DUMMYFUNCTION("""COMPUTED_VALUE"""),14.0)</f>
        <v>14</v>
      </c>
      <c r="X17" s="153">
        <f>IFERROR(__xludf.DUMMYFUNCTION("""COMPUTED_VALUE"""),5.0)</f>
        <v>5</v>
      </c>
      <c r="Y17" s="153">
        <f>IFERROR(__xludf.DUMMYFUNCTION("""COMPUTED_VALUE"""),0.0)</f>
        <v>0</v>
      </c>
      <c r="Z17" s="153">
        <f>IFERROR(__xludf.DUMMYFUNCTION("""COMPUTED_VALUE"""),1.0)</f>
        <v>1</v>
      </c>
    </row>
    <row r="18">
      <c r="A18" s="210">
        <f>IFERROR(__xludf.DUMMYFUNCTION("""COMPUTED_VALUE"""),43917.0)</f>
        <v>43917</v>
      </c>
      <c r="B18" s="153">
        <f>IFERROR(__xludf.DUMMYFUNCTION("""COMPUTED_VALUE"""),27.0)</f>
        <v>27</v>
      </c>
      <c r="C18" s="153">
        <f>IFERROR(__xludf.DUMMYFUNCTION("""COMPUTED_VALUE"""),29.0)</f>
        <v>29</v>
      </c>
      <c r="D18" s="153">
        <f>IFERROR(__xludf.DUMMYFUNCTION("""COMPUTED_VALUE"""),234.0)</f>
        <v>234</v>
      </c>
      <c r="E18" s="153">
        <f>IFERROR(__xludf.DUMMYFUNCTION("""COMPUTED_VALUE"""),214.0)</f>
        <v>214</v>
      </c>
      <c r="F18" s="153">
        <f>IFERROR(__xludf.DUMMYFUNCTION("""COMPUTED_VALUE"""),2607.0)</f>
        <v>2607</v>
      </c>
      <c r="G18" s="153">
        <f>IFERROR(__xludf.DUMMYFUNCTION("""COMPUTED_VALUE"""),241.0)</f>
        <v>241</v>
      </c>
      <c r="H18" s="153">
        <f>IFERROR(__xludf.DUMMYFUNCTION("""COMPUTED_VALUE"""),2841.0)</f>
        <v>2841</v>
      </c>
      <c r="I18" s="153">
        <f>IFERROR(__xludf.DUMMYFUNCTION("""COMPUTED_VALUE"""),31.0)</f>
        <v>31</v>
      </c>
      <c r="J18" s="153">
        <f>IFERROR(__xludf.DUMMYFUNCTION("""COMPUTED_VALUE"""),33.0)</f>
        <v>33</v>
      </c>
      <c r="K18" s="153">
        <f>IFERROR(__xludf.DUMMYFUNCTION("""COMPUTED_VALUE"""),248.0)</f>
        <v>248</v>
      </c>
      <c r="L18" s="153">
        <f>IFERROR(__xludf.DUMMYFUNCTION("""COMPUTED_VALUE"""),202.0)</f>
        <v>202</v>
      </c>
      <c r="M18" s="153">
        <f>IFERROR(__xludf.DUMMYFUNCTION("""COMPUTED_VALUE"""),2496.0)</f>
        <v>2496</v>
      </c>
      <c r="N18" s="153">
        <f>IFERROR(__xludf.DUMMYFUNCTION("""COMPUTED_VALUE"""),2744.0)</f>
        <v>2744</v>
      </c>
      <c r="O18" s="153">
        <f>IFERROR(__xludf.DUMMYFUNCTION("""COMPUTED_VALUE"""),9.0)</f>
        <v>9</v>
      </c>
      <c r="P18" s="153">
        <f>IFERROR(__xludf.DUMMYFUNCTION("""COMPUTED_VALUE"""),79.0)</f>
        <v>79</v>
      </c>
      <c r="Q18" s="153">
        <f>IFERROR(__xludf.DUMMYFUNCTION("""COMPUTED_VALUE"""),1.0)</f>
        <v>1</v>
      </c>
      <c r="R18" s="153">
        <f>IFERROR(__xludf.DUMMYFUNCTION("""COMPUTED_VALUE"""),12.0)</f>
        <v>12</v>
      </c>
      <c r="S18" s="153">
        <f>IFERROR(__xludf.DUMMYFUNCTION("""COMPUTED_VALUE"""),1.0)</f>
        <v>1</v>
      </c>
      <c r="T18" s="153">
        <f>IFERROR(__xludf.DUMMYFUNCTION("""COMPUTED_VALUE"""),1.0)</f>
        <v>1</v>
      </c>
      <c r="U18" s="153">
        <f>IFERROR(__xludf.DUMMYFUNCTION("""COMPUTED_VALUE"""),66.0)</f>
        <v>66</v>
      </c>
      <c r="V18" s="153">
        <f>IFERROR(__xludf.DUMMYFUNCTION("""COMPUTED_VALUE"""),60.0)</f>
        <v>60</v>
      </c>
      <c r="W18" s="153">
        <f>IFERROR(__xludf.DUMMYFUNCTION("""COMPUTED_VALUE"""),17.0)</f>
        <v>17</v>
      </c>
      <c r="X18" s="153">
        <f>IFERROR(__xludf.DUMMYFUNCTION("""COMPUTED_VALUE"""),6.0)</f>
        <v>6</v>
      </c>
      <c r="Y18" s="153">
        <f>IFERROR(__xludf.DUMMYFUNCTION("""COMPUTED_VALUE"""),2.0)</f>
        <v>2</v>
      </c>
      <c r="Z18" s="153">
        <f>IFERROR(__xludf.DUMMYFUNCTION("""COMPUTED_VALUE"""),3.0)</f>
        <v>3</v>
      </c>
    </row>
    <row r="19">
      <c r="A19" s="210">
        <f>IFERROR(__xludf.DUMMYFUNCTION("""COMPUTED_VALUE"""),43918.0)</f>
        <v>43918</v>
      </c>
      <c r="B19" s="153">
        <f>IFERROR(__xludf.DUMMYFUNCTION("""COMPUTED_VALUE"""),59.0)</f>
        <v>59</v>
      </c>
      <c r="C19" s="153">
        <f>IFERROR(__xludf.DUMMYFUNCTION("""COMPUTED_VALUE"""),40.0)</f>
        <v>40</v>
      </c>
      <c r="D19" s="153">
        <f>IFERROR(__xludf.DUMMYFUNCTION("""COMPUTED_VALUE"""),293.0)</f>
        <v>293</v>
      </c>
      <c r="E19" s="153">
        <f>IFERROR(__xludf.DUMMYFUNCTION("""COMPUTED_VALUE"""),260.0)</f>
        <v>260</v>
      </c>
      <c r="F19" s="153">
        <f>IFERROR(__xludf.DUMMYFUNCTION("""COMPUTED_VALUE"""),2867.0)</f>
        <v>2867</v>
      </c>
      <c r="G19" s="153">
        <f>IFERROR(__xludf.DUMMYFUNCTION("""COMPUTED_VALUE"""),319.0)</f>
        <v>319</v>
      </c>
      <c r="H19" s="153">
        <f>IFERROR(__xludf.DUMMYFUNCTION("""COMPUTED_VALUE"""),3160.0)</f>
        <v>3160</v>
      </c>
      <c r="I19" s="153">
        <f>IFERROR(__xludf.DUMMYFUNCTION("""COMPUTED_VALUE"""),64.0)</f>
        <v>64</v>
      </c>
      <c r="J19" s="153">
        <f>IFERROR(__xludf.DUMMYFUNCTION("""COMPUTED_VALUE"""),45.0)</f>
        <v>45</v>
      </c>
      <c r="K19" s="153">
        <f>IFERROR(__xludf.DUMMYFUNCTION("""COMPUTED_VALUE"""),312.0)</f>
        <v>312</v>
      </c>
      <c r="L19" s="153">
        <f>IFERROR(__xludf.DUMMYFUNCTION("""COMPUTED_VALUE"""),241.0)</f>
        <v>241</v>
      </c>
      <c r="M19" s="153">
        <f>IFERROR(__xludf.DUMMYFUNCTION("""COMPUTED_VALUE"""),2737.0)</f>
        <v>2737</v>
      </c>
      <c r="N19" s="153">
        <f>IFERROR(__xludf.DUMMYFUNCTION("""COMPUTED_VALUE"""),3049.0)</f>
        <v>3049</v>
      </c>
      <c r="O19" s="153">
        <f>IFERROR(__xludf.DUMMYFUNCTION("""COMPUTED_VALUE"""),13.0)</f>
        <v>13</v>
      </c>
      <c r="P19" s="153">
        <f>IFERROR(__xludf.DUMMYFUNCTION("""COMPUTED_VALUE"""),92.0)</f>
        <v>92</v>
      </c>
      <c r="Q19" s="153">
        <f>IFERROR(__xludf.DUMMYFUNCTION("""COMPUTED_VALUE"""),3.0)</f>
        <v>3</v>
      </c>
      <c r="R19" s="153">
        <f>IFERROR(__xludf.DUMMYFUNCTION("""COMPUTED_VALUE"""),15.0)</f>
        <v>15</v>
      </c>
      <c r="S19" s="153">
        <f>IFERROR(__xludf.DUMMYFUNCTION("""COMPUTED_VALUE"""),2.0)</f>
        <v>2</v>
      </c>
      <c r="T19" s="153">
        <f>IFERROR(__xludf.DUMMYFUNCTION("""COMPUTED_VALUE"""),3.0)</f>
        <v>3</v>
      </c>
      <c r="U19" s="153">
        <f>IFERROR(__xludf.DUMMYFUNCTION("""COMPUTED_VALUE"""),74.0)</f>
        <v>74</v>
      </c>
      <c r="V19" s="153">
        <f>IFERROR(__xludf.DUMMYFUNCTION("""COMPUTED_VALUE"""),66.0)</f>
        <v>66</v>
      </c>
      <c r="W19" s="153">
        <f>IFERROR(__xludf.DUMMYFUNCTION("""COMPUTED_VALUE"""),15.0)</f>
        <v>15</v>
      </c>
      <c r="X19" s="153">
        <f>IFERROR(__xludf.DUMMYFUNCTION("""COMPUTED_VALUE"""),6.0)</f>
        <v>6</v>
      </c>
      <c r="Y19" s="153">
        <f>IFERROR(__xludf.DUMMYFUNCTION("""COMPUTED_VALUE"""),1.0)</f>
        <v>1</v>
      </c>
      <c r="Z19" s="153">
        <f>IFERROR(__xludf.DUMMYFUNCTION("""COMPUTED_VALUE"""),4.0)</f>
        <v>4</v>
      </c>
    </row>
    <row r="20">
      <c r="A20" s="210">
        <f>IFERROR(__xludf.DUMMYFUNCTION("""COMPUTED_VALUE"""),43919.0)</f>
        <v>43919</v>
      </c>
      <c r="B20" s="153">
        <f>IFERROR(__xludf.DUMMYFUNCTION("""COMPUTED_VALUE"""),100.0)</f>
        <v>100</v>
      </c>
      <c r="C20" s="153">
        <f>IFERROR(__xludf.DUMMYFUNCTION("""COMPUTED_VALUE"""),62.0)</f>
        <v>62</v>
      </c>
      <c r="D20" s="153">
        <f>IFERROR(__xludf.DUMMYFUNCTION("""COMPUTED_VALUE"""),393.0)</f>
        <v>393</v>
      </c>
      <c r="E20" s="153">
        <f>IFERROR(__xludf.DUMMYFUNCTION("""COMPUTED_VALUE"""),350.0)</f>
        <v>350</v>
      </c>
      <c r="F20" s="153">
        <f>IFERROR(__xludf.DUMMYFUNCTION("""COMPUTED_VALUE"""),3217.0)</f>
        <v>3217</v>
      </c>
      <c r="G20" s="153">
        <f>IFERROR(__xludf.DUMMYFUNCTION("""COMPUTED_VALUE"""),450.0)</f>
        <v>450</v>
      </c>
      <c r="H20" s="153">
        <f>IFERROR(__xludf.DUMMYFUNCTION("""COMPUTED_VALUE"""),3610.0)</f>
        <v>3610</v>
      </c>
      <c r="I20" s="153">
        <f>IFERROR(__xludf.DUMMYFUNCTION("""COMPUTED_VALUE"""),105.0)</f>
        <v>105</v>
      </c>
      <c r="J20" s="153">
        <f>IFERROR(__xludf.DUMMYFUNCTION("""COMPUTED_VALUE"""),67.0)</f>
        <v>67</v>
      </c>
      <c r="K20" s="153">
        <f>IFERROR(__xludf.DUMMYFUNCTION("""COMPUTED_VALUE"""),417.0)</f>
        <v>417</v>
      </c>
      <c r="L20" s="153">
        <f>IFERROR(__xludf.DUMMYFUNCTION("""COMPUTED_VALUE"""),312.0)</f>
        <v>312</v>
      </c>
      <c r="M20" s="153">
        <f>IFERROR(__xludf.DUMMYFUNCTION("""COMPUTED_VALUE"""),3049.0)</f>
        <v>3049</v>
      </c>
      <c r="N20" s="153">
        <f>IFERROR(__xludf.DUMMYFUNCTION("""COMPUTED_VALUE"""),3466.0)</f>
        <v>3466</v>
      </c>
      <c r="O20" s="153">
        <f>IFERROR(__xludf.DUMMYFUNCTION("""COMPUTED_VALUE"""),8.0)</f>
        <v>8</v>
      </c>
      <c r="P20" s="153">
        <f>IFERROR(__xludf.DUMMYFUNCTION("""COMPUTED_VALUE"""),100.0)</f>
        <v>100</v>
      </c>
      <c r="Q20" s="153">
        <f>IFERROR(__xludf.DUMMYFUNCTION("""COMPUTED_VALUE"""),4.0)</f>
        <v>4</v>
      </c>
      <c r="R20" s="153">
        <f>IFERROR(__xludf.DUMMYFUNCTION("""COMPUTED_VALUE"""),19.0)</f>
        <v>19</v>
      </c>
      <c r="S20" s="153">
        <f>IFERROR(__xludf.DUMMYFUNCTION("""COMPUTED_VALUE"""),1.0)</f>
        <v>1</v>
      </c>
      <c r="T20" s="153">
        <f>IFERROR(__xludf.DUMMYFUNCTION("""COMPUTED_VALUE"""),4.0)</f>
        <v>4</v>
      </c>
      <c r="U20" s="153">
        <f>IFERROR(__xludf.DUMMYFUNCTION("""COMPUTED_VALUE"""),77.0)</f>
        <v>77</v>
      </c>
      <c r="V20" s="153">
        <f>IFERROR(__xludf.DUMMYFUNCTION("""COMPUTED_VALUE"""),72.0)</f>
        <v>72</v>
      </c>
      <c r="W20" s="153">
        <f>IFERROR(__xludf.DUMMYFUNCTION("""COMPUTED_VALUE"""),18.0)</f>
        <v>18</v>
      </c>
      <c r="X20" s="153">
        <f>IFERROR(__xludf.DUMMYFUNCTION("""COMPUTED_VALUE"""),8.0)</f>
        <v>8</v>
      </c>
      <c r="Y20" s="153">
        <f>IFERROR(__xludf.DUMMYFUNCTION("""COMPUTED_VALUE"""),2.0)</f>
        <v>2</v>
      </c>
      <c r="Z20" s="153">
        <f>IFERROR(__xludf.DUMMYFUNCTION("""COMPUTED_VALUE"""),6.0)</f>
        <v>6</v>
      </c>
    </row>
    <row r="21">
      <c r="A21" s="210">
        <f>IFERROR(__xludf.DUMMYFUNCTION("""COMPUTED_VALUE"""),43920.0)</f>
        <v>43920</v>
      </c>
      <c r="B21" s="153">
        <f>IFERROR(__xludf.DUMMYFUNCTION("""COMPUTED_VALUE"""),62.0)</f>
        <v>62</v>
      </c>
      <c r="C21" s="153">
        <f>IFERROR(__xludf.DUMMYFUNCTION("""COMPUTED_VALUE"""),74.0)</f>
        <v>74</v>
      </c>
      <c r="D21" s="153">
        <f>IFERROR(__xludf.DUMMYFUNCTION("""COMPUTED_VALUE"""),455.0)</f>
        <v>455</v>
      </c>
      <c r="E21" s="153">
        <f>IFERROR(__xludf.DUMMYFUNCTION("""COMPUTED_VALUE"""),222.0)</f>
        <v>222</v>
      </c>
      <c r="F21" s="153">
        <f>IFERROR(__xludf.DUMMYFUNCTION("""COMPUTED_VALUE"""),3439.0)</f>
        <v>3439</v>
      </c>
      <c r="G21" s="153">
        <f>IFERROR(__xludf.DUMMYFUNCTION("""COMPUTED_VALUE"""),284.0)</f>
        <v>284</v>
      </c>
      <c r="H21" s="153">
        <f>IFERROR(__xludf.DUMMYFUNCTION("""COMPUTED_VALUE"""),3894.0)</f>
        <v>3894</v>
      </c>
      <c r="I21" s="153">
        <f>IFERROR(__xludf.DUMMYFUNCTION("""COMPUTED_VALUE"""),78.0)</f>
        <v>78</v>
      </c>
      <c r="J21" s="153">
        <f>IFERROR(__xludf.DUMMYFUNCTION("""COMPUTED_VALUE"""),82.0)</f>
        <v>82</v>
      </c>
      <c r="K21" s="153">
        <f>IFERROR(__xludf.DUMMYFUNCTION("""COMPUTED_VALUE"""),495.0)</f>
        <v>495</v>
      </c>
      <c r="L21" s="153">
        <f>IFERROR(__xludf.DUMMYFUNCTION("""COMPUTED_VALUE"""),184.0)</f>
        <v>184</v>
      </c>
      <c r="M21" s="153">
        <f>IFERROR(__xludf.DUMMYFUNCTION("""COMPUTED_VALUE"""),3233.0)</f>
        <v>3233</v>
      </c>
      <c r="N21" s="153">
        <f>IFERROR(__xludf.DUMMYFUNCTION("""COMPUTED_VALUE"""),3728.0)</f>
        <v>3728</v>
      </c>
      <c r="O21" s="153">
        <f>IFERROR(__xludf.DUMMYFUNCTION("""COMPUTED_VALUE"""),20.0)</f>
        <v>20</v>
      </c>
      <c r="P21" s="153">
        <f>IFERROR(__xludf.DUMMYFUNCTION("""COMPUTED_VALUE"""),120.0)</f>
        <v>120</v>
      </c>
      <c r="Q21" s="153">
        <f>IFERROR(__xludf.DUMMYFUNCTION("""COMPUTED_VALUE"""),5.0)</f>
        <v>5</v>
      </c>
      <c r="R21" s="153">
        <f>IFERROR(__xludf.DUMMYFUNCTION("""COMPUTED_VALUE"""),24.0)</f>
        <v>24</v>
      </c>
      <c r="S21" s="153">
        <f>IFERROR(__xludf.DUMMYFUNCTION("""COMPUTED_VALUE"""),0.0)</f>
        <v>0</v>
      </c>
      <c r="T21" s="153">
        <f>IFERROR(__xludf.DUMMYFUNCTION("""COMPUTED_VALUE"""),4.0)</f>
        <v>4</v>
      </c>
      <c r="U21" s="153">
        <f>IFERROR(__xludf.DUMMYFUNCTION("""COMPUTED_VALUE"""),92.0)</f>
        <v>92</v>
      </c>
      <c r="V21" s="153">
        <f>IFERROR(__xludf.DUMMYFUNCTION("""COMPUTED_VALUE"""),81.0)</f>
        <v>81</v>
      </c>
      <c r="W21" s="153">
        <f>IFERROR(__xludf.DUMMYFUNCTION("""COMPUTED_VALUE"""),20.0)</f>
        <v>20</v>
      </c>
      <c r="X21" s="153">
        <f>IFERROR(__xludf.DUMMYFUNCTION("""COMPUTED_VALUE"""),11.0)</f>
        <v>11</v>
      </c>
      <c r="Y21" s="153">
        <f>IFERROR(__xludf.DUMMYFUNCTION("""COMPUTED_VALUE"""),3.0)</f>
        <v>3</v>
      </c>
      <c r="Z21" s="153">
        <f>IFERROR(__xludf.DUMMYFUNCTION("""COMPUTED_VALUE"""),9.0)</f>
        <v>9</v>
      </c>
    </row>
    <row r="22">
      <c r="A22" s="210">
        <f>IFERROR(__xludf.DUMMYFUNCTION("""COMPUTED_VALUE"""),43921.0)</f>
        <v>43921</v>
      </c>
      <c r="B22" s="153">
        <f>IFERROR(__xludf.DUMMYFUNCTION("""COMPUTED_VALUE"""),71.0)</f>
        <v>71</v>
      </c>
      <c r="C22" s="153">
        <f>IFERROR(__xludf.DUMMYFUNCTION("""COMPUTED_VALUE"""),78.0)</f>
        <v>78</v>
      </c>
      <c r="D22" s="153">
        <f>IFERROR(__xludf.DUMMYFUNCTION("""COMPUTED_VALUE"""),526.0)</f>
        <v>526</v>
      </c>
      <c r="E22" s="153">
        <f>IFERROR(__xludf.DUMMYFUNCTION("""COMPUTED_VALUE"""),369.0)</f>
        <v>369</v>
      </c>
      <c r="F22" s="153">
        <f>IFERROR(__xludf.DUMMYFUNCTION("""COMPUTED_VALUE"""),3808.0)</f>
        <v>3808</v>
      </c>
      <c r="G22" s="153">
        <f>IFERROR(__xludf.DUMMYFUNCTION("""COMPUTED_VALUE"""),440.0)</f>
        <v>440</v>
      </c>
      <c r="H22" s="153">
        <f>IFERROR(__xludf.DUMMYFUNCTION("""COMPUTED_VALUE"""),4334.0)</f>
        <v>4334</v>
      </c>
      <c r="I22" s="153">
        <f>IFERROR(__xludf.DUMMYFUNCTION("""COMPUTED_VALUE"""),73.0)</f>
        <v>73</v>
      </c>
      <c r="J22" s="153">
        <f>IFERROR(__xludf.DUMMYFUNCTION("""COMPUTED_VALUE"""),85.0)</f>
        <v>85</v>
      </c>
      <c r="K22" s="153">
        <f>IFERROR(__xludf.DUMMYFUNCTION("""COMPUTED_VALUE"""),568.0)</f>
        <v>568</v>
      </c>
      <c r="L22" s="153">
        <f>IFERROR(__xludf.DUMMYFUNCTION("""COMPUTED_VALUE"""),297.0)</f>
        <v>297</v>
      </c>
      <c r="M22" s="153">
        <f>IFERROR(__xludf.DUMMYFUNCTION("""COMPUTED_VALUE"""),3530.0)</f>
        <v>3530</v>
      </c>
      <c r="N22" s="153">
        <f>IFERROR(__xludf.DUMMYFUNCTION("""COMPUTED_VALUE"""),4098.0)</f>
        <v>4098</v>
      </c>
      <c r="O22" s="153">
        <f>IFERROR(__xludf.DUMMYFUNCTION("""COMPUTED_VALUE"""),11.0)</f>
        <v>11</v>
      </c>
      <c r="P22" s="153">
        <f>IFERROR(__xludf.DUMMYFUNCTION("""COMPUTED_VALUE"""),131.0)</f>
        <v>131</v>
      </c>
      <c r="Q22" s="153">
        <f>IFERROR(__xludf.DUMMYFUNCTION("""COMPUTED_VALUE"""),7.0)</f>
        <v>7</v>
      </c>
      <c r="R22" s="153">
        <f>IFERROR(__xludf.DUMMYFUNCTION("""COMPUTED_VALUE"""),31.0)</f>
        <v>31</v>
      </c>
      <c r="S22" s="153">
        <f>IFERROR(__xludf.DUMMYFUNCTION("""COMPUTED_VALUE"""),1.0)</f>
        <v>1</v>
      </c>
      <c r="T22" s="153">
        <f>IFERROR(__xludf.DUMMYFUNCTION("""COMPUTED_VALUE"""),5.0)</f>
        <v>5</v>
      </c>
      <c r="U22" s="153">
        <f>IFERROR(__xludf.DUMMYFUNCTION("""COMPUTED_VALUE"""),95.0)</f>
        <v>95</v>
      </c>
      <c r="V22" s="153">
        <f>IFERROR(__xludf.DUMMYFUNCTION("""COMPUTED_VALUE"""),88.0)</f>
        <v>88</v>
      </c>
      <c r="W22" s="153">
        <f>IFERROR(__xludf.DUMMYFUNCTION("""COMPUTED_VALUE"""),22.0)</f>
        <v>22</v>
      </c>
      <c r="X22" s="153">
        <f>IFERROR(__xludf.DUMMYFUNCTION("""COMPUTED_VALUE"""),13.0)</f>
        <v>13</v>
      </c>
      <c r="Y22" s="153">
        <f>IFERROR(__xludf.DUMMYFUNCTION("""COMPUTED_VALUE"""),2.0)</f>
        <v>2</v>
      </c>
      <c r="Z22" s="153">
        <f>IFERROR(__xludf.DUMMYFUNCTION("""COMPUTED_VALUE"""),11.0)</f>
        <v>11</v>
      </c>
    </row>
    <row r="23">
      <c r="A23" s="210">
        <f>IFERROR(__xludf.DUMMYFUNCTION("""COMPUTED_VALUE"""),43922.0)</f>
        <v>43922</v>
      </c>
      <c r="B23" s="153">
        <f>IFERROR(__xludf.DUMMYFUNCTION("""COMPUTED_VALUE"""),99.0)</f>
        <v>99</v>
      </c>
      <c r="C23" s="153">
        <f>IFERROR(__xludf.DUMMYFUNCTION("""COMPUTED_VALUE"""),77.0)</f>
        <v>77</v>
      </c>
      <c r="D23" s="153">
        <f>IFERROR(__xludf.DUMMYFUNCTION("""COMPUTED_VALUE"""),625.0)</f>
        <v>625</v>
      </c>
      <c r="E23" s="153">
        <f>IFERROR(__xludf.DUMMYFUNCTION("""COMPUTED_VALUE"""),698.0)</f>
        <v>698</v>
      </c>
      <c r="F23" s="153">
        <f>IFERROR(__xludf.DUMMYFUNCTION("""COMPUTED_VALUE"""),4506.0)</f>
        <v>4506</v>
      </c>
      <c r="G23" s="153">
        <f>IFERROR(__xludf.DUMMYFUNCTION("""COMPUTED_VALUE"""),797.0)</f>
        <v>797</v>
      </c>
      <c r="H23" s="153">
        <f>IFERROR(__xludf.DUMMYFUNCTION("""COMPUTED_VALUE"""),5131.0)</f>
        <v>5131</v>
      </c>
      <c r="I23" s="153">
        <f>IFERROR(__xludf.DUMMYFUNCTION("""COMPUTED_VALUE"""),100.0)</f>
        <v>100</v>
      </c>
      <c r="J23" s="153">
        <f>IFERROR(__xludf.DUMMYFUNCTION("""COMPUTED_VALUE"""),84.0)</f>
        <v>84</v>
      </c>
      <c r="K23" s="153">
        <f>IFERROR(__xludf.DUMMYFUNCTION("""COMPUTED_VALUE"""),668.0)</f>
        <v>668</v>
      </c>
      <c r="L23" s="153">
        <f>IFERROR(__xludf.DUMMYFUNCTION("""COMPUTED_VALUE"""),640.0)</f>
        <v>640</v>
      </c>
      <c r="M23" s="153">
        <f>IFERROR(__xludf.DUMMYFUNCTION("""COMPUTED_VALUE"""),4170.0)</f>
        <v>4170</v>
      </c>
      <c r="N23" s="153">
        <f>IFERROR(__xludf.DUMMYFUNCTION("""COMPUTED_VALUE"""),4838.0)</f>
        <v>4838</v>
      </c>
      <c r="O23" s="153">
        <f>IFERROR(__xludf.DUMMYFUNCTION("""COMPUTED_VALUE"""),18.0)</f>
        <v>18</v>
      </c>
      <c r="P23" s="153">
        <f>IFERROR(__xludf.DUMMYFUNCTION("""COMPUTED_VALUE"""),149.0)</f>
        <v>149</v>
      </c>
      <c r="Q23" s="153">
        <f>IFERROR(__xludf.DUMMYFUNCTION("""COMPUTED_VALUE"""),7.0)</f>
        <v>7</v>
      </c>
      <c r="R23" s="153">
        <f>IFERROR(__xludf.DUMMYFUNCTION("""COMPUTED_VALUE"""),38.0)</f>
        <v>38</v>
      </c>
      <c r="S23" s="153">
        <f>IFERROR(__xludf.DUMMYFUNCTION("""COMPUTED_VALUE"""),0.0)</f>
        <v>0</v>
      </c>
      <c r="T23" s="153">
        <f>IFERROR(__xludf.DUMMYFUNCTION("""COMPUTED_VALUE"""),5.0)</f>
        <v>5</v>
      </c>
      <c r="U23" s="153">
        <f>IFERROR(__xludf.DUMMYFUNCTION("""COMPUTED_VALUE"""),106.0)</f>
        <v>106</v>
      </c>
      <c r="V23" s="153">
        <f>IFERROR(__xludf.DUMMYFUNCTION("""COMPUTED_VALUE"""),98.0)</f>
        <v>98</v>
      </c>
      <c r="W23" s="153">
        <f>IFERROR(__xludf.DUMMYFUNCTION("""COMPUTED_VALUE"""),30.0)</f>
        <v>30</v>
      </c>
      <c r="X23" s="153">
        <f>IFERROR(__xludf.DUMMYFUNCTION("""COMPUTED_VALUE"""),15.0)</f>
        <v>15</v>
      </c>
      <c r="Y23" s="153">
        <f>IFERROR(__xludf.DUMMYFUNCTION("""COMPUTED_VALUE"""),1.0)</f>
        <v>1</v>
      </c>
      <c r="Z23" s="153">
        <f>IFERROR(__xludf.DUMMYFUNCTION("""COMPUTED_VALUE"""),12.0)</f>
        <v>12</v>
      </c>
    </row>
    <row r="24">
      <c r="A24" s="210">
        <f>IFERROR(__xludf.DUMMYFUNCTION("""COMPUTED_VALUE"""),43923.0)</f>
        <v>43923</v>
      </c>
      <c r="B24" s="153">
        <f>IFERROR(__xludf.DUMMYFUNCTION("""COMPUTED_VALUE"""),52.0)</f>
        <v>52</v>
      </c>
      <c r="C24" s="153">
        <f>IFERROR(__xludf.DUMMYFUNCTION("""COMPUTED_VALUE"""),74.0)</f>
        <v>74</v>
      </c>
      <c r="D24" s="153">
        <f>IFERROR(__xludf.DUMMYFUNCTION("""COMPUTED_VALUE"""),677.0)</f>
        <v>677</v>
      </c>
      <c r="E24" s="153">
        <f>IFERROR(__xludf.DUMMYFUNCTION("""COMPUTED_VALUE"""),477.0)</f>
        <v>477</v>
      </c>
      <c r="F24" s="153">
        <f>IFERROR(__xludf.DUMMYFUNCTION("""COMPUTED_VALUE"""),4983.0)</f>
        <v>4983</v>
      </c>
      <c r="G24" s="153">
        <f>IFERROR(__xludf.DUMMYFUNCTION("""COMPUTED_VALUE"""),529.0)</f>
        <v>529</v>
      </c>
      <c r="H24" s="153">
        <f>IFERROR(__xludf.DUMMYFUNCTION("""COMPUTED_VALUE"""),5660.0)</f>
        <v>5660</v>
      </c>
      <c r="I24" s="153">
        <f>IFERROR(__xludf.DUMMYFUNCTION("""COMPUTED_VALUE"""),62.0)</f>
        <v>62</v>
      </c>
      <c r="J24" s="153">
        <f>IFERROR(__xludf.DUMMYFUNCTION("""COMPUTED_VALUE"""),78.0)</f>
        <v>78</v>
      </c>
      <c r="K24" s="153">
        <f>IFERROR(__xludf.DUMMYFUNCTION("""COMPUTED_VALUE"""),730.0)</f>
        <v>730</v>
      </c>
      <c r="L24" s="153">
        <f>IFERROR(__xludf.DUMMYFUNCTION("""COMPUTED_VALUE"""),436.0)</f>
        <v>436</v>
      </c>
      <c r="M24" s="153">
        <f>IFERROR(__xludf.DUMMYFUNCTION("""COMPUTED_VALUE"""),4606.0)</f>
        <v>4606</v>
      </c>
      <c r="N24" s="153">
        <f>IFERROR(__xludf.DUMMYFUNCTION("""COMPUTED_VALUE"""),5336.0)</f>
        <v>5336</v>
      </c>
      <c r="O24" s="153">
        <f>IFERROR(__xludf.DUMMYFUNCTION("""COMPUTED_VALUE"""),22.0)</f>
        <v>22</v>
      </c>
      <c r="P24" s="153">
        <f>IFERROR(__xludf.DUMMYFUNCTION("""COMPUTED_VALUE"""),171.0)</f>
        <v>171</v>
      </c>
      <c r="Q24" s="153">
        <f>IFERROR(__xludf.DUMMYFUNCTION("""COMPUTED_VALUE"""),6.0)</f>
        <v>6</v>
      </c>
      <c r="R24" s="153">
        <f>IFERROR(__xludf.DUMMYFUNCTION("""COMPUTED_VALUE"""),44.0)</f>
        <v>44</v>
      </c>
      <c r="S24" s="153">
        <f>IFERROR(__xludf.DUMMYFUNCTION("""COMPUTED_VALUE"""),2.0)</f>
        <v>2</v>
      </c>
      <c r="T24" s="153">
        <f>IFERROR(__xludf.DUMMYFUNCTION("""COMPUTED_VALUE"""),7.0)</f>
        <v>7</v>
      </c>
      <c r="U24" s="153">
        <f>IFERROR(__xludf.DUMMYFUNCTION("""COMPUTED_VALUE"""),120.0)</f>
        <v>120</v>
      </c>
      <c r="V24" s="153">
        <f>IFERROR(__xludf.DUMMYFUNCTION("""COMPUTED_VALUE"""),107.0)</f>
        <v>107</v>
      </c>
      <c r="W24" s="153">
        <f>IFERROR(__xludf.DUMMYFUNCTION("""COMPUTED_VALUE"""),36.0)</f>
        <v>36</v>
      </c>
      <c r="X24" s="153">
        <f>IFERROR(__xludf.DUMMYFUNCTION("""COMPUTED_VALUE"""),21.0)</f>
        <v>21</v>
      </c>
      <c r="Y24" s="153">
        <f>IFERROR(__xludf.DUMMYFUNCTION("""COMPUTED_VALUE"""),4.0)</f>
        <v>4</v>
      </c>
      <c r="Z24" s="153">
        <f>IFERROR(__xludf.DUMMYFUNCTION("""COMPUTED_VALUE"""),16.0)</f>
        <v>16</v>
      </c>
    </row>
    <row r="25">
      <c r="A25" s="210">
        <f>IFERROR(__xludf.DUMMYFUNCTION("""COMPUTED_VALUE"""),43924.0)</f>
        <v>43924</v>
      </c>
      <c r="B25" s="153">
        <f>IFERROR(__xludf.DUMMYFUNCTION("""COMPUTED_VALUE"""),108.0)</f>
        <v>108</v>
      </c>
      <c r="C25" s="153">
        <f>IFERROR(__xludf.DUMMYFUNCTION("""COMPUTED_VALUE"""),86.0)</f>
        <v>86</v>
      </c>
      <c r="D25" s="153">
        <f>IFERROR(__xludf.DUMMYFUNCTION("""COMPUTED_VALUE"""),785.0)</f>
        <v>785</v>
      </c>
      <c r="E25" s="153">
        <f>IFERROR(__xludf.DUMMYFUNCTION("""COMPUTED_VALUE"""),774.0)</f>
        <v>774</v>
      </c>
      <c r="F25" s="153">
        <f>IFERROR(__xludf.DUMMYFUNCTION("""COMPUTED_VALUE"""),5757.0)</f>
        <v>5757</v>
      </c>
      <c r="G25" s="153">
        <f>IFERROR(__xludf.DUMMYFUNCTION("""COMPUTED_VALUE"""),882.0)</f>
        <v>882</v>
      </c>
      <c r="H25" s="153">
        <f>IFERROR(__xludf.DUMMYFUNCTION("""COMPUTED_VALUE"""),6542.0)</f>
        <v>6542</v>
      </c>
      <c r="I25" s="153">
        <f>IFERROR(__xludf.DUMMYFUNCTION("""COMPUTED_VALUE"""),100.0)</f>
        <v>100</v>
      </c>
      <c r="J25" s="153">
        <f>IFERROR(__xludf.DUMMYFUNCTION("""COMPUTED_VALUE"""),87.0)</f>
        <v>87</v>
      </c>
      <c r="K25" s="153">
        <f>IFERROR(__xludf.DUMMYFUNCTION("""COMPUTED_VALUE"""),830.0)</f>
        <v>830</v>
      </c>
      <c r="L25" s="153">
        <f>IFERROR(__xludf.DUMMYFUNCTION("""COMPUTED_VALUE"""),712.0)</f>
        <v>712</v>
      </c>
      <c r="M25" s="153">
        <f>IFERROR(__xludf.DUMMYFUNCTION("""COMPUTED_VALUE"""),5318.0)</f>
        <v>5318</v>
      </c>
      <c r="N25" s="153">
        <f>IFERROR(__xludf.DUMMYFUNCTION("""COMPUTED_VALUE"""),6148.0)</f>
        <v>6148</v>
      </c>
      <c r="O25" s="153">
        <f>IFERROR(__xludf.DUMMYFUNCTION("""COMPUTED_VALUE"""),23.0)</f>
        <v>23</v>
      </c>
      <c r="P25" s="153">
        <f>IFERROR(__xludf.DUMMYFUNCTION("""COMPUTED_VALUE"""),194.0)</f>
        <v>194</v>
      </c>
      <c r="Q25" s="153">
        <f>IFERROR(__xludf.DUMMYFUNCTION("""COMPUTED_VALUE"""),7.0)</f>
        <v>7</v>
      </c>
      <c r="R25" s="153">
        <f>IFERROR(__xludf.DUMMYFUNCTION("""COMPUTED_VALUE"""),51.0)</f>
        <v>51</v>
      </c>
      <c r="S25" s="153">
        <f>IFERROR(__xludf.DUMMYFUNCTION("""COMPUTED_VALUE"""),0.0)</f>
        <v>0</v>
      </c>
      <c r="T25" s="153">
        <f>IFERROR(__xludf.DUMMYFUNCTION("""COMPUTED_VALUE"""),7.0)</f>
        <v>7</v>
      </c>
      <c r="U25" s="153">
        <f>IFERROR(__xludf.DUMMYFUNCTION("""COMPUTED_VALUE"""),136.0)</f>
        <v>136</v>
      </c>
      <c r="V25" s="153">
        <f>IFERROR(__xludf.DUMMYFUNCTION("""COMPUTED_VALUE"""),121.0)</f>
        <v>121</v>
      </c>
      <c r="W25" s="153">
        <f>IFERROR(__xludf.DUMMYFUNCTION("""COMPUTED_VALUE"""),43.0)</f>
        <v>43</v>
      </c>
      <c r="X25" s="153">
        <f>IFERROR(__xludf.DUMMYFUNCTION("""COMPUTED_VALUE"""),25.0)</f>
        <v>25</v>
      </c>
      <c r="Y25" s="153">
        <f>IFERROR(__xludf.DUMMYFUNCTION("""COMPUTED_VALUE"""),3.0)</f>
        <v>3</v>
      </c>
      <c r="Z25" s="153">
        <f>IFERROR(__xludf.DUMMYFUNCTION("""COMPUTED_VALUE"""),19.0)</f>
        <v>19</v>
      </c>
    </row>
    <row r="26">
      <c r="A26" s="210">
        <f>IFERROR(__xludf.DUMMYFUNCTION("""COMPUTED_VALUE"""),43925.0)</f>
        <v>43925</v>
      </c>
      <c r="B26" s="153">
        <f>IFERROR(__xludf.DUMMYFUNCTION("""COMPUTED_VALUE"""),143.0)</f>
        <v>143</v>
      </c>
      <c r="C26" s="153">
        <f>IFERROR(__xludf.DUMMYFUNCTION("""COMPUTED_VALUE"""),101.0)</f>
        <v>101</v>
      </c>
      <c r="D26" s="153">
        <f>IFERROR(__xludf.DUMMYFUNCTION("""COMPUTED_VALUE"""),928.0)</f>
        <v>928</v>
      </c>
      <c r="E26" s="153">
        <f>IFERROR(__xludf.DUMMYFUNCTION("""COMPUTED_VALUE"""),660.0)</f>
        <v>660</v>
      </c>
      <c r="F26" s="153">
        <f>IFERROR(__xludf.DUMMYFUNCTION("""COMPUTED_VALUE"""),6417.0)</f>
        <v>6417</v>
      </c>
      <c r="G26" s="153">
        <f>IFERROR(__xludf.DUMMYFUNCTION("""COMPUTED_VALUE"""),803.0)</f>
        <v>803</v>
      </c>
      <c r="H26" s="153">
        <f>IFERROR(__xludf.DUMMYFUNCTION("""COMPUTED_VALUE"""),7345.0)</f>
        <v>7345</v>
      </c>
      <c r="I26" s="153">
        <f>IFERROR(__xludf.DUMMYFUNCTION("""COMPUTED_VALUE"""),138.0)</f>
        <v>138</v>
      </c>
      <c r="J26" s="153">
        <f>IFERROR(__xludf.DUMMYFUNCTION("""COMPUTED_VALUE"""),100.0)</f>
        <v>100</v>
      </c>
      <c r="K26" s="153">
        <f>IFERROR(__xludf.DUMMYFUNCTION("""COMPUTED_VALUE"""),968.0)</f>
        <v>968</v>
      </c>
      <c r="L26" s="153">
        <f>IFERROR(__xludf.DUMMYFUNCTION("""COMPUTED_VALUE"""),618.0)</f>
        <v>618</v>
      </c>
      <c r="M26" s="153">
        <f>IFERROR(__xludf.DUMMYFUNCTION("""COMPUTED_VALUE"""),5936.0)</f>
        <v>5936</v>
      </c>
      <c r="N26" s="153">
        <f>IFERROR(__xludf.DUMMYFUNCTION("""COMPUTED_VALUE"""),6904.0)</f>
        <v>6904</v>
      </c>
      <c r="O26" s="153">
        <f>IFERROR(__xludf.DUMMYFUNCTION("""COMPUTED_VALUE"""),22.0)</f>
        <v>22</v>
      </c>
      <c r="P26" s="153">
        <f>IFERROR(__xludf.DUMMYFUNCTION("""COMPUTED_VALUE"""),216.0)</f>
        <v>216</v>
      </c>
      <c r="Q26" s="153">
        <f>IFERROR(__xludf.DUMMYFUNCTION("""COMPUTED_VALUE"""),4.0)</f>
        <v>4</v>
      </c>
      <c r="R26" s="153">
        <f>IFERROR(__xludf.DUMMYFUNCTION("""COMPUTED_VALUE"""),55.0)</f>
        <v>55</v>
      </c>
      <c r="S26" s="153">
        <f>IFERROR(__xludf.DUMMYFUNCTION("""COMPUTED_VALUE"""),5.0)</f>
        <v>5</v>
      </c>
      <c r="T26" s="153">
        <f>IFERROR(__xludf.DUMMYFUNCTION("""COMPUTED_VALUE"""),12.0)</f>
        <v>12</v>
      </c>
      <c r="U26" s="153">
        <f>IFERROR(__xludf.DUMMYFUNCTION("""COMPUTED_VALUE"""),149.0)</f>
        <v>149</v>
      </c>
      <c r="V26" s="153">
        <f>IFERROR(__xludf.DUMMYFUNCTION("""COMPUTED_VALUE"""),135.0)</f>
        <v>135</v>
      </c>
      <c r="W26" s="153">
        <f>IFERROR(__xludf.DUMMYFUNCTION("""COMPUTED_VALUE"""),41.0)</f>
        <v>41</v>
      </c>
      <c r="X26" s="153">
        <f>IFERROR(__xludf.DUMMYFUNCTION("""COMPUTED_VALUE"""),30.0)</f>
        <v>30</v>
      </c>
      <c r="Y26" s="153">
        <f>IFERROR(__xludf.DUMMYFUNCTION("""COMPUTED_VALUE"""),9.0)</f>
        <v>9</v>
      </c>
      <c r="Z26" s="153">
        <f>IFERROR(__xludf.DUMMYFUNCTION("""COMPUTED_VALUE"""),28.0)</f>
        <v>28</v>
      </c>
    </row>
    <row r="27">
      <c r="A27" s="210">
        <f>IFERROR(__xludf.DUMMYFUNCTION("""COMPUTED_VALUE"""),43926.0)</f>
        <v>43926</v>
      </c>
      <c r="B27" s="153">
        <f>IFERROR(__xludf.DUMMYFUNCTION("""COMPUTED_VALUE"""),187.0)</f>
        <v>187</v>
      </c>
      <c r="C27" s="153">
        <f>IFERROR(__xludf.DUMMYFUNCTION("""COMPUTED_VALUE"""),146.0)</f>
        <v>146</v>
      </c>
      <c r="D27" s="153">
        <f>IFERROR(__xludf.DUMMYFUNCTION("""COMPUTED_VALUE"""),1115.0)</f>
        <v>1115</v>
      </c>
      <c r="E27" s="153">
        <f>IFERROR(__xludf.DUMMYFUNCTION("""COMPUTED_VALUE"""),1156.0)</f>
        <v>1156</v>
      </c>
      <c r="F27" s="153">
        <f>IFERROR(__xludf.DUMMYFUNCTION("""COMPUTED_VALUE"""),7573.0)</f>
        <v>7573</v>
      </c>
      <c r="G27" s="153">
        <f>IFERROR(__xludf.DUMMYFUNCTION("""COMPUTED_VALUE"""),1343.0)</f>
        <v>1343</v>
      </c>
      <c r="H27" s="153">
        <f>IFERROR(__xludf.DUMMYFUNCTION("""COMPUTED_VALUE"""),8688.0)</f>
        <v>8688</v>
      </c>
      <c r="I27" s="153">
        <f>IFERROR(__xludf.DUMMYFUNCTION("""COMPUTED_VALUE"""),182.0)</f>
        <v>182</v>
      </c>
      <c r="J27" s="153">
        <f>IFERROR(__xludf.DUMMYFUNCTION("""COMPUTED_VALUE"""),140.0)</f>
        <v>140</v>
      </c>
      <c r="K27" s="153">
        <f>IFERROR(__xludf.DUMMYFUNCTION("""COMPUTED_VALUE"""),1150.0)</f>
        <v>1150</v>
      </c>
      <c r="L27" s="153">
        <f>IFERROR(__xludf.DUMMYFUNCTION("""COMPUTED_VALUE"""),1067.0)</f>
        <v>1067</v>
      </c>
      <c r="M27" s="153">
        <f>IFERROR(__xludf.DUMMYFUNCTION("""COMPUTED_VALUE"""),7003.0)</f>
        <v>7003</v>
      </c>
      <c r="N27" s="153">
        <f>IFERROR(__xludf.DUMMYFUNCTION("""COMPUTED_VALUE"""),8153.0)</f>
        <v>8153</v>
      </c>
      <c r="O27" s="153">
        <f>IFERROR(__xludf.DUMMYFUNCTION("""COMPUTED_VALUE"""),20.0)</f>
        <v>20</v>
      </c>
      <c r="P27" s="153">
        <f>IFERROR(__xludf.DUMMYFUNCTION("""COMPUTED_VALUE"""),236.0)</f>
        <v>236</v>
      </c>
      <c r="Q27" s="153">
        <f>IFERROR(__xludf.DUMMYFUNCTION("""COMPUTED_VALUE"""),9.0)</f>
        <v>9</v>
      </c>
      <c r="R27" s="153">
        <f>IFERROR(__xludf.DUMMYFUNCTION("""COMPUTED_VALUE"""),64.0)</f>
        <v>64</v>
      </c>
      <c r="S27" s="153">
        <f>IFERROR(__xludf.DUMMYFUNCTION("""COMPUTED_VALUE"""),1.0)</f>
        <v>1</v>
      </c>
      <c r="T27" s="153">
        <f>IFERROR(__xludf.DUMMYFUNCTION("""COMPUTED_VALUE"""),13.0)</f>
        <v>13</v>
      </c>
      <c r="U27" s="153">
        <f>IFERROR(__xludf.DUMMYFUNCTION("""COMPUTED_VALUE"""),159.0)</f>
        <v>159</v>
      </c>
      <c r="V27" s="153">
        <f>IFERROR(__xludf.DUMMYFUNCTION("""COMPUTED_VALUE"""),148.0)</f>
        <v>148</v>
      </c>
      <c r="W27" s="153">
        <f>IFERROR(__xludf.DUMMYFUNCTION("""COMPUTED_VALUE"""),44.0)</f>
        <v>44</v>
      </c>
      <c r="X27" s="153">
        <f>IFERROR(__xludf.DUMMYFUNCTION("""COMPUTED_VALUE"""),36.0)</f>
        <v>36</v>
      </c>
      <c r="Y27" s="153">
        <f>IFERROR(__xludf.DUMMYFUNCTION("""COMPUTED_VALUE"""),2.0)</f>
        <v>2</v>
      </c>
      <c r="Z27" s="153">
        <f>IFERROR(__xludf.DUMMYFUNCTION("""COMPUTED_VALUE"""),30.0)</f>
        <v>30</v>
      </c>
    </row>
    <row r="28">
      <c r="A28" s="210">
        <f>IFERROR(__xludf.DUMMYFUNCTION("""COMPUTED_VALUE"""),43927.0)</f>
        <v>43927</v>
      </c>
      <c r="B28" s="153">
        <f>IFERROR(__xludf.DUMMYFUNCTION("""COMPUTED_VALUE"""),218.0)</f>
        <v>218</v>
      </c>
      <c r="C28" s="153">
        <f>IFERROR(__xludf.DUMMYFUNCTION("""COMPUTED_VALUE"""),183.0)</f>
        <v>183</v>
      </c>
      <c r="D28" s="153">
        <f>IFERROR(__xludf.DUMMYFUNCTION("""COMPUTED_VALUE"""),1333.0)</f>
        <v>1333</v>
      </c>
      <c r="E28" s="153">
        <f>IFERROR(__xludf.DUMMYFUNCTION("""COMPUTED_VALUE"""),1706.0)</f>
        <v>1706</v>
      </c>
      <c r="F28" s="153">
        <f>IFERROR(__xludf.DUMMYFUNCTION("""COMPUTED_VALUE"""),9279.0)</f>
        <v>9279</v>
      </c>
      <c r="G28" s="153">
        <f>IFERROR(__xludf.DUMMYFUNCTION("""COMPUTED_VALUE"""),1924.0)</f>
        <v>1924</v>
      </c>
      <c r="H28" s="153">
        <f>IFERROR(__xludf.DUMMYFUNCTION("""COMPUTED_VALUE"""),10612.0)</f>
        <v>10612</v>
      </c>
      <c r="I28" s="153">
        <f>IFERROR(__xludf.DUMMYFUNCTION("""COMPUTED_VALUE"""),208.0)</f>
        <v>208</v>
      </c>
      <c r="J28" s="153">
        <f>IFERROR(__xludf.DUMMYFUNCTION("""COMPUTED_VALUE"""),176.0)</f>
        <v>176</v>
      </c>
      <c r="K28" s="153">
        <f>IFERROR(__xludf.DUMMYFUNCTION("""COMPUTED_VALUE"""),1358.0)</f>
        <v>1358</v>
      </c>
      <c r="L28" s="153">
        <f>IFERROR(__xludf.DUMMYFUNCTION("""COMPUTED_VALUE"""),1552.0)</f>
        <v>1552</v>
      </c>
      <c r="M28" s="153">
        <f>IFERROR(__xludf.DUMMYFUNCTION("""COMPUTED_VALUE"""),8555.0)</f>
        <v>8555</v>
      </c>
      <c r="N28" s="153">
        <f>IFERROR(__xludf.DUMMYFUNCTION("""COMPUTED_VALUE"""),9913.0)</f>
        <v>9913</v>
      </c>
      <c r="O28" s="153">
        <f>IFERROR(__xludf.DUMMYFUNCTION("""COMPUTED_VALUE"""),26.0)</f>
        <v>26</v>
      </c>
      <c r="P28" s="153">
        <f>IFERROR(__xludf.DUMMYFUNCTION("""COMPUTED_VALUE"""),262.0)</f>
        <v>262</v>
      </c>
      <c r="Q28" s="153">
        <f>IFERROR(__xludf.DUMMYFUNCTION("""COMPUTED_VALUE"""),7.0)</f>
        <v>7</v>
      </c>
      <c r="R28" s="153">
        <f>IFERROR(__xludf.DUMMYFUNCTION("""COMPUTED_VALUE"""),71.0)</f>
        <v>71</v>
      </c>
      <c r="S28" s="153">
        <f>IFERROR(__xludf.DUMMYFUNCTION("""COMPUTED_VALUE"""),0.0)</f>
        <v>0</v>
      </c>
      <c r="T28" s="153">
        <f>IFERROR(__xludf.DUMMYFUNCTION("""COMPUTED_VALUE"""),13.0)</f>
        <v>13</v>
      </c>
      <c r="U28" s="153">
        <f>IFERROR(__xludf.DUMMYFUNCTION("""COMPUTED_VALUE"""),178.0)</f>
        <v>178</v>
      </c>
      <c r="V28" s="153">
        <f>IFERROR(__xludf.DUMMYFUNCTION("""COMPUTED_VALUE"""),162.0)</f>
        <v>162</v>
      </c>
      <c r="W28" s="153">
        <f>IFERROR(__xludf.DUMMYFUNCTION("""COMPUTED_VALUE"""),48.0)</f>
        <v>48</v>
      </c>
      <c r="X28" s="153">
        <f>IFERROR(__xludf.DUMMYFUNCTION("""COMPUTED_VALUE"""),40.0)</f>
        <v>40</v>
      </c>
      <c r="Y28" s="153">
        <f>IFERROR(__xludf.DUMMYFUNCTION("""COMPUTED_VALUE"""),7.0)</f>
        <v>7</v>
      </c>
      <c r="Z28" s="153">
        <f>IFERROR(__xludf.DUMMYFUNCTION("""COMPUTED_VALUE"""),37.0)</f>
        <v>37</v>
      </c>
    </row>
    <row r="29">
      <c r="A29" s="210">
        <f>IFERROR(__xludf.DUMMYFUNCTION("""COMPUTED_VALUE"""),43928.0)</f>
        <v>43928</v>
      </c>
      <c r="B29" s="153">
        <f>IFERROR(__xludf.DUMMYFUNCTION("""COMPUTED_VALUE"""),284.0)</f>
        <v>284</v>
      </c>
      <c r="C29" s="153">
        <f>IFERROR(__xludf.DUMMYFUNCTION("""COMPUTED_VALUE"""),230.0)</f>
        <v>230</v>
      </c>
      <c r="D29" s="153">
        <f>IFERROR(__xludf.DUMMYFUNCTION("""COMPUTED_VALUE"""),1617.0)</f>
        <v>1617</v>
      </c>
      <c r="E29" s="153">
        <f>IFERROR(__xludf.DUMMYFUNCTION("""COMPUTED_VALUE"""),1629.0)</f>
        <v>1629</v>
      </c>
      <c r="F29" s="153">
        <f>IFERROR(__xludf.DUMMYFUNCTION("""COMPUTED_VALUE"""),10908.0)</f>
        <v>10908</v>
      </c>
      <c r="G29" s="153">
        <f>IFERROR(__xludf.DUMMYFUNCTION("""COMPUTED_VALUE"""),1913.0)</f>
        <v>1913</v>
      </c>
      <c r="H29" s="153">
        <f>IFERROR(__xludf.DUMMYFUNCTION("""COMPUTED_VALUE"""),12525.0)</f>
        <v>12525</v>
      </c>
      <c r="I29" s="153">
        <f>IFERROR(__xludf.DUMMYFUNCTION("""COMPUTED_VALUE"""),261.0)</f>
        <v>261</v>
      </c>
      <c r="J29" s="153">
        <f>IFERROR(__xludf.DUMMYFUNCTION("""COMPUTED_VALUE"""),217.0)</f>
        <v>217</v>
      </c>
      <c r="K29" s="153">
        <f>IFERROR(__xludf.DUMMYFUNCTION("""COMPUTED_VALUE"""),1619.0)</f>
        <v>1619</v>
      </c>
      <c r="L29" s="153">
        <f>IFERROR(__xludf.DUMMYFUNCTION("""COMPUTED_VALUE"""),1481.0)</f>
        <v>1481</v>
      </c>
      <c r="M29" s="153">
        <f>IFERROR(__xludf.DUMMYFUNCTION("""COMPUTED_VALUE"""),10036.0)</f>
        <v>10036</v>
      </c>
      <c r="N29" s="153">
        <f>IFERROR(__xludf.DUMMYFUNCTION("""COMPUTED_VALUE"""),11655.0)</f>
        <v>11655</v>
      </c>
      <c r="O29" s="153">
        <f>IFERROR(__xludf.DUMMYFUNCTION("""COMPUTED_VALUE"""),20.0)</f>
        <v>20</v>
      </c>
      <c r="P29" s="153">
        <f>IFERROR(__xludf.DUMMYFUNCTION("""COMPUTED_VALUE"""),282.0)</f>
        <v>282</v>
      </c>
      <c r="Q29" s="153">
        <f>IFERROR(__xludf.DUMMYFUNCTION("""COMPUTED_VALUE"""),5.0)</f>
        <v>5</v>
      </c>
      <c r="R29" s="153">
        <f>IFERROR(__xludf.DUMMYFUNCTION("""COMPUTED_VALUE"""),76.0)</f>
        <v>76</v>
      </c>
      <c r="S29" s="153">
        <f>IFERROR(__xludf.DUMMYFUNCTION("""COMPUTED_VALUE"""),2.0)</f>
        <v>2</v>
      </c>
      <c r="T29" s="153">
        <f>IFERROR(__xludf.DUMMYFUNCTION("""COMPUTED_VALUE"""),15.0)</f>
        <v>15</v>
      </c>
      <c r="U29" s="153">
        <f>IFERROR(__xludf.DUMMYFUNCTION("""COMPUTED_VALUE"""),191.0)</f>
        <v>191</v>
      </c>
      <c r="V29" s="153">
        <f>IFERROR(__xludf.DUMMYFUNCTION("""COMPUTED_VALUE"""),176.0)</f>
        <v>176</v>
      </c>
      <c r="W29" s="153">
        <f>IFERROR(__xludf.DUMMYFUNCTION("""COMPUTED_VALUE"""),50.0)</f>
        <v>50</v>
      </c>
      <c r="X29" s="153">
        <f>IFERROR(__xludf.DUMMYFUNCTION("""COMPUTED_VALUE"""),42.0)</f>
        <v>42</v>
      </c>
      <c r="Y29" s="153">
        <f>IFERROR(__xludf.DUMMYFUNCTION("""COMPUTED_VALUE"""),5.0)</f>
        <v>5</v>
      </c>
      <c r="Z29" s="153">
        <f>IFERROR(__xludf.DUMMYFUNCTION("""COMPUTED_VALUE"""),42.0)</f>
        <v>42</v>
      </c>
    </row>
    <row r="30">
      <c r="A30" s="210">
        <f>IFERROR(__xludf.DUMMYFUNCTION("""COMPUTED_VALUE"""),43929.0)</f>
        <v>43929</v>
      </c>
      <c r="B30" s="153">
        <f>IFERROR(__xludf.DUMMYFUNCTION("""COMPUTED_VALUE"""),290.0)</f>
        <v>290</v>
      </c>
      <c r="C30" s="153">
        <f>IFERROR(__xludf.DUMMYFUNCTION("""COMPUTED_VALUE"""),264.0)</f>
        <v>264</v>
      </c>
      <c r="D30" s="153">
        <f>IFERROR(__xludf.DUMMYFUNCTION("""COMPUTED_VALUE"""),1907.0)</f>
        <v>1907</v>
      </c>
      <c r="E30" s="153">
        <f>IFERROR(__xludf.DUMMYFUNCTION("""COMPUTED_VALUE"""),1720.0)</f>
        <v>1720</v>
      </c>
      <c r="F30" s="153">
        <f>IFERROR(__xludf.DUMMYFUNCTION("""COMPUTED_VALUE"""),12628.0)</f>
        <v>12628</v>
      </c>
      <c r="G30" s="153">
        <f>IFERROR(__xludf.DUMMYFUNCTION("""COMPUTED_VALUE"""),2010.0)</f>
        <v>2010</v>
      </c>
      <c r="H30" s="153">
        <f>IFERROR(__xludf.DUMMYFUNCTION("""COMPUTED_VALUE"""),14535.0)</f>
        <v>14535</v>
      </c>
      <c r="I30" s="153">
        <f>IFERROR(__xludf.DUMMYFUNCTION("""COMPUTED_VALUE"""),271.0)</f>
        <v>271</v>
      </c>
      <c r="J30" s="153">
        <f>IFERROR(__xludf.DUMMYFUNCTION("""COMPUTED_VALUE"""),247.0)</f>
        <v>247</v>
      </c>
      <c r="K30" s="153">
        <f>IFERROR(__xludf.DUMMYFUNCTION("""COMPUTED_VALUE"""),1890.0)</f>
        <v>1890</v>
      </c>
      <c r="L30" s="153">
        <f>IFERROR(__xludf.DUMMYFUNCTION("""COMPUTED_VALUE"""),1559.0)</f>
        <v>1559</v>
      </c>
      <c r="M30" s="153">
        <f>IFERROR(__xludf.DUMMYFUNCTION("""COMPUTED_VALUE"""),11595.0)</f>
        <v>11595</v>
      </c>
      <c r="N30" s="153">
        <f>IFERROR(__xludf.DUMMYFUNCTION("""COMPUTED_VALUE"""),13485.0)</f>
        <v>13485</v>
      </c>
      <c r="O30" s="153">
        <f>IFERROR(__xludf.DUMMYFUNCTION("""COMPUTED_VALUE"""),19.0)</f>
        <v>19</v>
      </c>
      <c r="P30" s="153">
        <f>IFERROR(__xludf.DUMMYFUNCTION("""COMPUTED_VALUE"""),301.0)</f>
        <v>301</v>
      </c>
      <c r="Q30" s="153">
        <f>IFERROR(__xludf.DUMMYFUNCTION("""COMPUTED_VALUE"""),7.0)</f>
        <v>7</v>
      </c>
      <c r="R30" s="153">
        <f>IFERROR(__xludf.DUMMYFUNCTION("""COMPUTED_VALUE"""),83.0)</f>
        <v>83</v>
      </c>
      <c r="S30" s="153">
        <f>IFERROR(__xludf.DUMMYFUNCTION("""COMPUTED_VALUE"""),6.0)</f>
        <v>6</v>
      </c>
      <c r="T30" s="153">
        <f>IFERROR(__xludf.DUMMYFUNCTION("""COMPUTED_VALUE"""),21.0)</f>
        <v>21</v>
      </c>
      <c r="U30" s="153">
        <f>IFERROR(__xludf.DUMMYFUNCTION("""COMPUTED_VALUE"""),197.0)</f>
        <v>197</v>
      </c>
      <c r="V30" s="153">
        <f>IFERROR(__xludf.DUMMYFUNCTION("""COMPUTED_VALUE"""),189.0)</f>
        <v>189</v>
      </c>
      <c r="W30" s="153">
        <f>IFERROR(__xludf.DUMMYFUNCTION("""COMPUTED_VALUE"""),50.0)</f>
        <v>50</v>
      </c>
      <c r="X30" s="153">
        <f>IFERROR(__xludf.DUMMYFUNCTION("""COMPUTED_VALUE"""),38.0)</f>
        <v>38</v>
      </c>
      <c r="Y30" s="153">
        <f>IFERROR(__xludf.DUMMYFUNCTION("""COMPUTED_VALUE"""),10.0)</f>
        <v>10</v>
      </c>
      <c r="Z30" s="153">
        <f>IFERROR(__xludf.DUMMYFUNCTION("""COMPUTED_VALUE"""),52.0)</f>
        <v>52</v>
      </c>
    </row>
    <row r="31">
      <c r="A31" s="210">
        <f>IFERROR(__xludf.DUMMYFUNCTION("""COMPUTED_VALUE"""),43930.0)</f>
        <v>43930</v>
      </c>
      <c r="B31" s="153">
        <f>IFERROR(__xludf.DUMMYFUNCTION("""COMPUTED_VALUE"""),283.0)</f>
        <v>283</v>
      </c>
      <c r="C31" s="153">
        <f>IFERROR(__xludf.DUMMYFUNCTION("""COMPUTED_VALUE"""),286.0)</f>
        <v>286</v>
      </c>
      <c r="D31" s="153">
        <f>IFERROR(__xludf.DUMMYFUNCTION("""COMPUTED_VALUE"""),2190.0)</f>
        <v>2190</v>
      </c>
      <c r="E31" s="153">
        <f>IFERROR(__xludf.DUMMYFUNCTION("""COMPUTED_VALUE"""),1516.0)</f>
        <v>1516</v>
      </c>
      <c r="F31" s="153">
        <f>IFERROR(__xludf.DUMMYFUNCTION("""COMPUTED_VALUE"""),14144.0)</f>
        <v>14144</v>
      </c>
      <c r="G31" s="153">
        <f>IFERROR(__xludf.DUMMYFUNCTION("""COMPUTED_VALUE"""),1799.0)</f>
        <v>1799</v>
      </c>
      <c r="H31" s="153">
        <f>IFERROR(__xludf.DUMMYFUNCTION("""COMPUTED_VALUE"""),16334.0)</f>
        <v>16334</v>
      </c>
      <c r="I31" s="153">
        <f>IFERROR(__xludf.DUMMYFUNCTION("""COMPUTED_VALUE"""),277.0)</f>
        <v>277</v>
      </c>
      <c r="J31" s="153">
        <f>IFERROR(__xludf.DUMMYFUNCTION("""COMPUTED_VALUE"""),270.0)</f>
        <v>270</v>
      </c>
      <c r="K31" s="153">
        <f>IFERROR(__xludf.DUMMYFUNCTION("""COMPUTED_VALUE"""),2167.0)</f>
        <v>2167</v>
      </c>
      <c r="L31" s="153">
        <f>IFERROR(__xludf.DUMMYFUNCTION("""COMPUTED_VALUE"""),1355.0)</f>
        <v>1355</v>
      </c>
      <c r="M31" s="153">
        <f>IFERROR(__xludf.DUMMYFUNCTION("""COMPUTED_VALUE"""),12950.0)</f>
        <v>12950</v>
      </c>
      <c r="N31" s="153">
        <f>IFERROR(__xludf.DUMMYFUNCTION("""COMPUTED_VALUE"""),15117.0)</f>
        <v>15117</v>
      </c>
      <c r="O31" s="153">
        <f>IFERROR(__xludf.DUMMYFUNCTION("""COMPUTED_VALUE"""),32.0)</f>
        <v>32</v>
      </c>
      <c r="P31" s="153">
        <f>IFERROR(__xludf.DUMMYFUNCTION("""COMPUTED_VALUE"""),333.0)</f>
        <v>333</v>
      </c>
      <c r="Q31" s="153">
        <f>IFERROR(__xludf.DUMMYFUNCTION("""COMPUTED_VALUE"""),9.0)</f>
        <v>9</v>
      </c>
      <c r="R31" s="153">
        <f>IFERROR(__xludf.DUMMYFUNCTION("""COMPUTED_VALUE"""),92.0)</f>
        <v>92</v>
      </c>
      <c r="S31" s="153">
        <f>IFERROR(__xludf.DUMMYFUNCTION("""COMPUTED_VALUE"""),4.0)</f>
        <v>4</v>
      </c>
      <c r="T31" s="153">
        <f>IFERROR(__xludf.DUMMYFUNCTION("""COMPUTED_VALUE"""),25.0)</f>
        <v>25</v>
      </c>
      <c r="U31" s="153">
        <f>IFERROR(__xludf.DUMMYFUNCTION("""COMPUTED_VALUE"""),216.0)</f>
        <v>216</v>
      </c>
      <c r="V31" s="153">
        <f>IFERROR(__xludf.DUMMYFUNCTION("""COMPUTED_VALUE"""),201.0)</f>
        <v>201</v>
      </c>
      <c r="W31" s="153">
        <f>IFERROR(__xludf.DUMMYFUNCTION("""COMPUTED_VALUE"""),53.0)</f>
        <v>53</v>
      </c>
      <c r="X31" s="153">
        <f>IFERROR(__xludf.DUMMYFUNCTION("""COMPUTED_VALUE"""),40.0)</f>
        <v>40</v>
      </c>
      <c r="Y31" s="153">
        <f>IFERROR(__xludf.DUMMYFUNCTION("""COMPUTED_VALUE"""),7.0)</f>
        <v>7</v>
      </c>
      <c r="Z31" s="153">
        <f>IFERROR(__xludf.DUMMYFUNCTION("""COMPUTED_VALUE"""),59.0)</f>
        <v>59</v>
      </c>
    </row>
    <row r="32">
      <c r="A32" s="210">
        <f>IFERROR(__xludf.DUMMYFUNCTION("""COMPUTED_VALUE"""),43931.0)</f>
        <v>43931</v>
      </c>
      <c r="B32" s="153">
        <f>IFERROR(__xludf.DUMMYFUNCTION("""COMPUTED_VALUE"""),419.0)</f>
        <v>419</v>
      </c>
      <c r="C32" s="153">
        <f>IFERROR(__xludf.DUMMYFUNCTION("""COMPUTED_VALUE"""),331.0)</f>
        <v>331</v>
      </c>
      <c r="D32" s="153">
        <f>IFERROR(__xludf.DUMMYFUNCTION("""COMPUTED_VALUE"""),2609.0)</f>
        <v>2609</v>
      </c>
      <c r="E32" s="153">
        <f>IFERROR(__xludf.DUMMYFUNCTION("""COMPUTED_VALUE"""),2574.0)</f>
        <v>2574</v>
      </c>
      <c r="F32" s="153">
        <f>IFERROR(__xludf.DUMMYFUNCTION("""COMPUTED_VALUE"""),16718.0)</f>
        <v>16718</v>
      </c>
      <c r="G32" s="153">
        <f>IFERROR(__xludf.DUMMYFUNCTION("""COMPUTED_VALUE"""),2993.0)</f>
        <v>2993</v>
      </c>
      <c r="H32" s="153">
        <f>IFERROR(__xludf.DUMMYFUNCTION("""COMPUTED_VALUE"""),19327.0)</f>
        <v>19327</v>
      </c>
      <c r="I32" s="153">
        <f>IFERROR(__xludf.DUMMYFUNCTION("""COMPUTED_VALUE"""),401.0)</f>
        <v>401</v>
      </c>
      <c r="J32" s="153">
        <f>IFERROR(__xludf.DUMMYFUNCTION("""COMPUTED_VALUE"""),316.0)</f>
        <v>316</v>
      </c>
      <c r="K32" s="153">
        <f>IFERROR(__xludf.DUMMYFUNCTION("""COMPUTED_VALUE"""),2568.0)</f>
        <v>2568</v>
      </c>
      <c r="L32" s="153">
        <f>IFERROR(__xludf.DUMMYFUNCTION("""COMPUTED_VALUE"""),2371.0)</f>
        <v>2371</v>
      </c>
      <c r="M32" s="153">
        <f>IFERROR(__xludf.DUMMYFUNCTION("""COMPUTED_VALUE"""),15321.0)</f>
        <v>15321</v>
      </c>
      <c r="N32" s="153">
        <f>IFERROR(__xludf.DUMMYFUNCTION("""COMPUTED_VALUE"""),17889.0)</f>
        <v>17889</v>
      </c>
      <c r="O32" s="153">
        <f>IFERROR(__xludf.DUMMYFUNCTION("""COMPUTED_VALUE"""),29.0)</f>
        <v>29</v>
      </c>
      <c r="P32" s="153">
        <f>IFERROR(__xludf.DUMMYFUNCTION("""COMPUTED_VALUE"""),362.0)</f>
        <v>362</v>
      </c>
      <c r="Q32" s="153">
        <f>IFERROR(__xludf.DUMMYFUNCTION("""COMPUTED_VALUE"""),16.0)</f>
        <v>16</v>
      </c>
      <c r="R32" s="153">
        <f>IFERROR(__xludf.DUMMYFUNCTION("""COMPUTED_VALUE"""),108.0)</f>
        <v>108</v>
      </c>
      <c r="S32" s="153">
        <f>IFERROR(__xludf.DUMMYFUNCTION("""COMPUTED_VALUE"""),5.0)</f>
        <v>5</v>
      </c>
      <c r="T32" s="153">
        <f>IFERROR(__xludf.DUMMYFUNCTION("""COMPUTED_VALUE"""),30.0)</f>
        <v>30</v>
      </c>
      <c r="U32" s="153">
        <f>IFERROR(__xludf.DUMMYFUNCTION("""COMPUTED_VALUE"""),224.0)</f>
        <v>224</v>
      </c>
      <c r="V32" s="153">
        <f>IFERROR(__xludf.DUMMYFUNCTION("""COMPUTED_VALUE"""),212.0)</f>
        <v>212</v>
      </c>
      <c r="W32" s="153">
        <f>IFERROR(__xludf.DUMMYFUNCTION("""COMPUTED_VALUE"""),59.0)</f>
        <v>59</v>
      </c>
      <c r="X32" s="153">
        <f>IFERROR(__xludf.DUMMYFUNCTION("""COMPUTED_VALUE"""),41.0)</f>
        <v>41</v>
      </c>
      <c r="Y32" s="153">
        <f>IFERROR(__xludf.DUMMYFUNCTION("""COMPUTED_VALUE"""),11.0)</f>
        <v>11</v>
      </c>
      <c r="Z32" s="153">
        <f>IFERROR(__xludf.DUMMYFUNCTION("""COMPUTED_VALUE"""),70.0)</f>
        <v>70</v>
      </c>
    </row>
    <row r="33">
      <c r="A33" s="210">
        <f>IFERROR(__xludf.DUMMYFUNCTION("""COMPUTED_VALUE"""),43932.0)</f>
        <v>43932</v>
      </c>
      <c r="B33" s="153">
        <f>IFERROR(__xludf.DUMMYFUNCTION("""COMPUTED_VALUE"""),297.0)</f>
        <v>297</v>
      </c>
      <c r="C33" s="153">
        <f>IFERROR(__xludf.DUMMYFUNCTION("""COMPUTED_VALUE"""),333.0)</f>
        <v>333</v>
      </c>
      <c r="D33" s="153">
        <f>IFERROR(__xludf.DUMMYFUNCTION("""COMPUTED_VALUE"""),2906.0)</f>
        <v>2906</v>
      </c>
      <c r="E33" s="153">
        <f>IFERROR(__xludf.DUMMYFUNCTION("""COMPUTED_VALUE"""),1905.0)</f>
        <v>1905</v>
      </c>
      <c r="F33" s="153">
        <f>IFERROR(__xludf.DUMMYFUNCTION("""COMPUTED_VALUE"""),18623.0)</f>
        <v>18623</v>
      </c>
      <c r="G33" s="153">
        <f>IFERROR(__xludf.DUMMYFUNCTION("""COMPUTED_VALUE"""),2202.0)</f>
        <v>2202</v>
      </c>
      <c r="H33" s="153">
        <f>IFERROR(__xludf.DUMMYFUNCTION("""COMPUTED_VALUE"""),21529.0)</f>
        <v>21529</v>
      </c>
      <c r="I33" s="153">
        <f>IFERROR(__xludf.DUMMYFUNCTION("""COMPUTED_VALUE"""),279.0)</f>
        <v>279</v>
      </c>
      <c r="J33" s="153">
        <f>IFERROR(__xludf.DUMMYFUNCTION("""COMPUTED_VALUE"""),319.0)</f>
        <v>319</v>
      </c>
      <c r="K33" s="153">
        <f>IFERROR(__xludf.DUMMYFUNCTION("""COMPUTED_VALUE"""),2847.0)</f>
        <v>2847</v>
      </c>
      <c r="L33" s="153">
        <f>IFERROR(__xludf.DUMMYFUNCTION("""COMPUTED_VALUE"""),1720.0)</f>
        <v>1720</v>
      </c>
      <c r="M33" s="153">
        <f>IFERROR(__xludf.DUMMYFUNCTION("""COMPUTED_VALUE"""),17041.0)</f>
        <v>17041</v>
      </c>
      <c r="N33" s="153">
        <f>IFERROR(__xludf.DUMMYFUNCTION("""COMPUTED_VALUE"""),19888.0)</f>
        <v>19888</v>
      </c>
      <c r="O33" s="153">
        <f>IFERROR(__xludf.DUMMYFUNCTION("""COMPUTED_VALUE"""),29.0)</f>
        <v>29</v>
      </c>
      <c r="P33" s="153">
        <f>IFERROR(__xludf.DUMMYFUNCTION("""COMPUTED_VALUE"""),391.0)</f>
        <v>391</v>
      </c>
      <c r="Q33" s="153">
        <f>IFERROR(__xludf.DUMMYFUNCTION("""COMPUTED_VALUE"""),11.0)</f>
        <v>11</v>
      </c>
      <c r="R33" s="153">
        <f>IFERROR(__xludf.DUMMYFUNCTION("""COMPUTED_VALUE"""),119.0)</f>
        <v>119</v>
      </c>
      <c r="S33" s="153">
        <f>IFERROR(__xludf.DUMMYFUNCTION("""COMPUTED_VALUE"""),2.0)</f>
        <v>2</v>
      </c>
      <c r="T33" s="153">
        <f>IFERROR(__xludf.DUMMYFUNCTION("""COMPUTED_VALUE"""),32.0)</f>
        <v>32</v>
      </c>
      <c r="U33" s="153">
        <f>IFERROR(__xludf.DUMMYFUNCTION("""COMPUTED_VALUE"""),240.0)</f>
        <v>240</v>
      </c>
      <c r="V33" s="153">
        <f>IFERROR(__xludf.DUMMYFUNCTION("""COMPUTED_VALUE"""),227.0)</f>
        <v>227</v>
      </c>
      <c r="W33" s="153">
        <f>IFERROR(__xludf.DUMMYFUNCTION("""COMPUTED_VALUE"""),61.0)</f>
        <v>61</v>
      </c>
      <c r="X33" s="153">
        <f>IFERROR(__xludf.DUMMYFUNCTION("""COMPUTED_VALUE"""),48.0)</f>
        <v>48</v>
      </c>
      <c r="Y33" s="153">
        <f>IFERROR(__xludf.DUMMYFUNCTION("""COMPUTED_VALUE"""),12.0)</f>
        <v>12</v>
      </c>
      <c r="Z33" s="153">
        <f>IFERROR(__xludf.DUMMYFUNCTION("""COMPUTED_VALUE"""),82.0)</f>
        <v>82</v>
      </c>
    </row>
    <row r="34">
      <c r="A34" s="210">
        <f>IFERROR(__xludf.DUMMYFUNCTION("""COMPUTED_VALUE"""),43933.0)</f>
        <v>43933</v>
      </c>
      <c r="B34" s="153">
        <f>IFERROR(__xludf.DUMMYFUNCTION("""COMPUTED_VALUE"""),314.0)</f>
        <v>314</v>
      </c>
      <c r="C34" s="153">
        <f>IFERROR(__xludf.DUMMYFUNCTION("""COMPUTED_VALUE"""),343.0)</f>
        <v>343</v>
      </c>
      <c r="D34" s="153">
        <f>IFERROR(__xludf.DUMMYFUNCTION("""COMPUTED_VALUE"""),3220.0)</f>
        <v>3220</v>
      </c>
      <c r="E34" s="153">
        <f>IFERROR(__xludf.DUMMYFUNCTION("""COMPUTED_VALUE"""),1670.0)</f>
        <v>1670</v>
      </c>
      <c r="F34" s="153">
        <f>IFERROR(__xludf.DUMMYFUNCTION("""COMPUTED_VALUE"""),20293.0)</f>
        <v>20293</v>
      </c>
      <c r="G34" s="153">
        <f>IFERROR(__xludf.DUMMYFUNCTION("""COMPUTED_VALUE"""),1984.0)</f>
        <v>1984</v>
      </c>
      <c r="H34" s="153">
        <f>IFERROR(__xludf.DUMMYFUNCTION("""COMPUTED_VALUE"""),23513.0)</f>
        <v>23513</v>
      </c>
      <c r="I34" s="153">
        <f>IFERROR(__xludf.DUMMYFUNCTION("""COMPUTED_VALUE"""),284.0)</f>
        <v>284</v>
      </c>
      <c r="J34" s="153">
        <f>IFERROR(__xludf.DUMMYFUNCTION("""COMPUTED_VALUE"""),321.0)</f>
        <v>321</v>
      </c>
      <c r="K34" s="153">
        <f>IFERROR(__xludf.DUMMYFUNCTION("""COMPUTED_VALUE"""),3131.0)</f>
        <v>3131</v>
      </c>
      <c r="L34" s="153">
        <f>IFERROR(__xludf.DUMMYFUNCTION("""COMPUTED_VALUE"""),1435.0)</f>
        <v>1435</v>
      </c>
      <c r="M34" s="153">
        <f>IFERROR(__xludf.DUMMYFUNCTION("""COMPUTED_VALUE"""),18476.0)</f>
        <v>18476</v>
      </c>
      <c r="N34" s="153">
        <f>IFERROR(__xludf.DUMMYFUNCTION("""COMPUTED_VALUE"""),21607.0)</f>
        <v>21607</v>
      </c>
      <c r="O34" s="153">
        <f>IFERROR(__xludf.DUMMYFUNCTION("""COMPUTED_VALUE"""),35.0)</f>
        <v>35</v>
      </c>
      <c r="P34" s="153">
        <f>IFERROR(__xludf.DUMMYFUNCTION("""COMPUTED_VALUE"""),426.0)</f>
        <v>426</v>
      </c>
      <c r="Q34" s="153">
        <f>IFERROR(__xludf.DUMMYFUNCTION("""COMPUTED_VALUE"""),13.0)</f>
        <v>13</v>
      </c>
      <c r="R34" s="153">
        <f>IFERROR(__xludf.DUMMYFUNCTION("""COMPUTED_VALUE"""),132.0)</f>
        <v>132</v>
      </c>
      <c r="S34" s="153">
        <f>IFERROR(__xludf.DUMMYFUNCTION("""COMPUTED_VALUE"""),5.0)</f>
        <v>5</v>
      </c>
      <c r="T34" s="153">
        <f>IFERROR(__xludf.DUMMYFUNCTION("""COMPUTED_VALUE"""),37.0)</f>
        <v>37</v>
      </c>
      <c r="U34" s="153">
        <f>IFERROR(__xludf.DUMMYFUNCTION("""COMPUTED_VALUE"""),257.0)</f>
        <v>257</v>
      </c>
      <c r="V34" s="153">
        <f>IFERROR(__xludf.DUMMYFUNCTION("""COMPUTED_VALUE"""),240.0)</f>
        <v>240</v>
      </c>
      <c r="W34" s="153">
        <f>IFERROR(__xludf.DUMMYFUNCTION("""COMPUTED_VALUE"""),59.0)</f>
        <v>59</v>
      </c>
      <c r="X34" s="153">
        <f>IFERROR(__xludf.DUMMYFUNCTION("""COMPUTED_VALUE"""),49.0)</f>
        <v>49</v>
      </c>
      <c r="Y34" s="153">
        <f>IFERROR(__xludf.DUMMYFUNCTION("""COMPUTED_VALUE"""),9.0)</f>
        <v>9</v>
      </c>
      <c r="Z34" s="153">
        <f>IFERROR(__xludf.DUMMYFUNCTION("""COMPUTED_VALUE"""),91.0)</f>
        <v>91</v>
      </c>
    </row>
    <row r="35">
      <c r="A35" s="210">
        <f>IFERROR(__xludf.DUMMYFUNCTION("""COMPUTED_VALUE"""),43934.0)</f>
        <v>43934</v>
      </c>
      <c r="B35" s="153">
        <f>IFERROR(__xludf.DUMMYFUNCTION("""COMPUTED_VALUE"""),161.0)</f>
        <v>161</v>
      </c>
      <c r="C35" s="153">
        <f>IFERROR(__xludf.DUMMYFUNCTION("""COMPUTED_VALUE"""),257.0)</f>
        <v>257</v>
      </c>
      <c r="D35" s="153">
        <f>IFERROR(__xludf.DUMMYFUNCTION("""COMPUTED_VALUE"""),3381.0)</f>
        <v>3381</v>
      </c>
      <c r="E35" s="153">
        <f>IFERROR(__xludf.DUMMYFUNCTION("""COMPUTED_VALUE"""),935.0)</f>
        <v>935</v>
      </c>
      <c r="F35" s="153">
        <f>IFERROR(__xludf.DUMMYFUNCTION("""COMPUTED_VALUE"""),21228.0)</f>
        <v>21228</v>
      </c>
      <c r="G35" s="153">
        <f>IFERROR(__xludf.DUMMYFUNCTION("""COMPUTED_VALUE"""),1096.0)</f>
        <v>1096</v>
      </c>
      <c r="H35" s="153">
        <f>IFERROR(__xludf.DUMMYFUNCTION("""COMPUTED_VALUE"""),24609.0)</f>
        <v>24609</v>
      </c>
      <c r="I35" s="153">
        <f>IFERROR(__xludf.DUMMYFUNCTION("""COMPUTED_VALUE"""),187.0)</f>
        <v>187</v>
      </c>
      <c r="J35" s="153">
        <f>IFERROR(__xludf.DUMMYFUNCTION("""COMPUTED_VALUE"""),250.0)</f>
        <v>250</v>
      </c>
      <c r="K35" s="153">
        <f>IFERROR(__xludf.DUMMYFUNCTION("""COMPUTED_VALUE"""),3318.0)</f>
        <v>3318</v>
      </c>
      <c r="L35" s="153">
        <f>IFERROR(__xludf.DUMMYFUNCTION("""COMPUTED_VALUE"""),838.0)</f>
        <v>838</v>
      </c>
      <c r="M35" s="153">
        <f>IFERROR(__xludf.DUMMYFUNCTION("""COMPUTED_VALUE"""),19314.0)</f>
        <v>19314</v>
      </c>
      <c r="N35" s="153">
        <f>IFERROR(__xludf.DUMMYFUNCTION("""COMPUTED_VALUE"""),22632.0)</f>
        <v>22632</v>
      </c>
      <c r="O35" s="153">
        <f>IFERROR(__xludf.DUMMYFUNCTION("""COMPUTED_VALUE"""),35.0)</f>
        <v>35</v>
      </c>
      <c r="P35" s="153">
        <f>IFERROR(__xludf.DUMMYFUNCTION("""COMPUTED_VALUE"""),461.0)</f>
        <v>461</v>
      </c>
      <c r="Q35" s="153">
        <f>IFERROR(__xludf.DUMMYFUNCTION("""COMPUTED_VALUE"""),13.0)</f>
        <v>13</v>
      </c>
      <c r="R35" s="153">
        <f>IFERROR(__xludf.DUMMYFUNCTION("""COMPUTED_VALUE"""),145.0)</f>
        <v>145</v>
      </c>
      <c r="S35" s="153">
        <f>IFERROR(__xludf.DUMMYFUNCTION("""COMPUTED_VALUE"""),3.0)</f>
        <v>3</v>
      </c>
      <c r="T35" s="153">
        <f>IFERROR(__xludf.DUMMYFUNCTION("""COMPUTED_VALUE"""),40.0)</f>
        <v>40</v>
      </c>
      <c r="U35" s="153">
        <f>IFERROR(__xludf.DUMMYFUNCTION("""COMPUTED_VALUE"""),276.0)</f>
        <v>276</v>
      </c>
      <c r="V35" s="153">
        <f>IFERROR(__xludf.DUMMYFUNCTION("""COMPUTED_VALUE"""),258.0)</f>
        <v>258</v>
      </c>
      <c r="W35" s="153">
        <f>IFERROR(__xludf.DUMMYFUNCTION("""COMPUTED_VALUE"""),64.0)</f>
        <v>64</v>
      </c>
      <c r="X35" s="153">
        <f>IFERROR(__xludf.DUMMYFUNCTION("""COMPUTED_VALUE"""),54.0)</f>
        <v>54</v>
      </c>
      <c r="Y35" s="153">
        <f>IFERROR(__xludf.DUMMYFUNCTION("""COMPUTED_VALUE"""),9.0)</f>
        <v>9</v>
      </c>
      <c r="Z35" s="153">
        <f>IFERROR(__xludf.DUMMYFUNCTION("""COMPUTED_VALUE"""),100.0)</f>
        <v>100</v>
      </c>
    </row>
    <row r="36">
      <c r="A36" s="210">
        <f>IFERROR(__xludf.DUMMYFUNCTION("""COMPUTED_VALUE"""),43935.0)</f>
        <v>43935</v>
      </c>
      <c r="B36" s="153">
        <f>IFERROR(__xludf.DUMMYFUNCTION("""COMPUTED_VALUE"""),289.0)</f>
        <v>289</v>
      </c>
      <c r="C36" s="153">
        <f>IFERROR(__xludf.DUMMYFUNCTION("""COMPUTED_VALUE"""),255.0)</f>
        <v>255</v>
      </c>
      <c r="D36" s="153">
        <f>IFERROR(__xludf.DUMMYFUNCTION("""COMPUTED_VALUE"""),3670.0)</f>
        <v>3670</v>
      </c>
      <c r="E36" s="153">
        <f>IFERROR(__xludf.DUMMYFUNCTION("""COMPUTED_VALUE"""),1787.0)</f>
        <v>1787</v>
      </c>
      <c r="F36" s="153">
        <f>IFERROR(__xludf.DUMMYFUNCTION("""COMPUTED_VALUE"""),23015.0)</f>
        <v>23015</v>
      </c>
      <c r="G36" s="153">
        <f>IFERROR(__xludf.DUMMYFUNCTION("""COMPUTED_VALUE"""),2076.0)</f>
        <v>2076</v>
      </c>
      <c r="H36" s="153">
        <f>IFERROR(__xludf.DUMMYFUNCTION("""COMPUTED_VALUE"""),26685.0)</f>
        <v>26685</v>
      </c>
      <c r="I36" s="153">
        <f>IFERROR(__xludf.DUMMYFUNCTION("""COMPUTED_VALUE"""),262.0)</f>
        <v>262</v>
      </c>
      <c r="J36" s="153">
        <f>IFERROR(__xludf.DUMMYFUNCTION("""COMPUTED_VALUE"""),244.0)</f>
        <v>244</v>
      </c>
      <c r="K36" s="153">
        <f>IFERROR(__xludf.DUMMYFUNCTION("""COMPUTED_VALUE"""),3580.0)</f>
        <v>3580</v>
      </c>
      <c r="L36" s="153">
        <f>IFERROR(__xludf.DUMMYFUNCTION("""COMPUTED_VALUE"""),1528.0)</f>
        <v>1528</v>
      </c>
      <c r="M36" s="153">
        <f>IFERROR(__xludf.DUMMYFUNCTION("""COMPUTED_VALUE"""),20842.0)</f>
        <v>20842</v>
      </c>
      <c r="N36" s="153">
        <f>IFERROR(__xludf.DUMMYFUNCTION("""COMPUTED_VALUE"""),24422.0)</f>
        <v>24422</v>
      </c>
      <c r="O36" s="153">
        <f>IFERROR(__xludf.DUMMYFUNCTION("""COMPUTED_VALUE"""),27.0)</f>
        <v>27</v>
      </c>
      <c r="P36" s="153">
        <f>IFERROR(__xludf.DUMMYFUNCTION("""COMPUTED_VALUE"""),488.0)</f>
        <v>488</v>
      </c>
      <c r="Q36" s="153">
        <f>IFERROR(__xludf.DUMMYFUNCTION("""COMPUTED_VALUE"""),17.0)</f>
        <v>17</v>
      </c>
      <c r="R36" s="153">
        <f>IFERROR(__xludf.DUMMYFUNCTION("""COMPUTED_VALUE"""),162.0)</f>
        <v>162</v>
      </c>
      <c r="S36" s="153">
        <f>IFERROR(__xludf.DUMMYFUNCTION("""COMPUTED_VALUE"""),5.0)</f>
        <v>5</v>
      </c>
      <c r="T36" s="153">
        <f>IFERROR(__xludf.DUMMYFUNCTION("""COMPUTED_VALUE"""),45.0)</f>
        <v>45</v>
      </c>
      <c r="U36" s="153">
        <f>IFERROR(__xludf.DUMMYFUNCTION("""COMPUTED_VALUE"""),281.0)</f>
        <v>281</v>
      </c>
      <c r="V36" s="153">
        <f>IFERROR(__xludf.DUMMYFUNCTION("""COMPUTED_VALUE"""),271.0)</f>
        <v>271</v>
      </c>
      <c r="W36" s="153">
        <f>IFERROR(__xludf.DUMMYFUNCTION("""COMPUTED_VALUE"""),72.0)</f>
        <v>72</v>
      </c>
      <c r="X36" s="153">
        <f>IFERROR(__xludf.DUMMYFUNCTION("""COMPUTED_VALUE"""),53.0)</f>
        <v>53</v>
      </c>
      <c r="Y36" s="153">
        <f>IFERROR(__xludf.DUMMYFUNCTION("""COMPUTED_VALUE"""),8.0)</f>
        <v>8</v>
      </c>
      <c r="Z36" s="153">
        <f>IFERROR(__xludf.DUMMYFUNCTION("""COMPUTED_VALUE"""),108.0)</f>
        <v>108</v>
      </c>
    </row>
    <row r="37">
      <c r="A37" s="210">
        <f>IFERROR(__xludf.DUMMYFUNCTION("""COMPUTED_VALUE"""),43936.0)</f>
        <v>43936</v>
      </c>
      <c r="B37" s="153">
        <f>IFERROR(__xludf.DUMMYFUNCTION("""COMPUTED_VALUE"""),351.0)</f>
        <v>351</v>
      </c>
      <c r="C37" s="153">
        <f>IFERROR(__xludf.DUMMYFUNCTION("""COMPUTED_VALUE"""),267.0)</f>
        <v>267</v>
      </c>
      <c r="D37" s="153">
        <f>IFERROR(__xludf.DUMMYFUNCTION("""COMPUTED_VALUE"""),4021.0)</f>
        <v>4021</v>
      </c>
      <c r="E37" s="153">
        <f>IFERROR(__xludf.DUMMYFUNCTION("""COMPUTED_VALUE"""),1799.0)</f>
        <v>1799</v>
      </c>
      <c r="F37" s="153">
        <f>IFERROR(__xludf.DUMMYFUNCTION("""COMPUTED_VALUE"""),24814.0)</f>
        <v>24814</v>
      </c>
      <c r="G37" s="153">
        <f>IFERROR(__xludf.DUMMYFUNCTION("""COMPUTED_VALUE"""),2150.0)</f>
        <v>2150</v>
      </c>
      <c r="H37" s="153">
        <f>IFERROR(__xludf.DUMMYFUNCTION("""COMPUTED_VALUE"""),28835.0)</f>
        <v>28835</v>
      </c>
      <c r="I37" s="153">
        <f>IFERROR(__xludf.DUMMYFUNCTION("""COMPUTED_VALUE"""),306.0)</f>
        <v>306</v>
      </c>
      <c r="J37" s="153">
        <f>IFERROR(__xludf.DUMMYFUNCTION("""COMPUTED_VALUE"""),252.0)</f>
        <v>252</v>
      </c>
      <c r="K37" s="153">
        <f>IFERROR(__xludf.DUMMYFUNCTION("""COMPUTED_VALUE"""),3886.0)</f>
        <v>3886</v>
      </c>
      <c r="L37" s="153">
        <f>IFERROR(__xludf.DUMMYFUNCTION("""COMPUTED_VALUE"""),1553.0)</f>
        <v>1553</v>
      </c>
      <c r="M37" s="153">
        <f>IFERROR(__xludf.DUMMYFUNCTION("""COMPUTED_VALUE"""),22395.0)</f>
        <v>22395</v>
      </c>
      <c r="N37" s="153">
        <f>IFERROR(__xludf.DUMMYFUNCTION("""COMPUTED_VALUE"""),26281.0)</f>
        <v>26281</v>
      </c>
      <c r="O37" s="153">
        <f>IFERROR(__xludf.DUMMYFUNCTION("""COMPUTED_VALUE"""),31.0)</f>
        <v>31</v>
      </c>
      <c r="P37" s="153">
        <f>IFERROR(__xludf.DUMMYFUNCTION("""COMPUTED_VALUE"""),519.0)</f>
        <v>519</v>
      </c>
      <c r="Q37" s="153">
        <f>IFERROR(__xludf.DUMMYFUNCTION("""COMPUTED_VALUE"""),20.0)</f>
        <v>20</v>
      </c>
      <c r="R37" s="153">
        <f>IFERROR(__xludf.DUMMYFUNCTION("""COMPUTED_VALUE"""),182.0)</f>
        <v>182</v>
      </c>
      <c r="S37" s="153">
        <f>IFERROR(__xludf.DUMMYFUNCTION("""COMPUTED_VALUE"""),3.0)</f>
        <v>3</v>
      </c>
      <c r="T37" s="153">
        <f>IFERROR(__xludf.DUMMYFUNCTION("""COMPUTED_VALUE"""),48.0)</f>
        <v>48</v>
      </c>
      <c r="U37" s="153">
        <f>IFERROR(__xludf.DUMMYFUNCTION("""COMPUTED_VALUE"""),289.0)</f>
        <v>289</v>
      </c>
      <c r="V37" s="153">
        <f>IFERROR(__xludf.DUMMYFUNCTION("""COMPUTED_VALUE"""),282.0)</f>
        <v>282</v>
      </c>
      <c r="W37" s="153">
        <f>IFERROR(__xludf.DUMMYFUNCTION("""COMPUTED_VALUE"""),72.0)</f>
        <v>72</v>
      </c>
      <c r="X37" s="153">
        <f>IFERROR(__xludf.DUMMYFUNCTION("""COMPUTED_VALUE"""),54.0)</f>
        <v>54</v>
      </c>
      <c r="Y37" s="153">
        <f>IFERROR(__xludf.DUMMYFUNCTION("""COMPUTED_VALUE"""),17.0)</f>
        <v>17</v>
      </c>
      <c r="Z37" s="153">
        <f>IFERROR(__xludf.DUMMYFUNCTION("""COMPUTED_VALUE"""),125.0)</f>
        <v>125</v>
      </c>
    </row>
    <row r="38">
      <c r="A38" s="210">
        <f>IFERROR(__xludf.DUMMYFUNCTION("""COMPUTED_VALUE"""),43937.0)</f>
        <v>43937</v>
      </c>
      <c r="B38" s="153">
        <f>IFERROR(__xludf.DUMMYFUNCTION("""COMPUTED_VALUE"""),447.0)</f>
        <v>447</v>
      </c>
      <c r="C38" s="153">
        <f>IFERROR(__xludf.DUMMYFUNCTION("""COMPUTED_VALUE"""),362.0)</f>
        <v>362</v>
      </c>
      <c r="D38" s="153">
        <f>IFERROR(__xludf.DUMMYFUNCTION("""COMPUTED_VALUE"""),4468.0)</f>
        <v>4468</v>
      </c>
      <c r="E38" s="153">
        <f>IFERROR(__xludf.DUMMYFUNCTION("""COMPUTED_VALUE"""),2494.0)</f>
        <v>2494</v>
      </c>
      <c r="F38" s="153">
        <f>IFERROR(__xludf.DUMMYFUNCTION("""COMPUTED_VALUE"""),27308.0)</f>
        <v>27308</v>
      </c>
      <c r="G38" s="153">
        <f>IFERROR(__xludf.DUMMYFUNCTION("""COMPUTED_VALUE"""),2941.0)</f>
        <v>2941</v>
      </c>
      <c r="H38" s="153">
        <f>IFERROR(__xludf.DUMMYFUNCTION("""COMPUTED_VALUE"""),31776.0)</f>
        <v>31776</v>
      </c>
      <c r="I38" s="153">
        <f>IFERROR(__xludf.DUMMYFUNCTION("""COMPUTED_VALUE"""),386.0)</f>
        <v>386</v>
      </c>
      <c r="J38" s="153">
        <f>IFERROR(__xludf.DUMMYFUNCTION("""COMPUTED_VALUE"""),318.0)</f>
        <v>318</v>
      </c>
      <c r="K38" s="153">
        <f>IFERROR(__xludf.DUMMYFUNCTION("""COMPUTED_VALUE"""),4272.0)</f>
        <v>4272</v>
      </c>
      <c r="L38" s="153">
        <f>IFERROR(__xludf.DUMMYFUNCTION("""COMPUTED_VALUE"""),2077.0)</f>
        <v>2077</v>
      </c>
      <c r="M38" s="153">
        <f>IFERROR(__xludf.DUMMYFUNCTION("""COMPUTED_VALUE"""),24472.0)</f>
        <v>24472</v>
      </c>
      <c r="N38" s="153">
        <f>IFERROR(__xludf.DUMMYFUNCTION("""COMPUTED_VALUE"""),28744.0)</f>
        <v>28744</v>
      </c>
      <c r="O38" s="153">
        <f>IFERROR(__xludf.DUMMYFUNCTION("""COMPUTED_VALUE"""),36.0)</f>
        <v>36</v>
      </c>
      <c r="P38" s="153">
        <f>IFERROR(__xludf.DUMMYFUNCTION("""COMPUTED_VALUE"""),555.0)</f>
        <v>555</v>
      </c>
      <c r="Q38" s="153">
        <f>IFERROR(__xludf.DUMMYFUNCTION("""COMPUTED_VALUE"""),25.0)</f>
        <v>25</v>
      </c>
      <c r="R38" s="153">
        <f>IFERROR(__xludf.DUMMYFUNCTION("""COMPUTED_VALUE"""),207.0)</f>
        <v>207</v>
      </c>
      <c r="S38" s="153">
        <f>IFERROR(__xludf.DUMMYFUNCTION("""COMPUTED_VALUE"""),6.0)</f>
        <v>6</v>
      </c>
      <c r="T38" s="153">
        <f>IFERROR(__xludf.DUMMYFUNCTION("""COMPUTED_VALUE"""),54.0)</f>
        <v>54</v>
      </c>
      <c r="U38" s="153">
        <f>IFERROR(__xludf.DUMMYFUNCTION("""COMPUTED_VALUE"""),294.0)</f>
        <v>294</v>
      </c>
      <c r="V38" s="153">
        <f>IFERROR(__xludf.DUMMYFUNCTION("""COMPUTED_VALUE"""),288.0)</f>
        <v>288</v>
      </c>
      <c r="W38" s="153">
        <f>IFERROR(__xludf.DUMMYFUNCTION("""COMPUTED_VALUE"""),72.0)</f>
        <v>72</v>
      </c>
      <c r="X38" s="153">
        <f>IFERROR(__xludf.DUMMYFUNCTION("""COMPUTED_VALUE"""),53.0)</f>
        <v>53</v>
      </c>
      <c r="Y38" s="153">
        <f>IFERROR(__xludf.DUMMYFUNCTION("""COMPUTED_VALUE"""),14.0)</f>
        <v>14</v>
      </c>
      <c r="Z38" s="153">
        <f>IFERROR(__xludf.DUMMYFUNCTION("""COMPUTED_VALUE"""),139.0)</f>
        <v>139</v>
      </c>
    </row>
    <row r="39">
      <c r="A39" s="210">
        <f>IFERROR(__xludf.DUMMYFUNCTION("""COMPUTED_VALUE"""),43938.0)</f>
        <v>43938</v>
      </c>
      <c r="B39" s="153">
        <f>IFERROR(__xludf.DUMMYFUNCTION("""COMPUTED_VALUE"""),304.0)</f>
        <v>304</v>
      </c>
      <c r="C39" s="153">
        <f>IFERROR(__xludf.DUMMYFUNCTION("""COMPUTED_VALUE"""),367.0)</f>
        <v>367</v>
      </c>
      <c r="D39" s="153">
        <f>IFERROR(__xludf.DUMMYFUNCTION("""COMPUTED_VALUE"""),4772.0)</f>
        <v>4772</v>
      </c>
      <c r="E39" s="153">
        <f>IFERROR(__xludf.DUMMYFUNCTION("""COMPUTED_VALUE"""),1821.0)</f>
        <v>1821</v>
      </c>
      <c r="F39" s="153">
        <f>IFERROR(__xludf.DUMMYFUNCTION("""COMPUTED_VALUE"""),29129.0)</f>
        <v>29129</v>
      </c>
      <c r="G39" s="153">
        <f>IFERROR(__xludf.DUMMYFUNCTION("""COMPUTED_VALUE"""),2125.0)</f>
        <v>2125</v>
      </c>
      <c r="H39" s="153">
        <f>IFERROR(__xludf.DUMMYFUNCTION("""COMPUTED_VALUE"""),33901.0)</f>
        <v>33901</v>
      </c>
      <c r="I39" s="153">
        <f>IFERROR(__xludf.DUMMYFUNCTION("""COMPUTED_VALUE"""),290.0)</f>
        <v>290</v>
      </c>
      <c r="J39" s="153">
        <f>IFERROR(__xludf.DUMMYFUNCTION("""COMPUTED_VALUE"""),327.0)</f>
        <v>327</v>
      </c>
      <c r="K39" s="153">
        <f>IFERROR(__xludf.DUMMYFUNCTION("""COMPUTED_VALUE"""),4562.0)</f>
        <v>4562</v>
      </c>
      <c r="L39" s="153">
        <f>IFERROR(__xludf.DUMMYFUNCTION("""COMPUTED_VALUE"""),1446.0)</f>
        <v>1446</v>
      </c>
      <c r="M39" s="153">
        <f>IFERROR(__xludf.DUMMYFUNCTION("""COMPUTED_VALUE"""),25918.0)</f>
        <v>25918</v>
      </c>
      <c r="N39" s="153">
        <f>IFERROR(__xludf.DUMMYFUNCTION("""COMPUTED_VALUE"""),30480.0)</f>
        <v>30480</v>
      </c>
      <c r="O39" s="153">
        <f>IFERROR(__xludf.DUMMYFUNCTION("""COMPUTED_VALUE"""),32.0)</f>
        <v>32</v>
      </c>
      <c r="P39" s="153">
        <f>IFERROR(__xludf.DUMMYFUNCTION("""COMPUTED_VALUE"""),587.0)</f>
        <v>587</v>
      </c>
      <c r="Q39" s="153">
        <f>IFERROR(__xludf.DUMMYFUNCTION("""COMPUTED_VALUE"""),20.0)</f>
        <v>20</v>
      </c>
      <c r="R39" s="153">
        <f>IFERROR(__xludf.DUMMYFUNCTION("""COMPUTED_VALUE"""),227.0)</f>
        <v>227</v>
      </c>
      <c r="S39" s="153">
        <f>IFERROR(__xludf.DUMMYFUNCTION("""COMPUTED_VALUE"""),7.0)</f>
        <v>7</v>
      </c>
      <c r="T39" s="153">
        <f>IFERROR(__xludf.DUMMYFUNCTION("""COMPUTED_VALUE"""),61.0)</f>
        <v>61</v>
      </c>
      <c r="U39" s="153">
        <f>IFERROR(__xludf.DUMMYFUNCTION("""COMPUTED_VALUE"""),299.0)</f>
        <v>299</v>
      </c>
      <c r="V39" s="153">
        <f>IFERROR(__xludf.DUMMYFUNCTION("""COMPUTED_VALUE"""),294.0)</f>
        <v>294</v>
      </c>
      <c r="W39" s="153">
        <f>IFERROR(__xludf.DUMMYFUNCTION("""COMPUTED_VALUE"""),66.0)</f>
        <v>66</v>
      </c>
      <c r="X39" s="153">
        <f>IFERROR(__xludf.DUMMYFUNCTION("""COMPUTED_VALUE"""),45.0)</f>
        <v>45</v>
      </c>
      <c r="Y39" s="153">
        <f>IFERROR(__xludf.DUMMYFUNCTION("""COMPUTED_VALUE"""),21.0)</f>
        <v>21</v>
      </c>
      <c r="Z39" s="153">
        <f>IFERROR(__xludf.DUMMYFUNCTION("""COMPUTED_VALUE"""),160.0)</f>
        <v>160</v>
      </c>
    </row>
    <row r="40">
      <c r="A40" s="210">
        <f>IFERROR(__xludf.DUMMYFUNCTION("""COMPUTED_VALUE"""),43939.0)</f>
        <v>43939</v>
      </c>
      <c r="B40" s="153">
        <f>IFERROR(__xludf.DUMMYFUNCTION("""COMPUTED_VALUE"""),321.0)</f>
        <v>321</v>
      </c>
      <c r="C40" s="153">
        <f>IFERROR(__xludf.DUMMYFUNCTION("""COMPUTED_VALUE"""),357.0)</f>
        <v>357</v>
      </c>
      <c r="D40" s="153">
        <f>IFERROR(__xludf.DUMMYFUNCTION("""COMPUTED_VALUE"""),5093.0)</f>
        <v>5093</v>
      </c>
      <c r="E40" s="153">
        <f>IFERROR(__xludf.DUMMYFUNCTION("""COMPUTED_VALUE"""),1725.0)</f>
        <v>1725</v>
      </c>
      <c r="F40" s="153">
        <f>IFERROR(__xludf.DUMMYFUNCTION("""COMPUTED_VALUE"""),30854.0)</f>
        <v>30854</v>
      </c>
      <c r="G40" s="153">
        <f>IFERROR(__xludf.DUMMYFUNCTION("""COMPUTED_VALUE"""),2046.0)</f>
        <v>2046</v>
      </c>
      <c r="H40" s="153">
        <f>IFERROR(__xludf.DUMMYFUNCTION("""COMPUTED_VALUE"""),35947.0)</f>
        <v>35947</v>
      </c>
      <c r="I40" s="153">
        <f>IFERROR(__xludf.DUMMYFUNCTION("""COMPUTED_VALUE"""),284.0)</f>
        <v>284</v>
      </c>
      <c r="J40" s="153">
        <f>IFERROR(__xludf.DUMMYFUNCTION("""COMPUTED_VALUE"""),320.0)</f>
        <v>320</v>
      </c>
      <c r="K40" s="153">
        <f>IFERROR(__xludf.DUMMYFUNCTION("""COMPUTED_VALUE"""),4846.0)</f>
        <v>4846</v>
      </c>
      <c r="L40" s="153">
        <f>IFERROR(__xludf.DUMMYFUNCTION("""COMPUTED_VALUE"""),1325.0)</f>
        <v>1325</v>
      </c>
      <c r="M40" s="153">
        <f>IFERROR(__xludf.DUMMYFUNCTION("""COMPUTED_VALUE"""),27243.0)</f>
        <v>27243</v>
      </c>
      <c r="N40" s="153">
        <f>IFERROR(__xludf.DUMMYFUNCTION("""COMPUTED_VALUE"""),32089.0)</f>
        <v>32089</v>
      </c>
      <c r="O40" s="153">
        <f>IFERROR(__xludf.DUMMYFUNCTION("""COMPUTED_VALUE"""),26.0)</f>
        <v>26</v>
      </c>
      <c r="P40" s="153">
        <f>IFERROR(__xludf.DUMMYFUNCTION("""COMPUTED_VALUE"""),613.0)</f>
        <v>613</v>
      </c>
      <c r="Q40" s="153">
        <f>IFERROR(__xludf.DUMMYFUNCTION("""COMPUTED_VALUE"""),18.0)</f>
        <v>18</v>
      </c>
      <c r="R40" s="153">
        <f>IFERROR(__xludf.DUMMYFUNCTION("""COMPUTED_VALUE"""),245.0)</f>
        <v>245</v>
      </c>
      <c r="S40" s="153">
        <f>IFERROR(__xludf.DUMMYFUNCTION("""COMPUTED_VALUE"""),4.0)</f>
        <v>4</v>
      </c>
      <c r="T40" s="153">
        <f>IFERROR(__xludf.DUMMYFUNCTION("""COMPUTED_VALUE"""),65.0)</f>
        <v>65</v>
      </c>
      <c r="U40" s="153">
        <f>IFERROR(__xludf.DUMMYFUNCTION("""COMPUTED_VALUE"""),303.0)</f>
        <v>303</v>
      </c>
      <c r="V40" s="153">
        <f>IFERROR(__xludf.DUMMYFUNCTION("""COMPUTED_VALUE"""),299.0)</f>
        <v>299</v>
      </c>
      <c r="W40" s="153">
        <f>IFERROR(__xludf.DUMMYFUNCTION("""COMPUTED_VALUE"""),63.0)</f>
        <v>63</v>
      </c>
      <c r="X40" s="153">
        <f>IFERROR(__xludf.DUMMYFUNCTION("""COMPUTED_VALUE"""),49.0)</f>
        <v>49</v>
      </c>
      <c r="Y40" s="153">
        <f>IFERROR(__xludf.DUMMYFUNCTION("""COMPUTED_VALUE"""),15.0)</f>
        <v>15</v>
      </c>
      <c r="Z40" s="153">
        <f>IFERROR(__xludf.DUMMYFUNCTION("""COMPUTED_VALUE"""),175.0)</f>
        <v>175</v>
      </c>
    </row>
    <row r="41">
      <c r="A41" s="210">
        <f>IFERROR(__xludf.DUMMYFUNCTION("""COMPUTED_VALUE"""),43940.0)</f>
        <v>43940</v>
      </c>
      <c r="B41" s="153">
        <f>IFERROR(__xludf.DUMMYFUNCTION("""COMPUTED_VALUE"""),381.0)</f>
        <v>381</v>
      </c>
      <c r="C41" s="153">
        <f>IFERROR(__xludf.DUMMYFUNCTION("""COMPUTED_VALUE"""),335.0)</f>
        <v>335</v>
      </c>
      <c r="D41" s="153">
        <f>IFERROR(__xludf.DUMMYFUNCTION("""COMPUTED_VALUE"""),5474.0)</f>
        <v>5474</v>
      </c>
      <c r="E41" s="153">
        <f>IFERROR(__xludf.DUMMYFUNCTION("""COMPUTED_VALUE"""),2047.0)</f>
        <v>2047</v>
      </c>
      <c r="F41" s="153">
        <f>IFERROR(__xludf.DUMMYFUNCTION("""COMPUTED_VALUE"""),32901.0)</f>
        <v>32901</v>
      </c>
      <c r="G41" s="153">
        <f>IFERROR(__xludf.DUMMYFUNCTION("""COMPUTED_VALUE"""),2428.0)</f>
        <v>2428</v>
      </c>
      <c r="H41" s="153">
        <f>IFERROR(__xludf.DUMMYFUNCTION("""COMPUTED_VALUE"""),38375.0)</f>
        <v>38375</v>
      </c>
      <c r="I41" s="153">
        <f>IFERROR(__xludf.DUMMYFUNCTION("""COMPUTED_VALUE"""),336.0)</f>
        <v>336</v>
      </c>
      <c r="J41" s="153">
        <f>IFERROR(__xludf.DUMMYFUNCTION("""COMPUTED_VALUE"""),303.0)</f>
        <v>303</v>
      </c>
      <c r="K41" s="153">
        <f>IFERROR(__xludf.DUMMYFUNCTION("""COMPUTED_VALUE"""),5182.0)</f>
        <v>5182</v>
      </c>
      <c r="L41" s="153">
        <f>IFERROR(__xludf.DUMMYFUNCTION("""COMPUTED_VALUE"""),1741.0)</f>
        <v>1741</v>
      </c>
      <c r="M41" s="153">
        <f>IFERROR(__xludf.DUMMYFUNCTION("""COMPUTED_VALUE"""),28984.0)</f>
        <v>28984</v>
      </c>
      <c r="N41" s="153">
        <f>IFERROR(__xludf.DUMMYFUNCTION("""COMPUTED_VALUE"""),34166.0)</f>
        <v>34166</v>
      </c>
      <c r="O41" s="153">
        <f>IFERROR(__xludf.DUMMYFUNCTION("""COMPUTED_VALUE"""),23.0)</f>
        <v>23</v>
      </c>
      <c r="P41" s="153">
        <f>IFERROR(__xludf.DUMMYFUNCTION("""COMPUTED_VALUE"""),636.0)</f>
        <v>636</v>
      </c>
      <c r="Q41" s="153">
        <f>IFERROR(__xludf.DUMMYFUNCTION("""COMPUTED_VALUE"""),26.0)</f>
        <v>26</v>
      </c>
      <c r="R41" s="153">
        <f>IFERROR(__xludf.DUMMYFUNCTION("""COMPUTED_VALUE"""),271.0)</f>
        <v>271</v>
      </c>
      <c r="S41" s="153">
        <f>IFERROR(__xludf.DUMMYFUNCTION("""COMPUTED_VALUE"""),1.0)</f>
        <v>1</v>
      </c>
      <c r="T41" s="153">
        <f>IFERROR(__xludf.DUMMYFUNCTION("""COMPUTED_VALUE"""),66.0)</f>
        <v>66</v>
      </c>
      <c r="U41" s="153">
        <f>IFERROR(__xludf.DUMMYFUNCTION("""COMPUTED_VALUE"""),299.0)</f>
        <v>299</v>
      </c>
      <c r="V41" s="153">
        <f>IFERROR(__xludf.DUMMYFUNCTION("""COMPUTED_VALUE"""),300.0)</f>
        <v>300</v>
      </c>
      <c r="W41" s="153">
        <f>IFERROR(__xludf.DUMMYFUNCTION("""COMPUTED_VALUE"""),65.0)</f>
        <v>65</v>
      </c>
      <c r="X41" s="153">
        <f>IFERROR(__xludf.DUMMYFUNCTION("""COMPUTED_VALUE"""),55.0)</f>
        <v>55</v>
      </c>
      <c r="Y41" s="153">
        <f>IFERROR(__xludf.DUMMYFUNCTION("""COMPUTED_VALUE"""),11.0)</f>
        <v>11</v>
      </c>
      <c r="Z41" s="153">
        <f>IFERROR(__xludf.DUMMYFUNCTION("""COMPUTED_VALUE"""),186.0)</f>
        <v>186</v>
      </c>
    </row>
    <row r="42">
      <c r="A42" s="210">
        <f>IFERROR(__xludf.DUMMYFUNCTION("""COMPUTED_VALUE"""),43941.0)</f>
        <v>43941</v>
      </c>
      <c r="B42" s="153">
        <f>IFERROR(__xludf.DUMMYFUNCTION("""COMPUTED_VALUE"""),394.0)</f>
        <v>394</v>
      </c>
      <c r="C42" s="153">
        <f>IFERROR(__xludf.DUMMYFUNCTION("""COMPUTED_VALUE"""),365.0)</f>
        <v>365</v>
      </c>
      <c r="D42" s="153">
        <f>IFERROR(__xludf.DUMMYFUNCTION("""COMPUTED_VALUE"""),5868.0)</f>
        <v>5868</v>
      </c>
      <c r="E42" s="153">
        <f>IFERROR(__xludf.DUMMYFUNCTION("""COMPUTED_VALUE"""),1907.0)</f>
        <v>1907</v>
      </c>
      <c r="F42" s="153">
        <f>IFERROR(__xludf.DUMMYFUNCTION("""COMPUTED_VALUE"""),34808.0)</f>
        <v>34808</v>
      </c>
      <c r="G42" s="153">
        <f>IFERROR(__xludf.DUMMYFUNCTION("""COMPUTED_VALUE"""),2301.0)</f>
        <v>2301</v>
      </c>
      <c r="H42" s="153">
        <f>IFERROR(__xludf.DUMMYFUNCTION("""COMPUTED_VALUE"""),40676.0)</f>
        <v>40676</v>
      </c>
      <c r="I42" s="153">
        <f>IFERROR(__xludf.DUMMYFUNCTION("""COMPUTED_VALUE"""),378.0)</f>
        <v>378</v>
      </c>
      <c r="J42" s="153">
        <f>IFERROR(__xludf.DUMMYFUNCTION("""COMPUTED_VALUE"""),333.0)</f>
        <v>333</v>
      </c>
      <c r="K42" s="153">
        <f>IFERROR(__xludf.DUMMYFUNCTION("""COMPUTED_VALUE"""),5560.0)</f>
        <v>5560</v>
      </c>
      <c r="L42" s="153">
        <f>IFERROR(__xludf.DUMMYFUNCTION("""COMPUTED_VALUE"""),1573.0)</f>
        <v>1573</v>
      </c>
      <c r="M42" s="153">
        <f>IFERROR(__xludf.DUMMYFUNCTION("""COMPUTED_VALUE"""),30557.0)</f>
        <v>30557</v>
      </c>
      <c r="N42" s="153">
        <f>IFERROR(__xludf.DUMMYFUNCTION("""COMPUTED_VALUE"""),36117.0)</f>
        <v>36117</v>
      </c>
      <c r="O42" s="153">
        <f>IFERROR(__xludf.DUMMYFUNCTION("""COMPUTED_VALUE"""),46.0)</f>
        <v>46</v>
      </c>
      <c r="P42" s="153">
        <f>IFERROR(__xludf.DUMMYFUNCTION("""COMPUTED_VALUE"""),682.0)</f>
        <v>682</v>
      </c>
      <c r="Q42" s="153">
        <f>IFERROR(__xludf.DUMMYFUNCTION("""COMPUTED_VALUE"""),29.0)</f>
        <v>29</v>
      </c>
      <c r="R42" s="153">
        <f>IFERROR(__xludf.DUMMYFUNCTION("""COMPUTED_VALUE"""),300.0)</f>
        <v>300</v>
      </c>
      <c r="S42" s="153">
        <f>IFERROR(__xludf.DUMMYFUNCTION("""COMPUTED_VALUE"""),2.0)</f>
        <v>2</v>
      </c>
      <c r="T42" s="153">
        <f>IFERROR(__xludf.DUMMYFUNCTION("""COMPUTED_VALUE"""),68.0)</f>
        <v>68</v>
      </c>
      <c r="U42" s="153">
        <f>IFERROR(__xludf.DUMMYFUNCTION("""COMPUTED_VALUE"""),314.0)</f>
        <v>314</v>
      </c>
      <c r="V42" s="153">
        <f>IFERROR(__xludf.DUMMYFUNCTION("""COMPUTED_VALUE"""),305.0)</f>
        <v>305</v>
      </c>
      <c r="W42" s="153">
        <f>IFERROR(__xludf.DUMMYFUNCTION("""COMPUTED_VALUE"""),75.0)</f>
        <v>75</v>
      </c>
      <c r="X42" s="153">
        <f>IFERROR(__xludf.DUMMYFUNCTION("""COMPUTED_VALUE"""),56.0)</f>
        <v>56</v>
      </c>
      <c r="Y42" s="153">
        <f>IFERROR(__xludf.DUMMYFUNCTION("""COMPUTED_VALUE"""),10.0)</f>
        <v>10</v>
      </c>
      <c r="Z42" s="153">
        <f>IFERROR(__xludf.DUMMYFUNCTION("""COMPUTED_VALUE"""),196.0)</f>
        <v>196</v>
      </c>
    </row>
    <row r="43">
      <c r="A43" s="210">
        <f>IFERROR(__xludf.DUMMYFUNCTION("""COMPUTED_VALUE"""),43942.0)</f>
        <v>43942</v>
      </c>
      <c r="B43" s="153">
        <f>IFERROR(__xludf.DUMMYFUNCTION("""COMPUTED_VALUE"""),444.0)</f>
        <v>444</v>
      </c>
      <c r="C43" s="153">
        <f>IFERROR(__xludf.DUMMYFUNCTION("""COMPUTED_VALUE"""),406.0)</f>
        <v>406</v>
      </c>
      <c r="D43" s="153">
        <f>IFERROR(__xludf.DUMMYFUNCTION("""COMPUTED_VALUE"""),6312.0)</f>
        <v>6312</v>
      </c>
      <c r="E43" s="153">
        <f>IFERROR(__xludf.DUMMYFUNCTION("""COMPUTED_VALUE"""),2110.0)</f>
        <v>2110</v>
      </c>
      <c r="F43" s="153">
        <f>IFERROR(__xludf.DUMMYFUNCTION("""COMPUTED_VALUE"""),36918.0)</f>
        <v>36918</v>
      </c>
      <c r="G43" s="153">
        <f>IFERROR(__xludf.DUMMYFUNCTION("""COMPUTED_VALUE"""),2554.0)</f>
        <v>2554</v>
      </c>
      <c r="H43" s="153">
        <f>IFERROR(__xludf.DUMMYFUNCTION("""COMPUTED_VALUE"""),43230.0)</f>
        <v>43230</v>
      </c>
      <c r="I43" s="153">
        <f>IFERROR(__xludf.DUMMYFUNCTION("""COMPUTED_VALUE"""),384.0)</f>
        <v>384</v>
      </c>
      <c r="J43" s="153">
        <f>IFERROR(__xludf.DUMMYFUNCTION("""COMPUTED_VALUE"""),366.0)</f>
        <v>366</v>
      </c>
      <c r="K43" s="153">
        <f>IFERROR(__xludf.DUMMYFUNCTION("""COMPUTED_VALUE"""),5944.0)</f>
        <v>5944</v>
      </c>
      <c r="L43" s="153">
        <f>IFERROR(__xludf.DUMMYFUNCTION("""COMPUTED_VALUE"""),1705.0)</f>
        <v>1705</v>
      </c>
      <c r="M43" s="153">
        <f>IFERROR(__xludf.DUMMYFUNCTION("""COMPUTED_VALUE"""),32262.0)</f>
        <v>32262</v>
      </c>
      <c r="N43" s="153">
        <f>IFERROR(__xludf.DUMMYFUNCTION("""COMPUTED_VALUE"""),38206.0)</f>
        <v>38206</v>
      </c>
      <c r="O43" s="153">
        <f>IFERROR(__xludf.DUMMYFUNCTION("""COMPUTED_VALUE"""),45.0)</f>
        <v>45</v>
      </c>
      <c r="P43" s="153">
        <f>IFERROR(__xludf.DUMMYFUNCTION("""COMPUTED_VALUE"""),727.0)</f>
        <v>727</v>
      </c>
      <c r="Q43" s="153">
        <f>IFERROR(__xludf.DUMMYFUNCTION("""COMPUTED_VALUE"""),33.0)</f>
        <v>33</v>
      </c>
      <c r="R43" s="153">
        <f>IFERROR(__xludf.DUMMYFUNCTION("""COMPUTED_VALUE"""),333.0)</f>
        <v>333</v>
      </c>
      <c r="S43" s="153">
        <f>IFERROR(__xludf.DUMMYFUNCTION("""COMPUTED_VALUE"""),5.0)</f>
        <v>5</v>
      </c>
      <c r="T43" s="153">
        <f>IFERROR(__xludf.DUMMYFUNCTION("""COMPUTED_VALUE"""),73.0)</f>
        <v>73</v>
      </c>
      <c r="U43" s="153">
        <f>IFERROR(__xludf.DUMMYFUNCTION("""COMPUTED_VALUE"""),321.0)</f>
        <v>321</v>
      </c>
      <c r="V43" s="153">
        <f>IFERROR(__xludf.DUMMYFUNCTION("""COMPUTED_VALUE"""),311.0)</f>
        <v>311</v>
      </c>
      <c r="W43" s="153">
        <f>IFERROR(__xludf.DUMMYFUNCTION("""COMPUTED_VALUE"""),72.0)</f>
        <v>72</v>
      </c>
      <c r="X43" s="153">
        <f>IFERROR(__xludf.DUMMYFUNCTION("""COMPUTED_VALUE"""),56.0)</f>
        <v>56</v>
      </c>
      <c r="Y43" s="153">
        <f>IFERROR(__xludf.DUMMYFUNCTION("""COMPUTED_VALUE"""),18.0)</f>
        <v>18</v>
      </c>
      <c r="Z43" s="153">
        <f>IFERROR(__xludf.DUMMYFUNCTION("""COMPUTED_VALUE"""),214.0)</f>
        <v>214</v>
      </c>
    </row>
    <row r="44">
      <c r="A44" s="210">
        <f>IFERROR(__xludf.DUMMYFUNCTION("""COMPUTED_VALUE"""),43943.0)</f>
        <v>43943</v>
      </c>
      <c r="B44" s="153">
        <f>IFERROR(__xludf.DUMMYFUNCTION("""COMPUTED_VALUE"""),418.0)</f>
        <v>418</v>
      </c>
      <c r="C44" s="153">
        <f>IFERROR(__xludf.DUMMYFUNCTION("""COMPUTED_VALUE"""),419.0)</f>
        <v>419</v>
      </c>
      <c r="D44" s="153">
        <f>IFERROR(__xludf.DUMMYFUNCTION("""COMPUTED_VALUE"""),6730.0)</f>
        <v>6730</v>
      </c>
      <c r="E44" s="153">
        <f>IFERROR(__xludf.DUMMYFUNCTION("""COMPUTED_VALUE"""),2390.0)</f>
        <v>2390</v>
      </c>
      <c r="F44" s="153">
        <f>IFERROR(__xludf.DUMMYFUNCTION("""COMPUTED_VALUE"""),39308.0)</f>
        <v>39308</v>
      </c>
      <c r="G44" s="153">
        <f>IFERROR(__xludf.DUMMYFUNCTION("""COMPUTED_VALUE"""),2808.0)</f>
        <v>2808</v>
      </c>
      <c r="H44" s="153">
        <f>IFERROR(__xludf.DUMMYFUNCTION("""COMPUTED_VALUE"""),46038.0)</f>
        <v>46038</v>
      </c>
      <c r="I44" s="153">
        <f>IFERROR(__xludf.DUMMYFUNCTION("""COMPUTED_VALUE"""),379.0)</f>
        <v>379</v>
      </c>
      <c r="J44" s="153">
        <f>IFERROR(__xludf.DUMMYFUNCTION("""COMPUTED_VALUE"""),380.0)</f>
        <v>380</v>
      </c>
      <c r="K44" s="153">
        <f>IFERROR(__xludf.DUMMYFUNCTION("""COMPUTED_VALUE"""),6323.0)</f>
        <v>6323</v>
      </c>
      <c r="L44" s="153">
        <f>IFERROR(__xludf.DUMMYFUNCTION("""COMPUTED_VALUE"""),1915.0)</f>
        <v>1915</v>
      </c>
      <c r="M44" s="153">
        <f>IFERROR(__xludf.DUMMYFUNCTION("""COMPUTED_VALUE"""),34177.0)</f>
        <v>34177</v>
      </c>
      <c r="N44" s="153">
        <f>IFERROR(__xludf.DUMMYFUNCTION("""COMPUTED_VALUE"""),40500.0)</f>
        <v>40500</v>
      </c>
      <c r="O44" s="153">
        <f>IFERROR(__xludf.DUMMYFUNCTION("""COMPUTED_VALUE"""),41.0)</f>
        <v>41</v>
      </c>
      <c r="P44" s="153">
        <f>IFERROR(__xludf.DUMMYFUNCTION("""COMPUTED_VALUE"""),768.0)</f>
        <v>768</v>
      </c>
      <c r="Q44" s="153">
        <f>IFERROR(__xludf.DUMMYFUNCTION("""COMPUTED_VALUE"""),32.0)</f>
        <v>32</v>
      </c>
      <c r="R44" s="153">
        <f>IFERROR(__xludf.DUMMYFUNCTION("""COMPUTED_VALUE"""),365.0)</f>
        <v>365</v>
      </c>
      <c r="S44" s="153">
        <f>IFERROR(__xludf.DUMMYFUNCTION("""COMPUTED_VALUE"""),5.0)</f>
        <v>5</v>
      </c>
      <c r="T44" s="153">
        <f>IFERROR(__xludf.DUMMYFUNCTION("""COMPUTED_VALUE"""),78.0)</f>
        <v>78</v>
      </c>
      <c r="U44" s="153">
        <f>IFERROR(__xludf.DUMMYFUNCTION("""COMPUTED_VALUE"""),325.0)</f>
        <v>325</v>
      </c>
      <c r="V44" s="153">
        <f>IFERROR(__xludf.DUMMYFUNCTION("""COMPUTED_VALUE"""),320.0)</f>
        <v>320</v>
      </c>
      <c r="W44" s="153">
        <f>IFERROR(__xludf.DUMMYFUNCTION("""COMPUTED_VALUE"""),73.0)</f>
        <v>73</v>
      </c>
      <c r="X44" s="153">
        <f>IFERROR(__xludf.DUMMYFUNCTION("""COMPUTED_VALUE"""),58.0)</f>
        <v>58</v>
      </c>
      <c r="Y44" s="153">
        <f>IFERROR(__xludf.DUMMYFUNCTION("""COMPUTED_VALUE"""),18.0)</f>
        <v>18</v>
      </c>
      <c r="Z44" s="153">
        <f>IFERROR(__xludf.DUMMYFUNCTION("""COMPUTED_VALUE"""),232.0)</f>
        <v>232</v>
      </c>
    </row>
    <row r="45">
      <c r="A45" s="210">
        <f>IFERROR(__xludf.DUMMYFUNCTION("""COMPUTED_VALUE"""),43944.0)</f>
        <v>43944</v>
      </c>
      <c r="B45" s="153">
        <f>IFERROR(__xludf.DUMMYFUNCTION("""COMPUTED_VALUE"""),479.0)</f>
        <v>479</v>
      </c>
      <c r="C45" s="153">
        <f>IFERROR(__xludf.DUMMYFUNCTION("""COMPUTED_VALUE"""),447.0)</f>
        <v>447</v>
      </c>
      <c r="D45" s="153">
        <f>IFERROR(__xludf.DUMMYFUNCTION("""COMPUTED_VALUE"""),7209.0)</f>
        <v>7209</v>
      </c>
      <c r="E45" s="153">
        <f>IFERROR(__xludf.DUMMYFUNCTION("""COMPUTED_VALUE"""),2469.0)</f>
        <v>2469</v>
      </c>
      <c r="F45" s="153">
        <f>IFERROR(__xludf.DUMMYFUNCTION("""COMPUTED_VALUE"""),41777.0)</f>
        <v>41777</v>
      </c>
      <c r="G45" s="153">
        <f>IFERROR(__xludf.DUMMYFUNCTION("""COMPUTED_VALUE"""),2948.0)</f>
        <v>2948</v>
      </c>
      <c r="H45" s="153">
        <f>IFERROR(__xludf.DUMMYFUNCTION("""COMPUTED_VALUE"""),48986.0)</f>
        <v>48986</v>
      </c>
      <c r="I45" s="153">
        <f>IFERROR(__xludf.DUMMYFUNCTION("""COMPUTED_VALUE"""),412.0)</f>
        <v>412</v>
      </c>
      <c r="J45" s="153">
        <f>IFERROR(__xludf.DUMMYFUNCTION("""COMPUTED_VALUE"""),392.0)</f>
        <v>392</v>
      </c>
      <c r="K45" s="153">
        <f>IFERROR(__xludf.DUMMYFUNCTION("""COMPUTED_VALUE"""),6735.0)</f>
        <v>6735</v>
      </c>
      <c r="L45" s="153">
        <f>IFERROR(__xludf.DUMMYFUNCTION("""COMPUTED_VALUE"""),1857.0)</f>
        <v>1857</v>
      </c>
      <c r="M45" s="153">
        <f>IFERROR(__xludf.DUMMYFUNCTION("""COMPUTED_VALUE"""),36034.0)</f>
        <v>36034</v>
      </c>
      <c r="N45" s="153">
        <f>IFERROR(__xludf.DUMMYFUNCTION("""COMPUTED_VALUE"""),42769.0)</f>
        <v>42769</v>
      </c>
      <c r="O45" s="153">
        <f>IFERROR(__xludf.DUMMYFUNCTION("""COMPUTED_VALUE"""),32.0)</f>
        <v>32</v>
      </c>
      <c r="P45" s="153">
        <f>IFERROR(__xludf.DUMMYFUNCTION("""COMPUTED_VALUE"""),800.0)</f>
        <v>800</v>
      </c>
      <c r="Q45" s="153">
        <f>IFERROR(__xludf.DUMMYFUNCTION("""COMPUTED_VALUE"""),28.0)</f>
        <v>28</v>
      </c>
      <c r="R45" s="153">
        <f>IFERROR(__xludf.DUMMYFUNCTION("""COMPUTED_VALUE"""),393.0)</f>
        <v>393</v>
      </c>
      <c r="S45" s="153">
        <f>IFERROR(__xludf.DUMMYFUNCTION("""COMPUTED_VALUE"""),5.0)</f>
        <v>5</v>
      </c>
      <c r="T45" s="153">
        <f>IFERROR(__xludf.DUMMYFUNCTION("""COMPUTED_VALUE"""),83.0)</f>
        <v>83</v>
      </c>
      <c r="U45" s="153">
        <f>IFERROR(__xludf.DUMMYFUNCTION("""COMPUTED_VALUE"""),324.0)</f>
        <v>324</v>
      </c>
      <c r="V45" s="153">
        <f>IFERROR(__xludf.DUMMYFUNCTION("""COMPUTED_VALUE"""),323.0)</f>
        <v>323</v>
      </c>
      <c r="W45" s="153">
        <f>IFERROR(__xludf.DUMMYFUNCTION("""COMPUTED_VALUE"""),76.0)</f>
        <v>76</v>
      </c>
      <c r="X45" s="153">
        <f>IFERROR(__xludf.DUMMYFUNCTION("""COMPUTED_VALUE"""),62.0)</f>
        <v>62</v>
      </c>
      <c r="Y45" s="153">
        <f>IFERROR(__xludf.DUMMYFUNCTION("""COMPUTED_VALUE"""),15.0)</f>
        <v>15</v>
      </c>
      <c r="Z45" s="153">
        <f>IFERROR(__xludf.DUMMYFUNCTION("""COMPUTED_VALUE"""),247.0)</f>
        <v>247</v>
      </c>
    </row>
    <row r="46">
      <c r="A46" s="210">
        <f>IFERROR(__xludf.DUMMYFUNCTION("""COMPUTED_VALUE"""),43945.0)</f>
        <v>43945</v>
      </c>
      <c r="B46" s="153">
        <f>IFERROR(__xludf.DUMMYFUNCTION("""COMPUTED_VALUE"""),491.0)</f>
        <v>491</v>
      </c>
      <c r="C46" s="153">
        <f>IFERROR(__xludf.DUMMYFUNCTION("""COMPUTED_VALUE"""),463.0)</f>
        <v>463</v>
      </c>
      <c r="D46" s="153">
        <f>IFERROR(__xludf.DUMMYFUNCTION("""COMPUTED_VALUE"""),7700.0)</f>
        <v>7700</v>
      </c>
      <c r="E46" s="153">
        <f>IFERROR(__xludf.DUMMYFUNCTION("""COMPUTED_VALUE"""),3284.0)</f>
        <v>3284</v>
      </c>
      <c r="F46" s="153">
        <f>IFERROR(__xludf.DUMMYFUNCTION("""COMPUTED_VALUE"""),45061.0)</f>
        <v>45061</v>
      </c>
      <c r="G46" s="153">
        <f>IFERROR(__xludf.DUMMYFUNCTION("""COMPUTED_VALUE"""),3775.0)</f>
        <v>3775</v>
      </c>
      <c r="H46" s="153">
        <f>IFERROR(__xludf.DUMMYFUNCTION("""COMPUTED_VALUE"""),52761.0)</f>
        <v>52761</v>
      </c>
      <c r="I46" s="153">
        <f>IFERROR(__xludf.DUMMYFUNCTION("""COMPUTED_VALUE"""),408.0)</f>
        <v>408</v>
      </c>
      <c r="J46" s="153">
        <f>IFERROR(__xludf.DUMMYFUNCTION("""COMPUTED_VALUE"""),400.0)</f>
        <v>400</v>
      </c>
      <c r="K46" s="153">
        <f>IFERROR(__xludf.DUMMYFUNCTION("""COMPUTED_VALUE"""),7143.0)</f>
        <v>7143</v>
      </c>
      <c r="L46" s="153">
        <f>IFERROR(__xludf.DUMMYFUNCTION("""COMPUTED_VALUE"""),2627.0)</f>
        <v>2627</v>
      </c>
      <c r="M46" s="153">
        <f>IFERROR(__xludf.DUMMYFUNCTION("""COMPUTED_VALUE"""),38661.0)</f>
        <v>38661</v>
      </c>
      <c r="N46" s="153">
        <f>IFERROR(__xludf.DUMMYFUNCTION("""COMPUTED_VALUE"""),45804.0)</f>
        <v>45804</v>
      </c>
      <c r="O46" s="153">
        <f>IFERROR(__xludf.DUMMYFUNCTION("""COMPUTED_VALUE"""),35.0)</f>
        <v>35</v>
      </c>
      <c r="P46" s="153">
        <f>IFERROR(__xludf.DUMMYFUNCTION("""COMPUTED_VALUE"""),835.0)</f>
        <v>835</v>
      </c>
      <c r="Q46" s="153">
        <f>IFERROR(__xludf.DUMMYFUNCTION("""COMPUTED_VALUE"""),26.0)</f>
        <v>26</v>
      </c>
      <c r="R46" s="153">
        <f>IFERROR(__xludf.DUMMYFUNCTION("""COMPUTED_VALUE"""),419.0)</f>
        <v>419</v>
      </c>
      <c r="S46" s="153">
        <f>IFERROR(__xludf.DUMMYFUNCTION("""COMPUTED_VALUE"""),4.0)</f>
        <v>4</v>
      </c>
      <c r="T46" s="153">
        <f>IFERROR(__xludf.DUMMYFUNCTION("""COMPUTED_VALUE"""),87.0)</f>
        <v>87</v>
      </c>
      <c r="U46" s="153">
        <f>IFERROR(__xludf.DUMMYFUNCTION("""COMPUTED_VALUE"""),329.0)</f>
        <v>329</v>
      </c>
      <c r="V46" s="153">
        <f>IFERROR(__xludf.DUMMYFUNCTION("""COMPUTED_VALUE"""),326.0)</f>
        <v>326</v>
      </c>
      <c r="W46" s="153">
        <f>IFERROR(__xludf.DUMMYFUNCTION("""COMPUTED_VALUE"""),85.0)</f>
        <v>85</v>
      </c>
      <c r="X46" s="153">
        <f>IFERROR(__xludf.DUMMYFUNCTION("""COMPUTED_VALUE"""),63.0)</f>
        <v>63</v>
      </c>
      <c r="Y46" s="153">
        <f>IFERROR(__xludf.DUMMYFUNCTION("""COMPUTED_VALUE"""),15.0)</f>
        <v>15</v>
      </c>
      <c r="Z46" s="153">
        <f>IFERROR(__xludf.DUMMYFUNCTION("""COMPUTED_VALUE"""),262.0)</f>
        <v>262</v>
      </c>
    </row>
    <row r="47">
      <c r="A47" s="210">
        <f>IFERROR(__xludf.DUMMYFUNCTION("""COMPUTED_VALUE"""),43946.0)</f>
        <v>43946</v>
      </c>
      <c r="B47" s="153">
        <f>IFERROR(__xludf.DUMMYFUNCTION("""COMPUTED_VALUE"""),393.0)</f>
        <v>393</v>
      </c>
      <c r="C47" s="153">
        <f>IFERROR(__xludf.DUMMYFUNCTION("""COMPUTED_VALUE"""),454.0)</f>
        <v>454</v>
      </c>
      <c r="D47" s="153">
        <f>IFERROR(__xludf.DUMMYFUNCTION("""COMPUTED_VALUE"""),8093.0)</f>
        <v>8093</v>
      </c>
      <c r="E47" s="153">
        <f>IFERROR(__xludf.DUMMYFUNCTION("""COMPUTED_VALUE"""),2206.0)</f>
        <v>2206</v>
      </c>
      <c r="F47" s="153">
        <f>IFERROR(__xludf.DUMMYFUNCTION("""COMPUTED_VALUE"""),47267.0)</f>
        <v>47267</v>
      </c>
      <c r="G47" s="153">
        <f>IFERROR(__xludf.DUMMYFUNCTION("""COMPUTED_VALUE"""),2599.0)</f>
        <v>2599</v>
      </c>
      <c r="H47" s="153">
        <f>IFERROR(__xludf.DUMMYFUNCTION("""COMPUTED_VALUE"""),55360.0)</f>
        <v>55360</v>
      </c>
      <c r="I47" s="153">
        <f>IFERROR(__xludf.DUMMYFUNCTION("""COMPUTED_VALUE"""),300.0)</f>
        <v>300</v>
      </c>
      <c r="J47" s="153">
        <f>IFERROR(__xludf.DUMMYFUNCTION("""COMPUTED_VALUE"""),373.0)</f>
        <v>373</v>
      </c>
      <c r="K47" s="153">
        <f>IFERROR(__xludf.DUMMYFUNCTION("""COMPUTED_VALUE"""),7443.0)</f>
        <v>7443</v>
      </c>
      <c r="L47" s="153">
        <f>IFERROR(__xludf.DUMMYFUNCTION("""COMPUTED_VALUE"""),1769.0)</f>
        <v>1769</v>
      </c>
      <c r="M47" s="153">
        <f>IFERROR(__xludf.DUMMYFUNCTION("""COMPUTED_VALUE"""),40430.0)</f>
        <v>40430</v>
      </c>
      <c r="N47" s="153">
        <f>IFERROR(__xludf.DUMMYFUNCTION("""COMPUTED_VALUE"""),47873.0)</f>
        <v>47873</v>
      </c>
      <c r="O47" s="153">
        <f>IFERROR(__xludf.DUMMYFUNCTION("""COMPUTED_VALUE"""),34.0)</f>
        <v>34</v>
      </c>
      <c r="P47" s="153">
        <f>IFERROR(__xludf.DUMMYFUNCTION("""COMPUTED_VALUE"""),869.0)</f>
        <v>869</v>
      </c>
      <c r="Q47" s="153">
        <f>IFERROR(__xludf.DUMMYFUNCTION("""COMPUTED_VALUE"""),17.0)</f>
        <v>17</v>
      </c>
      <c r="R47" s="153">
        <f>IFERROR(__xludf.DUMMYFUNCTION("""COMPUTED_VALUE"""),436.0)</f>
        <v>436</v>
      </c>
      <c r="S47" s="153">
        <f>IFERROR(__xludf.DUMMYFUNCTION("""COMPUTED_VALUE"""),5.0)</f>
        <v>5</v>
      </c>
      <c r="T47" s="153">
        <f>IFERROR(__xludf.DUMMYFUNCTION("""COMPUTED_VALUE"""),92.0)</f>
        <v>92</v>
      </c>
      <c r="U47" s="153">
        <f>IFERROR(__xludf.DUMMYFUNCTION("""COMPUTED_VALUE"""),341.0)</f>
        <v>341</v>
      </c>
      <c r="V47" s="153">
        <f>IFERROR(__xludf.DUMMYFUNCTION("""COMPUTED_VALUE"""),331.0)</f>
        <v>331</v>
      </c>
      <c r="W47" s="153">
        <f>IFERROR(__xludf.DUMMYFUNCTION("""COMPUTED_VALUE"""),85.0)</f>
        <v>85</v>
      </c>
      <c r="X47" s="153">
        <f>IFERROR(__xludf.DUMMYFUNCTION("""COMPUTED_VALUE"""),62.0)</f>
        <v>62</v>
      </c>
      <c r="Y47" s="153">
        <f>IFERROR(__xludf.DUMMYFUNCTION("""COMPUTED_VALUE"""),14.0)</f>
        <v>14</v>
      </c>
      <c r="Z47" s="153">
        <f>IFERROR(__xludf.DUMMYFUNCTION("""COMPUTED_VALUE"""),276.0)</f>
        <v>276</v>
      </c>
    </row>
    <row r="48">
      <c r="A48" s="210">
        <f>IFERROR(__xludf.DUMMYFUNCTION("""COMPUTED_VALUE"""),43947.0)</f>
        <v>43947</v>
      </c>
      <c r="B48" s="153">
        <f>IFERROR(__xludf.DUMMYFUNCTION("""COMPUTED_VALUE"""),316.0)</f>
        <v>316</v>
      </c>
      <c r="C48" s="153">
        <f>IFERROR(__xludf.DUMMYFUNCTION("""COMPUTED_VALUE"""),400.0)</f>
        <v>400</v>
      </c>
      <c r="D48" s="153">
        <f>IFERROR(__xludf.DUMMYFUNCTION("""COMPUTED_VALUE"""),8409.0)</f>
        <v>8409</v>
      </c>
      <c r="E48" s="153">
        <f>IFERROR(__xludf.DUMMYFUNCTION("""COMPUTED_VALUE"""),2309.0)</f>
        <v>2309</v>
      </c>
      <c r="F48" s="153">
        <f>IFERROR(__xludf.DUMMYFUNCTION("""COMPUTED_VALUE"""),49576.0)</f>
        <v>49576</v>
      </c>
      <c r="G48" s="153">
        <f>IFERROR(__xludf.DUMMYFUNCTION("""COMPUTED_VALUE"""),2625.0)</f>
        <v>2625</v>
      </c>
      <c r="H48" s="153">
        <f>IFERROR(__xludf.DUMMYFUNCTION("""COMPUTED_VALUE"""),57985.0)</f>
        <v>57985</v>
      </c>
      <c r="I48" s="153">
        <f>IFERROR(__xludf.DUMMYFUNCTION("""COMPUTED_VALUE"""),274.0)</f>
        <v>274</v>
      </c>
      <c r="J48" s="153">
        <f>IFERROR(__xludf.DUMMYFUNCTION("""COMPUTED_VALUE"""),327.0)</f>
        <v>327</v>
      </c>
      <c r="K48" s="153">
        <f>IFERROR(__xludf.DUMMYFUNCTION("""COMPUTED_VALUE"""),7717.0)</f>
        <v>7717</v>
      </c>
      <c r="L48" s="153">
        <f>IFERROR(__xludf.DUMMYFUNCTION("""COMPUTED_VALUE"""),1877.0)</f>
        <v>1877</v>
      </c>
      <c r="M48" s="153">
        <f>IFERROR(__xludf.DUMMYFUNCTION("""COMPUTED_VALUE"""),42307.0)</f>
        <v>42307</v>
      </c>
      <c r="N48" s="153">
        <f>IFERROR(__xludf.DUMMYFUNCTION("""COMPUTED_VALUE"""),50024.0)</f>
        <v>50024</v>
      </c>
      <c r="O48" s="153">
        <f>IFERROR(__xludf.DUMMYFUNCTION("""COMPUTED_VALUE"""),33.0)</f>
        <v>33</v>
      </c>
      <c r="P48" s="153">
        <f>IFERROR(__xludf.DUMMYFUNCTION("""COMPUTED_VALUE"""),902.0)</f>
        <v>902</v>
      </c>
      <c r="Q48" s="153">
        <f>IFERROR(__xludf.DUMMYFUNCTION("""COMPUTED_VALUE"""),15.0)</f>
        <v>15</v>
      </c>
      <c r="R48" s="153">
        <f>IFERROR(__xludf.DUMMYFUNCTION("""COMPUTED_VALUE"""),451.0)</f>
        <v>451</v>
      </c>
      <c r="S48" s="153">
        <f>IFERROR(__xludf.DUMMYFUNCTION("""COMPUTED_VALUE"""),3.0)</f>
        <v>3</v>
      </c>
      <c r="T48" s="153">
        <f>IFERROR(__xludf.DUMMYFUNCTION("""COMPUTED_VALUE"""),95.0)</f>
        <v>95</v>
      </c>
      <c r="U48" s="153">
        <f>IFERROR(__xludf.DUMMYFUNCTION("""COMPUTED_VALUE"""),356.0)</f>
        <v>356</v>
      </c>
      <c r="V48" s="153">
        <f>IFERROR(__xludf.DUMMYFUNCTION("""COMPUTED_VALUE"""),342.0)</f>
        <v>342</v>
      </c>
      <c r="W48" s="153">
        <f>IFERROR(__xludf.DUMMYFUNCTION("""COMPUTED_VALUE"""),86.0)</f>
        <v>86</v>
      </c>
      <c r="X48" s="153">
        <f>IFERROR(__xludf.DUMMYFUNCTION("""COMPUTED_VALUE"""),59.0)</f>
        <v>59</v>
      </c>
      <c r="Y48" s="153">
        <f>IFERROR(__xludf.DUMMYFUNCTION("""COMPUTED_VALUE"""),14.0)</f>
        <v>14</v>
      </c>
      <c r="Z48" s="153">
        <f>IFERROR(__xludf.DUMMYFUNCTION("""COMPUTED_VALUE"""),290.0)</f>
        <v>290</v>
      </c>
    </row>
    <row r="49">
      <c r="A49" s="210">
        <f>IFERROR(__xludf.DUMMYFUNCTION("""COMPUTED_VALUE"""),43948.0)</f>
        <v>43948</v>
      </c>
      <c r="B49" s="153">
        <f>IFERROR(__xludf.DUMMYFUNCTION("""COMPUTED_VALUE"""),249.0)</f>
        <v>249</v>
      </c>
      <c r="C49" s="153">
        <f>IFERROR(__xludf.DUMMYFUNCTION("""COMPUTED_VALUE"""),319.0)</f>
        <v>319</v>
      </c>
      <c r="D49" s="153">
        <f>IFERROR(__xludf.DUMMYFUNCTION("""COMPUTED_VALUE"""),8658.0)</f>
        <v>8658</v>
      </c>
      <c r="E49" s="153">
        <f>IFERROR(__xludf.DUMMYFUNCTION("""COMPUTED_VALUE"""),1620.0)</f>
        <v>1620</v>
      </c>
      <c r="F49" s="153">
        <f>IFERROR(__xludf.DUMMYFUNCTION("""COMPUTED_VALUE"""),51196.0)</f>
        <v>51196</v>
      </c>
      <c r="G49" s="153">
        <f>IFERROR(__xludf.DUMMYFUNCTION("""COMPUTED_VALUE"""),1869.0)</f>
        <v>1869</v>
      </c>
      <c r="H49" s="153">
        <f>IFERROR(__xludf.DUMMYFUNCTION("""COMPUTED_VALUE"""),59854.0)</f>
        <v>59854</v>
      </c>
      <c r="I49" s="153">
        <f>IFERROR(__xludf.DUMMYFUNCTION("""COMPUTED_VALUE"""),206.0)</f>
        <v>206</v>
      </c>
      <c r="J49" s="153">
        <f>IFERROR(__xludf.DUMMYFUNCTION("""COMPUTED_VALUE"""),260.0)</f>
        <v>260</v>
      </c>
      <c r="K49" s="153">
        <f>IFERROR(__xludf.DUMMYFUNCTION("""COMPUTED_VALUE"""),7923.0)</f>
        <v>7923</v>
      </c>
      <c r="L49" s="153">
        <f>IFERROR(__xludf.DUMMYFUNCTION("""COMPUTED_VALUE"""),1162.0)</f>
        <v>1162</v>
      </c>
      <c r="M49" s="153">
        <f>IFERROR(__xludf.DUMMYFUNCTION("""COMPUTED_VALUE"""),43469.0)</f>
        <v>43469</v>
      </c>
      <c r="N49" s="153">
        <f>IFERROR(__xludf.DUMMYFUNCTION("""COMPUTED_VALUE"""),51392.0)</f>
        <v>51392</v>
      </c>
      <c r="O49" s="153">
        <f>IFERROR(__xludf.DUMMYFUNCTION("""COMPUTED_VALUE"""),29.0)</f>
        <v>29</v>
      </c>
      <c r="P49" s="153">
        <f>IFERROR(__xludf.DUMMYFUNCTION("""COMPUTED_VALUE"""),931.0)</f>
        <v>931</v>
      </c>
      <c r="Q49" s="153">
        <f>IFERROR(__xludf.DUMMYFUNCTION("""COMPUTED_VALUE"""),21.0)</f>
        <v>21</v>
      </c>
      <c r="R49" s="153">
        <f>IFERROR(__xludf.DUMMYFUNCTION("""COMPUTED_VALUE"""),472.0)</f>
        <v>472</v>
      </c>
      <c r="S49" s="153">
        <f>IFERROR(__xludf.DUMMYFUNCTION("""COMPUTED_VALUE"""),4.0)</f>
        <v>4</v>
      </c>
      <c r="T49" s="153">
        <f>IFERROR(__xludf.DUMMYFUNCTION("""COMPUTED_VALUE"""),99.0)</f>
        <v>99</v>
      </c>
      <c r="U49" s="153">
        <f>IFERROR(__xludf.DUMMYFUNCTION("""COMPUTED_VALUE"""),360.0)</f>
        <v>360</v>
      </c>
      <c r="V49" s="153">
        <f>IFERROR(__xludf.DUMMYFUNCTION("""COMPUTED_VALUE"""),352.0)</f>
        <v>352</v>
      </c>
      <c r="W49" s="153">
        <f>IFERROR(__xludf.DUMMYFUNCTION("""COMPUTED_VALUE"""),86.0)</f>
        <v>86</v>
      </c>
      <c r="X49" s="153">
        <f>IFERROR(__xludf.DUMMYFUNCTION("""COMPUTED_VALUE"""),61.0)</f>
        <v>61</v>
      </c>
      <c r="Y49" s="153">
        <f>IFERROR(__xludf.DUMMYFUNCTION("""COMPUTED_VALUE"""),10.0)</f>
        <v>10</v>
      </c>
      <c r="Z49" s="153">
        <f>IFERROR(__xludf.DUMMYFUNCTION("""COMPUTED_VALUE"""),300.0)</f>
        <v>300</v>
      </c>
    </row>
    <row r="50">
      <c r="A50" s="210">
        <f>IFERROR(__xludf.DUMMYFUNCTION("""COMPUTED_VALUE"""),43949.0)</f>
        <v>43949</v>
      </c>
      <c r="B50" s="153">
        <f>IFERROR(__xludf.DUMMYFUNCTION("""COMPUTED_VALUE"""),410.0)</f>
        <v>410</v>
      </c>
      <c r="C50" s="153">
        <f>IFERROR(__xludf.DUMMYFUNCTION("""COMPUTED_VALUE"""),325.0)</f>
        <v>325</v>
      </c>
      <c r="D50" s="153">
        <f>IFERROR(__xludf.DUMMYFUNCTION("""COMPUTED_VALUE"""),9068.0)</f>
        <v>9068</v>
      </c>
      <c r="E50" s="153">
        <f>IFERROR(__xludf.DUMMYFUNCTION("""COMPUTED_VALUE"""),2263.0)</f>
        <v>2263</v>
      </c>
      <c r="F50" s="153">
        <f>IFERROR(__xludf.DUMMYFUNCTION("""COMPUTED_VALUE"""),53459.0)</f>
        <v>53459</v>
      </c>
      <c r="G50" s="153">
        <f>IFERROR(__xludf.DUMMYFUNCTION("""COMPUTED_VALUE"""),2673.0)</f>
        <v>2673</v>
      </c>
      <c r="H50" s="153">
        <f>IFERROR(__xludf.DUMMYFUNCTION("""COMPUTED_VALUE"""),62527.0)</f>
        <v>62527</v>
      </c>
      <c r="I50" s="153">
        <f>IFERROR(__xludf.DUMMYFUNCTION("""COMPUTED_VALUE"""),331.0)</f>
        <v>331</v>
      </c>
      <c r="J50" s="153">
        <f>IFERROR(__xludf.DUMMYFUNCTION("""COMPUTED_VALUE"""),270.0)</f>
        <v>270</v>
      </c>
      <c r="K50" s="153">
        <f>IFERROR(__xludf.DUMMYFUNCTION("""COMPUTED_VALUE"""),8254.0)</f>
        <v>8254</v>
      </c>
      <c r="L50" s="153">
        <f>IFERROR(__xludf.DUMMYFUNCTION("""COMPUTED_VALUE"""),1763.0)</f>
        <v>1763</v>
      </c>
      <c r="M50" s="153">
        <f>IFERROR(__xludf.DUMMYFUNCTION("""COMPUTED_VALUE"""),45232.0)</f>
        <v>45232</v>
      </c>
      <c r="N50" s="153">
        <f>IFERROR(__xludf.DUMMYFUNCTION("""COMPUTED_VALUE"""),53486.0)</f>
        <v>53486</v>
      </c>
      <c r="O50" s="153">
        <f>IFERROR(__xludf.DUMMYFUNCTION("""COMPUTED_VALUE"""),44.0)</f>
        <v>44</v>
      </c>
      <c r="P50" s="153">
        <f>IFERROR(__xludf.DUMMYFUNCTION("""COMPUTED_VALUE"""),975.0)</f>
        <v>975</v>
      </c>
      <c r="Q50" s="153">
        <f>IFERROR(__xludf.DUMMYFUNCTION("""COMPUTED_VALUE"""),24.0)</f>
        <v>24</v>
      </c>
      <c r="R50" s="153">
        <f>IFERROR(__xludf.DUMMYFUNCTION("""COMPUTED_VALUE"""),496.0)</f>
        <v>496</v>
      </c>
      <c r="S50" s="153">
        <f>IFERROR(__xludf.DUMMYFUNCTION("""COMPUTED_VALUE"""),3.0)</f>
        <v>3</v>
      </c>
      <c r="T50" s="153">
        <f>IFERROR(__xludf.DUMMYFUNCTION("""COMPUTED_VALUE"""),102.0)</f>
        <v>102</v>
      </c>
      <c r="U50" s="153">
        <f>IFERROR(__xludf.DUMMYFUNCTION("""COMPUTED_VALUE"""),377.0)</f>
        <v>377</v>
      </c>
      <c r="V50" s="153">
        <f>IFERROR(__xludf.DUMMYFUNCTION("""COMPUTED_VALUE"""),364.0)</f>
        <v>364</v>
      </c>
      <c r="W50" s="153">
        <f>IFERROR(__xludf.DUMMYFUNCTION("""COMPUTED_VALUE"""),88.0)</f>
        <v>88</v>
      </c>
      <c r="X50" s="153">
        <f>IFERROR(__xludf.DUMMYFUNCTION("""COMPUTED_VALUE"""),59.0)</f>
        <v>59</v>
      </c>
      <c r="Y50" s="153">
        <f>IFERROR(__xludf.DUMMYFUNCTION("""COMPUTED_VALUE"""),22.0)</f>
        <v>22</v>
      </c>
      <c r="Z50" s="153">
        <f>IFERROR(__xludf.DUMMYFUNCTION("""COMPUTED_VALUE"""),322.0)</f>
        <v>322</v>
      </c>
    </row>
    <row r="51">
      <c r="A51" s="210">
        <f>IFERROR(__xludf.DUMMYFUNCTION("""COMPUTED_VALUE"""),43950.0)</f>
        <v>43950</v>
      </c>
      <c r="B51" s="153">
        <f>IFERROR(__xludf.DUMMYFUNCTION("""COMPUTED_VALUE"""),476.0)</f>
        <v>476</v>
      </c>
      <c r="C51" s="153">
        <f>IFERROR(__xludf.DUMMYFUNCTION("""COMPUTED_VALUE"""),378.0)</f>
        <v>378</v>
      </c>
      <c r="D51" s="153">
        <f>IFERROR(__xludf.DUMMYFUNCTION("""COMPUTED_VALUE"""),9544.0)</f>
        <v>9544</v>
      </c>
      <c r="E51" s="153">
        <f>IFERROR(__xludf.DUMMYFUNCTION("""COMPUTED_VALUE"""),3343.0)</f>
        <v>3343</v>
      </c>
      <c r="F51" s="153">
        <f>IFERROR(__xludf.DUMMYFUNCTION("""COMPUTED_VALUE"""),56802.0)</f>
        <v>56802</v>
      </c>
      <c r="G51" s="153">
        <f>IFERROR(__xludf.DUMMYFUNCTION("""COMPUTED_VALUE"""),3819.0)</f>
        <v>3819</v>
      </c>
      <c r="H51" s="153">
        <f>IFERROR(__xludf.DUMMYFUNCTION("""COMPUTED_VALUE"""),66346.0)</f>
        <v>66346</v>
      </c>
      <c r="I51" s="153">
        <f>IFERROR(__xludf.DUMMYFUNCTION("""COMPUTED_VALUE"""),371.0)</f>
        <v>371</v>
      </c>
      <c r="J51" s="153">
        <f>IFERROR(__xludf.DUMMYFUNCTION("""COMPUTED_VALUE"""),303.0)</f>
        <v>303</v>
      </c>
      <c r="K51" s="153">
        <f>IFERROR(__xludf.DUMMYFUNCTION("""COMPUTED_VALUE"""),8625.0)</f>
        <v>8625</v>
      </c>
      <c r="L51" s="153">
        <f>IFERROR(__xludf.DUMMYFUNCTION("""COMPUTED_VALUE"""),2425.0)</f>
        <v>2425</v>
      </c>
      <c r="M51" s="153">
        <f>IFERROR(__xludf.DUMMYFUNCTION("""COMPUTED_VALUE"""),47657.0)</f>
        <v>47657</v>
      </c>
      <c r="N51" s="153">
        <f>IFERROR(__xludf.DUMMYFUNCTION("""COMPUTED_VALUE"""),56282.0)</f>
        <v>56282</v>
      </c>
      <c r="O51" s="153">
        <f>IFERROR(__xludf.DUMMYFUNCTION("""COMPUTED_VALUE"""),36.0)</f>
        <v>36</v>
      </c>
      <c r="P51" s="153">
        <f>IFERROR(__xludf.DUMMYFUNCTION("""COMPUTED_VALUE"""),1011.0)</f>
        <v>1011</v>
      </c>
      <c r="Q51" s="153">
        <f>IFERROR(__xludf.DUMMYFUNCTION("""COMPUTED_VALUE"""),38.0)</f>
        <v>38</v>
      </c>
      <c r="R51" s="153">
        <f>IFERROR(__xludf.DUMMYFUNCTION("""COMPUTED_VALUE"""),534.0)</f>
        <v>534</v>
      </c>
      <c r="S51" s="153">
        <f>IFERROR(__xludf.DUMMYFUNCTION("""COMPUTED_VALUE"""),11.0)</f>
        <v>11</v>
      </c>
      <c r="T51" s="153">
        <f>IFERROR(__xludf.DUMMYFUNCTION("""COMPUTED_VALUE"""),113.0)</f>
        <v>113</v>
      </c>
      <c r="U51" s="153">
        <f>IFERROR(__xludf.DUMMYFUNCTION("""COMPUTED_VALUE"""),364.0)</f>
        <v>364</v>
      </c>
      <c r="V51" s="153">
        <f>IFERROR(__xludf.DUMMYFUNCTION("""COMPUTED_VALUE"""),367.0)</f>
        <v>367</v>
      </c>
      <c r="W51" s="153">
        <f>IFERROR(__xludf.DUMMYFUNCTION("""COMPUTED_VALUE"""),78.0)</f>
        <v>78</v>
      </c>
      <c r="X51" s="153">
        <f>IFERROR(__xludf.DUMMYFUNCTION("""COMPUTED_VALUE"""),53.0)</f>
        <v>53</v>
      </c>
      <c r="Y51" s="153">
        <f>IFERROR(__xludf.DUMMYFUNCTION("""COMPUTED_VALUE"""),18.0)</f>
        <v>18</v>
      </c>
      <c r="Z51" s="153">
        <f>IFERROR(__xludf.DUMMYFUNCTION("""COMPUTED_VALUE"""),340.0)</f>
        <v>340</v>
      </c>
    </row>
    <row r="52">
      <c r="A52" s="210">
        <f>IFERROR(__xludf.DUMMYFUNCTION("""COMPUTED_VALUE"""),43951.0)</f>
        <v>43951</v>
      </c>
      <c r="B52" s="153">
        <f>IFERROR(__xludf.DUMMYFUNCTION("""COMPUTED_VALUE"""),432.0)</f>
        <v>432</v>
      </c>
      <c r="C52" s="153">
        <f>IFERROR(__xludf.DUMMYFUNCTION("""COMPUTED_VALUE"""),439.0)</f>
        <v>439</v>
      </c>
      <c r="D52" s="153">
        <f>IFERROR(__xludf.DUMMYFUNCTION("""COMPUTED_VALUE"""),9976.0)</f>
        <v>9976</v>
      </c>
      <c r="E52" s="153">
        <f>IFERROR(__xludf.DUMMYFUNCTION("""COMPUTED_VALUE"""),2769.0)</f>
        <v>2769</v>
      </c>
      <c r="F52" s="153">
        <f>IFERROR(__xludf.DUMMYFUNCTION("""COMPUTED_VALUE"""),59571.0)</f>
        <v>59571</v>
      </c>
      <c r="G52" s="153">
        <f>IFERROR(__xludf.DUMMYFUNCTION("""COMPUTED_VALUE"""),3201.0)</f>
        <v>3201</v>
      </c>
      <c r="H52" s="153">
        <f>IFERROR(__xludf.DUMMYFUNCTION("""COMPUTED_VALUE"""),69547.0)</f>
        <v>69547</v>
      </c>
      <c r="I52" s="153">
        <f>IFERROR(__xludf.DUMMYFUNCTION("""COMPUTED_VALUE"""),350.0)</f>
        <v>350</v>
      </c>
      <c r="J52" s="153">
        <f>IFERROR(__xludf.DUMMYFUNCTION("""COMPUTED_VALUE"""),351.0)</f>
        <v>351</v>
      </c>
      <c r="K52" s="153">
        <f>IFERROR(__xludf.DUMMYFUNCTION("""COMPUTED_VALUE"""),8975.0)</f>
        <v>8975</v>
      </c>
      <c r="L52" s="153">
        <f>IFERROR(__xludf.DUMMYFUNCTION("""COMPUTED_VALUE"""),1937.0)</f>
        <v>1937</v>
      </c>
      <c r="M52" s="153">
        <f>IFERROR(__xludf.DUMMYFUNCTION("""COMPUTED_VALUE"""),49594.0)</f>
        <v>49594</v>
      </c>
      <c r="N52" s="153">
        <f>IFERROR(__xludf.DUMMYFUNCTION("""COMPUTED_VALUE"""),58569.0)</f>
        <v>58569</v>
      </c>
      <c r="O52" s="153">
        <f>IFERROR(__xludf.DUMMYFUNCTION("""COMPUTED_VALUE"""),33.0)</f>
        <v>33</v>
      </c>
      <c r="P52" s="153">
        <f>IFERROR(__xludf.DUMMYFUNCTION("""COMPUTED_VALUE"""),1044.0)</f>
        <v>1044</v>
      </c>
      <c r="Q52" s="153">
        <f>IFERROR(__xludf.DUMMYFUNCTION("""COMPUTED_VALUE"""),38.0)</f>
        <v>38</v>
      </c>
      <c r="R52" s="153">
        <f>IFERROR(__xludf.DUMMYFUNCTION("""COMPUTED_VALUE"""),572.0)</f>
        <v>572</v>
      </c>
      <c r="S52" s="153">
        <f>IFERROR(__xludf.DUMMYFUNCTION("""COMPUTED_VALUE"""),6.0)</f>
        <v>6</v>
      </c>
      <c r="T52" s="153">
        <f>IFERROR(__xludf.DUMMYFUNCTION("""COMPUTED_VALUE"""),119.0)</f>
        <v>119</v>
      </c>
      <c r="U52" s="153">
        <f>IFERROR(__xludf.DUMMYFUNCTION("""COMPUTED_VALUE"""),353.0)</f>
        <v>353</v>
      </c>
      <c r="V52" s="153">
        <f>IFERROR(__xludf.DUMMYFUNCTION("""COMPUTED_VALUE"""),365.0)</f>
        <v>365</v>
      </c>
      <c r="W52" s="153">
        <f>IFERROR(__xludf.DUMMYFUNCTION("""COMPUTED_VALUE"""),83.0)</f>
        <v>83</v>
      </c>
      <c r="X52" s="153">
        <f>IFERROR(__xludf.DUMMYFUNCTION("""COMPUTED_VALUE"""),57.0)</f>
        <v>57</v>
      </c>
      <c r="Y52" s="153">
        <f>IFERROR(__xludf.DUMMYFUNCTION("""COMPUTED_VALUE"""),24.0)</f>
        <v>24</v>
      </c>
      <c r="Z52" s="153">
        <f>IFERROR(__xludf.DUMMYFUNCTION("""COMPUTED_VALUE"""),364.0)</f>
        <v>364</v>
      </c>
    </row>
    <row r="53">
      <c r="A53" s="210">
        <f>IFERROR(__xludf.DUMMYFUNCTION("""COMPUTED_VALUE"""),43952.0)</f>
        <v>43952</v>
      </c>
      <c r="B53" s="153">
        <f>IFERROR(__xludf.DUMMYFUNCTION("""COMPUTED_VALUE"""),454.0)</f>
        <v>454</v>
      </c>
      <c r="C53" s="153">
        <f>IFERROR(__xludf.DUMMYFUNCTION("""COMPUTED_VALUE"""),454.0)</f>
        <v>454</v>
      </c>
      <c r="D53" s="153">
        <f>IFERROR(__xludf.DUMMYFUNCTION("""COMPUTED_VALUE"""),10430.0)</f>
        <v>10430</v>
      </c>
      <c r="E53" s="153">
        <f>IFERROR(__xludf.DUMMYFUNCTION("""COMPUTED_VALUE"""),3086.0)</f>
        <v>3086</v>
      </c>
      <c r="F53" s="153">
        <f>IFERROR(__xludf.DUMMYFUNCTION("""COMPUTED_VALUE"""),62657.0)</f>
        <v>62657</v>
      </c>
      <c r="G53" s="153">
        <f>IFERROR(__xludf.DUMMYFUNCTION("""COMPUTED_VALUE"""),3540.0)</f>
        <v>3540</v>
      </c>
      <c r="H53" s="153">
        <f>IFERROR(__xludf.DUMMYFUNCTION("""COMPUTED_VALUE"""),73087.0)</f>
        <v>73087</v>
      </c>
      <c r="I53" s="153">
        <f>IFERROR(__xludf.DUMMYFUNCTION("""COMPUTED_VALUE"""),325.0)</f>
        <v>325</v>
      </c>
      <c r="J53" s="153">
        <f>IFERROR(__xludf.DUMMYFUNCTION("""COMPUTED_VALUE"""),349.0)</f>
        <v>349</v>
      </c>
      <c r="K53" s="153">
        <f>IFERROR(__xludf.DUMMYFUNCTION("""COMPUTED_VALUE"""),9300.0)</f>
        <v>9300</v>
      </c>
      <c r="L53" s="153">
        <f>IFERROR(__xludf.DUMMYFUNCTION("""COMPUTED_VALUE"""),2188.0)</f>
        <v>2188</v>
      </c>
      <c r="M53" s="153">
        <f>IFERROR(__xludf.DUMMYFUNCTION("""COMPUTED_VALUE"""),51782.0)</f>
        <v>51782</v>
      </c>
      <c r="N53" s="153">
        <f>IFERROR(__xludf.DUMMYFUNCTION("""COMPUTED_VALUE"""),61082.0)</f>
        <v>61082</v>
      </c>
      <c r="O53" s="153">
        <f>IFERROR(__xludf.DUMMYFUNCTION("""COMPUTED_VALUE"""),51.0)</f>
        <v>51</v>
      </c>
      <c r="P53" s="153">
        <f>IFERROR(__xludf.DUMMYFUNCTION("""COMPUTED_VALUE"""),1095.0)</f>
        <v>1095</v>
      </c>
      <c r="Q53" s="153">
        <f>IFERROR(__xludf.DUMMYFUNCTION("""COMPUTED_VALUE"""),39.0)</f>
        <v>39</v>
      </c>
      <c r="R53" s="153">
        <f>IFERROR(__xludf.DUMMYFUNCTION("""COMPUTED_VALUE"""),611.0)</f>
        <v>611</v>
      </c>
      <c r="S53" s="153">
        <f>IFERROR(__xludf.DUMMYFUNCTION("""COMPUTED_VALUE"""),3.0)</f>
        <v>3</v>
      </c>
      <c r="T53" s="153">
        <f>IFERROR(__xludf.DUMMYFUNCTION("""COMPUTED_VALUE"""),122.0)</f>
        <v>122</v>
      </c>
      <c r="U53" s="153">
        <f>IFERROR(__xludf.DUMMYFUNCTION("""COMPUTED_VALUE"""),362.0)</f>
        <v>362</v>
      </c>
      <c r="V53" s="153">
        <f>IFERROR(__xludf.DUMMYFUNCTION("""COMPUTED_VALUE"""),360.0)</f>
        <v>360</v>
      </c>
      <c r="W53" s="153">
        <f>IFERROR(__xludf.DUMMYFUNCTION("""COMPUTED_VALUE"""),84.0)</f>
        <v>84</v>
      </c>
      <c r="X53" s="153">
        <f>IFERROR(__xludf.DUMMYFUNCTION("""COMPUTED_VALUE"""),58.0)</f>
        <v>58</v>
      </c>
      <c r="Y53" s="153">
        <f>IFERROR(__xludf.DUMMYFUNCTION("""COMPUTED_VALUE"""),14.0)</f>
        <v>14</v>
      </c>
      <c r="Z53" s="153">
        <f>IFERROR(__xludf.DUMMYFUNCTION("""COMPUTED_VALUE"""),378.0)</f>
        <v>378</v>
      </c>
    </row>
    <row r="54">
      <c r="A54" s="210">
        <f>IFERROR(__xludf.DUMMYFUNCTION("""COMPUTED_VALUE"""),43953.0)</f>
        <v>43953</v>
      </c>
      <c r="B54" s="153">
        <f>IFERROR(__xludf.DUMMYFUNCTION("""COMPUTED_VALUE"""),257.0)</f>
        <v>257</v>
      </c>
      <c r="C54" s="153">
        <f>IFERROR(__xludf.DUMMYFUNCTION("""COMPUTED_VALUE"""),381.0)</f>
        <v>381</v>
      </c>
      <c r="D54" s="153">
        <f>IFERROR(__xludf.DUMMYFUNCTION("""COMPUTED_VALUE"""),10687.0)</f>
        <v>10687</v>
      </c>
      <c r="E54" s="153">
        <f>IFERROR(__xludf.DUMMYFUNCTION("""COMPUTED_VALUE"""),1926.0)</f>
        <v>1926</v>
      </c>
      <c r="F54" s="153">
        <f>IFERROR(__xludf.DUMMYFUNCTION("""COMPUTED_VALUE"""),64583.0)</f>
        <v>64583</v>
      </c>
      <c r="G54" s="153">
        <f>IFERROR(__xludf.DUMMYFUNCTION("""COMPUTED_VALUE"""),2183.0)</f>
        <v>2183</v>
      </c>
      <c r="H54" s="153">
        <f>IFERROR(__xludf.DUMMYFUNCTION("""COMPUTED_VALUE"""),75270.0)</f>
        <v>75270</v>
      </c>
      <c r="I54" s="153">
        <f>IFERROR(__xludf.DUMMYFUNCTION("""COMPUTED_VALUE"""),192.0)</f>
        <v>192</v>
      </c>
      <c r="J54" s="153">
        <f>IFERROR(__xludf.DUMMYFUNCTION("""COMPUTED_VALUE"""),289.0)</f>
        <v>289</v>
      </c>
      <c r="K54" s="153">
        <f>IFERROR(__xludf.DUMMYFUNCTION("""COMPUTED_VALUE"""),9492.0)</f>
        <v>9492</v>
      </c>
      <c r="L54" s="153">
        <f>IFERROR(__xludf.DUMMYFUNCTION("""COMPUTED_VALUE"""),1278.0)</f>
        <v>1278</v>
      </c>
      <c r="M54" s="153">
        <f>IFERROR(__xludf.DUMMYFUNCTION("""COMPUTED_VALUE"""),53060.0)</f>
        <v>53060</v>
      </c>
      <c r="N54" s="153">
        <f>IFERROR(__xludf.DUMMYFUNCTION("""COMPUTED_VALUE"""),62552.0)</f>
        <v>62552</v>
      </c>
      <c r="O54" s="153">
        <f>IFERROR(__xludf.DUMMYFUNCTION("""COMPUTED_VALUE"""),36.0)</f>
        <v>36</v>
      </c>
      <c r="P54" s="153">
        <f>IFERROR(__xludf.DUMMYFUNCTION("""COMPUTED_VALUE"""),1131.0)</f>
        <v>1131</v>
      </c>
      <c r="Q54" s="153">
        <f>IFERROR(__xludf.DUMMYFUNCTION("""COMPUTED_VALUE"""),38.0)</f>
        <v>38</v>
      </c>
      <c r="R54" s="153">
        <f>IFERROR(__xludf.DUMMYFUNCTION("""COMPUTED_VALUE"""),649.0)</f>
        <v>649</v>
      </c>
      <c r="S54" s="153">
        <f>IFERROR(__xludf.DUMMYFUNCTION("""COMPUTED_VALUE"""),5.0)</f>
        <v>5</v>
      </c>
      <c r="T54" s="153">
        <f>IFERROR(__xludf.DUMMYFUNCTION("""COMPUTED_VALUE"""),127.0)</f>
        <v>127</v>
      </c>
      <c r="U54" s="153">
        <f>IFERROR(__xludf.DUMMYFUNCTION("""COMPUTED_VALUE"""),355.0)</f>
        <v>355</v>
      </c>
      <c r="V54" s="153">
        <f>IFERROR(__xludf.DUMMYFUNCTION("""COMPUTED_VALUE"""),357.0)</f>
        <v>357</v>
      </c>
      <c r="W54" s="153">
        <f>IFERROR(__xludf.DUMMYFUNCTION("""COMPUTED_VALUE"""),91.0)</f>
        <v>91</v>
      </c>
      <c r="X54" s="153">
        <f>IFERROR(__xludf.DUMMYFUNCTION("""COMPUTED_VALUE"""),62.0)</f>
        <v>62</v>
      </c>
      <c r="Y54" s="153">
        <f>IFERROR(__xludf.DUMMYFUNCTION("""COMPUTED_VALUE"""),24.0)</f>
        <v>24</v>
      </c>
      <c r="Z54" s="153">
        <f>IFERROR(__xludf.DUMMYFUNCTION("""COMPUTED_VALUE"""),402.0)</f>
        <v>402</v>
      </c>
    </row>
    <row r="55">
      <c r="A55" s="210">
        <f>IFERROR(__xludf.DUMMYFUNCTION("""COMPUTED_VALUE"""),43954.0)</f>
        <v>43954</v>
      </c>
      <c r="B55" s="153">
        <f>IFERROR(__xludf.DUMMYFUNCTION("""COMPUTED_VALUE"""),283.0)</f>
        <v>283</v>
      </c>
      <c r="C55" s="153">
        <f>IFERROR(__xludf.DUMMYFUNCTION("""COMPUTED_VALUE"""),331.0)</f>
        <v>331</v>
      </c>
      <c r="D55" s="153">
        <f>IFERROR(__xludf.DUMMYFUNCTION("""COMPUTED_VALUE"""),10970.0)</f>
        <v>10970</v>
      </c>
      <c r="E55" s="153">
        <f>IFERROR(__xludf.DUMMYFUNCTION("""COMPUTED_VALUE"""),2160.0)</f>
        <v>2160</v>
      </c>
      <c r="F55" s="153">
        <f>IFERROR(__xludf.DUMMYFUNCTION("""COMPUTED_VALUE"""),66743.0)</f>
        <v>66743</v>
      </c>
      <c r="G55" s="153">
        <f>IFERROR(__xludf.DUMMYFUNCTION("""COMPUTED_VALUE"""),2443.0)</f>
        <v>2443</v>
      </c>
      <c r="H55" s="153">
        <f>IFERROR(__xludf.DUMMYFUNCTION("""COMPUTED_VALUE"""),77713.0)</f>
        <v>77713</v>
      </c>
      <c r="I55" s="153">
        <f>IFERROR(__xludf.DUMMYFUNCTION("""COMPUTED_VALUE"""),183.0)</f>
        <v>183</v>
      </c>
      <c r="J55" s="153">
        <f>IFERROR(__xludf.DUMMYFUNCTION("""COMPUTED_VALUE"""),233.0)</f>
        <v>233</v>
      </c>
      <c r="K55" s="153">
        <f>IFERROR(__xludf.DUMMYFUNCTION("""COMPUTED_VALUE"""),9675.0)</f>
        <v>9675</v>
      </c>
      <c r="L55" s="153">
        <f>IFERROR(__xludf.DUMMYFUNCTION("""COMPUTED_VALUE"""),1592.0)</f>
        <v>1592</v>
      </c>
      <c r="M55" s="153">
        <f>IFERROR(__xludf.DUMMYFUNCTION("""COMPUTED_VALUE"""),54652.0)</f>
        <v>54652</v>
      </c>
      <c r="N55" s="153">
        <f>IFERROR(__xludf.DUMMYFUNCTION("""COMPUTED_VALUE"""),64327.0)</f>
        <v>64327</v>
      </c>
      <c r="O55" s="153">
        <f>IFERROR(__xludf.DUMMYFUNCTION("""COMPUTED_VALUE"""),31.0)</f>
        <v>31</v>
      </c>
      <c r="P55" s="153">
        <f>IFERROR(__xludf.DUMMYFUNCTION("""COMPUTED_VALUE"""),1162.0)</f>
        <v>1162</v>
      </c>
      <c r="Q55" s="153">
        <f>IFERROR(__xludf.DUMMYFUNCTION("""COMPUTED_VALUE"""),26.0)</f>
        <v>26</v>
      </c>
      <c r="R55" s="153">
        <f>IFERROR(__xludf.DUMMYFUNCTION("""COMPUTED_VALUE"""),675.0)</f>
        <v>675</v>
      </c>
      <c r="S55" s="153">
        <f>IFERROR(__xludf.DUMMYFUNCTION("""COMPUTED_VALUE"""),8.0)</f>
        <v>8</v>
      </c>
      <c r="T55" s="153">
        <f>IFERROR(__xludf.DUMMYFUNCTION("""COMPUTED_VALUE"""),135.0)</f>
        <v>135</v>
      </c>
      <c r="U55" s="153">
        <f>IFERROR(__xludf.DUMMYFUNCTION("""COMPUTED_VALUE"""),352.0)</f>
        <v>352</v>
      </c>
      <c r="V55" s="153">
        <f>IFERROR(__xludf.DUMMYFUNCTION("""COMPUTED_VALUE"""),356.0)</f>
        <v>356</v>
      </c>
      <c r="W55" s="153">
        <f>IFERROR(__xludf.DUMMYFUNCTION("""COMPUTED_VALUE"""),90.0)</f>
        <v>90</v>
      </c>
      <c r="X55" s="153">
        <f>IFERROR(__xludf.DUMMYFUNCTION("""COMPUTED_VALUE"""),61.0)</f>
        <v>61</v>
      </c>
      <c r="Y55" s="153">
        <f>IFERROR(__xludf.DUMMYFUNCTION("""COMPUTED_VALUE"""),21.0)</f>
        <v>21</v>
      </c>
      <c r="Z55" s="153">
        <f>IFERROR(__xludf.DUMMYFUNCTION("""COMPUTED_VALUE"""),423.0)</f>
        <v>423</v>
      </c>
    </row>
    <row r="56">
      <c r="A56" s="210">
        <f>IFERROR(__xludf.DUMMYFUNCTION("""COMPUTED_VALUE"""),43955.0)</f>
        <v>43955</v>
      </c>
      <c r="B56" s="153">
        <f>IFERROR(__xludf.DUMMYFUNCTION("""COMPUTED_VALUE"""),387.0)</f>
        <v>387</v>
      </c>
      <c r="C56" s="153">
        <f>IFERROR(__xludf.DUMMYFUNCTION("""COMPUTED_VALUE"""),309.0)</f>
        <v>309</v>
      </c>
      <c r="D56" s="153">
        <f>IFERROR(__xludf.DUMMYFUNCTION("""COMPUTED_VALUE"""),11357.0)</f>
        <v>11357</v>
      </c>
      <c r="E56" s="153">
        <f>IFERROR(__xludf.DUMMYFUNCTION("""COMPUTED_VALUE"""),2098.0)</f>
        <v>2098</v>
      </c>
      <c r="F56" s="153">
        <f>IFERROR(__xludf.DUMMYFUNCTION("""COMPUTED_VALUE"""),68841.0)</f>
        <v>68841</v>
      </c>
      <c r="G56" s="153">
        <f>IFERROR(__xludf.DUMMYFUNCTION("""COMPUTED_VALUE"""),2485.0)</f>
        <v>2485</v>
      </c>
      <c r="H56" s="153">
        <f>IFERROR(__xludf.DUMMYFUNCTION("""COMPUTED_VALUE"""),80198.0)</f>
        <v>80198</v>
      </c>
      <c r="I56" s="153">
        <f>IFERROR(__xludf.DUMMYFUNCTION("""COMPUTED_VALUE"""),290.0)</f>
        <v>290</v>
      </c>
      <c r="J56" s="153">
        <f>IFERROR(__xludf.DUMMYFUNCTION("""COMPUTED_VALUE"""),222.0)</f>
        <v>222</v>
      </c>
      <c r="K56" s="153">
        <f>IFERROR(__xludf.DUMMYFUNCTION("""COMPUTED_VALUE"""),9965.0)</f>
        <v>9965</v>
      </c>
      <c r="L56" s="153">
        <f>IFERROR(__xludf.DUMMYFUNCTION("""COMPUTED_VALUE"""),1567.0)</f>
        <v>1567</v>
      </c>
      <c r="M56" s="153">
        <f>IFERROR(__xludf.DUMMYFUNCTION("""COMPUTED_VALUE"""),56219.0)</f>
        <v>56219</v>
      </c>
      <c r="N56" s="153">
        <f>IFERROR(__xludf.DUMMYFUNCTION("""COMPUTED_VALUE"""),66184.0)</f>
        <v>66184</v>
      </c>
      <c r="O56" s="153">
        <f>IFERROR(__xludf.DUMMYFUNCTION("""COMPUTED_VALUE"""),30.0)</f>
        <v>30</v>
      </c>
      <c r="P56" s="153">
        <f>IFERROR(__xludf.DUMMYFUNCTION("""COMPUTED_VALUE"""),1192.0)</f>
        <v>1192</v>
      </c>
      <c r="Q56" s="153">
        <f>IFERROR(__xludf.DUMMYFUNCTION("""COMPUTED_VALUE"""),31.0)</f>
        <v>31</v>
      </c>
      <c r="R56" s="153">
        <f>IFERROR(__xludf.DUMMYFUNCTION("""COMPUTED_VALUE"""),706.0)</f>
        <v>706</v>
      </c>
      <c r="S56" s="153">
        <f>IFERROR(__xludf.DUMMYFUNCTION("""COMPUTED_VALUE"""),6.0)</f>
        <v>6</v>
      </c>
      <c r="T56" s="153">
        <f>IFERROR(__xludf.DUMMYFUNCTION("""COMPUTED_VALUE"""),141.0)</f>
        <v>141</v>
      </c>
      <c r="U56" s="153">
        <f>IFERROR(__xludf.DUMMYFUNCTION("""COMPUTED_VALUE"""),345.0)</f>
        <v>345</v>
      </c>
      <c r="V56" s="153">
        <f>IFERROR(__xludf.DUMMYFUNCTION("""COMPUTED_VALUE"""),351.0)</f>
        <v>351</v>
      </c>
      <c r="W56" s="153">
        <f>IFERROR(__xludf.DUMMYFUNCTION("""COMPUTED_VALUE"""),88.0)</f>
        <v>88</v>
      </c>
      <c r="X56" s="153">
        <f>IFERROR(__xludf.DUMMYFUNCTION("""COMPUTED_VALUE"""),57.0)</f>
        <v>57</v>
      </c>
      <c r="Y56" s="153">
        <f>IFERROR(__xludf.DUMMYFUNCTION("""COMPUTED_VALUE"""),18.0)</f>
        <v>18</v>
      </c>
      <c r="Z56" s="153">
        <f>IFERROR(__xludf.DUMMYFUNCTION("""COMPUTED_VALUE"""),441.0)</f>
        <v>441</v>
      </c>
    </row>
    <row r="57">
      <c r="A57" s="210">
        <f>IFERROR(__xludf.DUMMYFUNCTION("""COMPUTED_VALUE"""),43956.0)</f>
        <v>43956</v>
      </c>
      <c r="B57" s="153">
        <f>IFERROR(__xludf.DUMMYFUNCTION("""COMPUTED_VALUE"""),433.0)</f>
        <v>433</v>
      </c>
      <c r="C57" s="153">
        <f>IFERROR(__xludf.DUMMYFUNCTION("""COMPUTED_VALUE"""),368.0)</f>
        <v>368</v>
      </c>
      <c r="D57" s="153">
        <f>IFERROR(__xludf.DUMMYFUNCTION("""COMPUTED_VALUE"""),11790.0)</f>
        <v>11790</v>
      </c>
      <c r="E57" s="153">
        <f>IFERROR(__xludf.DUMMYFUNCTION("""COMPUTED_VALUE"""),2873.0)</f>
        <v>2873</v>
      </c>
      <c r="F57" s="153">
        <f>IFERROR(__xludf.DUMMYFUNCTION("""COMPUTED_VALUE"""),71714.0)</f>
        <v>71714</v>
      </c>
      <c r="G57" s="153">
        <f>IFERROR(__xludf.DUMMYFUNCTION("""COMPUTED_VALUE"""),3306.0)</f>
        <v>3306</v>
      </c>
      <c r="H57" s="153">
        <f>IFERROR(__xludf.DUMMYFUNCTION("""COMPUTED_VALUE"""),83504.0)</f>
        <v>83504</v>
      </c>
      <c r="I57" s="153">
        <f>IFERROR(__xludf.DUMMYFUNCTION("""COMPUTED_VALUE"""),299.0)</f>
        <v>299</v>
      </c>
      <c r="J57" s="153">
        <f>IFERROR(__xludf.DUMMYFUNCTION("""COMPUTED_VALUE"""),257.0)</f>
        <v>257</v>
      </c>
      <c r="K57" s="153">
        <f>IFERROR(__xludf.DUMMYFUNCTION("""COMPUTED_VALUE"""),10264.0)</f>
        <v>10264</v>
      </c>
      <c r="L57" s="153">
        <f>IFERROR(__xludf.DUMMYFUNCTION("""COMPUTED_VALUE"""),1965.0)</f>
        <v>1965</v>
      </c>
      <c r="M57" s="153">
        <f>IFERROR(__xludf.DUMMYFUNCTION("""COMPUTED_VALUE"""),58184.0)</f>
        <v>58184</v>
      </c>
      <c r="N57" s="153">
        <f>IFERROR(__xludf.DUMMYFUNCTION("""COMPUTED_VALUE"""),68448.0)</f>
        <v>68448</v>
      </c>
      <c r="O57" s="153">
        <f>IFERROR(__xludf.DUMMYFUNCTION("""COMPUTED_VALUE"""),29.0)</f>
        <v>29</v>
      </c>
      <c r="P57" s="153">
        <f>IFERROR(__xludf.DUMMYFUNCTION("""COMPUTED_VALUE"""),1221.0)</f>
        <v>1221</v>
      </c>
      <c r="Q57" s="153">
        <f>IFERROR(__xludf.DUMMYFUNCTION("""COMPUTED_VALUE"""),32.0)</f>
        <v>32</v>
      </c>
      <c r="R57" s="153">
        <f>IFERROR(__xludf.DUMMYFUNCTION("""COMPUTED_VALUE"""),738.0)</f>
        <v>738</v>
      </c>
      <c r="S57" s="153">
        <f>IFERROR(__xludf.DUMMYFUNCTION("""COMPUTED_VALUE"""),6.0)</f>
        <v>6</v>
      </c>
      <c r="T57" s="153">
        <f>IFERROR(__xludf.DUMMYFUNCTION("""COMPUTED_VALUE"""),147.0)</f>
        <v>147</v>
      </c>
      <c r="U57" s="153">
        <f>IFERROR(__xludf.DUMMYFUNCTION("""COMPUTED_VALUE"""),336.0)</f>
        <v>336</v>
      </c>
      <c r="V57" s="153">
        <f>IFERROR(__xludf.DUMMYFUNCTION("""COMPUTED_VALUE"""),344.0)</f>
        <v>344</v>
      </c>
      <c r="W57" s="153">
        <f>IFERROR(__xludf.DUMMYFUNCTION("""COMPUTED_VALUE"""),82.0)</f>
        <v>82</v>
      </c>
      <c r="X57" s="153">
        <f>IFERROR(__xludf.DUMMYFUNCTION("""COMPUTED_VALUE"""),54.0)</f>
        <v>54</v>
      </c>
      <c r="Y57" s="153">
        <f>IFERROR(__xludf.DUMMYFUNCTION("""COMPUTED_VALUE"""),16.0)</f>
        <v>16</v>
      </c>
      <c r="Z57" s="153">
        <f>IFERROR(__xludf.DUMMYFUNCTION("""COMPUTED_VALUE"""),457.0)</f>
        <v>457</v>
      </c>
    </row>
    <row r="58">
      <c r="A58" s="210">
        <f>IFERROR(__xludf.DUMMYFUNCTION("""COMPUTED_VALUE"""),43957.0)</f>
        <v>43957</v>
      </c>
      <c r="B58" s="153">
        <f>IFERROR(__xludf.DUMMYFUNCTION("""COMPUTED_VALUE"""),488.0)</f>
        <v>488</v>
      </c>
      <c r="C58" s="153">
        <f>IFERROR(__xludf.DUMMYFUNCTION("""COMPUTED_VALUE"""),436.0)</f>
        <v>436</v>
      </c>
      <c r="D58" s="153">
        <f>IFERROR(__xludf.DUMMYFUNCTION("""COMPUTED_VALUE"""),12278.0)</f>
        <v>12278</v>
      </c>
      <c r="E58" s="153">
        <f>IFERROR(__xludf.DUMMYFUNCTION("""COMPUTED_VALUE"""),2830.0)</f>
        <v>2830</v>
      </c>
      <c r="F58" s="153">
        <f>IFERROR(__xludf.DUMMYFUNCTION("""COMPUTED_VALUE"""),74544.0)</f>
        <v>74544</v>
      </c>
      <c r="G58" s="153">
        <f>IFERROR(__xludf.DUMMYFUNCTION("""COMPUTED_VALUE"""),3318.0)</f>
        <v>3318</v>
      </c>
      <c r="H58" s="153">
        <f>IFERROR(__xludf.DUMMYFUNCTION("""COMPUTED_VALUE"""),86822.0)</f>
        <v>86822</v>
      </c>
      <c r="I58" s="153">
        <f>IFERROR(__xludf.DUMMYFUNCTION("""COMPUTED_VALUE"""),340.0)</f>
        <v>340</v>
      </c>
      <c r="J58" s="153">
        <f>IFERROR(__xludf.DUMMYFUNCTION("""COMPUTED_VALUE"""),310.0)</f>
        <v>310</v>
      </c>
      <c r="K58" s="153">
        <f>IFERROR(__xludf.DUMMYFUNCTION("""COMPUTED_VALUE"""),10604.0)</f>
        <v>10604</v>
      </c>
      <c r="L58" s="153">
        <f>IFERROR(__xludf.DUMMYFUNCTION("""COMPUTED_VALUE"""),1916.0)</f>
        <v>1916</v>
      </c>
      <c r="M58" s="153">
        <f>IFERROR(__xludf.DUMMYFUNCTION("""COMPUTED_VALUE"""),60100.0)</f>
        <v>60100</v>
      </c>
      <c r="N58" s="153">
        <f>IFERROR(__xludf.DUMMYFUNCTION("""COMPUTED_VALUE"""),70704.0)</f>
        <v>70704</v>
      </c>
      <c r="O58" s="153">
        <f>IFERROR(__xludf.DUMMYFUNCTION("""COMPUTED_VALUE"""),28.0)</f>
        <v>28</v>
      </c>
      <c r="P58" s="153">
        <f>IFERROR(__xludf.DUMMYFUNCTION("""COMPUTED_VALUE"""),1249.0)</f>
        <v>1249</v>
      </c>
      <c r="Q58" s="153">
        <f>IFERROR(__xludf.DUMMYFUNCTION("""COMPUTED_VALUE"""),44.0)</f>
        <v>44</v>
      </c>
      <c r="R58" s="153">
        <f>IFERROR(__xludf.DUMMYFUNCTION("""COMPUTED_VALUE"""),782.0)</f>
        <v>782</v>
      </c>
      <c r="S58" s="153">
        <f>IFERROR(__xludf.DUMMYFUNCTION("""COMPUTED_VALUE"""),9.0)</f>
        <v>9</v>
      </c>
      <c r="T58" s="153">
        <f>IFERROR(__xludf.DUMMYFUNCTION("""COMPUTED_VALUE"""),156.0)</f>
        <v>156</v>
      </c>
      <c r="U58" s="153">
        <f>IFERROR(__xludf.DUMMYFUNCTION("""COMPUTED_VALUE"""),311.0)</f>
        <v>311</v>
      </c>
      <c r="V58" s="153">
        <f>IFERROR(__xludf.DUMMYFUNCTION("""COMPUTED_VALUE"""),331.0)</f>
        <v>331</v>
      </c>
      <c r="W58" s="153">
        <f>IFERROR(__xludf.DUMMYFUNCTION("""COMPUTED_VALUE"""),79.0)</f>
        <v>79</v>
      </c>
      <c r="X58" s="153">
        <f>IFERROR(__xludf.DUMMYFUNCTION("""COMPUTED_VALUE"""),54.0)</f>
        <v>54</v>
      </c>
      <c r="Y58" s="153">
        <f>IFERROR(__xludf.DUMMYFUNCTION("""COMPUTED_VALUE"""),21.0)</f>
        <v>21</v>
      </c>
      <c r="Z58" s="153">
        <f>IFERROR(__xludf.DUMMYFUNCTION("""COMPUTED_VALUE"""),478.0)</f>
        <v>478</v>
      </c>
    </row>
    <row r="59">
      <c r="A59" s="210">
        <f>IFERROR(__xludf.DUMMYFUNCTION("""COMPUTED_VALUE"""),43958.0)</f>
        <v>43958</v>
      </c>
      <c r="B59" s="153">
        <f>IFERROR(__xludf.DUMMYFUNCTION("""COMPUTED_VALUE"""),425.0)</f>
        <v>425</v>
      </c>
      <c r="C59" s="153">
        <f>IFERROR(__xludf.DUMMYFUNCTION("""COMPUTED_VALUE"""),449.0)</f>
        <v>449</v>
      </c>
      <c r="D59" s="153">
        <f>IFERROR(__xludf.DUMMYFUNCTION("""COMPUTED_VALUE"""),12703.0)</f>
        <v>12703</v>
      </c>
      <c r="E59" s="153">
        <f>IFERROR(__xludf.DUMMYFUNCTION("""COMPUTED_VALUE"""),2969.0)</f>
        <v>2969</v>
      </c>
      <c r="F59" s="153">
        <f>IFERROR(__xludf.DUMMYFUNCTION("""COMPUTED_VALUE"""),77513.0)</f>
        <v>77513</v>
      </c>
      <c r="G59" s="153">
        <f>IFERROR(__xludf.DUMMYFUNCTION("""COMPUTED_VALUE"""),3394.0)</f>
        <v>3394</v>
      </c>
      <c r="H59" s="153">
        <f>IFERROR(__xludf.DUMMYFUNCTION("""COMPUTED_VALUE"""),90216.0)</f>
        <v>90216</v>
      </c>
      <c r="I59" s="153">
        <f>IFERROR(__xludf.DUMMYFUNCTION("""COMPUTED_VALUE"""),269.0)</f>
        <v>269</v>
      </c>
      <c r="J59" s="153">
        <f>IFERROR(__xludf.DUMMYFUNCTION("""COMPUTED_VALUE"""),303.0)</f>
        <v>303</v>
      </c>
      <c r="K59" s="153">
        <f>IFERROR(__xludf.DUMMYFUNCTION("""COMPUTED_VALUE"""),10873.0)</f>
        <v>10873</v>
      </c>
      <c r="L59" s="153">
        <f>IFERROR(__xludf.DUMMYFUNCTION("""COMPUTED_VALUE"""),1969.0)</f>
        <v>1969</v>
      </c>
      <c r="M59" s="153">
        <f>IFERROR(__xludf.DUMMYFUNCTION("""COMPUTED_VALUE"""),62069.0)</f>
        <v>62069</v>
      </c>
      <c r="N59" s="153">
        <f>IFERROR(__xludf.DUMMYFUNCTION("""COMPUTED_VALUE"""),72942.0)</f>
        <v>72942</v>
      </c>
      <c r="O59" s="153">
        <f>IFERROR(__xludf.DUMMYFUNCTION("""COMPUTED_VALUE"""),36.0)</f>
        <v>36</v>
      </c>
      <c r="P59" s="153">
        <f>IFERROR(__xludf.DUMMYFUNCTION("""COMPUTED_VALUE"""),1285.0)</f>
        <v>1285</v>
      </c>
      <c r="Q59" s="153">
        <f>IFERROR(__xludf.DUMMYFUNCTION("""COMPUTED_VALUE"""),41.0)</f>
        <v>41</v>
      </c>
      <c r="R59" s="153">
        <f>IFERROR(__xludf.DUMMYFUNCTION("""COMPUTED_VALUE"""),823.0)</f>
        <v>823</v>
      </c>
      <c r="S59" s="153">
        <f>IFERROR(__xludf.DUMMYFUNCTION("""COMPUTED_VALUE"""),5.0)</f>
        <v>5</v>
      </c>
      <c r="T59" s="153">
        <f>IFERROR(__xludf.DUMMYFUNCTION("""COMPUTED_VALUE"""),161.0)</f>
        <v>161</v>
      </c>
      <c r="U59" s="153">
        <f>IFERROR(__xludf.DUMMYFUNCTION("""COMPUTED_VALUE"""),301.0)</f>
        <v>301</v>
      </c>
      <c r="V59" s="153">
        <f>IFERROR(__xludf.DUMMYFUNCTION("""COMPUTED_VALUE"""),316.0)</f>
        <v>316</v>
      </c>
      <c r="W59" s="153">
        <f>IFERROR(__xludf.DUMMYFUNCTION("""COMPUTED_VALUE"""),71.0)</f>
        <v>71</v>
      </c>
      <c r="X59" s="153">
        <f>IFERROR(__xludf.DUMMYFUNCTION("""COMPUTED_VALUE"""),52.0)</f>
        <v>52</v>
      </c>
      <c r="Y59" s="153">
        <f>IFERROR(__xludf.DUMMYFUNCTION("""COMPUTED_VALUE"""),21.0)</f>
        <v>21</v>
      </c>
      <c r="Z59" s="153">
        <f>IFERROR(__xludf.DUMMYFUNCTION("""COMPUTED_VALUE"""),499.0)</f>
        <v>499</v>
      </c>
    </row>
    <row r="60">
      <c r="A60" s="210">
        <f>IFERROR(__xludf.DUMMYFUNCTION("""COMPUTED_VALUE"""),43959.0)</f>
        <v>43959</v>
      </c>
      <c r="B60" s="153">
        <f>IFERROR(__xludf.DUMMYFUNCTION("""COMPUTED_VALUE"""),359.0)</f>
        <v>359</v>
      </c>
      <c r="C60" s="153">
        <f>IFERROR(__xludf.DUMMYFUNCTION("""COMPUTED_VALUE"""),424.0)</f>
        <v>424</v>
      </c>
      <c r="D60" s="153">
        <f>IFERROR(__xludf.DUMMYFUNCTION("""COMPUTED_VALUE"""),13062.0)</f>
        <v>13062</v>
      </c>
      <c r="E60" s="153">
        <f>IFERROR(__xludf.DUMMYFUNCTION("""COMPUTED_VALUE"""),2598.0)</f>
        <v>2598</v>
      </c>
      <c r="F60" s="153">
        <f>IFERROR(__xludf.DUMMYFUNCTION("""COMPUTED_VALUE"""),80111.0)</f>
        <v>80111</v>
      </c>
      <c r="G60" s="153">
        <f>IFERROR(__xludf.DUMMYFUNCTION("""COMPUTED_VALUE"""),2957.0)</f>
        <v>2957</v>
      </c>
      <c r="H60" s="153">
        <f>IFERROR(__xludf.DUMMYFUNCTION("""COMPUTED_VALUE"""),93173.0)</f>
        <v>93173</v>
      </c>
      <c r="I60" s="153">
        <f>IFERROR(__xludf.DUMMYFUNCTION("""COMPUTED_VALUE"""),230.0)</f>
        <v>230</v>
      </c>
      <c r="J60" s="153">
        <f>IFERROR(__xludf.DUMMYFUNCTION("""COMPUTED_VALUE"""),280.0)</f>
        <v>280</v>
      </c>
      <c r="K60" s="153">
        <f>IFERROR(__xludf.DUMMYFUNCTION("""COMPUTED_VALUE"""),11103.0)</f>
        <v>11103</v>
      </c>
      <c r="L60" s="153">
        <f>IFERROR(__xludf.DUMMYFUNCTION("""COMPUTED_VALUE"""),1738.0)</f>
        <v>1738</v>
      </c>
      <c r="M60" s="153">
        <f>IFERROR(__xludf.DUMMYFUNCTION("""COMPUTED_VALUE"""),63807.0)</f>
        <v>63807</v>
      </c>
      <c r="N60" s="153">
        <f>IFERROR(__xludf.DUMMYFUNCTION("""COMPUTED_VALUE"""),74910.0)</f>
        <v>74910</v>
      </c>
      <c r="O60" s="153">
        <f>IFERROR(__xludf.DUMMYFUNCTION("""COMPUTED_VALUE"""),30.0)</f>
        <v>30</v>
      </c>
      <c r="P60" s="153">
        <f>IFERROR(__xludf.DUMMYFUNCTION("""COMPUTED_VALUE"""),1315.0)</f>
        <v>1315</v>
      </c>
      <c r="Q60" s="153">
        <f>IFERROR(__xludf.DUMMYFUNCTION("""COMPUTED_VALUE"""),29.0)</f>
        <v>29</v>
      </c>
      <c r="R60" s="153">
        <f>IFERROR(__xludf.DUMMYFUNCTION("""COMPUTED_VALUE"""),852.0)</f>
        <v>852</v>
      </c>
      <c r="S60" s="153">
        <f>IFERROR(__xludf.DUMMYFUNCTION("""COMPUTED_VALUE"""),5.0)</f>
        <v>5</v>
      </c>
      <c r="T60" s="153">
        <f>IFERROR(__xludf.DUMMYFUNCTION("""COMPUTED_VALUE"""),166.0)</f>
        <v>166</v>
      </c>
      <c r="U60" s="153">
        <f>IFERROR(__xludf.DUMMYFUNCTION("""COMPUTED_VALUE"""),297.0)</f>
        <v>297</v>
      </c>
      <c r="V60" s="153">
        <f>IFERROR(__xludf.DUMMYFUNCTION("""COMPUTED_VALUE"""),303.0)</f>
        <v>303</v>
      </c>
      <c r="W60" s="153">
        <f>IFERROR(__xludf.DUMMYFUNCTION("""COMPUTED_VALUE"""),71.0)</f>
        <v>71</v>
      </c>
      <c r="X60" s="153">
        <f>IFERROR(__xludf.DUMMYFUNCTION("""COMPUTED_VALUE"""),53.0)</f>
        <v>53</v>
      </c>
      <c r="Y60" s="153">
        <f>IFERROR(__xludf.DUMMYFUNCTION("""COMPUTED_VALUE"""),22.0)</f>
        <v>22</v>
      </c>
      <c r="Z60" s="153">
        <f>IFERROR(__xludf.DUMMYFUNCTION("""COMPUTED_VALUE"""),521.0)</f>
        <v>521</v>
      </c>
    </row>
    <row r="61">
      <c r="A61" s="210">
        <f>IFERROR(__xludf.DUMMYFUNCTION("""COMPUTED_VALUE"""),43960.0)</f>
        <v>43960</v>
      </c>
      <c r="B61" s="153">
        <f>IFERROR(__xludf.DUMMYFUNCTION("""COMPUTED_VALUE"""),467.0)</f>
        <v>467</v>
      </c>
      <c r="C61" s="153">
        <f>IFERROR(__xludf.DUMMYFUNCTION("""COMPUTED_VALUE"""),417.0)</f>
        <v>417</v>
      </c>
      <c r="D61" s="153">
        <f>IFERROR(__xludf.DUMMYFUNCTION("""COMPUTED_VALUE"""),13529.0)</f>
        <v>13529</v>
      </c>
      <c r="E61" s="153">
        <f>IFERROR(__xludf.DUMMYFUNCTION("""COMPUTED_VALUE"""),3346.0)</f>
        <v>3346</v>
      </c>
      <c r="F61" s="153">
        <f>IFERROR(__xludf.DUMMYFUNCTION("""COMPUTED_VALUE"""),83457.0)</f>
        <v>83457</v>
      </c>
      <c r="G61" s="153">
        <f>IFERROR(__xludf.DUMMYFUNCTION("""COMPUTED_VALUE"""),3813.0)</f>
        <v>3813</v>
      </c>
      <c r="H61" s="153">
        <f>IFERROR(__xludf.DUMMYFUNCTION("""COMPUTED_VALUE"""),96986.0)</f>
        <v>96986</v>
      </c>
      <c r="I61" s="153">
        <f>IFERROR(__xludf.DUMMYFUNCTION("""COMPUTED_VALUE"""),290.0)</f>
        <v>290</v>
      </c>
      <c r="J61" s="153">
        <f>IFERROR(__xludf.DUMMYFUNCTION("""COMPUTED_VALUE"""),263.0)</f>
        <v>263</v>
      </c>
      <c r="K61" s="153">
        <f>IFERROR(__xludf.DUMMYFUNCTION("""COMPUTED_VALUE"""),11393.0)</f>
        <v>11393</v>
      </c>
      <c r="L61" s="153">
        <f>IFERROR(__xludf.DUMMYFUNCTION("""COMPUTED_VALUE"""),2259.0)</f>
        <v>2259</v>
      </c>
      <c r="M61" s="153">
        <f>IFERROR(__xludf.DUMMYFUNCTION("""COMPUTED_VALUE"""),66066.0)</f>
        <v>66066</v>
      </c>
      <c r="N61" s="153">
        <f>IFERROR(__xludf.DUMMYFUNCTION("""COMPUTED_VALUE"""),77459.0)</f>
        <v>77459</v>
      </c>
      <c r="O61" s="153">
        <f>IFERROR(__xludf.DUMMYFUNCTION("""COMPUTED_VALUE"""),22.0)</f>
        <v>22</v>
      </c>
      <c r="P61" s="153">
        <f>IFERROR(__xludf.DUMMYFUNCTION("""COMPUTED_VALUE"""),1337.0)</f>
        <v>1337</v>
      </c>
      <c r="Q61" s="153">
        <f>IFERROR(__xludf.DUMMYFUNCTION("""COMPUTED_VALUE"""),21.0)</f>
        <v>21</v>
      </c>
      <c r="R61" s="153">
        <f>IFERROR(__xludf.DUMMYFUNCTION("""COMPUTED_VALUE"""),873.0)</f>
        <v>873</v>
      </c>
      <c r="S61" s="153">
        <f>IFERROR(__xludf.DUMMYFUNCTION("""COMPUTED_VALUE"""),4.0)</f>
        <v>4</v>
      </c>
      <c r="T61" s="153">
        <f>IFERROR(__xludf.DUMMYFUNCTION("""COMPUTED_VALUE"""),170.0)</f>
        <v>170</v>
      </c>
      <c r="U61" s="153">
        <f>IFERROR(__xludf.DUMMYFUNCTION("""COMPUTED_VALUE"""),294.0)</f>
        <v>294</v>
      </c>
      <c r="V61" s="153">
        <f>IFERROR(__xludf.DUMMYFUNCTION("""COMPUTED_VALUE"""),297.0)</f>
        <v>297</v>
      </c>
      <c r="W61" s="153">
        <f>IFERROR(__xludf.DUMMYFUNCTION("""COMPUTED_VALUE"""),69.0)</f>
        <v>69</v>
      </c>
      <c r="X61" s="153">
        <f>IFERROR(__xludf.DUMMYFUNCTION("""COMPUTED_VALUE"""),51.0)</f>
        <v>51</v>
      </c>
      <c r="Y61" s="153">
        <f>IFERROR(__xludf.DUMMYFUNCTION("""COMPUTED_VALUE"""),15.0)</f>
        <v>15</v>
      </c>
      <c r="Z61" s="153">
        <f>IFERROR(__xludf.DUMMYFUNCTION("""COMPUTED_VALUE"""),536.0)</f>
        <v>536</v>
      </c>
    </row>
    <row r="62">
      <c r="A62" s="210">
        <f>IFERROR(__xludf.DUMMYFUNCTION("""COMPUTED_VALUE"""),43961.0)</f>
        <v>43961</v>
      </c>
      <c r="B62" s="153">
        <f>IFERROR(__xludf.DUMMYFUNCTION("""COMPUTED_VALUE"""),285.0)</f>
        <v>285</v>
      </c>
      <c r="C62" s="153">
        <f>IFERROR(__xludf.DUMMYFUNCTION("""COMPUTED_VALUE"""),370.0)</f>
        <v>370</v>
      </c>
      <c r="D62" s="153">
        <f>IFERROR(__xludf.DUMMYFUNCTION("""COMPUTED_VALUE"""),13814.0)</f>
        <v>13814</v>
      </c>
      <c r="E62" s="153">
        <f>IFERROR(__xludf.DUMMYFUNCTION("""COMPUTED_VALUE"""),2117.0)</f>
        <v>2117</v>
      </c>
      <c r="F62" s="153">
        <f>IFERROR(__xludf.DUMMYFUNCTION("""COMPUTED_VALUE"""),85574.0)</f>
        <v>85574</v>
      </c>
      <c r="G62" s="153">
        <f>IFERROR(__xludf.DUMMYFUNCTION("""COMPUTED_VALUE"""),2402.0)</f>
        <v>2402</v>
      </c>
      <c r="H62" s="153">
        <f>IFERROR(__xludf.DUMMYFUNCTION("""COMPUTED_VALUE"""),99388.0)</f>
        <v>99388</v>
      </c>
      <c r="I62" s="153">
        <f>IFERROR(__xludf.DUMMYFUNCTION("""COMPUTED_VALUE"""),189.0)</f>
        <v>189</v>
      </c>
      <c r="J62" s="153">
        <f>IFERROR(__xludf.DUMMYFUNCTION("""COMPUTED_VALUE"""),236.0)</f>
        <v>236</v>
      </c>
      <c r="K62" s="153">
        <f>IFERROR(__xludf.DUMMYFUNCTION("""COMPUTED_VALUE"""),11582.0)</f>
        <v>11582</v>
      </c>
      <c r="L62" s="153">
        <f>IFERROR(__xludf.DUMMYFUNCTION("""COMPUTED_VALUE"""),1523.0)</f>
        <v>1523</v>
      </c>
      <c r="M62" s="153">
        <f>IFERROR(__xludf.DUMMYFUNCTION("""COMPUTED_VALUE"""),67589.0)</f>
        <v>67589</v>
      </c>
      <c r="N62" s="153">
        <f>IFERROR(__xludf.DUMMYFUNCTION("""COMPUTED_VALUE"""),79171.0)</f>
        <v>79171</v>
      </c>
      <c r="O62" s="153">
        <f>IFERROR(__xludf.DUMMYFUNCTION("""COMPUTED_VALUE"""),20.0)</f>
        <v>20</v>
      </c>
      <c r="P62" s="153">
        <f>IFERROR(__xludf.DUMMYFUNCTION("""COMPUTED_VALUE"""),1357.0)</f>
        <v>1357</v>
      </c>
      <c r="Q62" s="153">
        <f>IFERROR(__xludf.DUMMYFUNCTION("""COMPUTED_VALUE"""),23.0)</f>
        <v>23</v>
      </c>
      <c r="R62" s="153">
        <f>IFERROR(__xludf.DUMMYFUNCTION("""COMPUTED_VALUE"""),896.0)</f>
        <v>896</v>
      </c>
      <c r="S62" s="153">
        <f>IFERROR(__xludf.DUMMYFUNCTION("""COMPUTED_VALUE"""),6.0)</f>
        <v>6</v>
      </c>
      <c r="T62" s="153">
        <f>IFERROR(__xludf.DUMMYFUNCTION("""COMPUTED_VALUE"""),176.0)</f>
        <v>176</v>
      </c>
      <c r="U62" s="153">
        <f>IFERROR(__xludf.DUMMYFUNCTION("""COMPUTED_VALUE"""),285.0)</f>
        <v>285</v>
      </c>
      <c r="V62" s="153">
        <f>IFERROR(__xludf.DUMMYFUNCTION("""COMPUTED_VALUE"""),292.0)</f>
        <v>292</v>
      </c>
      <c r="W62" s="153">
        <f>IFERROR(__xludf.DUMMYFUNCTION("""COMPUTED_VALUE"""),70.0)</f>
        <v>70</v>
      </c>
      <c r="X62" s="153">
        <f>IFERROR(__xludf.DUMMYFUNCTION("""COMPUTED_VALUE"""),49.0)</f>
        <v>49</v>
      </c>
      <c r="Y62" s="153">
        <f>IFERROR(__xludf.DUMMYFUNCTION("""COMPUTED_VALUE"""),13.0)</f>
        <v>13</v>
      </c>
      <c r="Z62" s="153">
        <f>IFERROR(__xludf.DUMMYFUNCTION("""COMPUTED_VALUE"""),549.0)</f>
        <v>549</v>
      </c>
    </row>
    <row r="63">
      <c r="A63" s="210">
        <f>IFERROR(__xludf.DUMMYFUNCTION("""COMPUTED_VALUE"""),43962.0)</f>
        <v>43962</v>
      </c>
      <c r="B63" s="153">
        <f>IFERROR(__xludf.DUMMYFUNCTION("""COMPUTED_VALUE"""),257.0)</f>
        <v>257</v>
      </c>
      <c r="C63" s="153">
        <f>IFERROR(__xludf.DUMMYFUNCTION("""COMPUTED_VALUE"""),336.0)</f>
        <v>336</v>
      </c>
      <c r="D63" s="153">
        <f>IFERROR(__xludf.DUMMYFUNCTION("""COMPUTED_VALUE"""),14071.0)</f>
        <v>14071</v>
      </c>
      <c r="E63" s="153">
        <f>IFERROR(__xludf.DUMMYFUNCTION("""COMPUTED_VALUE"""),1857.0)</f>
        <v>1857</v>
      </c>
      <c r="F63" s="153">
        <f>IFERROR(__xludf.DUMMYFUNCTION("""COMPUTED_VALUE"""),87431.0)</f>
        <v>87431</v>
      </c>
      <c r="G63" s="153">
        <f>IFERROR(__xludf.DUMMYFUNCTION("""COMPUTED_VALUE"""),2114.0)</f>
        <v>2114</v>
      </c>
      <c r="H63" s="153">
        <f>IFERROR(__xludf.DUMMYFUNCTION("""COMPUTED_VALUE"""),101502.0)</f>
        <v>101502</v>
      </c>
      <c r="I63" s="153">
        <f>IFERROR(__xludf.DUMMYFUNCTION("""COMPUTED_VALUE"""),174.0)</f>
        <v>174</v>
      </c>
      <c r="J63" s="153">
        <f>IFERROR(__xludf.DUMMYFUNCTION("""COMPUTED_VALUE"""),218.0)</f>
        <v>218</v>
      </c>
      <c r="K63" s="153">
        <f>IFERROR(__xludf.DUMMYFUNCTION("""COMPUTED_VALUE"""),11756.0)</f>
        <v>11756</v>
      </c>
      <c r="L63" s="153">
        <f>IFERROR(__xludf.DUMMYFUNCTION("""COMPUTED_VALUE"""),1301.0)</f>
        <v>1301</v>
      </c>
      <c r="M63" s="153">
        <f>IFERROR(__xludf.DUMMYFUNCTION("""COMPUTED_VALUE"""),68890.0)</f>
        <v>68890</v>
      </c>
      <c r="N63" s="153">
        <f>IFERROR(__xludf.DUMMYFUNCTION("""COMPUTED_VALUE"""),80646.0)</f>
        <v>80646</v>
      </c>
      <c r="O63" s="153">
        <f>IFERROR(__xludf.DUMMYFUNCTION("""COMPUTED_VALUE"""),31.0)</f>
        <v>31</v>
      </c>
      <c r="P63" s="153">
        <f>IFERROR(__xludf.DUMMYFUNCTION("""COMPUTED_VALUE"""),1388.0)</f>
        <v>1388</v>
      </c>
      <c r="Q63" s="153">
        <f>IFERROR(__xludf.DUMMYFUNCTION("""COMPUTED_VALUE"""),16.0)</f>
        <v>16</v>
      </c>
      <c r="R63" s="153">
        <f>IFERROR(__xludf.DUMMYFUNCTION("""COMPUTED_VALUE"""),912.0)</f>
        <v>912</v>
      </c>
      <c r="S63" s="153">
        <f>IFERROR(__xludf.DUMMYFUNCTION("""COMPUTED_VALUE"""),6.0)</f>
        <v>6</v>
      </c>
      <c r="T63" s="153">
        <f>IFERROR(__xludf.DUMMYFUNCTION("""COMPUTED_VALUE"""),182.0)</f>
        <v>182</v>
      </c>
      <c r="U63" s="153">
        <f>IFERROR(__xludf.DUMMYFUNCTION("""COMPUTED_VALUE"""),294.0)</f>
        <v>294</v>
      </c>
      <c r="V63" s="153">
        <f>IFERROR(__xludf.DUMMYFUNCTION("""COMPUTED_VALUE"""),291.0)</f>
        <v>291</v>
      </c>
      <c r="W63" s="153">
        <f>IFERROR(__xludf.DUMMYFUNCTION("""COMPUTED_VALUE"""),71.0)</f>
        <v>71</v>
      </c>
      <c r="X63" s="153">
        <f>IFERROR(__xludf.DUMMYFUNCTION("""COMPUTED_VALUE"""),49.0)</f>
        <v>49</v>
      </c>
      <c r="Y63" s="153">
        <f>IFERROR(__xludf.DUMMYFUNCTION("""COMPUTED_VALUE"""),15.0)</f>
        <v>15</v>
      </c>
      <c r="Z63" s="153">
        <f>IFERROR(__xludf.DUMMYFUNCTION("""COMPUTED_VALUE"""),564.0)</f>
        <v>564</v>
      </c>
    </row>
    <row r="64">
      <c r="A64" s="210">
        <f>IFERROR(__xludf.DUMMYFUNCTION("""COMPUTED_VALUE"""),43963.0)</f>
        <v>43963</v>
      </c>
      <c r="B64" s="153">
        <f>IFERROR(__xludf.DUMMYFUNCTION("""COMPUTED_VALUE"""),387.0)</f>
        <v>387</v>
      </c>
      <c r="C64" s="153">
        <f>IFERROR(__xludf.DUMMYFUNCTION("""COMPUTED_VALUE"""),310.0)</f>
        <v>310</v>
      </c>
      <c r="D64" s="153">
        <f>IFERROR(__xludf.DUMMYFUNCTION("""COMPUTED_VALUE"""),14458.0)</f>
        <v>14458</v>
      </c>
      <c r="E64" s="153">
        <f>IFERROR(__xludf.DUMMYFUNCTION("""COMPUTED_VALUE"""),2611.0)</f>
        <v>2611</v>
      </c>
      <c r="F64" s="153">
        <f>IFERROR(__xludf.DUMMYFUNCTION("""COMPUTED_VALUE"""),90042.0)</f>
        <v>90042</v>
      </c>
      <c r="G64" s="153">
        <f>IFERROR(__xludf.DUMMYFUNCTION("""COMPUTED_VALUE"""),2998.0)</f>
        <v>2998</v>
      </c>
      <c r="H64" s="153">
        <f>IFERROR(__xludf.DUMMYFUNCTION("""COMPUTED_VALUE"""),104500.0)</f>
        <v>104500</v>
      </c>
      <c r="I64" s="153">
        <f>IFERROR(__xludf.DUMMYFUNCTION("""COMPUTED_VALUE"""),224.0)</f>
        <v>224</v>
      </c>
      <c r="J64" s="153">
        <f>IFERROR(__xludf.DUMMYFUNCTION("""COMPUTED_VALUE"""),196.0)</f>
        <v>196</v>
      </c>
      <c r="K64" s="153">
        <f>IFERROR(__xludf.DUMMYFUNCTION("""COMPUTED_VALUE"""),11980.0)</f>
        <v>11980</v>
      </c>
      <c r="L64" s="153">
        <f>IFERROR(__xludf.DUMMYFUNCTION("""COMPUTED_VALUE"""),1708.0)</f>
        <v>1708</v>
      </c>
      <c r="M64" s="153">
        <f>IFERROR(__xludf.DUMMYFUNCTION("""COMPUTED_VALUE"""),70598.0)</f>
        <v>70598</v>
      </c>
      <c r="N64" s="153">
        <f>IFERROR(__xludf.DUMMYFUNCTION("""COMPUTED_VALUE"""),82578.0)</f>
        <v>82578</v>
      </c>
      <c r="O64" s="153">
        <f>IFERROR(__xludf.DUMMYFUNCTION("""COMPUTED_VALUE"""),23.0)</f>
        <v>23</v>
      </c>
      <c r="P64" s="153">
        <f>IFERROR(__xludf.DUMMYFUNCTION("""COMPUTED_VALUE"""),1411.0)</f>
        <v>1411</v>
      </c>
      <c r="Q64" s="153">
        <f>IFERROR(__xludf.DUMMYFUNCTION("""COMPUTED_VALUE"""),18.0)</f>
        <v>18</v>
      </c>
      <c r="R64" s="153">
        <f>IFERROR(__xludf.DUMMYFUNCTION("""COMPUTED_VALUE"""),930.0)</f>
        <v>930</v>
      </c>
      <c r="S64" s="153">
        <f>IFERROR(__xludf.DUMMYFUNCTION("""COMPUTED_VALUE"""),4.0)</f>
        <v>4</v>
      </c>
      <c r="T64" s="153">
        <f>IFERROR(__xludf.DUMMYFUNCTION("""COMPUTED_VALUE"""),186.0)</f>
        <v>186</v>
      </c>
      <c r="U64" s="153">
        <f>IFERROR(__xludf.DUMMYFUNCTION("""COMPUTED_VALUE"""),295.0)</f>
        <v>295</v>
      </c>
      <c r="V64" s="153">
        <f>IFERROR(__xludf.DUMMYFUNCTION("""COMPUTED_VALUE"""),291.0)</f>
        <v>291</v>
      </c>
      <c r="W64" s="153">
        <f>IFERROR(__xludf.DUMMYFUNCTION("""COMPUTED_VALUE"""),69.0)</f>
        <v>69</v>
      </c>
      <c r="X64" s="153">
        <f>IFERROR(__xludf.DUMMYFUNCTION("""COMPUTED_VALUE"""),48.0)</f>
        <v>48</v>
      </c>
      <c r="Y64" s="153">
        <f>IFERROR(__xludf.DUMMYFUNCTION("""COMPUTED_VALUE"""),22.0)</f>
        <v>22</v>
      </c>
      <c r="Z64" s="153">
        <f>IFERROR(__xludf.DUMMYFUNCTION("""COMPUTED_VALUE"""),586.0)</f>
        <v>586</v>
      </c>
    </row>
    <row r="65">
      <c r="A65" s="210">
        <f>IFERROR(__xludf.DUMMYFUNCTION("""COMPUTED_VALUE"""),43964.0)</f>
        <v>43964</v>
      </c>
      <c r="B65" s="153">
        <f>IFERROR(__xludf.DUMMYFUNCTION("""COMPUTED_VALUE"""),351.0)</f>
        <v>351</v>
      </c>
      <c r="C65" s="153">
        <f>IFERROR(__xludf.DUMMYFUNCTION("""COMPUTED_VALUE"""),332.0)</f>
        <v>332</v>
      </c>
      <c r="D65" s="153">
        <f>IFERROR(__xludf.DUMMYFUNCTION("""COMPUTED_VALUE"""),14809.0)</f>
        <v>14809</v>
      </c>
      <c r="E65" s="153">
        <f>IFERROR(__xludf.DUMMYFUNCTION("""COMPUTED_VALUE"""),3630.0)</f>
        <v>3630</v>
      </c>
      <c r="F65" s="153">
        <f>IFERROR(__xludf.DUMMYFUNCTION("""COMPUTED_VALUE"""),93672.0)</f>
        <v>93672</v>
      </c>
      <c r="G65" s="153">
        <f>IFERROR(__xludf.DUMMYFUNCTION("""COMPUTED_VALUE"""),3981.0)</f>
        <v>3981</v>
      </c>
      <c r="H65" s="153">
        <f>IFERROR(__xludf.DUMMYFUNCTION("""COMPUTED_VALUE"""),108481.0)</f>
        <v>108481</v>
      </c>
      <c r="I65" s="153">
        <f>IFERROR(__xludf.DUMMYFUNCTION("""COMPUTED_VALUE"""),199.0)</f>
        <v>199</v>
      </c>
      <c r="J65" s="153">
        <f>IFERROR(__xludf.DUMMYFUNCTION("""COMPUTED_VALUE"""),199.0)</f>
        <v>199</v>
      </c>
      <c r="K65" s="153">
        <f>IFERROR(__xludf.DUMMYFUNCTION("""COMPUTED_VALUE"""),12179.0)</f>
        <v>12179</v>
      </c>
      <c r="L65" s="153">
        <f>IFERROR(__xludf.DUMMYFUNCTION("""COMPUTED_VALUE"""),2006.0)</f>
        <v>2006</v>
      </c>
      <c r="M65" s="153">
        <f>IFERROR(__xludf.DUMMYFUNCTION("""COMPUTED_VALUE"""),72604.0)</f>
        <v>72604</v>
      </c>
      <c r="N65" s="153">
        <f>IFERROR(__xludf.DUMMYFUNCTION("""COMPUTED_VALUE"""),84783.0)</f>
        <v>84783</v>
      </c>
      <c r="O65" s="153">
        <f>IFERROR(__xludf.DUMMYFUNCTION("""COMPUTED_VALUE"""),23.0)</f>
        <v>23</v>
      </c>
      <c r="P65" s="153">
        <f>IFERROR(__xludf.DUMMYFUNCTION("""COMPUTED_VALUE"""),1434.0)</f>
        <v>1434</v>
      </c>
      <c r="Q65" s="153">
        <f>IFERROR(__xludf.DUMMYFUNCTION("""COMPUTED_VALUE"""),25.0)</f>
        <v>25</v>
      </c>
      <c r="R65" s="153">
        <f>IFERROR(__xludf.DUMMYFUNCTION("""COMPUTED_VALUE"""),955.0)</f>
        <v>955</v>
      </c>
      <c r="S65" s="153">
        <f>IFERROR(__xludf.DUMMYFUNCTION("""COMPUTED_VALUE"""),1.0)</f>
        <v>1</v>
      </c>
      <c r="T65" s="153">
        <f>IFERROR(__xludf.DUMMYFUNCTION("""COMPUTED_VALUE"""),187.0)</f>
        <v>187</v>
      </c>
      <c r="U65" s="153">
        <f>IFERROR(__xludf.DUMMYFUNCTION("""COMPUTED_VALUE"""),292.0)</f>
        <v>292</v>
      </c>
      <c r="V65" s="153">
        <f>IFERROR(__xludf.DUMMYFUNCTION("""COMPUTED_VALUE"""),294.0)</f>
        <v>294</v>
      </c>
      <c r="W65" s="153">
        <f>IFERROR(__xludf.DUMMYFUNCTION("""COMPUTED_VALUE"""),69.0)</f>
        <v>69</v>
      </c>
      <c r="X65" s="153">
        <f>IFERROR(__xludf.DUMMYFUNCTION("""COMPUTED_VALUE"""),49.0)</f>
        <v>49</v>
      </c>
      <c r="Y65" s="153">
        <f>IFERROR(__xludf.DUMMYFUNCTION("""COMPUTED_VALUE"""),13.0)</f>
        <v>13</v>
      </c>
      <c r="Z65" s="153">
        <f>IFERROR(__xludf.DUMMYFUNCTION("""COMPUTED_VALUE"""),599.0)</f>
        <v>599</v>
      </c>
    </row>
    <row r="66">
      <c r="A66" s="210">
        <f>IFERROR(__xludf.DUMMYFUNCTION("""COMPUTED_VALUE"""),43965.0)</f>
        <v>43965</v>
      </c>
      <c r="B66" s="153">
        <f>IFERROR(__xludf.DUMMYFUNCTION("""COMPUTED_VALUE"""),329.0)</f>
        <v>329</v>
      </c>
      <c r="C66" s="153">
        <f>IFERROR(__xludf.DUMMYFUNCTION("""COMPUTED_VALUE"""),356.0)</f>
        <v>356</v>
      </c>
      <c r="D66" s="153">
        <f>IFERROR(__xludf.DUMMYFUNCTION("""COMPUTED_VALUE"""),15138.0)</f>
        <v>15138</v>
      </c>
      <c r="E66" s="153">
        <f>IFERROR(__xludf.DUMMYFUNCTION("""COMPUTED_VALUE"""),3408.0)</f>
        <v>3408</v>
      </c>
      <c r="F66" s="153">
        <f>IFERROR(__xludf.DUMMYFUNCTION("""COMPUTED_VALUE"""),97080.0)</f>
        <v>97080</v>
      </c>
      <c r="G66" s="153">
        <f>IFERROR(__xludf.DUMMYFUNCTION("""COMPUTED_VALUE"""),3737.0)</f>
        <v>3737</v>
      </c>
      <c r="H66" s="153">
        <f>IFERROR(__xludf.DUMMYFUNCTION("""COMPUTED_VALUE"""),112218.0)</f>
        <v>112218</v>
      </c>
      <c r="I66" s="153">
        <f>IFERROR(__xludf.DUMMYFUNCTION("""COMPUTED_VALUE"""),230.0)</f>
        <v>230</v>
      </c>
      <c r="J66" s="153">
        <f>IFERROR(__xludf.DUMMYFUNCTION("""COMPUTED_VALUE"""),218.0)</f>
        <v>218</v>
      </c>
      <c r="K66" s="153">
        <f>IFERROR(__xludf.DUMMYFUNCTION("""COMPUTED_VALUE"""),12409.0)</f>
        <v>12409</v>
      </c>
      <c r="L66" s="153">
        <f>IFERROR(__xludf.DUMMYFUNCTION("""COMPUTED_VALUE"""),2019.0)</f>
        <v>2019</v>
      </c>
      <c r="M66" s="153">
        <f>IFERROR(__xludf.DUMMYFUNCTION("""COMPUTED_VALUE"""),74623.0)</f>
        <v>74623</v>
      </c>
      <c r="N66" s="153">
        <f>IFERROR(__xludf.DUMMYFUNCTION("""COMPUTED_VALUE"""),87032.0)</f>
        <v>87032</v>
      </c>
      <c r="O66" s="153">
        <f>IFERROR(__xludf.DUMMYFUNCTION("""COMPUTED_VALUE"""),19.0)</f>
        <v>19</v>
      </c>
      <c r="P66" s="153">
        <f>IFERROR(__xludf.DUMMYFUNCTION("""COMPUTED_VALUE"""),1453.0)</f>
        <v>1453</v>
      </c>
      <c r="Q66" s="153">
        <f>IFERROR(__xludf.DUMMYFUNCTION("""COMPUTED_VALUE"""),27.0)</f>
        <v>27</v>
      </c>
      <c r="R66" s="153">
        <f>IFERROR(__xludf.DUMMYFUNCTION("""COMPUTED_VALUE"""),982.0)</f>
        <v>982</v>
      </c>
      <c r="S66" s="153">
        <f>IFERROR(__xludf.DUMMYFUNCTION("""COMPUTED_VALUE"""),3.0)</f>
        <v>3</v>
      </c>
      <c r="T66" s="153">
        <f>IFERROR(__xludf.DUMMYFUNCTION("""COMPUTED_VALUE"""),190.0)</f>
        <v>190</v>
      </c>
      <c r="U66" s="153">
        <f>IFERROR(__xludf.DUMMYFUNCTION("""COMPUTED_VALUE"""),281.0)</f>
        <v>281</v>
      </c>
      <c r="V66" s="153">
        <f>IFERROR(__xludf.DUMMYFUNCTION("""COMPUTED_VALUE"""),289.0)</f>
        <v>289</v>
      </c>
      <c r="W66" s="153">
        <f>IFERROR(__xludf.DUMMYFUNCTION("""COMPUTED_VALUE"""),64.0)</f>
        <v>64</v>
      </c>
      <c r="X66" s="153">
        <f>IFERROR(__xludf.DUMMYFUNCTION("""COMPUTED_VALUE"""),45.0)</f>
        <v>45</v>
      </c>
      <c r="Y66" s="153">
        <f>IFERROR(__xludf.DUMMYFUNCTION("""COMPUTED_VALUE"""),15.0)</f>
        <v>15</v>
      </c>
      <c r="Z66" s="153">
        <f>IFERROR(__xludf.DUMMYFUNCTION("""COMPUTED_VALUE"""),614.0)</f>
        <v>614</v>
      </c>
    </row>
    <row r="67">
      <c r="A67" s="210">
        <f>IFERROR(__xludf.DUMMYFUNCTION("""COMPUTED_VALUE"""),43966.0)</f>
        <v>43966</v>
      </c>
      <c r="B67" s="153">
        <f>IFERROR(__xludf.DUMMYFUNCTION("""COMPUTED_VALUE"""),381.0)</f>
        <v>381</v>
      </c>
      <c r="C67" s="153">
        <f>IFERROR(__xludf.DUMMYFUNCTION("""COMPUTED_VALUE"""),354.0)</f>
        <v>354</v>
      </c>
      <c r="D67" s="153">
        <f>IFERROR(__xludf.DUMMYFUNCTION("""COMPUTED_VALUE"""),15519.0)</f>
        <v>15519</v>
      </c>
      <c r="E67" s="153">
        <f>IFERROR(__xludf.DUMMYFUNCTION("""COMPUTED_VALUE"""),3458.0)</f>
        <v>3458</v>
      </c>
      <c r="F67" s="153">
        <f>IFERROR(__xludf.DUMMYFUNCTION("""COMPUTED_VALUE"""),100538.0)</f>
        <v>100538</v>
      </c>
      <c r="G67" s="153">
        <f>IFERROR(__xludf.DUMMYFUNCTION("""COMPUTED_VALUE"""),3839.0)</f>
        <v>3839</v>
      </c>
      <c r="H67" s="153">
        <f>IFERROR(__xludf.DUMMYFUNCTION("""COMPUTED_VALUE"""),116057.0)</f>
        <v>116057</v>
      </c>
      <c r="I67" s="153">
        <f>IFERROR(__xludf.DUMMYFUNCTION("""COMPUTED_VALUE"""),233.0)</f>
        <v>233</v>
      </c>
      <c r="J67" s="153">
        <f>IFERROR(__xludf.DUMMYFUNCTION("""COMPUTED_VALUE"""),221.0)</f>
        <v>221</v>
      </c>
      <c r="K67" s="153">
        <f>IFERROR(__xludf.DUMMYFUNCTION("""COMPUTED_VALUE"""),12642.0)</f>
        <v>12642</v>
      </c>
      <c r="L67" s="153">
        <f>IFERROR(__xludf.DUMMYFUNCTION("""COMPUTED_VALUE"""),1811.0)</f>
        <v>1811</v>
      </c>
      <c r="M67" s="153">
        <f>IFERROR(__xludf.DUMMYFUNCTION("""COMPUTED_VALUE"""),76434.0)</f>
        <v>76434</v>
      </c>
      <c r="N67" s="153">
        <f>IFERROR(__xludf.DUMMYFUNCTION("""COMPUTED_VALUE"""),89076.0)</f>
        <v>89076</v>
      </c>
      <c r="O67" s="153">
        <f>IFERROR(__xludf.DUMMYFUNCTION("""COMPUTED_VALUE"""),24.0)</f>
        <v>24</v>
      </c>
      <c r="P67" s="153">
        <f>IFERROR(__xludf.DUMMYFUNCTION("""COMPUTED_VALUE"""),1477.0)</f>
        <v>1477</v>
      </c>
      <c r="Q67" s="153">
        <f>IFERROR(__xludf.DUMMYFUNCTION("""COMPUTED_VALUE"""),41.0)</f>
        <v>41</v>
      </c>
      <c r="R67" s="153">
        <f>IFERROR(__xludf.DUMMYFUNCTION("""COMPUTED_VALUE"""),1023.0)</f>
        <v>1023</v>
      </c>
      <c r="S67" s="153">
        <f>IFERROR(__xludf.DUMMYFUNCTION("""COMPUTED_VALUE"""),5.0)</f>
        <v>5</v>
      </c>
      <c r="T67" s="153">
        <f>IFERROR(__xludf.DUMMYFUNCTION("""COMPUTED_VALUE"""),195.0)</f>
        <v>195</v>
      </c>
      <c r="U67" s="153">
        <f>IFERROR(__xludf.DUMMYFUNCTION("""COMPUTED_VALUE"""),259.0)</f>
        <v>259</v>
      </c>
      <c r="V67" s="153">
        <f>IFERROR(__xludf.DUMMYFUNCTION("""COMPUTED_VALUE"""),277.0)</f>
        <v>277</v>
      </c>
      <c r="W67" s="153">
        <f>IFERROR(__xludf.DUMMYFUNCTION("""COMPUTED_VALUE"""),62.0)</f>
        <v>62</v>
      </c>
      <c r="X67" s="153">
        <f>IFERROR(__xludf.DUMMYFUNCTION("""COMPUTED_VALUE"""),45.0)</f>
        <v>45</v>
      </c>
      <c r="Y67" s="153">
        <f>IFERROR(__xludf.DUMMYFUNCTION("""COMPUTED_VALUE"""),14.0)</f>
        <v>14</v>
      </c>
      <c r="Z67" s="153">
        <f>IFERROR(__xludf.DUMMYFUNCTION("""COMPUTED_VALUE"""),628.0)</f>
        <v>628</v>
      </c>
    </row>
    <row r="68">
      <c r="A68" s="210">
        <f>IFERROR(__xludf.DUMMYFUNCTION("""COMPUTED_VALUE"""),43967.0)</f>
        <v>43967</v>
      </c>
      <c r="B68" s="153">
        <f>IFERROR(__xludf.DUMMYFUNCTION("""COMPUTED_VALUE"""),449.0)</f>
        <v>449</v>
      </c>
      <c r="C68" s="153">
        <f>IFERROR(__xludf.DUMMYFUNCTION("""COMPUTED_VALUE"""),386.0)</f>
        <v>386</v>
      </c>
      <c r="D68" s="153">
        <f>IFERROR(__xludf.DUMMYFUNCTION("""COMPUTED_VALUE"""),15968.0)</f>
        <v>15968</v>
      </c>
      <c r="E68" s="153">
        <f>IFERROR(__xludf.DUMMYFUNCTION("""COMPUTED_VALUE"""),4156.0)</f>
        <v>4156</v>
      </c>
      <c r="F68" s="153">
        <f>IFERROR(__xludf.DUMMYFUNCTION("""COMPUTED_VALUE"""),104694.0)</f>
        <v>104694</v>
      </c>
      <c r="G68" s="153">
        <f>IFERROR(__xludf.DUMMYFUNCTION("""COMPUTED_VALUE"""),4605.0)</f>
        <v>4605</v>
      </c>
      <c r="H68" s="153">
        <f>IFERROR(__xludf.DUMMYFUNCTION("""COMPUTED_VALUE"""),120662.0)</f>
        <v>120662</v>
      </c>
      <c r="I68" s="153">
        <f>IFERROR(__xludf.DUMMYFUNCTION("""COMPUTED_VALUE"""),249.0)</f>
        <v>249</v>
      </c>
      <c r="J68" s="153">
        <f>IFERROR(__xludf.DUMMYFUNCTION("""COMPUTED_VALUE"""),237.0)</f>
        <v>237</v>
      </c>
      <c r="K68" s="153">
        <f>IFERROR(__xludf.DUMMYFUNCTION("""COMPUTED_VALUE"""),12891.0)</f>
        <v>12891</v>
      </c>
      <c r="L68" s="153">
        <f>IFERROR(__xludf.DUMMYFUNCTION("""COMPUTED_VALUE"""),1963.0)</f>
        <v>1963</v>
      </c>
      <c r="M68" s="153">
        <f>IFERROR(__xludf.DUMMYFUNCTION("""COMPUTED_VALUE"""),78397.0)</f>
        <v>78397</v>
      </c>
      <c r="N68" s="153">
        <f>IFERROR(__xludf.DUMMYFUNCTION("""COMPUTED_VALUE"""),91288.0)</f>
        <v>91288</v>
      </c>
      <c r="O68" s="153">
        <f>IFERROR(__xludf.DUMMYFUNCTION("""COMPUTED_VALUE"""),25.0)</f>
        <v>25</v>
      </c>
      <c r="P68" s="153">
        <f>IFERROR(__xludf.DUMMYFUNCTION("""COMPUTED_VALUE"""),1502.0)</f>
        <v>1502</v>
      </c>
      <c r="Q68" s="153">
        <f>IFERROR(__xludf.DUMMYFUNCTION("""COMPUTED_VALUE"""),13.0)</f>
        <v>13</v>
      </c>
      <c r="R68" s="153">
        <f>IFERROR(__xludf.DUMMYFUNCTION("""COMPUTED_VALUE"""),1036.0)</f>
        <v>1036</v>
      </c>
      <c r="S68" s="153">
        <f>IFERROR(__xludf.DUMMYFUNCTION("""COMPUTED_VALUE"""),5.0)</f>
        <v>5</v>
      </c>
      <c r="T68" s="153">
        <f>IFERROR(__xludf.DUMMYFUNCTION("""COMPUTED_VALUE"""),200.0)</f>
        <v>200</v>
      </c>
      <c r="U68" s="153">
        <f>IFERROR(__xludf.DUMMYFUNCTION("""COMPUTED_VALUE"""),266.0)</f>
        <v>266</v>
      </c>
      <c r="V68" s="153">
        <f>IFERROR(__xludf.DUMMYFUNCTION("""COMPUTED_VALUE"""),269.0)</f>
        <v>269</v>
      </c>
      <c r="W68" s="153">
        <f>IFERROR(__xludf.DUMMYFUNCTION("""COMPUTED_VALUE"""),61.0)</f>
        <v>61</v>
      </c>
      <c r="X68" s="153">
        <f>IFERROR(__xludf.DUMMYFUNCTION("""COMPUTED_VALUE"""),46.0)</f>
        <v>46</v>
      </c>
      <c r="Y68" s="153">
        <f>IFERROR(__xludf.DUMMYFUNCTION("""COMPUTED_VALUE"""),15.0)</f>
        <v>15</v>
      </c>
      <c r="Z68" s="153">
        <f>IFERROR(__xludf.DUMMYFUNCTION("""COMPUTED_VALUE"""),643.0)</f>
        <v>643</v>
      </c>
    </row>
    <row r="69">
      <c r="A69" s="210">
        <f>IFERROR(__xludf.DUMMYFUNCTION("""COMPUTED_VALUE"""),43968.0)</f>
        <v>43968</v>
      </c>
      <c r="B69" s="153">
        <f>IFERROR(__xludf.DUMMYFUNCTION("""COMPUTED_VALUE"""),240.0)</f>
        <v>240</v>
      </c>
      <c r="C69" s="153">
        <f>IFERROR(__xludf.DUMMYFUNCTION("""COMPUTED_VALUE"""),357.0)</f>
        <v>357</v>
      </c>
      <c r="D69" s="153">
        <f>IFERROR(__xludf.DUMMYFUNCTION("""COMPUTED_VALUE"""),16208.0)</f>
        <v>16208</v>
      </c>
      <c r="E69" s="153">
        <f>IFERROR(__xludf.DUMMYFUNCTION("""COMPUTED_VALUE"""),2768.0)</f>
        <v>2768</v>
      </c>
      <c r="F69" s="153">
        <f>IFERROR(__xludf.DUMMYFUNCTION("""COMPUTED_VALUE"""),107462.0)</f>
        <v>107462</v>
      </c>
      <c r="G69" s="153">
        <f>IFERROR(__xludf.DUMMYFUNCTION("""COMPUTED_VALUE"""),3008.0)</f>
        <v>3008</v>
      </c>
      <c r="H69" s="153">
        <f>IFERROR(__xludf.DUMMYFUNCTION("""COMPUTED_VALUE"""),123670.0)</f>
        <v>123670</v>
      </c>
      <c r="I69" s="153">
        <f>IFERROR(__xludf.DUMMYFUNCTION("""COMPUTED_VALUE"""),126.0)</f>
        <v>126</v>
      </c>
      <c r="J69" s="153">
        <f>IFERROR(__xludf.DUMMYFUNCTION("""COMPUTED_VALUE"""),203.0)</f>
        <v>203</v>
      </c>
      <c r="K69" s="153">
        <f>IFERROR(__xludf.DUMMYFUNCTION("""COMPUTED_VALUE"""),13017.0)</f>
        <v>13017</v>
      </c>
      <c r="L69" s="153">
        <f>IFERROR(__xludf.DUMMYFUNCTION("""COMPUTED_VALUE"""),1558.0)</f>
        <v>1558</v>
      </c>
      <c r="M69" s="153">
        <f>IFERROR(__xludf.DUMMYFUNCTION("""COMPUTED_VALUE"""),79955.0)</f>
        <v>79955</v>
      </c>
      <c r="N69" s="153">
        <f>IFERROR(__xludf.DUMMYFUNCTION("""COMPUTED_VALUE"""),92972.0)</f>
        <v>92972</v>
      </c>
      <c r="O69" s="153">
        <f>IFERROR(__xludf.DUMMYFUNCTION("""COMPUTED_VALUE"""),17.0)</f>
        <v>17</v>
      </c>
      <c r="P69" s="153">
        <f>IFERROR(__xludf.DUMMYFUNCTION("""COMPUTED_VALUE"""),1519.0)</f>
        <v>1519</v>
      </c>
      <c r="Q69" s="153">
        <f>IFERROR(__xludf.DUMMYFUNCTION("""COMPUTED_VALUE"""),8.0)</f>
        <v>8</v>
      </c>
      <c r="R69" s="153">
        <f>IFERROR(__xludf.DUMMYFUNCTION("""COMPUTED_VALUE"""),1044.0)</f>
        <v>1044</v>
      </c>
      <c r="S69" s="153">
        <f>IFERROR(__xludf.DUMMYFUNCTION("""COMPUTED_VALUE"""),5.0)</f>
        <v>5</v>
      </c>
      <c r="T69" s="153">
        <f>IFERROR(__xludf.DUMMYFUNCTION("""COMPUTED_VALUE"""),205.0)</f>
        <v>205</v>
      </c>
      <c r="U69" s="153">
        <f>IFERROR(__xludf.DUMMYFUNCTION("""COMPUTED_VALUE"""),270.0)</f>
        <v>270</v>
      </c>
      <c r="V69" s="153">
        <f>IFERROR(__xludf.DUMMYFUNCTION("""COMPUTED_VALUE"""),265.0)</f>
        <v>265</v>
      </c>
      <c r="W69" s="153">
        <f>IFERROR(__xludf.DUMMYFUNCTION("""COMPUTED_VALUE"""),59.0)</f>
        <v>59</v>
      </c>
      <c r="X69" s="153">
        <f>IFERROR(__xludf.DUMMYFUNCTION("""COMPUTED_VALUE"""),45.0)</f>
        <v>45</v>
      </c>
      <c r="Y69" s="153">
        <f>IFERROR(__xludf.DUMMYFUNCTION("""COMPUTED_VALUE"""),10.0)</f>
        <v>10</v>
      </c>
      <c r="Z69" s="153">
        <f>IFERROR(__xludf.DUMMYFUNCTION("""COMPUTED_VALUE"""),653.0)</f>
        <v>653</v>
      </c>
    </row>
    <row r="70">
      <c r="A70" s="210">
        <f>IFERROR(__xludf.DUMMYFUNCTION("""COMPUTED_VALUE"""),43969.0)</f>
        <v>43969</v>
      </c>
      <c r="B70" s="153">
        <f>IFERROR(__xludf.DUMMYFUNCTION("""COMPUTED_VALUE"""),250.0)</f>
        <v>250</v>
      </c>
      <c r="C70" s="153">
        <f>IFERROR(__xludf.DUMMYFUNCTION("""COMPUTED_VALUE"""),313.0)</f>
        <v>313</v>
      </c>
      <c r="D70" s="153">
        <f>IFERROR(__xludf.DUMMYFUNCTION("""COMPUTED_VALUE"""),16458.0)</f>
        <v>16458</v>
      </c>
      <c r="E70" s="153">
        <f>IFERROR(__xludf.DUMMYFUNCTION("""COMPUTED_VALUE"""),2001.0)</f>
        <v>2001</v>
      </c>
      <c r="F70" s="153">
        <f>IFERROR(__xludf.DUMMYFUNCTION("""COMPUTED_VALUE"""),109463.0)</f>
        <v>109463</v>
      </c>
      <c r="G70" s="153">
        <f>IFERROR(__xludf.DUMMYFUNCTION("""COMPUTED_VALUE"""),2251.0)</f>
        <v>2251</v>
      </c>
      <c r="H70" s="153">
        <f>IFERROR(__xludf.DUMMYFUNCTION("""COMPUTED_VALUE"""),125921.0)</f>
        <v>125921</v>
      </c>
      <c r="I70" s="153">
        <f>IFERROR(__xludf.DUMMYFUNCTION("""COMPUTED_VALUE"""),136.0)</f>
        <v>136</v>
      </c>
      <c r="J70" s="153">
        <f>IFERROR(__xludf.DUMMYFUNCTION("""COMPUTED_VALUE"""),170.0)</f>
        <v>170</v>
      </c>
      <c r="K70" s="153">
        <f>IFERROR(__xludf.DUMMYFUNCTION("""COMPUTED_VALUE"""),13153.0)</f>
        <v>13153</v>
      </c>
      <c r="L70" s="153">
        <f>IFERROR(__xludf.DUMMYFUNCTION("""COMPUTED_VALUE"""),1369.0)</f>
        <v>1369</v>
      </c>
      <c r="M70" s="153">
        <f>IFERROR(__xludf.DUMMYFUNCTION("""COMPUTED_VALUE"""),81324.0)</f>
        <v>81324</v>
      </c>
      <c r="N70" s="153">
        <f>IFERROR(__xludf.DUMMYFUNCTION("""COMPUTED_VALUE"""),94477.0)</f>
        <v>94477</v>
      </c>
      <c r="O70" s="153">
        <f>IFERROR(__xludf.DUMMYFUNCTION("""COMPUTED_VALUE"""),19.0)</f>
        <v>19</v>
      </c>
      <c r="P70" s="153">
        <f>IFERROR(__xludf.DUMMYFUNCTION("""COMPUTED_VALUE"""),1538.0)</f>
        <v>1538</v>
      </c>
      <c r="Q70" s="153">
        <f>IFERROR(__xludf.DUMMYFUNCTION("""COMPUTED_VALUE"""),15.0)</f>
        <v>15</v>
      </c>
      <c r="R70" s="153">
        <f>IFERROR(__xludf.DUMMYFUNCTION("""COMPUTED_VALUE"""),1059.0)</f>
        <v>1059</v>
      </c>
      <c r="S70" s="153">
        <f>IFERROR(__xludf.DUMMYFUNCTION("""COMPUTED_VALUE"""),5.0)</f>
        <v>5</v>
      </c>
      <c r="T70" s="153">
        <f>IFERROR(__xludf.DUMMYFUNCTION("""COMPUTED_VALUE"""),210.0)</f>
        <v>210</v>
      </c>
      <c r="U70" s="153">
        <f>IFERROR(__xludf.DUMMYFUNCTION("""COMPUTED_VALUE"""),269.0)</f>
        <v>269</v>
      </c>
      <c r="V70" s="153">
        <f>IFERROR(__xludf.DUMMYFUNCTION("""COMPUTED_VALUE"""),268.0)</f>
        <v>268</v>
      </c>
      <c r="W70" s="153">
        <f>IFERROR(__xludf.DUMMYFUNCTION("""COMPUTED_VALUE"""),57.0)</f>
        <v>57</v>
      </c>
      <c r="X70" s="153">
        <f>IFERROR(__xludf.DUMMYFUNCTION("""COMPUTED_VALUE"""),40.0)</f>
        <v>40</v>
      </c>
      <c r="Y70" s="153">
        <f>IFERROR(__xludf.DUMMYFUNCTION("""COMPUTED_VALUE"""),18.0)</f>
        <v>18</v>
      </c>
      <c r="Z70" s="153">
        <f>IFERROR(__xludf.DUMMYFUNCTION("""COMPUTED_VALUE"""),671.0)</f>
        <v>671</v>
      </c>
    </row>
    <row r="71">
      <c r="A71" s="210">
        <f>IFERROR(__xludf.DUMMYFUNCTION("""COMPUTED_VALUE"""),43970.0)</f>
        <v>43970</v>
      </c>
      <c r="B71" s="153">
        <f>IFERROR(__xludf.DUMMYFUNCTION("""COMPUTED_VALUE"""),415.0)</f>
        <v>415</v>
      </c>
      <c r="C71" s="153">
        <f>IFERROR(__xludf.DUMMYFUNCTION("""COMPUTED_VALUE"""),302.0)</f>
        <v>302</v>
      </c>
      <c r="D71" s="153">
        <f>IFERROR(__xludf.DUMMYFUNCTION("""COMPUTED_VALUE"""),16873.0)</f>
        <v>16873</v>
      </c>
      <c r="E71" s="153">
        <f>IFERROR(__xludf.DUMMYFUNCTION("""COMPUTED_VALUE"""),3168.0)</f>
        <v>3168</v>
      </c>
      <c r="F71" s="153">
        <f>IFERROR(__xludf.DUMMYFUNCTION("""COMPUTED_VALUE"""),112631.0)</f>
        <v>112631</v>
      </c>
      <c r="G71" s="153">
        <f>IFERROR(__xludf.DUMMYFUNCTION("""COMPUTED_VALUE"""),3583.0)</f>
        <v>3583</v>
      </c>
      <c r="H71" s="153">
        <f>IFERROR(__xludf.DUMMYFUNCTION("""COMPUTED_VALUE"""),129504.0)</f>
        <v>129504</v>
      </c>
      <c r="I71" s="153">
        <f>IFERROR(__xludf.DUMMYFUNCTION("""COMPUTED_VALUE"""),215.0)</f>
        <v>215</v>
      </c>
      <c r="J71" s="153">
        <f>IFERROR(__xludf.DUMMYFUNCTION("""COMPUTED_VALUE"""),159.0)</f>
        <v>159</v>
      </c>
      <c r="K71" s="153">
        <f>IFERROR(__xludf.DUMMYFUNCTION("""COMPUTED_VALUE"""),13368.0)</f>
        <v>13368</v>
      </c>
      <c r="L71" s="153">
        <f>IFERROR(__xludf.DUMMYFUNCTION("""COMPUTED_VALUE"""),1928.0)</f>
        <v>1928</v>
      </c>
      <c r="M71" s="153">
        <f>IFERROR(__xludf.DUMMYFUNCTION("""COMPUTED_VALUE"""),83252.0)</f>
        <v>83252</v>
      </c>
      <c r="N71" s="153">
        <f>IFERROR(__xludf.DUMMYFUNCTION("""COMPUTED_VALUE"""),96620.0)</f>
        <v>96620</v>
      </c>
      <c r="O71" s="153">
        <f>IFERROR(__xludf.DUMMYFUNCTION("""COMPUTED_VALUE"""),23.0)</f>
        <v>23</v>
      </c>
      <c r="P71" s="153">
        <f>IFERROR(__xludf.DUMMYFUNCTION("""COMPUTED_VALUE"""),1561.0)</f>
        <v>1561</v>
      </c>
      <c r="Q71" s="153">
        <f>IFERROR(__xludf.DUMMYFUNCTION("""COMPUTED_VALUE"""),32.0)</f>
        <v>32</v>
      </c>
      <c r="R71" s="153">
        <f>IFERROR(__xludf.DUMMYFUNCTION("""COMPUTED_VALUE"""),1091.0)</f>
        <v>1091</v>
      </c>
      <c r="S71" s="153">
        <f>IFERROR(__xludf.DUMMYFUNCTION("""COMPUTED_VALUE"""),5.0)</f>
        <v>5</v>
      </c>
      <c r="T71" s="153">
        <f>IFERROR(__xludf.DUMMYFUNCTION("""COMPUTED_VALUE"""),215.0)</f>
        <v>215</v>
      </c>
      <c r="U71" s="153">
        <f>IFERROR(__xludf.DUMMYFUNCTION("""COMPUTED_VALUE"""),255.0)</f>
        <v>255</v>
      </c>
      <c r="V71" s="153">
        <f>IFERROR(__xludf.DUMMYFUNCTION("""COMPUTED_VALUE"""),265.0)</f>
        <v>265</v>
      </c>
      <c r="W71" s="153">
        <f>IFERROR(__xludf.DUMMYFUNCTION("""COMPUTED_VALUE"""),56.0)</f>
        <v>56</v>
      </c>
      <c r="X71" s="153">
        <f>IFERROR(__xludf.DUMMYFUNCTION("""COMPUTED_VALUE"""),38.0)</f>
        <v>38</v>
      </c>
      <c r="Y71" s="153">
        <f>IFERROR(__xludf.DUMMYFUNCTION("""COMPUTED_VALUE"""),11.0)</f>
        <v>11</v>
      </c>
      <c r="Z71" s="153">
        <f>IFERROR(__xludf.DUMMYFUNCTION("""COMPUTED_VALUE"""),682.0)</f>
        <v>682</v>
      </c>
    </row>
    <row r="72">
      <c r="A72" s="210">
        <f>IFERROR(__xludf.DUMMYFUNCTION("""COMPUTED_VALUE"""),43971.0)</f>
        <v>43971</v>
      </c>
      <c r="B72" s="153">
        <f>IFERROR(__xludf.DUMMYFUNCTION("""COMPUTED_VALUE"""),326.0)</f>
        <v>326</v>
      </c>
      <c r="C72" s="153">
        <f>IFERROR(__xludf.DUMMYFUNCTION("""COMPUTED_VALUE"""),330.0)</f>
        <v>330</v>
      </c>
      <c r="D72" s="153">
        <f>IFERROR(__xludf.DUMMYFUNCTION("""COMPUTED_VALUE"""),17199.0)</f>
        <v>17199</v>
      </c>
      <c r="E72" s="153">
        <f>IFERROR(__xludf.DUMMYFUNCTION("""COMPUTED_VALUE"""),2771.0)</f>
        <v>2771</v>
      </c>
      <c r="F72" s="153">
        <f>IFERROR(__xludf.DUMMYFUNCTION("""COMPUTED_VALUE"""),115402.0)</f>
        <v>115402</v>
      </c>
      <c r="G72" s="153">
        <f>IFERROR(__xludf.DUMMYFUNCTION("""COMPUTED_VALUE"""),3097.0)</f>
        <v>3097</v>
      </c>
      <c r="H72" s="153">
        <f>IFERROR(__xludf.DUMMYFUNCTION("""COMPUTED_VALUE"""),132601.0)</f>
        <v>132601</v>
      </c>
      <c r="I72" s="153">
        <f>IFERROR(__xludf.DUMMYFUNCTION("""COMPUTED_VALUE"""),185.0)</f>
        <v>185</v>
      </c>
      <c r="J72" s="153">
        <f>IFERROR(__xludf.DUMMYFUNCTION("""COMPUTED_VALUE"""),179.0)</f>
        <v>179</v>
      </c>
      <c r="K72" s="153">
        <f>IFERROR(__xludf.DUMMYFUNCTION("""COMPUTED_VALUE"""),13553.0)</f>
        <v>13553</v>
      </c>
      <c r="L72" s="153">
        <f>IFERROR(__xludf.DUMMYFUNCTION("""COMPUTED_VALUE"""),1516.0)</f>
        <v>1516</v>
      </c>
      <c r="M72" s="153">
        <f>IFERROR(__xludf.DUMMYFUNCTION("""COMPUTED_VALUE"""),84768.0)</f>
        <v>84768</v>
      </c>
      <c r="N72" s="153">
        <f>IFERROR(__xludf.DUMMYFUNCTION("""COMPUTED_VALUE"""),98321.0)</f>
        <v>98321</v>
      </c>
      <c r="O72" s="153">
        <f>IFERROR(__xludf.DUMMYFUNCTION("""COMPUTED_VALUE"""),19.0)</f>
        <v>19</v>
      </c>
      <c r="P72" s="153">
        <f>IFERROR(__xludf.DUMMYFUNCTION("""COMPUTED_VALUE"""),1580.0)</f>
        <v>1580</v>
      </c>
      <c r="Q72" s="153">
        <f>IFERROR(__xludf.DUMMYFUNCTION("""COMPUTED_VALUE"""),23.0)</f>
        <v>23</v>
      </c>
      <c r="R72" s="153">
        <f>IFERROR(__xludf.DUMMYFUNCTION("""COMPUTED_VALUE"""),1114.0)</f>
        <v>1114</v>
      </c>
      <c r="S72" s="153">
        <f>IFERROR(__xludf.DUMMYFUNCTION("""COMPUTED_VALUE"""),7.0)</f>
        <v>7</v>
      </c>
      <c r="T72" s="153">
        <f>IFERROR(__xludf.DUMMYFUNCTION("""COMPUTED_VALUE"""),222.0)</f>
        <v>222</v>
      </c>
      <c r="U72" s="153">
        <f>IFERROR(__xludf.DUMMYFUNCTION("""COMPUTED_VALUE"""),244.0)</f>
        <v>244</v>
      </c>
      <c r="V72" s="153">
        <f>IFERROR(__xludf.DUMMYFUNCTION("""COMPUTED_VALUE"""),256.0)</f>
        <v>256</v>
      </c>
      <c r="W72" s="153">
        <f>IFERROR(__xludf.DUMMYFUNCTION("""COMPUTED_VALUE"""),52.0)</f>
        <v>52</v>
      </c>
      <c r="X72" s="153">
        <f>IFERROR(__xludf.DUMMYFUNCTION("""COMPUTED_VALUE"""),33.0)</f>
        <v>33</v>
      </c>
      <c r="Y72" s="153">
        <f>IFERROR(__xludf.DUMMYFUNCTION("""COMPUTED_VALUE"""),22.0)</f>
        <v>22</v>
      </c>
      <c r="Z72" s="153">
        <f>IFERROR(__xludf.DUMMYFUNCTION("""COMPUTED_VALUE"""),704.0)</f>
        <v>704</v>
      </c>
    </row>
    <row r="73">
      <c r="A73" s="210">
        <f>IFERROR(__xludf.DUMMYFUNCTION("""COMPUTED_VALUE"""),43972.0)</f>
        <v>43972</v>
      </c>
      <c r="B73" s="153">
        <f>IFERROR(__xludf.DUMMYFUNCTION("""COMPUTED_VALUE"""),374.0)</f>
        <v>374</v>
      </c>
      <c r="C73" s="153">
        <f>IFERROR(__xludf.DUMMYFUNCTION("""COMPUTED_VALUE"""),372.0)</f>
        <v>372</v>
      </c>
      <c r="D73" s="153">
        <f>IFERROR(__xludf.DUMMYFUNCTION("""COMPUTED_VALUE"""),17573.0)</f>
        <v>17573</v>
      </c>
      <c r="E73" s="153">
        <f>IFERROR(__xludf.DUMMYFUNCTION("""COMPUTED_VALUE"""),3757.0)</f>
        <v>3757</v>
      </c>
      <c r="F73" s="153">
        <f>IFERROR(__xludf.DUMMYFUNCTION("""COMPUTED_VALUE"""),119159.0)</f>
        <v>119159</v>
      </c>
      <c r="G73" s="153">
        <f>IFERROR(__xludf.DUMMYFUNCTION("""COMPUTED_VALUE"""),4131.0)</f>
        <v>4131</v>
      </c>
      <c r="H73" s="153">
        <f>IFERROR(__xludf.DUMMYFUNCTION("""COMPUTED_VALUE"""),136732.0)</f>
        <v>136732</v>
      </c>
      <c r="I73" s="153">
        <f>IFERROR(__xludf.DUMMYFUNCTION("""COMPUTED_VALUE"""),167.0)</f>
        <v>167</v>
      </c>
      <c r="J73" s="153">
        <f>IFERROR(__xludf.DUMMYFUNCTION("""COMPUTED_VALUE"""),189.0)</f>
        <v>189</v>
      </c>
      <c r="K73" s="153">
        <f>IFERROR(__xludf.DUMMYFUNCTION("""COMPUTED_VALUE"""),13720.0)</f>
        <v>13720</v>
      </c>
      <c r="L73" s="153">
        <f>IFERROR(__xludf.DUMMYFUNCTION("""COMPUTED_VALUE"""),1940.0)</f>
        <v>1940</v>
      </c>
      <c r="M73" s="153">
        <f>IFERROR(__xludf.DUMMYFUNCTION("""COMPUTED_VALUE"""),86708.0)</f>
        <v>86708</v>
      </c>
      <c r="N73" s="153">
        <f>IFERROR(__xludf.DUMMYFUNCTION("""COMPUTED_VALUE"""),100428.0)</f>
        <v>100428</v>
      </c>
      <c r="O73" s="153">
        <f>IFERROR(__xludf.DUMMYFUNCTION("""COMPUTED_VALUE"""),26.0)</f>
        <v>26</v>
      </c>
      <c r="P73" s="153">
        <f>IFERROR(__xludf.DUMMYFUNCTION("""COMPUTED_VALUE"""),1606.0)</f>
        <v>1606</v>
      </c>
      <c r="Q73" s="153">
        <f>IFERROR(__xludf.DUMMYFUNCTION("""COMPUTED_VALUE"""),15.0)</f>
        <v>15</v>
      </c>
      <c r="R73" s="153">
        <f>IFERROR(__xludf.DUMMYFUNCTION("""COMPUTED_VALUE"""),1129.0)</f>
        <v>1129</v>
      </c>
      <c r="S73" s="153">
        <f>IFERROR(__xludf.DUMMYFUNCTION("""COMPUTED_VALUE"""),3.0)</f>
        <v>3</v>
      </c>
      <c r="T73" s="153">
        <f>IFERROR(__xludf.DUMMYFUNCTION("""COMPUTED_VALUE"""),225.0)</f>
        <v>225</v>
      </c>
      <c r="U73" s="153">
        <f>IFERROR(__xludf.DUMMYFUNCTION("""COMPUTED_VALUE"""),252.0)</f>
        <v>252</v>
      </c>
      <c r="V73" s="153">
        <f>IFERROR(__xludf.DUMMYFUNCTION("""COMPUTED_VALUE"""),250.0)</f>
        <v>250</v>
      </c>
      <c r="W73" s="153">
        <f>IFERROR(__xludf.DUMMYFUNCTION("""COMPUTED_VALUE"""),53.0)</f>
        <v>53</v>
      </c>
      <c r="X73" s="153">
        <f>IFERROR(__xludf.DUMMYFUNCTION("""COMPUTED_VALUE"""),29.0)</f>
        <v>29</v>
      </c>
      <c r="Y73" s="153">
        <f>IFERROR(__xludf.DUMMYFUNCTION("""COMPUTED_VALUE"""),20.0)</f>
        <v>20</v>
      </c>
      <c r="Z73" s="153">
        <f>IFERROR(__xludf.DUMMYFUNCTION("""COMPUTED_VALUE"""),724.0)</f>
        <v>724</v>
      </c>
    </row>
    <row r="74">
      <c r="A74" s="210">
        <f>IFERROR(__xludf.DUMMYFUNCTION("""COMPUTED_VALUE"""),43973.0)</f>
        <v>43973</v>
      </c>
      <c r="B74" s="153">
        <f>IFERROR(__xludf.DUMMYFUNCTION("""COMPUTED_VALUE"""),351.0)</f>
        <v>351</v>
      </c>
      <c r="C74" s="153">
        <f>IFERROR(__xludf.DUMMYFUNCTION("""COMPUTED_VALUE"""),350.0)</f>
        <v>350</v>
      </c>
      <c r="D74" s="153">
        <f>IFERROR(__xludf.DUMMYFUNCTION("""COMPUTED_VALUE"""),17924.0)</f>
        <v>17924</v>
      </c>
      <c r="E74" s="153">
        <f>IFERROR(__xludf.DUMMYFUNCTION("""COMPUTED_VALUE"""),3161.0)</f>
        <v>3161</v>
      </c>
      <c r="F74" s="153">
        <f>IFERROR(__xludf.DUMMYFUNCTION("""COMPUTED_VALUE"""),122320.0)</f>
        <v>122320</v>
      </c>
      <c r="G74" s="153">
        <f>IFERROR(__xludf.DUMMYFUNCTION("""COMPUTED_VALUE"""),3512.0)</f>
        <v>3512</v>
      </c>
      <c r="H74" s="153">
        <f>IFERROR(__xludf.DUMMYFUNCTION("""COMPUTED_VALUE"""),140244.0)</f>
        <v>140244</v>
      </c>
      <c r="I74" s="153">
        <f>IFERROR(__xludf.DUMMYFUNCTION("""COMPUTED_VALUE"""),206.0)</f>
        <v>206</v>
      </c>
      <c r="J74" s="153">
        <f>IFERROR(__xludf.DUMMYFUNCTION("""COMPUTED_VALUE"""),186.0)</f>
        <v>186</v>
      </c>
      <c r="K74" s="153">
        <f>IFERROR(__xludf.DUMMYFUNCTION("""COMPUTED_VALUE"""),13926.0)</f>
        <v>13926</v>
      </c>
      <c r="L74" s="153">
        <f>IFERROR(__xludf.DUMMYFUNCTION("""COMPUTED_VALUE"""),1610.0)</f>
        <v>1610</v>
      </c>
      <c r="M74" s="153">
        <f>IFERROR(__xludf.DUMMYFUNCTION("""COMPUTED_VALUE"""),88318.0)</f>
        <v>88318</v>
      </c>
      <c r="N74" s="153">
        <f>IFERROR(__xludf.DUMMYFUNCTION("""COMPUTED_VALUE"""),102244.0)</f>
        <v>102244</v>
      </c>
      <c r="O74" s="153">
        <f>IFERROR(__xludf.DUMMYFUNCTION("""COMPUTED_VALUE"""),20.0)</f>
        <v>20</v>
      </c>
      <c r="P74" s="153">
        <f>IFERROR(__xludf.DUMMYFUNCTION("""COMPUTED_VALUE"""),1626.0)</f>
        <v>1626</v>
      </c>
      <c r="Q74" s="153">
        <f>IFERROR(__xludf.DUMMYFUNCTION("""COMPUTED_VALUE"""),29.0)</f>
        <v>29</v>
      </c>
      <c r="R74" s="153">
        <f>IFERROR(__xludf.DUMMYFUNCTION("""COMPUTED_VALUE"""),1158.0)</f>
        <v>1158</v>
      </c>
      <c r="S74" s="153">
        <f>IFERROR(__xludf.DUMMYFUNCTION("""COMPUTED_VALUE"""),5.0)</f>
        <v>5</v>
      </c>
      <c r="T74" s="153">
        <f>IFERROR(__xludf.DUMMYFUNCTION("""COMPUTED_VALUE"""),230.0)</f>
        <v>230</v>
      </c>
      <c r="U74" s="153">
        <f>IFERROR(__xludf.DUMMYFUNCTION("""COMPUTED_VALUE"""),238.0)</f>
        <v>238</v>
      </c>
      <c r="V74" s="153">
        <f>IFERROR(__xludf.DUMMYFUNCTION("""COMPUTED_VALUE"""),245.0)</f>
        <v>245</v>
      </c>
      <c r="W74" s="153">
        <f>IFERROR(__xludf.DUMMYFUNCTION("""COMPUTED_VALUE"""),52.0)</f>
        <v>52</v>
      </c>
      <c r="X74" s="153">
        <f>IFERROR(__xludf.DUMMYFUNCTION("""COMPUTED_VALUE"""),29.0)</f>
        <v>29</v>
      </c>
      <c r="Y74" s="153">
        <f>IFERROR(__xludf.DUMMYFUNCTION("""COMPUTED_VALUE"""),10.0)</f>
        <v>10</v>
      </c>
      <c r="Z74" s="153">
        <f>IFERROR(__xludf.DUMMYFUNCTION("""COMPUTED_VALUE"""),734.0)</f>
        <v>734</v>
      </c>
    </row>
    <row r="75">
      <c r="A75" s="210">
        <f>IFERROR(__xludf.DUMMYFUNCTION("""COMPUTED_VALUE"""),43974.0)</f>
        <v>43974</v>
      </c>
      <c r="B75" s="153">
        <f>IFERROR(__xludf.DUMMYFUNCTION("""COMPUTED_VALUE"""),253.0)</f>
        <v>253</v>
      </c>
      <c r="C75" s="153">
        <f>IFERROR(__xludf.DUMMYFUNCTION("""COMPUTED_VALUE"""),326.0)</f>
        <v>326</v>
      </c>
      <c r="D75" s="153">
        <f>IFERROR(__xludf.DUMMYFUNCTION("""COMPUTED_VALUE"""),18177.0)</f>
        <v>18177</v>
      </c>
      <c r="E75" s="153">
        <f>IFERROR(__xludf.DUMMYFUNCTION("""COMPUTED_VALUE"""),2742.0)</f>
        <v>2742</v>
      </c>
      <c r="F75" s="153">
        <f>IFERROR(__xludf.DUMMYFUNCTION("""COMPUTED_VALUE"""),125062.0)</f>
        <v>125062</v>
      </c>
      <c r="G75" s="153">
        <f>IFERROR(__xludf.DUMMYFUNCTION("""COMPUTED_VALUE"""),2995.0)</f>
        <v>2995</v>
      </c>
      <c r="H75" s="153">
        <f>IFERROR(__xludf.DUMMYFUNCTION("""COMPUTED_VALUE"""),143239.0)</f>
        <v>143239</v>
      </c>
      <c r="I75" s="153">
        <f>IFERROR(__xludf.DUMMYFUNCTION("""COMPUTED_VALUE"""),108.0)</f>
        <v>108</v>
      </c>
      <c r="J75" s="153">
        <f>IFERROR(__xludf.DUMMYFUNCTION("""COMPUTED_VALUE"""),160.0)</f>
        <v>160</v>
      </c>
      <c r="K75" s="153">
        <f>IFERROR(__xludf.DUMMYFUNCTION("""COMPUTED_VALUE"""),14034.0)</f>
        <v>14034</v>
      </c>
      <c r="L75" s="153">
        <f>IFERROR(__xludf.DUMMYFUNCTION("""COMPUTED_VALUE"""),1272.0)</f>
        <v>1272</v>
      </c>
      <c r="M75" s="153">
        <f>IFERROR(__xludf.DUMMYFUNCTION("""COMPUTED_VALUE"""),89590.0)</f>
        <v>89590</v>
      </c>
      <c r="N75" s="153">
        <f>IFERROR(__xludf.DUMMYFUNCTION("""COMPUTED_VALUE"""),103624.0)</f>
        <v>103624</v>
      </c>
      <c r="O75" s="153">
        <f>IFERROR(__xludf.DUMMYFUNCTION("""COMPUTED_VALUE"""),19.0)</f>
        <v>19</v>
      </c>
      <c r="P75" s="153">
        <f>IFERROR(__xludf.DUMMYFUNCTION("""COMPUTED_VALUE"""),1645.0)</f>
        <v>1645</v>
      </c>
      <c r="Q75" s="153">
        <f>IFERROR(__xludf.DUMMYFUNCTION("""COMPUTED_VALUE"""),11.0)</f>
        <v>11</v>
      </c>
      <c r="R75" s="153">
        <f>IFERROR(__xludf.DUMMYFUNCTION("""COMPUTED_VALUE"""),1169.0)</f>
        <v>1169</v>
      </c>
      <c r="S75" s="153">
        <f>IFERROR(__xludf.DUMMYFUNCTION("""COMPUTED_VALUE"""),3.0)</f>
        <v>3</v>
      </c>
      <c r="T75" s="153">
        <f>IFERROR(__xludf.DUMMYFUNCTION("""COMPUTED_VALUE"""),233.0)</f>
        <v>233</v>
      </c>
      <c r="U75" s="153">
        <f>IFERROR(__xludf.DUMMYFUNCTION("""COMPUTED_VALUE"""),243.0)</f>
        <v>243</v>
      </c>
      <c r="V75" s="153">
        <f>IFERROR(__xludf.DUMMYFUNCTION("""COMPUTED_VALUE"""),244.0)</f>
        <v>244</v>
      </c>
      <c r="W75" s="153">
        <f>IFERROR(__xludf.DUMMYFUNCTION("""COMPUTED_VALUE"""),52.0)</f>
        <v>52</v>
      </c>
      <c r="X75" s="153">
        <f>IFERROR(__xludf.DUMMYFUNCTION("""COMPUTED_VALUE"""),32.0)</f>
        <v>32</v>
      </c>
      <c r="Y75" s="153">
        <f>IFERROR(__xludf.DUMMYFUNCTION("""COMPUTED_VALUE"""),13.0)</f>
        <v>13</v>
      </c>
      <c r="Z75" s="153">
        <f>IFERROR(__xludf.DUMMYFUNCTION("""COMPUTED_VALUE"""),747.0)</f>
        <v>747</v>
      </c>
    </row>
    <row r="76">
      <c r="A76" s="210">
        <f>IFERROR(__xludf.DUMMYFUNCTION("""COMPUTED_VALUE"""),43975.0)</f>
        <v>43975</v>
      </c>
      <c r="B76" s="153">
        <f>IFERROR(__xludf.DUMMYFUNCTION("""COMPUTED_VALUE"""),163.0)</f>
        <v>163</v>
      </c>
      <c r="C76" s="153">
        <f>IFERROR(__xludf.DUMMYFUNCTION("""COMPUTED_VALUE"""),256.0)</f>
        <v>256</v>
      </c>
      <c r="D76" s="153">
        <f>IFERROR(__xludf.DUMMYFUNCTION("""COMPUTED_VALUE"""),18340.0)</f>
        <v>18340</v>
      </c>
      <c r="E76" s="153">
        <f>IFERROR(__xludf.DUMMYFUNCTION("""COMPUTED_VALUE"""),1370.0)</f>
        <v>1370</v>
      </c>
      <c r="F76" s="153">
        <f>IFERROR(__xludf.DUMMYFUNCTION("""COMPUTED_VALUE"""),126432.0)</f>
        <v>126432</v>
      </c>
      <c r="G76" s="153">
        <f>IFERROR(__xludf.DUMMYFUNCTION("""COMPUTED_VALUE"""),1533.0)</f>
        <v>1533</v>
      </c>
      <c r="H76" s="153">
        <f>IFERROR(__xludf.DUMMYFUNCTION("""COMPUTED_VALUE"""),144772.0)</f>
        <v>144772</v>
      </c>
      <c r="I76" s="153">
        <f>IFERROR(__xludf.DUMMYFUNCTION("""COMPUTED_VALUE"""),82.0)</f>
        <v>82</v>
      </c>
      <c r="J76" s="153">
        <f>IFERROR(__xludf.DUMMYFUNCTION("""COMPUTED_VALUE"""),132.0)</f>
        <v>132</v>
      </c>
      <c r="K76" s="153">
        <f>IFERROR(__xludf.DUMMYFUNCTION("""COMPUTED_VALUE"""),14116.0)</f>
        <v>14116</v>
      </c>
      <c r="L76" s="153">
        <f>IFERROR(__xludf.DUMMYFUNCTION("""COMPUTED_VALUE"""),773.0)</f>
        <v>773</v>
      </c>
      <c r="M76" s="153">
        <f>IFERROR(__xludf.DUMMYFUNCTION("""COMPUTED_VALUE"""),90363.0)</f>
        <v>90363</v>
      </c>
      <c r="N76" s="153">
        <f>IFERROR(__xludf.DUMMYFUNCTION("""COMPUTED_VALUE"""),104479.0)</f>
        <v>104479</v>
      </c>
      <c r="O76" s="153">
        <f>IFERROR(__xludf.DUMMYFUNCTION("""COMPUTED_VALUE"""),12.0)</f>
        <v>12</v>
      </c>
      <c r="P76" s="153">
        <f>IFERROR(__xludf.DUMMYFUNCTION("""COMPUTED_VALUE"""),1657.0)</f>
        <v>1657</v>
      </c>
      <c r="Q76" s="153">
        <f>IFERROR(__xludf.DUMMYFUNCTION("""COMPUTED_VALUE"""),14.0)</f>
        <v>14</v>
      </c>
      <c r="R76" s="153">
        <f>IFERROR(__xludf.DUMMYFUNCTION("""COMPUTED_VALUE"""),1183.0)</f>
        <v>1183</v>
      </c>
      <c r="S76" s="153">
        <f>IFERROR(__xludf.DUMMYFUNCTION("""COMPUTED_VALUE"""),2.0)</f>
        <v>2</v>
      </c>
      <c r="T76" s="153">
        <f>IFERROR(__xludf.DUMMYFUNCTION("""COMPUTED_VALUE"""),235.0)</f>
        <v>235</v>
      </c>
      <c r="U76" s="153">
        <f>IFERROR(__xludf.DUMMYFUNCTION("""COMPUTED_VALUE"""),239.0)</f>
        <v>239</v>
      </c>
      <c r="V76" s="153">
        <f>IFERROR(__xludf.DUMMYFUNCTION("""COMPUTED_VALUE"""),240.0)</f>
        <v>240</v>
      </c>
      <c r="W76" s="153">
        <f>IFERROR(__xludf.DUMMYFUNCTION("""COMPUTED_VALUE"""),53.0)</f>
        <v>53</v>
      </c>
      <c r="X76" s="153">
        <f>IFERROR(__xludf.DUMMYFUNCTION("""COMPUTED_VALUE"""),36.0)</f>
        <v>36</v>
      </c>
      <c r="Y76" s="153">
        <f>IFERROR(__xludf.DUMMYFUNCTION("""COMPUTED_VALUE"""),8.0)</f>
        <v>8</v>
      </c>
      <c r="Z76" s="153">
        <f>IFERROR(__xludf.DUMMYFUNCTION("""COMPUTED_VALUE"""),755.0)</f>
        <v>755</v>
      </c>
    </row>
    <row r="77">
      <c r="A77" s="210">
        <f>IFERROR(__xludf.DUMMYFUNCTION("""COMPUTED_VALUE"""),43976.0)</f>
        <v>43976</v>
      </c>
      <c r="B77" s="153">
        <f>IFERROR(__xludf.DUMMYFUNCTION("""COMPUTED_VALUE"""),147.0)</f>
        <v>147</v>
      </c>
      <c r="C77" s="153">
        <f>IFERROR(__xludf.DUMMYFUNCTION("""COMPUTED_VALUE"""),188.0)</f>
        <v>188</v>
      </c>
      <c r="D77" s="153">
        <f>IFERROR(__xludf.DUMMYFUNCTION("""COMPUTED_VALUE"""),18487.0)</f>
        <v>18487</v>
      </c>
      <c r="E77" s="153">
        <f>IFERROR(__xludf.DUMMYFUNCTION("""COMPUTED_VALUE"""),1385.0)</f>
        <v>1385</v>
      </c>
      <c r="F77" s="153">
        <f>IFERROR(__xludf.DUMMYFUNCTION("""COMPUTED_VALUE"""),127817.0)</f>
        <v>127817</v>
      </c>
      <c r="G77" s="153">
        <f>IFERROR(__xludf.DUMMYFUNCTION("""COMPUTED_VALUE"""),1532.0)</f>
        <v>1532</v>
      </c>
      <c r="H77" s="153">
        <f>IFERROR(__xludf.DUMMYFUNCTION("""COMPUTED_VALUE"""),146304.0)</f>
        <v>146304</v>
      </c>
      <c r="I77" s="153">
        <f>IFERROR(__xludf.DUMMYFUNCTION("""COMPUTED_VALUE"""),76.0)</f>
        <v>76</v>
      </c>
      <c r="J77" s="153">
        <f>IFERROR(__xludf.DUMMYFUNCTION("""COMPUTED_VALUE"""),89.0)</f>
        <v>89</v>
      </c>
      <c r="K77" s="153">
        <f>IFERROR(__xludf.DUMMYFUNCTION("""COMPUTED_VALUE"""),14192.0)</f>
        <v>14192</v>
      </c>
      <c r="L77" s="153">
        <f>IFERROR(__xludf.DUMMYFUNCTION("""COMPUTED_VALUE"""),762.0)</f>
        <v>762</v>
      </c>
      <c r="M77" s="153">
        <f>IFERROR(__xludf.DUMMYFUNCTION("""COMPUTED_VALUE"""),91125.0)</f>
        <v>91125</v>
      </c>
      <c r="N77" s="153">
        <f>IFERROR(__xludf.DUMMYFUNCTION("""COMPUTED_VALUE"""),105317.0)</f>
        <v>105317</v>
      </c>
      <c r="O77" s="153">
        <f>IFERROR(__xludf.DUMMYFUNCTION("""COMPUTED_VALUE"""),13.0)</f>
        <v>13</v>
      </c>
      <c r="P77" s="153">
        <f>IFERROR(__xludf.DUMMYFUNCTION("""COMPUTED_VALUE"""),1670.0)</f>
        <v>1670</v>
      </c>
      <c r="Q77" s="153">
        <f>IFERROR(__xludf.DUMMYFUNCTION("""COMPUTED_VALUE"""),14.0)</f>
        <v>14</v>
      </c>
      <c r="R77" s="153">
        <f>IFERROR(__xludf.DUMMYFUNCTION("""COMPUTED_VALUE"""),1197.0)</f>
        <v>1197</v>
      </c>
      <c r="S77" s="153">
        <f>IFERROR(__xludf.DUMMYFUNCTION("""COMPUTED_VALUE"""),0.0)</f>
        <v>0</v>
      </c>
      <c r="T77" s="153">
        <f>IFERROR(__xludf.DUMMYFUNCTION("""COMPUTED_VALUE"""),235.0)</f>
        <v>235</v>
      </c>
      <c r="U77" s="153">
        <f>IFERROR(__xludf.DUMMYFUNCTION("""COMPUTED_VALUE"""),238.0)</f>
        <v>238</v>
      </c>
      <c r="V77" s="153">
        <f>IFERROR(__xludf.DUMMYFUNCTION("""COMPUTED_VALUE"""),240.0)</f>
        <v>240</v>
      </c>
      <c r="W77" s="153">
        <f>IFERROR(__xludf.DUMMYFUNCTION("""COMPUTED_VALUE"""),53.0)</f>
        <v>53</v>
      </c>
      <c r="X77" s="153">
        <f>IFERROR(__xludf.DUMMYFUNCTION("""COMPUTED_VALUE"""),34.0)</f>
        <v>34</v>
      </c>
      <c r="Y77" s="153">
        <f>IFERROR(__xludf.DUMMYFUNCTION("""COMPUTED_VALUE"""),10.0)</f>
        <v>10</v>
      </c>
      <c r="Z77" s="153">
        <f>IFERROR(__xludf.DUMMYFUNCTION("""COMPUTED_VALUE"""),765.0)</f>
        <v>765</v>
      </c>
    </row>
    <row r="78">
      <c r="A78" s="210">
        <f>IFERROR(__xludf.DUMMYFUNCTION("""COMPUTED_VALUE"""),43977.0)</f>
        <v>43977</v>
      </c>
      <c r="B78" s="153">
        <f>IFERROR(__xludf.DUMMYFUNCTION("""COMPUTED_VALUE"""),285.0)</f>
        <v>285</v>
      </c>
      <c r="C78" s="153">
        <f>IFERROR(__xludf.DUMMYFUNCTION("""COMPUTED_VALUE"""),198.0)</f>
        <v>198</v>
      </c>
      <c r="D78" s="153">
        <f>IFERROR(__xludf.DUMMYFUNCTION("""COMPUTED_VALUE"""),18772.0)</f>
        <v>18772</v>
      </c>
      <c r="E78" s="153">
        <f>IFERROR(__xludf.DUMMYFUNCTION("""COMPUTED_VALUE"""),2620.0)</f>
        <v>2620</v>
      </c>
      <c r="F78" s="153">
        <f>IFERROR(__xludf.DUMMYFUNCTION("""COMPUTED_VALUE"""),130437.0)</f>
        <v>130437</v>
      </c>
      <c r="G78" s="153">
        <f>IFERROR(__xludf.DUMMYFUNCTION("""COMPUTED_VALUE"""),2905.0)</f>
        <v>2905</v>
      </c>
      <c r="H78" s="153">
        <f>IFERROR(__xludf.DUMMYFUNCTION("""COMPUTED_VALUE"""),149209.0)</f>
        <v>149209</v>
      </c>
      <c r="I78" s="153">
        <f>IFERROR(__xludf.DUMMYFUNCTION("""COMPUTED_VALUE"""),157.0)</f>
        <v>157</v>
      </c>
      <c r="J78" s="153">
        <f>IFERROR(__xludf.DUMMYFUNCTION("""COMPUTED_VALUE"""),105.0)</f>
        <v>105</v>
      </c>
      <c r="K78" s="153">
        <f>IFERROR(__xludf.DUMMYFUNCTION("""COMPUTED_VALUE"""),14349.0)</f>
        <v>14349</v>
      </c>
      <c r="L78" s="153">
        <f>IFERROR(__xludf.DUMMYFUNCTION("""COMPUTED_VALUE"""),1781.0)</f>
        <v>1781</v>
      </c>
      <c r="M78" s="153">
        <f>IFERROR(__xludf.DUMMYFUNCTION("""COMPUTED_VALUE"""),92906.0)</f>
        <v>92906</v>
      </c>
      <c r="N78" s="153">
        <f>IFERROR(__xludf.DUMMYFUNCTION("""COMPUTED_VALUE"""),107255.0)</f>
        <v>107255</v>
      </c>
      <c r="O78" s="153">
        <f>IFERROR(__xludf.DUMMYFUNCTION("""COMPUTED_VALUE"""),24.0)</f>
        <v>24</v>
      </c>
      <c r="P78" s="153">
        <f>IFERROR(__xludf.DUMMYFUNCTION("""COMPUTED_VALUE"""),1694.0)</f>
        <v>1694</v>
      </c>
      <c r="Q78" s="153">
        <f>IFERROR(__xludf.DUMMYFUNCTION("""COMPUTED_VALUE"""),22.0)</f>
        <v>22</v>
      </c>
      <c r="R78" s="153">
        <f>IFERROR(__xludf.DUMMYFUNCTION("""COMPUTED_VALUE"""),1219.0)</f>
        <v>1219</v>
      </c>
      <c r="S78" s="153">
        <f>IFERROR(__xludf.DUMMYFUNCTION("""COMPUTED_VALUE"""),5.0)</f>
        <v>5</v>
      </c>
      <c r="T78" s="153">
        <f>IFERROR(__xludf.DUMMYFUNCTION("""COMPUTED_VALUE"""),240.0)</f>
        <v>240</v>
      </c>
      <c r="U78" s="153">
        <f>IFERROR(__xludf.DUMMYFUNCTION("""COMPUTED_VALUE"""),235.0)</f>
        <v>235</v>
      </c>
      <c r="V78" s="153">
        <f>IFERROR(__xludf.DUMMYFUNCTION("""COMPUTED_VALUE"""),237.0)</f>
        <v>237</v>
      </c>
      <c r="W78" s="153">
        <f>IFERROR(__xludf.DUMMYFUNCTION("""COMPUTED_VALUE"""),48.0)</f>
        <v>48</v>
      </c>
      <c r="X78" s="153">
        <f>IFERROR(__xludf.DUMMYFUNCTION("""COMPUTED_VALUE"""),33.0)</f>
        <v>33</v>
      </c>
      <c r="Y78" s="153">
        <f>IFERROR(__xludf.DUMMYFUNCTION("""COMPUTED_VALUE"""),15.0)</f>
        <v>15</v>
      </c>
      <c r="Z78" s="153">
        <f>IFERROR(__xludf.DUMMYFUNCTION("""COMPUTED_VALUE"""),780.0)</f>
        <v>780</v>
      </c>
    </row>
    <row r="79">
      <c r="A79" s="210">
        <f>IFERROR(__xludf.DUMMYFUNCTION("""COMPUTED_VALUE"""),43978.0)</f>
        <v>43978</v>
      </c>
      <c r="B79" s="153">
        <f>IFERROR(__xludf.DUMMYFUNCTION("""COMPUTED_VALUE"""),276.0)</f>
        <v>276</v>
      </c>
      <c r="C79" s="153">
        <f>IFERROR(__xludf.DUMMYFUNCTION("""COMPUTED_VALUE"""),236.0)</f>
        <v>236</v>
      </c>
      <c r="D79" s="153">
        <f>IFERROR(__xludf.DUMMYFUNCTION("""COMPUTED_VALUE"""),19048.0)</f>
        <v>19048</v>
      </c>
      <c r="E79" s="153">
        <f>IFERROR(__xludf.DUMMYFUNCTION("""COMPUTED_VALUE"""),2057.0)</f>
        <v>2057</v>
      </c>
      <c r="F79" s="153">
        <f>IFERROR(__xludf.DUMMYFUNCTION("""COMPUTED_VALUE"""),132494.0)</f>
        <v>132494</v>
      </c>
      <c r="G79" s="153">
        <f>IFERROR(__xludf.DUMMYFUNCTION("""COMPUTED_VALUE"""),2333.0)</f>
        <v>2333</v>
      </c>
      <c r="H79" s="153">
        <f>IFERROR(__xludf.DUMMYFUNCTION("""COMPUTED_VALUE"""),151542.0)</f>
        <v>151542</v>
      </c>
      <c r="I79" s="153">
        <f>IFERROR(__xludf.DUMMYFUNCTION("""COMPUTED_VALUE"""),132.0)</f>
        <v>132</v>
      </c>
      <c r="J79" s="153">
        <f>IFERROR(__xludf.DUMMYFUNCTION("""COMPUTED_VALUE"""),122.0)</f>
        <v>122</v>
      </c>
      <c r="K79" s="153">
        <f>IFERROR(__xludf.DUMMYFUNCTION("""COMPUTED_VALUE"""),14481.0)</f>
        <v>14481</v>
      </c>
      <c r="L79" s="153">
        <f>IFERROR(__xludf.DUMMYFUNCTION("""COMPUTED_VALUE"""),1134.0)</f>
        <v>1134</v>
      </c>
      <c r="M79" s="153">
        <f>IFERROR(__xludf.DUMMYFUNCTION("""COMPUTED_VALUE"""),94040.0)</f>
        <v>94040</v>
      </c>
      <c r="N79" s="153">
        <f>IFERROR(__xludf.DUMMYFUNCTION("""COMPUTED_VALUE"""),108521.0)</f>
        <v>108521</v>
      </c>
      <c r="O79" s="153">
        <f>IFERROR(__xludf.DUMMYFUNCTION("""COMPUTED_VALUE"""),20.0)</f>
        <v>20</v>
      </c>
      <c r="P79" s="153">
        <f>IFERROR(__xludf.DUMMYFUNCTION("""COMPUTED_VALUE"""),1714.0)</f>
        <v>1714</v>
      </c>
      <c r="Q79" s="153">
        <f>IFERROR(__xludf.DUMMYFUNCTION("""COMPUTED_VALUE"""),18.0)</f>
        <v>18</v>
      </c>
      <c r="R79" s="153">
        <f>IFERROR(__xludf.DUMMYFUNCTION("""COMPUTED_VALUE"""),1237.0)</f>
        <v>1237</v>
      </c>
      <c r="S79" s="153">
        <f>IFERROR(__xludf.DUMMYFUNCTION("""COMPUTED_VALUE"""),3.0)</f>
        <v>3</v>
      </c>
      <c r="T79" s="153">
        <f>IFERROR(__xludf.DUMMYFUNCTION("""COMPUTED_VALUE"""),243.0)</f>
        <v>243</v>
      </c>
      <c r="U79" s="153">
        <f>IFERROR(__xludf.DUMMYFUNCTION("""COMPUTED_VALUE"""),234.0)</f>
        <v>234</v>
      </c>
      <c r="V79" s="153">
        <f>IFERROR(__xludf.DUMMYFUNCTION("""COMPUTED_VALUE"""),236.0)</f>
        <v>236</v>
      </c>
      <c r="W79" s="153">
        <f>IFERROR(__xludf.DUMMYFUNCTION("""COMPUTED_VALUE"""),50.0)</f>
        <v>50</v>
      </c>
      <c r="X79" s="153">
        <f>IFERROR(__xludf.DUMMYFUNCTION("""COMPUTED_VALUE"""),33.0)</f>
        <v>33</v>
      </c>
      <c r="Y79" s="153">
        <f>IFERROR(__xludf.DUMMYFUNCTION("""COMPUTED_VALUE"""),10.0)</f>
        <v>10</v>
      </c>
      <c r="Z79" s="153">
        <f>IFERROR(__xludf.DUMMYFUNCTION("""COMPUTED_VALUE"""),790.0)</f>
        <v>790</v>
      </c>
    </row>
    <row r="80">
      <c r="A80" s="210">
        <f>IFERROR(__xludf.DUMMYFUNCTION("""COMPUTED_VALUE"""),43979.0)</f>
        <v>43979</v>
      </c>
      <c r="B80" s="153">
        <f>IFERROR(__xludf.DUMMYFUNCTION("""COMPUTED_VALUE"""),348.0)</f>
        <v>348</v>
      </c>
      <c r="C80" s="153">
        <f>IFERROR(__xludf.DUMMYFUNCTION("""COMPUTED_VALUE"""),303.0)</f>
        <v>303</v>
      </c>
      <c r="D80" s="153">
        <f>IFERROR(__xludf.DUMMYFUNCTION("""COMPUTED_VALUE"""),19396.0)</f>
        <v>19396</v>
      </c>
      <c r="E80" s="153">
        <f>IFERROR(__xludf.DUMMYFUNCTION("""COMPUTED_VALUE"""),3359.0)</f>
        <v>3359</v>
      </c>
      <c r="F80" s="153">
        <f>IFERROR(__xludf.DUMMYFUNCTION("""COMPUTED_VALUE"""),135853.0)</f>
        <v>135853</v>
      </c>
      <c r="G80" s="153">
        <f>IFERROR(__xludf.DUMMYFUNCTION("""COMPUTED_VALUE"""),3707.0)</f>
        <v>3707</v>
      </c>
      <c r="H80" s="153">
        <f>IFERROR(__xludf.DUMMYFUNCTION("""COMPUTED_VALUE"""),155249.0)</f>
        <v>155249</v>
      </c>
      <c r="I80" s="153">
        <f>IFERROR(__xludf.DUMMYFUNCTION("""COMPUTED_VALUE"""),130.0)</f>
        <v>130</v>
      </c>
      <c r="J80" s="153">
        <f>IFERROR(__xludf.DUMMYFUNCTION("""COMPUTED_VALUE"""),140.0)</f>
        <v>140</v>
      </c>
      <c r="K80" s="153">
        <f>IFERROR(__xludf.DUMMYFUNCTION("""COMPUTED_VALUE"""),14611.0)</f>
        <v>14611</v>
      </c>
      <c r="L80" s="153">
        <f>IFERROR(__xludf.DUMMYFUNCTION("""COMPUTED_VALUE"""),1119.0)</f>
        <v>1119</v>
      </c>
      <c r="M80" s="153">
        <f>IFERROR(__xludf.DUMMYFUNCTION("""COMPUTED_VALUE"""),95159.0)</f>
        <v>95159</v>
      </c>
      <c r="N80" s="153">
        <f>IFERROR(__xludf.DUMMYFUNCTION("""COMPUTED_VALUE"""),109770.0)</f>
        <v>109770</v>
      </c>
      <c r="O80" s="153">
        <f>IFERROR(__xludf.DUMMYFUNCTION("""COMPUTED_VALUE"""),17.0)</f>
        <v>17</v>
      </c>
      <c r="P80" s="153">
        <f>IFERROR(__xludf.DUMMYFUNCTION("""COMPUTED_VALUE"""),1731.0)</f>
        <v>1731</v>
      </c>
      <c r="Q80" s="153">
        <f>IFERROR(__xludf.DUMMYFUNCTION("""COMPUTED_VALUE"""),29.0)</f>
        <v>29</v>
      </c>
      <c r="R80" s="153">
        <f>IFERROR(__xludf.DUMMYFUNCTION("""COMPUTED_VALUE"""),1266.0)</f>
        <v>1266</v>
      </c>
      <c r="S80" s="153">
        <f>IFERROR(__xludf.DUMMYFUNCTION("""COMPUTED_VALUE"""),4.0)</f>
        <v>4</v>
      </c>
      <c r="T80" s="153">
        <f>IFERROR(__xludf.DUMMYFUNCTION("""COMPUTED_VALUE"""),247.0)</f>
        <v>247</v>
      </c>
      <c r="U80" s="153">
        <f>IFERROR(__xludf.DUMMYFUNCTION("""COMPUTED_VALUE"""),218.0)</f>
        <v>218</v>
      </c>
      <c r="V80" s="153">
        <f>IFERROR(__xludf.DUMMYFUNCTION("""COMPUTED_VALUE"""),229.0)</f>
        <v>229</v>
      </c>
      <c r="W80" s="153">
        <f>IFERROR(__xludf.DUMMYFUNCTION("""COMPUTED_VALUE"""),47.0)</f>
        <v>47</v>
      </c>
      <c r="X80" s="153">
        <f>IFERROR(__xludf.DUMMYFUNCTION("""COMPUTED_VALUE"""),32.0)</f>
        <v>32</v>
      </c>
      <c r="Y80" s="153">
        <f>IFERROR(__xludf.DUMMYFUNCTION("""COMPUTED_VALUE"""),8.0)</f>
        <v>8</v>
      </c>
      <c r="Z80" s="153">
        <f>IFERROR(__xludf.DUMMYFUNCTION("""COMPUTED_VALUE"""),798.0)</f>
        <v>798</v>
      </c>
    </row>
    <row r="81">
      <c r="A81" s="210">
        <f>IFERROR(__xludf.DUMMYFUNCTION("""COMPUTED_VALUE"""),43980.0)</f>
        <v>43980</v>
      </c>
      <c r="B81" s="153">
        <f>IFERROR(__xludf.DUMMYFUNCTION("""COMPUTED_VALUE"""),410.0)</f>
        <v>410</v>
      </c>
      <c r="C81" s="153">
        <f>IFERROR(__xludf.DUMMYFUNCTION("""COMPUTED_VALUE"""),345.0)</f>
        <v>345</v>
      </c>
      <c r="D81" s="153">
        <f>IFERROR(__xludf.DUMMYFUNCTION("""COMPUTED_VALUE"""),19806.0)</f>
        <v>19806</v>
      </c>
      <c r="E81" s="153">
        <f>IFERROR(__xludf.DUMMYFUNCTION("""COMPUTED_VALUE"""),3914.0)</f>
        <v>3914</v>
      </c>
      <c r="F81" s="153">
        <f>IFERROR(__xludf.DUMMYFUNCTION("""COMPUTED_VALUE"""),139767.0)</f>
        <v>139767</v>
      </c>
      <c r="G81" s="153">
        <f>IFERROR(__xludf.DUMMYFUNCTION("""COMPUTED_VALUE"""),4324.0)</f>
        <v>4324</v>
      </c>
      <c r="H81" s="153">
        <f>IFERROR(__xludf.DUMMYFUNCTION("""COMPUTED_VALUE"""),159573.0)</f>
        <v>159573</v>
      </c>
      <c r="I81" s="153">
        <f>IFERROR(__xludf.DUMMYFUNCTION("""COMPUTED_VALUE"""),173.0)</f>
        <v>173</v>
      </c>
      <c r="J81" s="153">
        <f>IFERROR(__xludf.DUMMYFUNCTION("""COMPUTED_VALUE"""),145.0)</f>
        <v>145</v>
      </c>
      <c r="K81" s="153">
        <f>IFERROR(__xludf.DUMMYFUNCTION("""COMPUTED_VALUE"""),14784.0)</f>
        <v>14784</v>
      </c>
      <c r="L81" s="153">
        <f>IFERROR(__xludf.DUMMYFUNCTION("""COMPUTED_VALUE"""),1571.0)</f>
        <v>1571</v>
      </c>
      <c r="M81" s="153">
        <f>IFERROR(__xludf.DUMMYFUNCTION("""COMPUTED_VALUE"""),96730.0)</f>
        <v>96730</v>
      </c>
      <c r="N81" s="153">
        <f>IFERROR(__xludf.DUMMYFUNCTION("""COMPUTED_VALUE"""),111514.0)</f>
        <v>111514</v>
      </c>
      <c r="O81" s="153">
        <f>IFERROR(__xludf.DUMMYFUNCTION("""COMPUTED_VALUE"""),19.0)</f>
        <v>19</v>
      </c>
      <c r="P81" s="153">
        <f>IFERROR(__xludf.DUMMYFUNCTION("""COMPUTED_VALUE"""),1750.0)</f>
        <v>1750</v>
      </c>
      <c r="Q81" s="153">
        <f>IFERROR(__xludf.DUMMYFUNCTION("""COMPUTED_VALUE"""),27.0)</f>
        <v>27</v>
      </c>
      <c r="R81" s="153">
        <f>IFERROR(__xludf.DUMMYFUNCTION("""COMPUTED_VALUE"""),1293.0)</f>
        <v>1293</v>
      </c>
      <c r="S81" s="153">
        <f>IFERROR(__xludf.DUMMYFUNCTION("""COMPUTED_VALUE"""),6.0)</f>
        <v>6</v>
      </c>
      <c r="T81" s="153">
        <f>IFERROR(__xludf.DUMMYFUNCTION("""COMPUTED_VALUE"""),253.0)</f>
        <v>253</v>
      </c>
      <c r="U81" s="153">
        <f>IFERROR(__xludf.DUMMYFUNCTION("""COMPUTED_VALUE"""),204.0)</f>
        <v>204</v>
      </c>
      <c r="V81" s="153">
        <f>IFERROR(__xludf.DUMMYFUNCTION("""COMPUTED_VALUE"""),219.0)</f>
        <v>219</v>
      </c>
      <c r="W81" s="153">
        <f>IFERROR(__xludf.DUMMYFUNCTION("""COMPUTED_VALUE"""),43.0)</f>
        <v>43</v>
      </c>
      <c r="X81" s="153">
        <f>IFERROR(__xludf.DUMMYFUNCTION("""COMPUTED_VALUE"""),31.0)</f>
        <v>31</v>
      </c>
      <c r="Y81" s="153">
        <f>IFERROR(__xludf.DUMMYFUNCTION("""COMPUTED_VALUE"""),12.0)</f>
        <v>12</v>
      </c>
      <c r="Z81" s="153">
        <f>IFERROR(__xludf.DUMMYFUNCTION("""COMPUTED_VALUE"""),810.0)</f>
        <v>810</v>
      </c>
    </row>
    <row r="82">
      <c r="A82" s="210">
        <f>IFERROR(__xludf.DUMMYFUNCTION("""COMPUTED_VALUE"""),43981.0)</f>
        <v>43981</v>
      </c>
      <c r="B82" s="153">
        <f>IFERROR(__xludf.DUMMYFUNCTION("""COMPUTED_VALUE"""),225.0)</f>
        <v>225</v>
      </c>
      <c r="C82" s="153">
        <f>IFERROR(__xludf.DUMMYFUNCTION("""COMPUTED_VALUE"""),328.0)</f>
        <v>328</v>
      </c>
      <c r="D82" s="153">
        <f>IFERROR(__xludf.DUMMYFUNCTION("""COMPUTED_VALUE"""),20031.0)</f>
        <v>20031</v>
      </c>
      <c r="E82" s="153">
        <f>IFERROR(__xludf.DUMMYFUNCTION("""COMPUTED_VALUE"""),3915.0)</f>
        <v>3915</v>
      </c>
      <c r="F82" s="153">
        <f>IFERROR(__xludf.DUMMYFUNCTION("""COMPUTED_VALUE"""),143682.0)</f>
        <v>143682</v>
      </c>
      <c r="G82" s="153">
        <f>IFERROR(__xludf.DUMMYFUNCTION("""COMPUTED_VALUE"""),4140.0)</f>
        <v>4140</v>
      </c>
      <c r="H82" s="153">
        <f>IFERROR(__xludf.DUMMYFUNCTION("""COMPUTED_VALUE"""),163713.0)</f>
        <v>163713</v>
      </c>
      <c r="I82" s="153">
        <f>IFERROR(__xludf.DUMMYFUNCTION("""COMPUTED_VALUE"""),109.0)</f>
        <v>109</v>
      </c>
      <c r="J82" s="153">
        <f>IFERROR(__xludf.DUMMYFUNCTION("""COMPUTED_VALUE"""),137.0)</f>
        <v>137</v>
      </c>
      <c r="K82" s="153">
        <f>IFERROR(__xludf.DUMMYFUNCTION("""COMPUTED_VALUE"""),14893.0)</f>
        <v>14893</v>
      </c>
      <c r="L82" s="153">
        <f>IFERROR(__xludf.DUMMYFUNCTION("""COMPUTED_VALUE"""),1820.0)</f>
        <v>1820</v>
      </c>
      <c r="M82" s="153">
        <f>IFERROR(__xludf.DUMMYFUNCTION("""COMPUTED_VALUE"""),98550.0)</f>
        <v>98550</v>
      </c>
      <c r="N82" s="153">
        <f>IFERROR(__xludf.DUMMYFUNCTION("""COMPUTED_VALUE"""),113443.0)</f>
        <v>113443</v>
      </c>
      <c r="O82" s="153">
        <f>IFERROR(__xludf.DUMMYFUNCTION("""COMPUTED_VALUE"""),15.0)</f>
        <v>15</v>
      </c>
      <c r="P82" s="153">
        <f>IFERROR(__xludf.DUMMYFUNCTION("""COMPUTED_VALUE"""),1765.0)</f>
        <v>1765</v>
      </c>
      <c r="Q82" s="153">
        <f>IFERROR(__xludf.DUMMYFUNCTION("""COMPUTED_VALUE"""),19.0)</f>
        <v>19</v>
      </c>
      <c r="R82" s="153">
        <f>IFERROR(__xludf.DUMMYFUNCTION("""COMPUTED_VALUE"""),1312.0)</f>
        <v>1312</v>
      </c>
      <c r="S82" s="153">
        <f>IFERROR(__xludf.DUMMYFUNCTION("""COMPUTED_VALUE"""),4.0)</f>
        <v>4</v>
      </c>
      <c r="T82" s="153">
        <f>IFERROR(__xludf.DUMMYFUNCTION("""COMPUTED_VALUE"""),257.0)</f>
        <v>257</v>
      </c>
      <c r="U82" s="153">
        <f>IFERROR(__xludf.DUMMYFUNCTION("""COMPUTED_VALUE"""),196.0)</f>
        <v>196</v>
      </c>
      <c r="V82" s="153">
        <f>IFERROR(__xludf.DUMMYFUNCTION("""COMPUTED_VALUE"""),206.0)</f>
        <v>206</v>
      </c>
      <c r="W82" s="153">
        <f>IFERROR(__xludf.DUMMYFUNCTION("""COMPUTED_VALUE"""),40.0)</f>
        <v>40</v>
      </c>
      <c r="X82" s="153">
        <f>IFERROR(__xludf.DUMMYFUNCTION("""COMPUTED_VALUE"""),29.0)</f>
        <v>29</v>
      </c>
      <c r="Y82" s="153">
        <f>IFERROR(__xludf.DUMMYFUNCTION("""COMPUTED_VALUE"""),12.0)</f>
        <v>12</v>
      </c>
      <c r="Z82" s="153">
        <f>IFERROR(__xludf.DUMMYFUNCTION("""COMPUTED_VALUE"""),822.0)</f>
        <v>822</v>
      </c>
    </row>
    <row r="83">
      <c r="A83" s="210">
        <f>IFERROR(__xludf.DUMMYFUNCTION("""COMPUTED_VALUE"""),43982.0)</f>
        <v>43982</v>
      </c>
      <c r="B83" s="153">
        <f>IFERROR(__xludf.DUMMYFUNCTION("""COMPUTED_VALUE"""),155.0)</f>
        <v>155</v>
      </c>
      <c r="C83" s="153">
        <f>IFERROR(__xludf.DUMMYFUNCTION("""COMPUTED_VALUE"""),263.0)</f>
        <v>263</v>
      </c>
      <c r="D83" s="153">
        <f>IFERROR(__xludf.DUMMYFUNCTION("""COMPUTED_VALUE"""),20186.0)</f>
        <v>20186</v>
      </c>
      <c r="E83" s="153">
        <f>IFERROR(__xludf.DUMMYFUNCTION("""COMPUTED_VALUE"""),1688.0)</f>
        <v>1688</v>
      </c>
      <c r="F83" s="153">
        <f>IFERROR(__xludf.DUMMYFUNCTION("""COMPUTED_VALUE"""),145370.0)</f>
        <v>145370</v>
      </c>
      <c r="G83" s="153">
        <f>IFERROR(__xludf.DUMMYFUNCTION("""COMPUTED_VALUE"""),1843.0)</f>
        <v>1843</v>
      </c>
      <c r="H83" s="153">
        <f>IFERROR(__xludf.DUMMYFUNCTION("""COMPUTED_VALUE"""),165556.0)</f>
        <v>165556</v>
      </c>
      <c r="I83" s="153">
        <f>IFERROR(__xludf.DUMMYFUNCTION("""COMPUTED_VALUE"""),78.0)</f>
        <v>78</v>
      </c>
      <c r="J83" s="153">
        <f>IFERROR(__xludf.DUMMYFUNCTION("""COMPUTED_VALUE"""),120.0)</f>
        <v>120</v>
      </c>
      <c r="K83" s="153">
        <f>IFERROR(__xludf.DUMMYFUNCTION("""COMPUTED_VALUE"""),14971.0)</f>
        <v>14971</v>
      </c>
      <c r="L83" s="153">
        <f>IFERROR(__xludf.DUMMYFUNCTION("""COMPUTED_VALUE"""),857.0)</f>
        <v>857</v>
      </c>
      <c r="M83" s="153">
        <f>IFERROR(__xludf.DUMMYFUNCTION("""COMPUTED_VALUE"""),99407.0)</f>
        <v>99407</v>
      </c>
      <c r="N83" s="153">
        <f>IFERROR(__xludf.DUMMYFUNCTION("""COMPUTED_VALUE"""),114378.0)</f>
        <v>114378</v>
      </c>
      <c r="O83" s="153">
        <f>IFERROR(__xludf.DUMMYFUNCTION("""COMPUTED_VALUE"""),11.0)</f>
        <v>11</v>
      </c>
      <c r="P83" s="153">
        <f>IFERROR(__xludf.DUMMYFUNCTION("""COMPUTED_VALUE"""),1776.0)</f>
        <v>1776</v>
      </c>
      <c r="Q83" s="153">
        <f>IFERROR(__xludf.DUMMYFUNCTION("""COMPUTED_VALUE"""),10.0)</f>
        <v>10</v>
      </c>
      <c r="R83" s="153">
        <f>IFERROR(__xludf.DUMMYFUNCTION("""COMPUTED_VALUE"""),1322.0)</f>
        <v>1322</v>
      </c>
      <c r="S83" s="153">
        <f>IFERROR(__xludf.DUMMYFUNCTION("""COMPUTED_VALUE"""),0.0)</f>
        <v>0</v>
      </c>
      <c r="T83" s="153">
        <f>IFERROR(__xludf.DUMMYFUNCTION("""COMPUTED_VALUE"""),257.0)</f>
        <v>257</v>
      </c>
      <c r="U83" s="153">
        <f>IFERROR(__xludf.DUMMYFUNCTION("""COMPUTED_VALUE"""),197.0)</f>
        <v>197</v>
      </c>
      <c r="V83" s="153">
        <f>IFERROR(__xludf.DUMMYFUNCTION("""COMPUTED_VALUE"""),199.0)</f>
        <v>199</v>
      </c>
      <c r="W83" s="153">
        <f>IFERROR(__xludf.DUMMYFUNCTION("""COMPUTED_VALUE"""),43.0)</f>
        <v>43</v>
      </c>
      <c r="X83" s="153">
        <f>IFERROR(__xludf.DUMMYFUNCTION("""COMPUTED_VALUE"""),26.0)</f>
        <v>26</v>
      </c>
      <c r="Y83" s="153">
        <f>IFERROR(__xludf.DUMMYFUNCTION("""COMPUTED_VALUE"""),3.0)</f>
        <v>3</v>
      </c>
      <c r="Z83" s="153">
        <f>IFERROR(__xludf.DUMMYFUNCTION("""COMPUTED_VALUE"""),825.0)</f>
        <v>825</v>
      </c>
    </row>
    <row r="84">
      <c r="A84" s="210">
        <f>IFERROR(__xludf.DUMMYFUNCTION("""COMPUTED_VALUE"""),43983.0)</f>
        <v>43983</v>
      </c>
      <c r="B84" s="153">
        <f>IFERROR(__xludf.DUMMYFUNCTION("""COMPUTED_VALUE"""),212.0)</f>
        <v>212</v>
      </c>
      <c r="C84" s="153">
        <f>IFERROR(__xludf.DUMMYFUNCTION("""COMPUTED_VALUE"""),197.0)</f>
        <v>197</v>
      </c>
      <c r="D84" s="153">
        <f>IFERROR(__xludf.DUMMYFUNCTION("""COMPUTED_VALUE"""),20398.0)</f>
        <v>20398</v>
      </c>
      <c r="E84" s="153">
        <f>IFERROR(__xludf.DUMMYFUNCTION("""COMPUTED_VALUE"""),2792.0)</f>
        <v>2792</v>
      </c>
      <c r="F84" s="153">
        <f>IFERROR(__xludf.DUMMYFUNCTION("""COMPUTED_VALUE"""),148162.0)</f>
        <v>148162</v>
      </c>
      <c r="G84" s="153">
        <f>IFERROR(__xludf.DUMMYFUNCTION("""COMPUTED_VALUE"""),3004.0)</f>
        <v>3004</v>
      </c>
      <c r="H84" s="153">
        <f>IFERROR(__xludf.DUMMYFUNCTION("""COMPUTED_VALUE"""),168560.0)</f>
        <v>168560</v>
      </c>
      <c r="I84" s="153">
        <f>IFERROR(__xludf.DUMMYFUNCTION("""COMPUTED_VALUE"""),94.0)</f>
        <v>94</v>
      </c>
      <c r="J84" s="153">
        <f>IFERROR(__xludf.DUMMYFUNCTION("""COMPUTED_VALUE"""),94.0)</f>
        <v>94</v>
      </c>
      <c r="K84" s="153">
        <f>IFERROR(__xludf.DUMMYFUNCTION("""COMPUTED_VALUE"""),15065.0)</f>
        <v>15065</v>
      </c>
      <c r="L84" s="153">
        <f>IFERROR(__xludf.DUMMYFUNCTION("""COMPUTED_VALUE"""),1384.0)</f>
        <v>1384</v>
      </c>
      <c r="M84" s="153">
        <f>IFERROR(__xludf.DUMMYFUNCTION("""COMPUTED_VALUE"""),100791.0)</f>
        <v>100791</v>
      </c>
      <c r="N84" s="153">
        <f>IFERROR(__xludf.DUMMYFUNCTION("""COMPUTED_VALUE"""),115856.0)</f>
        <v>115856</v>
      </c>
      <c r="O84" s="153">
        <f>IFERROR(__xludf.DUMMYFUNCTION("""COMPUTED_VALUE"""),8.0)</f>
        <v>8</v>
      </c>
      <c r="P84" s="153">
        <f>IFERROR(__xludf.DUMMYFUNCTION("""COMPUTED_VALUE"""),1784.0)</f>
        <v>1784</v>
      </c>
      <c r="Q84" s="153">
        <f>IFERROR(__xludf.DUMMYFUNCTION("""COMPUTED_VALUE"""),14.0)</f>
        <v>14</v>
      </c>
      <c r="R84" s="153">
        <f>IFERROR(__xludf.DUMMYFUNCTION("""COMPUTED_VALUE"""),1336.0)</f>
        <v>1336</v>
      </c>
      <c r="S84" s="153">
        <f>IFERROR(__xludf.DUMMYFUNCTION("""COMPUTED_VALUE"""),1.0)</f>
        <v>1</v>
      </c>
      <c r="T84" s="153">
        <f>IFERROR(__xludf.DUMMYFUNCTION("""COMPUTED_VALUE"""),258.0)</f>
        <v>258</v>
      </c>
      <c r="U84" s="153">
        <f>IFERROR(__xludf.DUMMYFUNCTION("""COMPUTED_VALUE"""),190.0)</f>
        <v>190</v>
      </c>
      <c r="V84" s="153">
        <f>IFERROR(__xludf.DUMMYFUNCTION("""COMPUTED_VALUE"""),194.0)</f>
        <v>194</v>
      </c>
      <c r="W84" s="153">
        <f>IFERROR(__xludf.DUMMYFUNCTION("""COMPUTED_VALUE"""),44.0)</f>
        <v>44</v>
      </c>
      <c r="X84" s="153">
        <f>IFERROR(__xludf.DUMMYFUNCTION("""COMPUTED_VALUE"""),29.0)</f>
        <v>29</v>
      </c>
      <c r="Y84" s="153">
        <f>IFERROR(__xludf.DUMMYFUNCTION("""COMPUTED_VALUE"""),5.0)</f>
        <v>5</v>
      </c>
      <c r="Z84" s="153">
        <f>IFERROR(__xludf.DUMMYFUNCTION("""COMPUTED_VALUE"""),830.0)</f>
        <v>830</v>
      </c>
    </row>
    <row r="85">
      <c r="A85" s="210">
        <f>IFERROR(__xludf.DUMMYFUNCTION("""COMPUTED_VALUE"""),43984.0)</f>
        <v>43984</v>
      </c>
      <c r="B85" s="153">
        <f>IFERROR(__xludf.DUMMYFUNCTION("""COMPUTED_VALUE"""),273.0)</f>
        <v>273</v>
      </c>
      <c r="C85" s="153">
        <f>IFERROR(__xludf.DUMMYFUNCTION("""COMPUTED_VALUE"""),213.0)</f>
        <v>213</v>
      </c>
      <c r="D85" s="153">
        <f>IFERROR(__xludf.DUMMYFUNCTION("""COMPUTED_VALUE"""),20671.0)</f>
        <v>20671</v>
      </c>
      <c r="E85" s="153">
        <f>IFERROR(__xludf.DUMMYFUNCTION("""COMPUTED_VALUE"""),3022.0)</f>
        <v>3022</v>
      </c>
      <c r="F85" s="153">
        <f>IFERROR(__xludf.DUMMYFUNCTION("""COMPUTED_VALUE"""),151184.0)</f>
        <v>151184</v>
      </c>
      <c r="G85" s="153">
        <f>IFERROR(__xludf.DUMMYFUNCTION("""COMPUTED_VALUE"""),3295.0)</f>
        <v>3295</v>
      </c>
      <c r="H85" s="153">
        <f>IFERROR(__xludf.DUMMYFUNCTION("""COMPUTED_VALUE"""),171855.0)</f>
        <v>171855</v>
      </c>
      <c r="I85" s="153">
        <f>IFERROR(__xludf.DUMMYFUNCTION("""COMPUTED_VALUE"""),98.0)</f>
        <v>98</v>
      </c>
      <c r="J85" s="153">
        <f>IFERROR(__xludf.DUMMYFUNCTION("""COMPUTED_VALUE"""),90.0)</f>
        <v>90</v>
      </c>
      <c r="K85" s="153">
        <f>IFERROR(__xludf.DUMMYFUNCTION("""COMPUTED_VALUE"""),15163.0)</f>
        <v>15163</v>
      </c>
      <c r="L85" s="153">
        <f>IFERROR(__xludf.DUMMYFUNCTION("""COMPUTED_VALUE"""),1449.0)</f>
        <v>1449</v>
      </c>
      <c r="M85" s="153">
        <f>IFERROR(__xludf.DUMMYFUNCTION("""COMPUTED_VALUE"""),102240.0)</f>
        <v>102240</v>
      </c>
      <c r="N85" s="153">
        <f>IFERROR(__xludf.DUMMYFUNCTION("""COMPUTED_VALUE"""),117403.0)</f>
        <v>117403</v>
      </c>
      <c r="O85" s="153">
        <f>IFERROR(__xludf.DUMMYFUNCTION("""COMPUTED_VALUE"""),8.0)</f>
        <v>8</v>
      </c>
      <c r="P85" s="153">
        <f>IFERROR(__xludf.DUMMYFUNCTION("""COMPUTED_VALUE"""),1792.0)</f>
        <v>1792</v>
      </c>
      <c r="Q85" s="153">
        <f>IFERROR(__xludf.DUMMYFUNCTION("""COMPUTED_VALUE"""),9.0)</f>
        <v>9</v>
      </c>
      <c r="R85" s="153">
        <f>IFERROR(__xludf.DUMMYFUNCTION("""COMPUTED_VALUE"""),1345.0)</f>
        <v>1345</v>
      </c>
      <c r="S85" s="153">
        <f>IFERROR(__xludf.DUMMYFUNCTION("""COMPUTED_VALUE"""),3.0)</f>
        <v>3</v>
      </c>
      <c r="T85" s="153">
        <f>IFERROR(__xludf.DUMMYFUNCTION("""COMPUTED_VALUE"""),261.0)</f>
        <v>261</v>
      </c>
      <c r="U85" s="153">
        <f>IFERROR(__xludf.DUMMYFUNCTION("""COMPUTED_VALUE"""),186.0)</f>
        <v>186</v>
      </c>
      <c r="V85" s="153">
        <f>IFERROR(__xludf.DUMMYFUNCTION("""COMPUTED_VALUE"""),191.0)</f>
        <v>191</v>
      </c>
      <c r="W85" s="153">
        <f>IFERROR(__xludf.DUMMYFUNCTION("""COMPUTED_VALUE"""),37.0)</f>
        <v>37</v>
      </c>
      <c r="X85" s="153">
        <f>IFERROR(__xludf.DUMMYFUNCTION("""COMPUTED_VALUE"""),25.0)</f>
        <v>25</v>
      </c>
      <c r="Y85" s="153">
        <f>IFERROR(__xludf.DUMMYFUNCTION("""COMPUTED_VALUE"""),10.0)</f>
        <v>10</v>
      </c>
      <c r="Z85" s="153">
        <f>IFERROR(__xludf.DUMMYFUNCTION("""COMPUTED_VALUE"""),840.0)</f>
        <v>840</v>
      </c>
    </row>
    <row r="86">
      <c r="A86" s="210">
        <f>IFERROR(__xludf.DUMMYFUNCTION("""COMPUTED_VALUE"""),43985.0)</f>
        <v>43985</v>
      </c>
      <c r="B86" s="153">
        <f>IFERROR(__xludf.DUMMYFUNCTION("""COMPUTED_VALUE"""),254.0)</f>
        <v>254</v>
      </c>
      <c r="C86" s="153">
        <f>IFERROR(__xludf.DUMMYFUNCTION("""COMPUTED_VALUE"""),246.0)</f>
        <v>246</v>
      </c>
      <c r="D86" s="153">
        <f>IFERROR(__xludf.DUMMYFUNCTION("""COMPUTED_VALUE"""),20925.0)</f>
        <v>20925</v>
      </c>
      <c r="E86" s="153">
        <f>IFERROR(__xludf.DUMMYFUNCTION("""COMPUTED_VALUE"""),3486.0)</f>
        <v>3486</v>
      </c>
      <c r="F86" s="153">
        <f>IFERROR(__xludf.DUMMYFUNCTION("""COMPUTED_VALUE"""),154670.0)</f>
        <v>154670</v>
      </c>
      <c r="G86" s="153">
        <f>IFERROR(__xludf.DUMMYFUNCTION("""COMPUTED_VALUE"""),3740.0)</f>
        <v>3740</v>
      </c>
      <c r="H86" s="153">
        <f>IFERROR(__xludf.DUMMYFUNCTION("""COMPUTED_VALUE"""),175595.0)</f>
        <v>175595</v>
      </c>
      <c r="I86" s="153">
        <f>IFERROR(__xludf.DUMMYFUNCTION("""COMPUTED_VALUE"""),99.0)</f>
        <v>99</v>
      </c>
      <c r="J86" s="153">
        <f>IFERROR(__xludf.DUMMYFUNCTION("""COMPUTED_VALUE"""),97.0)</f>
        <v>97</v>
      </c>
      <c r="K86" s="153">
        <f>IFERROR(__xludf.DUMMYFUNCTION("""COMPUTED_VALUE"""),15262.0)</f>
        <v>15262</v>
      </c>
      <c r="L86" s="153">
        <f>IFERROR(__xludf.DUMMYFUNCTION("""COMPUTED_VALUE"""),1661.0)</f>
        <v>1661</v>
      </c>
      <c r="M86" s="153">
        <f>IFERROR(__xludf.DUMMYFUNCTION("""COMPUTED_VALUE"""),103901.0)</f>
        <v>103901</v>
      </c>
      <c r="N86" s="153">
        <f>IFERROR(__xludf.DUMMYFUNCTION("""COMPUTED_VALUE"""),119163.0)</f>
        <v>119163</v>
      </c>
      <c r="O86" s="153">
        <f>IFERROR(__xludf.DUMMYFUNCTION("""COMPUTED_VALUE"""),14.0)</f>
        <v>14</v>
      </c>
      <c r="P86" s="153">
        <f>IFERROR(__xludf.DUMMYFUNCTION("""COMPUTED_VALUE"""),1806.0)</f>
        <v>1806</v>
      </c>
      <c r="Q86" s="153">
        <f>IFERROR(__xludf.DUMMYFUNCTION("""COMPUTED_VALUE"""),18.0)</f>
        <v>18</v>
      </c>
      <c r="R86" s="153">
        <f>IFERROR(__xludf.DUMMYFUNCTION("""COMPUTED_VALUE"""),1363.0)</f>
        <v>1363</v>
      </c>
      <c r="S86" s="153">
        <f>IFERROR(__xludf.DUMMYFUNCTION("""COMPUTED_VALUE"""),6.0)</f>
        <v>6</v>
      </c>
      <c r="T86" s="153">
        <f>IFERROR(__xludf.DUMMYFUNCTION("""COMPUTED_VALUE"""),267.0)</f>
        <v>267</v>
      </c>
      <c r="U86" s="153">
        <f>IFERROR(__xludf.DUMMYFUNCTION("""COMPUTED_VALUE"""),176.0)</f>
        <v>176</v>
      </c>
      <c r="V86" s="153">
        <f>IFERROR(__xludf.DUMMYFUNCTION("""COMPUTED_VALUE"""),184.0)</f>
        <v>184</v>
      </c>
      <c r="W86" s="153">
        <f>IFERROR(__xludf.DUMMYFUNCTION("""COMPUTED_VALUE"""),34.0)</f>
        <v>34</v>
      </c>
      <c r="X86" s="153">
        <f>IFERROR(__xludf.DUMMYFUNCTION("""COMPUTED_VALUE"""),25.0)</f>
        <v>25</v>
      </c>
      <c r="Y86" s="153">
        <f>IFERROR(__xludf.DUMMYFUNCTION("""COMPUTED_VALUE"""),11.0)</f>
        <v>11</v>
      </c>
      <c r="Z86" s="153">
        <f>IFERROR(__xludf.DUMMYFUNCTION("""COMPUTED_VALUE"""),851.0)</f>
        <v>851</v>
      </c>
    </row>
    <row r="87">
      <c r="A87" s="210">
        <f>IFERROR(__xludf.DUMMYFUNCTION("""COMPUTED_VALUE"""),43986.0)</f>
        <v>43986</v>
      </c>
      <c r="B87" s="153">
        <f>IFERROR(__xludf.DUMMYFUNCTION("""COMPUTED_VALUE"""),276.0)</f>
        <v>276</v>
      </c>
      <c r="C87" s="153">
        <f>IFERROR(__xludf.DUMMYFUNCTION("""COMPUTED_VALUE"""),268.0)</f>
        <v>268</v>
      </c>
      <c r="D87" s="153">
        <f>IFERROR(__xludf.DUMMYFUNCTION("""COMPUTED_VALUE"""),21201.0)</f>
        <v>21201</v>
      </c>
      <c r="E87" s="153">
        <f>IFERROR(__xludf.DUMMYFUNCTION("""COMPUTED_VALUE"""),4471.0)</f>
        <v>4471</v>
      </c>
      <c r="F87" s="153">
        <f>IFERROR(__xludf.DUMMYFUNCTION("""COMPUTED_VALUE"""),159141.0)</f>
        <v>159141</v>
      </c>
      <c r="G87" s="153">
        <f>IFERROR(__xludf.DUMMYFUNCTION("""COMPUTED_VALUE"""),4747.0)</f>
        <v>4747</v>
      </c>
      <c r="H87" s="153">
        <f>IFERROR(__xludf.DUMMYFUNCTION("""COMPUTED_VALUE"""),180342.0)</f>
        <v>180342</v>
      </c>
      <c r="I87" s="153">
        <f>IFERROR(__xludf.DUMMYFUNCTION("""COMPUTED_VALUE"""),107.0)</f>
        <v>107</v>
      </c>
      <c r="J87" s="153">
        <f>IFERROR(__xludf.DUMMYFUNCTION("""COMPUTED_VALUE"""),101.0)</f>
        <v>101</v>
      </c>
      <c r="K87" s="153">
        <f>IFERROR(__xludf.DUMMYFUNCTION("""COMPUTED_VALUE"""),15369.0)</f>
        <v>15369</v>
      </c>
      <c r="L87" s="153">
        <f>IFERROR(__xludf.DUMMYFUNCTION("""COMPUTED_VALUE"""),2039.0)</f>
        <v>2039</v>
      </c>
      <c r="M87" s="153">
        <f>IFERROR(__xludf.DUMMYFUNCTION("""COMPUTED_VALUE"""),105940.0)</f>
        <v>105940</v>
      </c>
      <c r="N87" s="153">
        <f>IFERROR(__xludf.DUMMYFUNCTION("""COMPUTED_VALUE"""),121309.0)</f>
        <v>121309</v>
      </c>
      <c r="O87" s="153">
        <f>IFERROR(__xludf.DUMMYFUNCTION("""COMPUTED_VALUE"""),7.0)</f>
        <v>7</v>
      </c>
      <c r="P87" s="153">
        <f>IFERROR(__xludf.DUMMYFUNCTION("""COMPUTED_VALUE"""),1813.0)</f>
        <v>1813</v>
      </c>
      <c r="Q87" s="153">
        <f>IFERROR(__xludf.DUMMYFUNCTION("""COMPUTED_VALUE"""),25.0)</f>
        <v>25</v>
      </c>
      <c r="R87" s="153">
        <f>IFERROR(__xludf.DUMMYFUNCTION("""COMPUTED_VALUE"""),1388.0)</f>
        <v>1388</v>
      </c>
      <c r="S87" s="153">
        <f>IFERROR(__xludf.DUMMYFUNCTION("""COMPUTED_VALUE"""),3.0)</f>
        <v>3</v>
      </c>
      <c r="T87" s="153">
        <f>IFERROR(__xludf.DUMMYFUNCTION("""COMPUTED_VALUE"""),270.0)</f>
        <v>270</v>
      </c>
      <c r="U87" s="153">
        <f>IFERROR(__xludf.DUMMYFUNCTION("""COMPUTED_VALUE"""),155.0)</f>
        <v>155</v>
      </c>
      <c r="V87" s="153">
        <f>IFERROR(__xludf.DUMMYFUNCTION("""COMPUTED_VALUE"""),172.0)</f>
        <v>172</v>
      </c>
      <c r="W87" s="153">
        <f>IFERROR(__xludf.DUMMYFUNCTION("""COMPUTED_VALUE"""),31.0)</f>
        <v>31</v>
      </c>
      <c r="X87" s="153">
        <f>IFERROR(__xludf.DUMMYFUNCTION("""COMPUTED_VALUE"""),24.0)</f>
        <v>24</v>
      </c>
      <c r="Y87" s="153">
        <f>IFERROR(__xludf.DUMMYFUNCTION("""COMPUTED_VALUE"""),11.0)</f>
        <v>11</v>
      </c>
      <c r="Z87" s="153">
        <f>IFERROR(__xludf.DUMMYFUNCTION("""COMPUTED_VALUE"""),862.0)</f>
        <v>862</v>
      </c>
    </row>
    <row r="88">
      <c r="A88" s="210">
        <f>IFERROR(__xludf.DUMMYFUNCTION("""COMPUTED_VALUE"""),43987.0)</f>
        <v>43987</v>
      </c>
      <c r="B88" s="153">
        <f>IFERROR(__xludf.DUMMYFUNCTION("""COMPUTED_VALUE"""),215.0)</f>
        <v>215</v>
      </c>
      <c r="C88" s="153">
        <f>IFERROR(__xludf.DUMMYFUNCTION("""COMPUTED_VALUE"""),248.0)</f>
        <v>248</v>
      </c>
      <c r="D88" s="153">
        <f>IFERROR(__xludf.DUMMYFUNCTION("""COMPUTED_VALUE"""),21416.0)</f>
        <v>21416</v>
      </c>
      <c r="E88" s="153">
        <f>IFERROR(__xludf.DUMMYFUNCTION("""COMPUTED_VALUE"""),3513.0)</f>
        <v>3513</v>
      </c>
      <c r="F88" s="153">
        <f>IFERROR(__xludf.DUMMYFUNCTION("""COMPUTED_VALUE"""),162654.0)</f>
        <v>162654</v>
      </c>
      <c r="G88" s="153">
        <f>IFERROR(__xludf.DUMMYFUNCTION("""COMPUTED_VALUE"""),3728.0)</f>
        <v>3728</v>
      </c>
      <c r="H88" s="153">
        <f>IFERROR(__xludf.DUMMYFUNCTION("""COMPUTED_VALUE"""),184070.0)</f>
        <v>184070</v>
      </c>
      <c r="I88" s="153">
        <f>IFERROR(__xludf.DUMMYFUNCTION("""COMPUTED_VALUE"""),99.0)</f>
        <v>99</v>
      </c>
      <c r="J88" s="153">
        <f>IFERROR(__xludf.DUMMYFUNCTION("""COMPUTED_VALUE"""),102.0)</f>
        <v>102</v>
      </c>
      <c r="K88" s="153">
        <f>IFERROR(__xludf.DUMMYFUNCTION("""COMPUTED_VALUE"""),15468.0)</f>
        <v>15468</v>
      </c>
      <c r="L88" s="153">
        <f>IFERROR(__xludf.DUMMYFUNCTION("""COMPUTED_VALUE"""),1577.0)</f>
        <v>1577</v>
      </c>
      <c r="M88" s="153">
        <f>IFERROR(__xludf.DUMMYFUNCTION("""COMPUTED_VALUE"""),107517.0)</f>
        <v>107517</v>
      </c>
      <c r="N88" s="153">
        <f>IFERROR(__xludf.DUMMYFUNCTION("""COMPUTED_VALUE"""),122985.0)</f>
        <v>122985</v>
      </c>
      <c r="O88" s="153">
        <f>IFERROR(__xludf.DUMMYFUNCTION("""COMPUTED_VALUE"""),15.0)</f>
        <v>15</v>
      </c>
      <c r="P88" s="153">
        <f>IFERROR(__xludf.DUMMYFUNCTION("""COMPUTED_VALUE"""),1828.0)</f>
        <v>1828</v>
      </c>
      <c r="Q88" s="153">
        <f>IFERROR(__xludf.DUMMYFUNCTION("""COMPUTED_VALUE"""),13.0)</f>
        <v>13</v>
      </c>
      <c r="R88" s="153">
        <f>IFERROR(__xludf.DUMMYFUNCTION("""COMPUTED_VALUE"""),1401.0)</f>
        <v>1401</v>
      </c>
      <c r="S88" s="153">
        <f>IFERROR(__xludf.DUMMYFUNCTION("""COMPUTED_VALUE"""),6.0)</f>
        <v>6</v>
      </c>
      <c r="T88" s="153">
        <f>IFERROR(__xludf.DUMMYFUNCTION("""COMPUTED_VALUE"""),276.0)</f>
        <v>276</v>
      </c>
      <c r="U88" s="153">
        <f>IFERROR(__xludf.DUMMYFUNCTION("""COMPUTED_VALUE"""),151.0)</f>
        <v>151</v>
      </c>
      <c r="V88" s="153">
        <f>IFERROR(__xludf.DUMMYFUNCTION("""COMPUTED_VALUE"""),161.0)</f>
        <v>161</v>
      </c>
      <c r="W88" s="153">
        <f>IFERROR(__xludf.DUMMYFUNCTION("""COMPUTED_VALUE"""),27.0)</f>
        <v>27</v>
      </c>
      <c r="X88" s="153">
        <f>IFERROR(__xludf.DUMMYFUNCTION("""COMPUTED_VALUE"""),21.0)</f>
        <v>21</v>
      </c>
      <c r="Y88" s="153">
        <f>IFERROR(__xludf.DUMMYFUNCTION("""COMPUTED_VALUE"""),11.0)</f>
        <v>11</v>
      </c>
      <c r="Z88" s="153">
        <f>IFERROR(__xludf.DUMMYFUNCTION("""COMPUTED_VALUE"""),873.0)</f>
        <v>873</v>
      </c>
    </row>
    <row r="89">
      <c r="A89" s="210">
        <f>IFERROR(__xludf.DUMMYFUNCTION("""COMPUTED_VALUE"""),43988.0)</f>
        <v>43988</v>
      </c>
      <c r="B89" s="153">
        <f>IFERROR(__xludf.DUMMYFUNCTION("""COMPUTED_VALUE"""),201.0)</f>
        <v>201</v>
      </c>
      <c r="C89" s="153">
        <f>IFERROR(__xludf.DUMMYFUNCTION("""COMPUTED_VALUE"""),231.0)</f>
        <v>231</v>
      </c>
      <c r="D89" s="153">
        <f>IFERROR(__xludf.DUMMYFUNCTION("""COMPUTED_VALUE"""),21617.0)</f>
        <v>21617</v>
      </c>
      <c r="E89" s="153">
        <f>IFERROR(__xludf.DUMMYFUNCTION("""COMPUTED_VALUE"""),2616.0)</f>
        <v>2616</v>
      </c>
      <c r="F89" s="153">
        <f>IFERROR(__xludf.DUMMYFUNCTION("""COMPUTED_VALUE"""),165270.0)</f>
        <v>165270</v>
      </c>
      <c r="G89" s="153">
        <f>IFERROR(__xludf.DUMMYFUNCTION("""COMPUTED_VALUE"""),2817.0)</f>
        <v>2817</v>
      </c>
      <c r="H89" s="153">
        <f>IFERROR(__xludf.DUMMYFUNCTION("""COMPUTED_VALUE"""),186887.0)</f>
        <v>186887</v>
      </c>
      <c r="I89" s="153">
        <f>IFERROR(__xludf.DUMMYFUNCTION("""COMPUTED_VALUE"""),67.0)</f>
        <v>67</v>
      </c>
      <c r="J89" s="153">
        <f>IFERROR(__xludf.DUMMYFUNCTION("""COMPUTED_VALUE"""),91.0)</f>
        <v>91</v>
      </c>
      <c r="K89" s="153">
        <f>IFERROR(__xludf.DUMMYFUNCTION("""COMPUTED_VALUE"""),15535.0)</f>
        <v>15535</v>
      </c>
      <c r="L89" s="153">
        <f>IFERROR(__xludf.DUMMYFUNCTION("""COMPUTED_VALUE"""),1136.0)</f>
        <v>1136</v>
      </c>
      <c r="M89" s="153">
        <f>IFERROR(__xludf.DUMMYFUNCTION("""COMPUTED_VALUE"""),108653.0)</f>
        <v>108653</v>
      </c>
      <c r="N89" s="153">
        <f>IFERROR(__xludf.DUMMYFUNCTION("""COMPUTED_VALUE"""),124188.0)</f>
        <v>124188</v>
      </c>
      <c r="O89" s="153">
        <f>IFERROR(__xludf.DUMMYFUNCTION("""COMPUTED_VALUE"""),10.0)</f>
        <v>10</v>
      </c>
      <c r="P89" s="153">
        <f>IFERROR(__xludf.DUMMYFUNCTION("""COMPUTED_VALUE"""),1838.0)</f>
        <v>1838</v>
      </c>
      <c r="Q89" s="153">
        <f>IFERROR(__xludf.DUMMYFUNCTION("""COMPUTED_VALUE"""),7.0)</f>
        <v>7</v>
      </c>
      <c r="R89" s="153">
        <f>IFERROR(__xludf.DUMMYFUNCTION("""COMPUTED_VALUE"""),1408.0)</f>
        <v>1408</v>
      </c>
      <c r="S89" s="153">
        <f>IFERROR(__xludf.DUMMYFUNCTION("""COMPUTED_VALUE"""),2.0)</f>
        <v>2</v>
      </c>
      <c r="T89" s="153">
        <f>IFERROR(__xludf.DUMMYFUNCTION("""COMPUTED_VALUE"""),278.0)</f>
        <v>278</v>
      </c>
      <c r="U89" s="153">
        <f>IFERROR(__xludf.DUMMYFUNCTION("""COMPUTED_VALUE"""),152.0)</f>
        <v>152</v>
      </c>
      <c r="V89" s="153">
        <f>IFERROR(__xludf.DUMMYFUNCTION("""COMPUTED_VALUE"""),153.0)</f>
        <v>153</v>
      </c>
      <c r="W89" s="153">
        <f>IFERROR(__xludf.DUMMYFUNCTION("""COMPUTED_VALUE"""),29.0)</f>
        <v>29</v>
      </c>
      <c r="X89" s="153">
        <f>IFERROR(__xludf.DUMMYFUNCTION("""COMPUTED_VALUE"""),19.0)</f>
        <v>19</v>
      </c>
      <c r="Y89" s="153">
        <f>IFERROR(__xludf.DUMMYFUNCTION("""COMPUTED_VALUE"""),6.0)</f>
        <v>6</v>
      </c>
      <c r="Z89" s="153">
        <f>IFERROR(__xludf.DUMMYFUNCTION("""COMPUTED_VALUE"""),879.0)</f>
        <v>879</v>
      </c>
    </row>
    <row r="90">
      <c r="A90" s="210">
        <f>IFERROR(__xludf.DUMMYFUNCTION("""COMPUTED_VALUE"""),43989.0)</f>
        <v>43989</v>
      </c>
      <c r="B90" s="153">
        <f>IFERROR(__xludf.DUMMYFUNCTION("""COMPUTED_VALUE"""),83.0)</f>
        <v>83</v>
      </c>
      <c r="C90" s="153">
        <f>IFERROR(__xludf.DUMMYFUNCTION("""COMPUTED_VALUE"""),166.0)</f>
        <v>166</v>
      </c>
      <c r="D90" s="153">
        <f>IFERROR(__xludf.DUMMYFUNCTION("""COMPUTED_VALUE"""),21700.0)</f>
        <v>21700</v>
      </c>
      <c r="E90" s="153">
        <f>IFERROR(__xludf.DUMMYFUNCTION("""COMPUTED_VALUE"""),1625.0)</f>
        <v>1625</v>
      </c>
      <c r="F90" s="153">
        <f>IFERROR(__xludf.DUMMYFUNCTION("""COMPUTED_VALUE"""),166895.0)</f>
        <v>166895</v>
      </c>
      <c r="G90" s="153">
        <f>IFERROR(__xludf.DUMMYFUNCTION("""COMPUTED_VALUE"""),1708.0)</f>
        <v>1708</v>
      </c>
      <c r="H90" s="153">
        <f>IFERROR(__xludf.DUMMYFUNCTION("""COMPUTED_VALUE"""),188595.0)</f>
        <v>188595</v>
      </c>
      <c r="I90" s="153">
        <f>IFERROR(__xludf.DUMMYFUNCTION("""COMPUTED_VALUE"""),51.0)</f>
        <v>51</v>
      </c>
      <c r="J90" s="153">
        <f>IFERROR(__xludf.DUMMYFUNCTION("""COMPUTED_VALUE"""),72.0)</f>
        <v>72</v>
      </c>
      <c r="K90" s="153">
        <f>IFERROR(__xludf.DUMMYFUNCTION("""COMPUTED_VALUE"""),15586.0)</f>
        <v>15586</v>
      </c>
      <c r="L90" s="153">
        <f>IFERROR(__xludf.DUMMYFUNCTION("""COMPUTED_VALUE"""),782.0)</f>
        <v>782</v>
      </c>
      <c r="M90" s="153">
        <f>IFERROR(__xludf.DUMMYFUNCTION("""COMPUTED_VALUE"""),109435.0)</f>
        <v>109435</v>
      </c>
      <c r="N90" s="153">
        <f>IFERROR(__xludf.DUMMYFUNCTION("""COMPUTED_VALUE"""),125021.0)</f>
        <v>125021</v>
      </c>
      <c r="O90" s="153">
        <f>IFERROR(__xludf.DUMMYFUNCTION("""COMPUTED_VALUE"""),11.0)</f>
        <v>11</v>
      </c>
      <c r="P90" s="153">
        <f>IFERROR(__xludf.DUMMYFUNCTION("""COMPUTED_VALUE"""),1849.0)</f>
        <v>1849</v>
      </c>
      <c r="Q90" s="153">
        <f>IFERROR(__xludf.DUMMYFUNCTION("""COMPUTED_VALUE"""),7.0)</f>
        <v>7</v>
      </c>
      <c r="R90" s="153">
        <f>IFERROR(__xludf.DUMMYFUNCTION("""COMPUTED_VALUE"""),1415.0)</f>
        <v>1415</v>
      </c>
      <c r="S90" s="153">
        <f>IFERROR(__xludf.DUMMYFUNCTION("""COMPUTED_VALUE"""),1.0)</f>
        <v>1</v>
      </c>
      <c r="T90" s="153">
        <f>IFERROR(__xludf.DUMMYFUNCTION("""COMPUTED_VALUE"""),279.0)</f>
        <v>279</v>
      </c>
      <c r="U90" s="153">
        <f>IFERROR(__xludf.DUMMYFUNCTION("""COMPUTED_VALUE"""),155.0)</f>
        <v>155</v>
      </c>
      <c r="V90" s="153">
        <f>IFERROR(__xludf.DUMMYFUNCTION("""COMPUTED_VALUE"""),153.0)</f>
        <v>153</v>
      </c>
      <c r="W90" s="153">
        <f>IFERROR(__xludf.DUMMYFUNCTION("""COMPUTED_VALUE"""),25.0)</f>
        <v>25</v>
      </c>
      <c r="X90" s="153">
        <f>IFERROR(__xludf.DUMMYFUNCTION("""COMPUTED_VALUE"""),17.0)</f>
        <v>17</v>
      </c>
      <c r="Y90" s="153">
        <f>IFERROR(__xludf.DUMMYFUNCTION("""COMPUTED_VALUE"""),4.0)</f>
        <v>4</v>
      </c>
      <c r="Z90" s="153">
        <f>IFERROR(__xludf.DUMMYFUNCTION("""COMPUTED_VALUE"""),883.0)</f>
        <v>883</v>
      </c>
    </row>
    <row r="91">
      <c r="A91" s="210">
        <f>IFERROR(__xludf.DUMMYFUNCTION("""COMPUTED_VALUE"""),43990.0)</f>
        <v>43990</v>
      </c>
      <c r="B91" s="211">
        <f>IFERROR(__xludf.DUMMYFUNCTION("""COMPUTED_VALUE"""),119.0)</f>
        <v>119</v>
      </c>
      <c r="C91" s="211">
        <f>IFERROR(__xludf.DUMMYFUNCTION("""COMPUTED_VALUE"""),134.0)</f>
        <v>134</v>
      </c>
      <c r="D91" s="211">
        <f>IFERROR(__xludf.DUMMYFUNCTION("""COMPUTED_VALUE"""),21819.0)</f>
        <v>21819</v>
      </c>
      <c r="E91" s="211">
        <f>IFERROR(__xludf.DUMMYFUNCTION("""COMPUTED_VALUE"""),1849.0)</f>
        <v>1849</v>
      </c>
      <c r="F91" s="153">
        <f>IFERROR(__xludf.DUMMYFUNCTION("""COMPUTED_VALUE"""),168744.0)</f>
        <v>168744</v>
      </c>
      <c r="G91" s="153">
        <f>IFERROR(__xludf.DUMMYFUNCTION("""COMPUTED_VALUE"""),1968.0)</f>
        <v>1968</v>
      </c>
      <c r="H91" s="153">
        <f>IFERROR(__xludf.DUMMYFUNCTION("""COMPUTED_VALUE"""),190563.0)</f>
        <v>190563</v>
      </c>
      <c r="I91" s="211">
        <f>IFERROR(__xludf.DUMMYFUNCTION("""COMPUTED_VALUE"""),45.0)</f>
        <v>45</v>
      </c>
      <c r="J91" s="211">
        <f>IFERROR(__xludf.DUMMYFUNCTION("""COMPUTED_VALUE"""),54.0)</f>
        <v>54</v>
      </c>
      <c r="K91" s="211">
        <f>IFERROR(__xludf.DUMMYFUNCTION("""COMPUTED_VALUE"""),15631.0)</f>
        <v>15631</v>
      </c>
      <c r="L91" s="211">
        <f>IFERROR(__xludf.DUMMYFUNCTION("""COMPUTED_VALUE"""),962.0)</f>
        <v>962</v>
      </c>
      <c r="M91" s="211">
        <f>IFERROR(__xludf.DUMMYFUNCTION("""COMPUTED_VALUE"""),110397.0)</f>
        <v>110397</v>
      </c>
      <c r="N91" s="211">
        <f>IFERROR(__xludf.DUMMYFUNCTION("""COMPUTED_VALUE"""),126028.0)</f>
        <v>126028</v>
      </c>
      <c r="O91" s="211">
        <f>IFERROR(__xludf.DUMMYFUNCTION("""COMPUTED_VALUE"""),15.0)</f>
        <v>15</v>
      </c>
      <c r="P91" s="211">
        <f>IFERROR(__xludf.DUMMYFUNCTION("""COMPUTED_VALUE"""),1864.0)</f>
        <v>1864</v>
      </c>
      <c r="Q91" s="211">
        <f>IFERROR(__xludf.DUMMYFUNCTION("""COMPUTED_VALUE"""),12.0)</f>
        <v>12</v>
      </c>
      <c r="R91" s="211">
        <f>IFERROR(__xludf.DUMMYFUNCTION("""COMPUTED_VALUE"""),1427.0)</f>
        <v>1427</v>
      </c>
      <c r="S91" s="211">
        <f>IFERROR(__xludf.DUMMYFUNCTION("""COMPUTED_VALUE"""),2.0)</f>
        <v>2</v>
      </c>
      <c r="T91" s="211">
        <f>IFERROR(__xludf.DUMMYFUNCTION("""COMPUTED_VALUE"""),281.0)</f>
        <v>281</v>
      </c>
      <c r="U91" s="211">
        <f>IFERROR(__xludf.DUMMYFUNCTION("""COMPUTED_VALUE"""),156.0)</f>
        <v>156</v>
      </c>
      <c r="V91" s="211">
        <f>IFERROR(__xludf.DUMMYFUNCTION("""COMPUTED_VALUE"""),154.0)</f>
        <v>154</v>
      </c>
      <c r="W91" s="211">
        <f>IFERROR(__xludf.DUMMYFUNCTION("""COMPUTED_VALUE"""),27.0)</f>
        <v>27</v>
      </c>
      <c r="X91" s="211">
        <f>IFERROR(__xludf.DUMMYFUNCTION("""COMPUTED_VALUE"""),18.0)</f>
        <v>18</v>
      </c>
      <c r="Y91" s="211">
        <f>IFERROR(__xludf.DUMMYFUNCTION("""COMPUTED_VALUE"""),4.0)</f>
        <v>4</v>
      </c>
      <c r="Z91" s="211">
        <f>IFERROR(__xludf.DUMMYFUNCTION("""COMPUTED_VALUE"""),887.0)</f>
        <v>887</v>
      </c>
    </row>
    <row r="92">
      <c r="A92" s="210">
        <f>IFERROR(__xludf.DUMMYFUNCTION("""COMPUTED_VALUE"""),43991.0)</f>
        <v>43991</v>
      </c>
      <c r="B92" s="211">
        <f>IFERROR(__xludf.DUMMYFUNCTION("""COMPUTED_VALUE"""),223.0)</f>
        <v>223</v>
      </c>
      <c r="C92" s="211">
        <f>IFERROR(__xludf.DUMMYFUNCTION("""COMPUTED_VALUE"""),142.0)</f>
        <v>142</v>
      </c>
      <c r="D92" s="211">
        <f>IFERROR(__xludf.DUMMYFUNCTION("""COMPUTED_VALUE"""),22042.0)</f>
        <v>22042</v>
      </c>
      <c r="E92" s="211">
        <f>IFERROR(__xludf.DUMMYFUNCTION("""COMPUTED_VALUE"""),2673.0)</f>
        <v>2673</v>
      </c>
      <c r="F92" s="153">
        <f>IFERROR(__xludf.DUMMYFUNCTION("""COMPUTED_VALUE"""),171417.0)</f>
        <v>171417</v>
      </c>
      <c r="G92" s="153">
        <f>IFERROR(__xludf.DUMMYFUNCTION("""COMPUTED_VALUE"""),2896.0)</f>
        <v>2896</v>
      </c>
      <c r="H92" s="153">
        <f>IFERROR(__xludf.DUMMYFUNCTION("""COMPUTED_VALUE"""),193459.0)</f>
        <v>193459</v>
      </c>
      <c r="I92" s="211">
        <f>IFERROR(__xludf.DUMMYFUNCTION("""COMPUTED_VALUE"""),64.0)</f>
        <v>64</v>
      </c>
      <c r="J92" s="211">
        <f>IFERROR(__xludf.DUMMYFUNCTION("""COMPUTED_VALUE"""),53.0)</f>
        <v>53</v>
      </c>
      <c r="K92" s="211">
        <f>IFERROR(__xludf.DUMMYFUNCTION("""COMPUTED_VALUE"""),15695.0)</f>
        <v>15695</v>
      </c>
      <c r="L92" s="211">
        <f>IFERROR(__xludf.DUMMYFUNCTION("""COMPUTED_VALUE"""),1258.0)</f>
        <v>1258</v>
      </c>
      <c r="M92" s="211">
        <f>IFERROR(__xludf.DUMMYFUNCTION("""COMPUTED_VALUE"""),111655.0)</f>
        <v>111655</v>
      </c>
      <c r="N92" s="211">
        <f>IFERROR(__xludf.DUMMYFUNCTION("""COMPUTED_VALUE"""),127350.0)</f>
        <v>127350</v>
      </c>
      <c r="O92" s="211">
        <f>IFERROR(__xludf.DUMMYFUNCTION("""COMPUTED_VALUE"""),10.0)</f>
        <v>10</v>
      </c>
      <c r="P92" s="211">
        <f>IFERROR(__xludf.DUMMYFUNCTION("""COMPUTED_VALUE"""),1874.0)</f>
        <v>1874</v>
      </c>
      <c r="Q92" s="211">
        <f>IFERROR(__xludf.DUMMYFUNCTION("""COMPUTED_VALUE"""),18.0)</f>
        <v>18</v>
      </c>
      <c r="R92" s="211">
        <f>IFERROR(__xludf.DUMMYFUNCTION("""COMPUTED_VALUE"""),1445.0)</f>
        <v>1445</v>
      </c>
      <c r="S92" s="211">
        <f>IFERROR(__xludf.DUMMYFUNCTION("""COMPUTED_VALUE"""),0.0)</f>
        <v>0</v>
      </c>
      <c r="T92" s="211">
        <f>IFERROR(__xludf.DUMMYFUNCTION("""COMPUTED_VALUE"""),281.0)</f>
        <v>281</v>
      </c>
      <c r="U92" s="211">
        <f>IFERROR(__xludf.DUMMYFUNCTION("""COMPUTED_VALUE"""),148.0)</f>
        <v>148</v>
      </c>
      <c r="V92" s="211">
        <f>IFERROR(__xludf.DUMMYFUNCTION("""COMPUTED_VALUE"""),153.0)</f>
        <v>153</v>
      </c>
      <c r="W92" s="211">
        <f>IFERROR(__xludf.DUMMYFUNCTION("""COMPUTED_VALUE"""),28.0)</f>
        <v>28</v>
      </c>
      <c r="X92" s="211">
        <f>IFERROR(__xludf.DUMMYFUNCTION("""COMPUTED_VALUE"""),21.0)</f>
        <v>21</v>
      </c>
      <c r="Y92" s="211">
        <f>IFERROR(__xludf.DUMMYFUNCTION("""COMPUTED_VALUE"""),1.0)</f>
        <v>1</v>
      </c>
      <c r="Z92" s="211">
        <f>IFERROR(__xludf.DUMMYFUNCTION("""COMPUTED_VALUE"""),888.0)</f>
        <v>888</v>
      </c>
    </row>
    <row r="93">
      <c r="A93" s="210">
        <f>IFERROR(__xludf.DUMMYFUNCTION("""COMPUTED_VALUE"""),43992.0)</f>
        <v>43992</v>
      </c>
      <c r="B93" s="211">
        <f>IFERROR(__xludf.DUMMYFUNCTION("""COMPUTED_VALUE"""),209.0)</f>
        <v>209</v>
      </c>
      <c r="C93" s="211">
        <f>IFERROR(__xludf.DUMMYFUNCTION("""COMPUTED_VALUE"""),184.0)</f>
        <v>184</v>
      </c>
      <c r="D93" s="211">
        <f>IFERROR(__xludf.DUMMYFUNCTION("""COMPUTED_VALUE"""),22251.0)</f>
        <v>22251</v>
      </c>
      <c r="E93" s="211">
        <f>IFERROR(__xludf.DUMMYFUNCTION("""COMPUTED_VALUE"""),2987.0)</f>
        <v>2987</v>
      </c>
      <c r="F93" s="153">
        <f>IFERROR(__xludf.DUMMYFUNCTION("""COMPUTED_VALUE"""),174404.0)</f>
        <v>174404</v>
      </c>
      <c r="G93" s="153">
        <f>IFERROR(__xludf.DUMMYFUNCTION("""COMPUTED_VALUE"""),3196.0)</f>
        <v>3196</v>
      </c>
      <c r="H93" s="153">
        <f>IFERROR(__xludf.DUMMYFUNCTION("""COMPUTED_VALUE"""),196655.0)</f>
        <v>196655</v>
      </c>
      <c r="I93" s="211">
        <f>IFERROR(__xludf.DUMMYFUNCTION("""COMPUTED_VALUE"""),101.0)</f>
        <v>101</v>
      </c>
      <c r="J93" s="211">
        <f>IFERROR(__xludf.DUMMYFUNCTION("""COMPUTED_VALUE"""),70.0)</f>
        <v>70</v>
      </c>
      <c r="K93" s="211">
        <f>IFERROR(__xludf.DUMMYFUNCTION("""COMPUTED_VALUE"""),15796.0)</f>
        <v>15796</v>
      </c>
      <c r="L93" s="211">
        <f>IFERROR(__xludf.DUMMYFUNCTION("""COMPUTED_VALUE"""),1467.0)</f>
        <v>1467</v>
      </c>
      <c r="M93" s="211">
        <f>IFERROR(__xludf.DUMMYFUNCTION("""COMPUTED_VALUE"""),113122.0)</f>
        <v>113122</v>
      </c>
      <c r="N93" s="211">
        <f>IFERROR(__xludf.DUMMYFUNCTION("""COMPUTED_VALUE"""),128918.0)</f>
        <v>128918</v>
      </c>
      <c r="O93" s="211">
        <f>IFERROR(__xludf.DUMMYFUNCTION("""COMPUTED_VALUE"""),13.0)</f>
        <v>13</v>
      </c>
      <c r="P93" s="211">
        <f>IFERROR(__xludf.DUMMYFUNCTION("""COMPUTED_VALUE"""),1887.0)</f>
        <v>1887</v>
      </c>
      <c r="Q93" s="211">
        <f>IFERROR(__xludf.DUMMYFUNCTION("""COMPUTED_VALUE"""),12.0)</f>
        <v>12</v>
      </c>
      <c r="R93" s="211">
        <f>IFERROR(__xludf.DUMMYFUNCTION("""COMPUTED_VALUE"""),1457.0)</f>
        <v>1457</v>
      </c>
      <c r="S93" s="211">
        <f>IFERROR(__xludf.DUMMYFUNCTION("""COMPUTED_VALUE"""),2.0)</f>
        <v>2</v>
      </c>
      <c r="T93" s="211">
        <f>IFERROR(__xludf.DUMMYFUNCTION("""COMPUTED_VALUE"""),283.0)</f>
        <v>283</v>
      </c>
      <c r="U93" s="211">
        <f>IFERROR(__xludf.DUMMYFUNCTION("""COMPUTED_VALUE"""),147.0)</f>
        <v>147</v>
      </c>
      <c r="V93" s="211">
        <f>IFERROR(__xludf.DUMMYFUNCTION("""COMPUTED_VALUE"""),150.0)</f>
        <v>150</v>
      </c>
      <c r="W93" s="211">
        <f>IFERROR(__xludf.DUMMYFUNCTION("""COMPUTED_VALUE"""),24.0)</f>
        <v>24</v>
      </c>
      <c r="X93" s="211">
        <f>IFERROR(__xludf.DUMMYFUNCTION("""COMPUTED_VALUE"""),17.0)</f>
        <v>17</v>
      </c>
      <c r="Y93" s="211">
        <f>IFERROR(__xludf.DUMMYFUNCTION("""COMPUTED_VALUE"""),4.0)</f>
        <v>4</v>
      </c>
      <c r="Z93" s="211">
        <f>IFERROR(__xludf.DUMMYFUNCTION("""COMPUTED_VALUE"""),892.0)</f>
        <v>892</v>
      </c>
    </row>
    <row r="94">
      <c r="A94" s="210">
        <f>IFERROR(__xludf.DUMMYFUNCTION("""COMPUTED_VALUE"""),43993.0)</f>
        <v>43993</v>
      </c>
      <c r="B94" s="211">
        <f>IFERROR(__xludf.DUMMYFUNCTION("""COMPUTED_VALUE"""),195.0)</f>
        <v>195</v>
      </c>
      <c r="C94" s="211">
        <f>IFERROR(__xludf.DUMMYFUNCTION("""COMPUTED_VALUE"""),209.0)</f>
        <v>209</v>
      </c>
      <c r="D94" s="211">
        <f>IFERROR(__xludf.DUMMYFUNCTION("""COMPUTED_VALUE"""),22446.0)</f>
        <v>22446</v>
      </c>
      <c r="E94" s="211">
        <f>IFERROR(__xludf.DUMMYFUNCTION("""COMPUTED_VALUE"""),3513.0)</f>
        <v>3513</v>
      </c>
      <c r="F94" s="153">
        <f>IFERROR(__xludf.DUMMYFUNCTION("""COMPUTED_VALUE"""),177917.0)</f>
        <v>177917</v>
      </c>
      <c r="G94" s="153">
        <f>IFERROR(__xludf.DUMMYFUNCTION("""COMPUTED_VALUE"""),3708.0)</f>
        <v>3708</v>
      </c>
      <c r="H94" s="153">
        <f>IFERROR(__xludf.DUMMYFUNCTION("""COMPUTED_VALUE"""),200363.0)</f>
        <v>200363</v>
      </c>
      <c r="I94" s="211">
        <f>IFERROR(__xludf.DUMMYFUNCTION("""COMPUTED_VALUE"""),88.0)</f>
        <v>88</v>
      </c>
      <c r="J94" s="211">
        <f>IFERROR(__xludf.DUMMYFUNCTION("""COMPUTED_VALUE"""),84.0)</f>
        <v>84</v>
      </c>
      <c r="K94" s="211">
        <f>IFERROR(__xludf.DUMMYFUNCTION("""COMPUTED_VALUE"""),15884.0)</f>
        <v>15884</v>
      </c>
      <c r="L94" s="211">
        <f>IFERROR(__xludf.DUMMYFUNCTION("""COMPUTED_VALUE"""),1534.0)</f>
        <v>1534</v>
      </c>
      <c r="M94" s="211">
        <f>IFERROR(__xludf.DUMMYFUNCTION("""COMPUTED_VALUE"""),114656.0)</f>
        <v>114656</v>
      </c>
      <c r="N94" s="211">
        <f>IFERROR(__xludf.DUMMYFUNCTION("""COMPUTED_VALUE"""),130540.0)</f>
        <v>130540</v>
      </c>
      <c r="O94" s="211">
        <f>IFERROR(__xludf.DUMMYFUNCTION("""COMPUTED_VALUE"""),7.0)</f>
        <v>7</v>
      </c>
      <c r="P94" s="211">
        <f>IFERROR(__xludf.DUMMYFUNCTION("""COMPUTED_VALUE"""),1894.0)</f>
        <v>1894</v>
      </c>
      <c r="Q94" s="211">
        <f>IFERROR(__xludf.DUMMYFUNCTION("""COMPUTED_VALUE"""),15.0)</f>
        <v>15</v>
      </c>
      <c r="R94" s="211">
        <f>IFERROR(__xludf.DUMMYFUNCTION("""COMPUTED_VALUE"""),1472.0)</f>
        <v>1472</v>
      </c>
      <c r="S94" s="211">
        <f>IFERROR(__xludf.DUMMYFUNCTION("""COMPUTED_VALUE"""),1.0)</f>
        <v>1</v>
      </c>
      <c r="T94" s="211">
        <f>IFERROR(__xludf.DUMMYFUNCTION("""COMPUTED_VALUE"""),284.0)</f>
        <v>284</v>
      </c>
      <c r="U94" s="211">
        <f>IFERROR(__xludf.DUMMYFUNCTION("""COMPUTED_VALUE"""),138.0)</f>
        <v>138</v>
      </c>
      <c r="V94" s="211">
        <f>IFERROR(__xludf.DUMMYFUNCTION("""COMPUTED_VALUE"""),144.0)</f>
        <v>144</v>
      </c>
      <c r="W94" s="211">
        <f>IFERROR(__xludf.DUMMYFUNCTION("""COMPUTED_VALUE"""),25.0)</f>
        <v>25</v>
      </c>
      <c r="X94" s="211">
        <f>IFERROR(__xludf.DUMMYFUNCTION("""COMPUTED_VALUE"""),16.0)</f>
        <v>16</v>
      </c>
      <c r="Y94" s="211">
        <f>IFERROR(__xludf.DUMMYFUNCTION("""COMPUTED_VALUE"""),6.0)</f>
        <v>6</v>
      </c>
      <c r="Z94" s="211">
        <f>IFERROR(__xludf.DUMMYFUNCTION("""COMPUTED_VALUE"""),898.0)</f>
        <v>898</v>
      </c>
    </row>
    <row r="95">
      <c r="A95" s="210">
        <f>IFERROR(__xludf.DUMMYFUNCTION("""COMPUTED_VALUE"""),43994.0)</f>
        <v>43994</v>
      </c>
      <c r="B95" s="211">
        <f>IFERROR(__xludf.DUMMYFUNCTION("""COMPUTED_VALUE"""),209.0)</f>
        <v>209</v>
      </c>
      <c r="C95" s="211">
        <f>IFERROR(__xludf.DUMMYFUNCTION("""COMPUTED_VALUE"""),204.0)</f>
        <v>204</v>
      </c>
      <c r="D95" s="211">
        <f>IFERROR(__xludf.DUMMYFUNCTION("""COMPUTED_VALUE"""),22655.0)</f>
        <v>22655</v>
      </c>
      <c r="E95" s="211">
        <f>IFERROR(__xludf.DUMMYFUNCTION("""COMPUTED_VALUE"""),4601.0)</f>
        <v>4601</v>
      </c>
      <c r="F95" s="153">
        <f>IFERROR(__xludf.DUMMYFUNCTION("""COMPUTED_VALUE"""),182518.0)</f>
        <v>182518</v>
      </c>
      <c r="G95" s="153">
        <f>IFERROR(__xludf.DUMMYFUNCTION("""COMPUTED_VALUE"""),4810.0)</f>
        <v>4810</v>
      </c>
      <c r="H95" s="153">
        <f>IFERROR(__xludf.DUMMYFUNCTION("""COMPUTED_VALUE"""),205173.0)</f>
        <v>205173</v>
      </c>
      <c r="I95" s="211">
        <f>IFERROR(__xludf.DUMMYFUNCTION("""COMPUTED_VALUE"""),78.0)</f>
        <v>78</v>
      </c>
      <c r="J95" s="211">
        <f>IFERROR(__xludf.DUMMYFUNCTION("""COMPUTED_VALUE"""),89.0)</f>
        <v>89</v>
      </c>
      <c r="K95" s="211">
        <f>IFERROR(__xludf.DUMMYFUNCTION("""COMPUTED_VALUE"""),15962.0)</f>
        <v>15962</v>
      </c>
      <c r="L95" s="211">
        <f>IFERROR(__xludf.DUMMYFUNCTION("""COMPUTED_VALUE"""),2184.0)</f>
        <v>2184</v>
      </c>
      <c r="M95" s="211">
        <f>IFERROR(__xludf.DUMMYFUNCTION("""COMPUTED_VALUE"""),116840.0)</f>
        <v>116840</v>
      </c>
      <c r="N95" s="211">
        <f>IFERROR(__xludf.DUMMYFUNCTION("""COMPUTED_VALUE"""),132802.0)</f>
        <v>132802</v>
      </c>
      <c r="O95" s="211">
        <f>IFERROR(__xludf.DUMMYFUNCTION("""COMPUTED_VALUE"""),9.0)</f>
        <v>9</v>
      </c>
      <c r="P95" s="211">
        <f>IFERROR(__xludf.DUMMYFUNCTION("""COMPUTED_VALUE"""),1903.0)</f>
        <v>1903</v>
      </c>
      <c r="Q95" s="211">
        <f>IFERROR(__xludf.DUMMYFUNCTION("""COMPUTED_VALUE"""),15.0)</f>
        <v>15</v>
      </c>
      <c r="R95" s="211">
        <f>IFERROR(__xludf.DUMMYFUNCTION("""COMPUTED_VALUE"""),1487.0)</f>
        <v>1487</v>
      </c>
      <c r="S95" s="211">
        <f>IFERROR(__xludf.DUMMYFUNCTION("""COMPUTED_VALUE"""),1.0)</f>
        <v>1</v>
      </c>
      <c r="T95" s="211">
        <f>IFERROR(__xludf.DUMMYFUNCTION("""COMPUTED_VALUE"""),285.0)</f>
        <v>285</v>
      </c>
      <c r="U95" s="211">
        <f>IFERROR(__xludf.DUMMYFUNCTION("""COMPUTED_VALUE"""),131.0)</f>
        <v>131</v>
      </c>
      <c r="V95" s="211">
        <f>IFERROR(__xludf.DUMMYFUNCTION("""COMPUTED_VALUE"""),139.0)</f>
        <v>139</v>
      </c>
      <c r="W95" s="211">
        <f>IFERROR(__xludf.DUMMYFUNCTION("""COMPUTED_VALUE"""),24.0)</f>
        <v>24</v>
      </c>
      <c r="X95" s="211">
        <f>IFERROR(__xludf.DUMMYFUNCTION("""COMPUTED_VALUE"""),16.0)</f>
        <v>16</v>
      </c>
      <c r="Y95" s="211">
        <f>IFERROR(__xludf.DUMMYFUNCTION("""COMPUTED_VALUE"""),2.0)</f>
        <v>2</v>
      </c>
      <c r="Z95" s="211">
        <f>IFERROR(__xludf.DUMMYFUNCTION("""COMPUTED_VALUE"""),900.0)</f>
        <v>900</v>
      </c>
    </row>
    <row r="96">
      <c r="A96" s="210">
        <f>IFERROR(__xludf.DUMMYFUNCTION("""COMPUTED_VALUE"""),43995.0)</f>
        <v>43995</v>
      </c>
      <c r="B96" s="211">
        <f>IFERROR(__xludf.DUMMYFUNCTION("""COMPUTED_VALUE"""),113.0)</f>
        <v>113</v>
      </c>
      <c r="C96" s="211">
        <f>IFERROR(__xludf.DUMMYFUNCTION("""COMPUTED_VALUE"""),172.0)</f>
        <v>172</v>
      </c>
      <c r="D96" s="211">
        <f>IFERROR(__xludf.DUMMYFUNCTION("""COMPUTED_VALUE"""),22768.0)</f>
        <v>22768</v>
      </c>
      <c r="E96" s="211">
        <f>IFERROR(__xludf.DUMMYFUNCTION("""COMPUTED_VALUE"""),3036.0)</f>
        <v>3036</v>
      </c>
      <c r="F96" s="153">
        <f>IFERROR(__xludf.DUMMYFUNCTION("""COMPUTED_VALUE"""),185554.0)</f>
        <v>185554</v>
      </c>
      <c r="G96" s="153">
        <f>IFERROR(__xludf.DUMMYFUNCTION("""COMPUTED_VALUE"""),3149.0)</f>
        <v>3149</v>
      </c>
      <c r="H96" s="153">
        <f>IFERROR(__xludf.DUMMYFUNCTION("""COMPUTED_VALUE"""),208322.0)</f>
        <v>208322</v>
      </c>
      <c r="I96" s="211">
        <f>IFERROR(__xludf.DUMMYFUNCTION("""COMPUTED_VALUE"""),49.0)</f>
        <v>49</v>
      </c>
      <c r="J96" s="211">
        <f>IFERROR(__xludf.DUMMYFUNCTION("""COMPUTED_VALUE"""),72.0)</f>
        <v>72</v>
      </c>
      <c r="K96" s="211">
        <f>IFERROR(__xludf.DUMMYFUNCTION("""COMPUTED_VALUE"""),16011.0)</f>
        <v>16011</v>
      </c>
      <c r="L96" s="211">
        <f>IFERROR(__xludf.DUMMYFUNCTION("""COMPUTED_VALUE"""),1373.0)</f>
        <v>1373</v>
      </c>
      <c r="M96" s="211">
        <f>IFERROR(__xludf.DUMMYFUNCTION("""COMPUTED_VALUE"""),118213.0)</f>
        <v>118213</v>
      </c>
      <c r="N96" s="211">
        <f>IFERROR(__xludf.DUMMYFUNCTION("""COMPUTED_VALUE"""),134224.0)</f>
        <v>134224</v>
      </c>
      <c r="O96" s="211">
        <f>IFERROR(__xludf.DUMMYFUNCTION("""COMPUTED_VALUE"""),6.0)</f>
        <v>6</v>
      </c>
      <c r="P96" s="211">
        <f>IFERROR(__xludf.DUMMYFUNCTION("""COMPUTED_VALUE"""),1909.0)</f>
        <v>1909</v>
      </c>
      <c r="Q96" s="211">
        <f>IFERROR(__xludf.DUMMYFUNCTION("""COMPUTED_VALUE"""),4.0)</f>
        <v>4</v>
      </c>
      <c r="R96" s="211">
        <f>IFERROR(__xludf.DUMMYFUNCTION("""COMPUTED_VALUE"""),1491.0)</f>
        <v>1491</v>
      </c>
      <c r="S96" s="211">
        <f>IFERROR(__xludf.DUMMYFUNCTION("""COMPUTED_VALUE"""),0.0)</f>
        <v>0</v>
      </c>
      <c r="T96" s="211">
        <f>IFERROR(__xludf.DUMMYFUNCTION("""COMPUTED_VALUE"""),285.0)</f>
        <v>285</v>
      </c>
      <c r="U96" s="211">
        <f>IFERROR(__xludf.DUMMYFUNCTION("""COMPUTED_VALUE"""),133.0)</f>
        <v>133</v>
      </c>
      <c r="V96" s="211">
        <f>IFERROR(__xludf.DUMMYFUNCTION("""COMPUTED_VALUE"""),134.0)</f>
        <v>134</v>
      </c>
      <c r="W96" s="211">
        <f>IFERROR(__xludf.DUMMYFUNCTION("""COMPUTED_VALUE"""),20.0)</f>
        <v>20</v>
      </c>
      <c r="X96" s="211">
        <f>IFERROR(__xludf.DUMMYFUNCTION("""COMPUTED_VALUE"""),15.0)</f>
        <v>15</v>
      </c>
      <c r="Y96" s="211">
        <f>IFERROR(__xludf.DUMMYFUNCTION("""COMPUTED_VALUE"""),3.0)</f>
        <v>3</v>
      </c>
      <c r="Z96" s="211">
        <f>IFERROR(__xludf.DUMMYFUNCTION("""COMPUTED_VALUE"""),903.0)</f>
        <v>903</v>
      </c>
    </row>
    <row r="97">
      <c r="A97" s="210">
        <f>IFERROR(__xludf.DUMMYFUNCTION("""COMPUTED_VALUE"""),43996.0)</f>
        <v>43996</v>
      </c>
      <c r="B97" s="211">
        <f>IFERROR(__xludf.DUMMYFUNCTION("""COMPUTED_VALUE"""),81.0)</f>
        <v>81</v>
      </c>
      <c r="C97" s="211">
        <f>IFERROR(__xludf.DUMMYFUNCTION("""COMPUTED_VALUE"""),134.0)</f>
        <v>134</v>
      </c>
      <c r="D97" s="211">
        <f>IFERROR(__xludf.DUMMYFUNCTION("""COMPUTED_VALUE"""),22849.0)</f>
        <v>22849</v>
      </c>
      <c r="E97" s="211">
        <f>IFERROR(__xludf.DUMMYFUNCTION("""COMPUTED_VALUE"""),2046.0)</f>
        <v>2046</v>
      </c>
      <c r="F97" s="153">
        <f>IFERROR(__xludf.DUMMYFUNCTION("""COMPUTED_VALUE"""),187600.0)</f>
        <v>187600</v>
      </c>
      <c r="G97" s="153">
        <f>IFERROR(__xludf.DUMMYFUNCTION("""COMPUTED_VALUE"""),2127.0)</f>
        <v>2127</v>
      </c>
      <c r="H97" s="153">
        <f>IFERROR(__xludf.DUMMYFUNCTION("""COMPUTED_VALUE"""),210449.0)</f>
        <v>210449</v>
      </c>
      <c r="I97" s="211">
        <f>IFERROR(__xludf.DUMMYFUNCTION("""COMPUTED_VALUE"""),33.0)</f>
        <v>33</v>
      </c>
      <c r="J97" s="211">
        <f>IFERROR(__xludf.DUMMYFUNCTION("""COMPUTED_VALUE"""),53.0)</f>
        <v>53</v>
      </c>
      <c r="K97" s="211">
        <f>IFERROR(__xludf.DUMMYFUNCTION("""COMPUTED_VALUE"""),16044.0)</f>
        <v>16044</v>
      </c>
      <c r="L97" s="211">
        <f>IFERROR(__xludf.DUMMYFUNCTION("""COMPUTED_VALUE"""),968.0)</f>
        <v>968</v>
      </c>
      <c r="M97" s="211">
        <f>IFERROR(__xludf.DUMMYFUNCTION("""COMPUTED_VALUE"""),119181.0)</f>
        <v>119181</v>
      </c>
      <c r="N97" s="211">
        <f>IFERROR(__xludf.DUMMYFUNCTION("""COMPUTED_VALUE"""),135225.0)</f>
        <v>135225</v>
      </c>
      <c r="O97" s="211">
        <f>IFERROR(__xludf.DUMMYFUNCTION("""COMPUTED_VALUE"""),7.0)</f>
        <v>7</v>
      </c>
      <c r="P97" s="211">
        <f>IFERROR(__xludf.DUMMYFUNCTION("""COMPUTED_VALUE"""),1916.0)</f>
        <v>1916</v>
      </c>
      <c r="Q97" s="211">
        <f>IFERROR(__xludf.DUMMYFUNCTION("""COMPUTED_VALUE"""),8.0)</f>
        <v>8</v>
      </c>
      <c r="R97" s="211">
        <f>IFERROR(__xludf.DUMMYFUNCTION("""COMPUTED_VALUE"""),1499.0)</f>
        <v>1499</v>
      </c>
      <c r="S97" s="211">
        <f>IFERROR(__xludf.DUMMYFUNCTION("""COMPUTED_VALUE"""),1.0)</f>
        <v>1</v>
      </c>
      <c r="T97" s="211">
        <f>IFERROR(__xludf.DUMMYFUNCTION("""COMPUTED_VALUE"""),286.0)</f>
        <v>286</v>
      </c>
      <c r="U97" s="211">
        <f>IFERROR(__xludf.DUMMYFUNCTION("""COMPUTED_VALUE"""),131.0)</f>
        <v>131</v>
      </c>
      <c r="V97" s="211">
        <f>IFERROR(__xludf.DUMMYFUNCTION("""COMPUTED_VALUE"""),132.0)</f>
        <v>132</v>
      </c>
      <c r="W97" s="211">
        <f>IFERROR(__xludf.DUMMYFUNCTION("""COMPUTED_VALUE"""),20.0)</f>
        <v>20</v>
      </c>
      <c r="X97" s="211">
        <f>IFERROR(__xludf.DUMMYFUNCTION("""COMPUTED_VALUE"""),14.0)</f>
        <v>14</v>
      </c>
      <c r="Y97" s="211">
        <f>IFERROR(__xludf.DUMMYFUNCTION("""COMPUTED_VALUE"""),3.0)</f>
        <v>3</v>
      </c>
      <c r="Z97" s="211">
        <f>IFERROR(__xludf.DUMMYFUNCTION("""COMPUTED_VALUE"""),906.0)</f>
        <v>906</v>
      </c>
    </row>
    <row r="98">
      <c r="A98" s="210">
        <f>IFERROR(__xludf.DUMMYFUNCTION("""COMPUTED_VALUE"""),43997.0)</f>
        <v>43997</v>
      </c>
      <c r="B98" s="211">
        <f>IFERROR(__xludf.DUMMYFUNCTION("""COMPUTED_VALUE"""),188.0)</f>
        <v>188</v>
      </c>
      <c r="C98" s="211">
        <f>IFERROR(__xludf.DUMMYFUNCTION("""COMPUTED_VALUE"""),127.0)</f>
        <v>127</v>
      </c>
      <c r="D98" s="211">
        <f>IFERROR(__xludf.DUMMYFUNCTION("""COMPUTED_VALUE"""),23037.0)</f>
        <v>23037</v>
      </c>
      <c r="E98" s="211">
        <f>IFERROR(__xludf.DUMMYFUNCTION("""COMPUTED_VALUE"""),3108.0)</f>
        <v>3108</v>
      </c>
      <c r="F98" s="153">
        <f>IFERROR(__xludf.DUMMYFUNCTION("""COMPUTED_VALUE"""),190708.0)</f>
        <v>190708</v>
      </c>
      <c r="G98" s="153">
        <f>IFERROR(__xludf.DUMMYFUNCTION("""COMPUTED_VALUE"""),3296.0)</f>
        <v>3296</v>
      </c>
      <c r="H98" s="153">
        <f>IFERROR(__xludf.DUMMYFUNCTION("""COMPUTED_VALUE"""),213745.0)</f>
        <v>213745</v>
      </c>
      <c r="I98" s="211">
        <f>IFERROR(__xludf.DUMMYFUNCTION("""COMPUTED_VALUE"""),75.0)</f>
        <v>75</v>
      </c>
      <c r="J98" s="211">
        <f>IFERROR(__xludf.DUMMYFUNCTION("""COMPUTED_VALUE"""),52.0)</f>
        <v>52</v>
      </c>
      <c r="K98" s="211">
        <f>IFERROR(__xludf.DUMMYFUNCTION("""COMPUTED_VALUE"""),16119.0)</f>
        <v>16119</v>
      </c>
      <c r="L98" s="211">
        <f>IFERROR(__xludf.DUMMYFUNCTION("""COMPUTED_VALUE"""),1791.0)</f>
        <v>1791</v>
      </c>
      <c r="M98" s="211">
        <f>IFERROR(__xludf.DUMMYFUNCTION("""COMPUTED_VALUE"""),120972.0)</f>
        <v>120972</v>
      </c>
      <c r="N98" s="211">
        <f>IFERROR(__xludf.DUMMYFUNCTION("""COMPUTED_VALUE"""),137091.0)</f>
        <v>137091</v>
      </c>
      <c r="O98" s="211">
        <f>IFERROR(__xludf.DUMMYFUNCTION("""COMPUTED_VALUE"""),14.0)</f>
        <v>14</v>
      </c>
      <c r="P98" s="211">
        <f>IFERROR(__xludf.DUMMYFUNCTION("""COMPUTED_VALUE"""),1930.0)</f>
        <v>1930</v>
      </c>
      <c r="Q98" s="211">
        <f>IFERROR(__xludf.DUMMYFUNCTION("""COMPUTED_VALUE"""),14.0)</f>
        <v>14</v>
      </c>
      <c r="R98" s="211">
        <f>IFERROR(__xludf.DUMMYFUNCTION("""COMPUTED_VALUE"""),1513.0)</f>
        <v>1513</v>
      </c>
      <c r="S98" s="211">
        <f>IFERROR(__xludf.DUMMYFUNCTION("""COMPUTED_VALUE"""),0.0)</f>
        <v>0</v>
      </c>
      <c r="T98" s="211">
        <f>IFERROR(__xludf.DUMMYFUNCTION("""COMPUTED_VALUE"""),286.0)</f>
        <v>286</v>
      </c>
      <c r="U98" s="211">
        <f>IFERROR(__xludf.DUMMYFUNCTION("""COMPUTED_VALUE"""),131.0)</f>
        <v>131</v>
      </c>
      <c r="V98" s="211">
        <f>IFERROR(__xludf.DUMMYFUNCTION("""COMPUTED_VALUE"""),132.0)</f>
        <v>132</v>
      </c>
      <c r="W98" s="211">
        <f>IFERROR(__xludf.DUMMYFUNCTION("""COMPUTED_VALUE"""),20.0)</f>
        <v>20</v>
      </c>
      <c r="X98" s="211">
        <f>IFERROR(__xludf.DUMMYFUNCTION("""COMPUTED_VALUE"""),16.0)</f>
        <v>16</v>
      </c>
      <c r="Y98" s="211">
        <f>IFERROR(__xludf.DUMMYFUNCTION("""COMPUTED_VALUE"""),5.0)</f>
        <v>5</v>
      </c>
      <c r="Z98" s="211">
        <f>IFERROR(__xludf.DUMMYFUNCTION("""COMPUTED_VALUE"""),911.0)</f>
        <v>911</v>
      </c>
    </row>
    <row r="99">
      <c r="A99" s="210">
        <f>IFERROR(__xludf.DUMMYFUNCTION("""COMPUTED_VALUE"""),43998.0)</f>
        <v>43998</v>
      </c>
      <c r="B99" s="211">
        <f>IFERROR(__xludf.DUMMYFUNCTION("""COMPUTED_VALUE"""),110.0)</f>
        <v>110</v>
      </c>
      <c r="C99" s="211">
        <f>IFERROR(__xludf.DUMMYFUNCTION("""COMPUTED_VALUE"""),126.0)</f>
        <v>126</v>
      </c>
      <c r="D99" s="211">
        <f>IFERROR(__xludf.DUMMYFUNCTION("""COMPUTED_VALUE"""),23147.0)</f>
        <v>23147</v>
      </c>
      <c r="E99" s="211">
        <f>IFERROR(__xludf.DUMMYFUNCTION("""COMPUTED_VALUE"""),3017.0)</f>
        <v>3017</v>
      </c>
      <c r="F99" s="153">
        <f>IFERROR(__xludf.DUMMYFUNCTION("""COMPUTED_VALUE"""),193725.0)</f>
        <v>193725</v>
      </c>
      <c r="G99" s="153">
        <f>IFERROR(__xludf.DUMMYFUNCTION("""COMPUTED_VALUE"""),3127.0)</f>
        <v>3127</v>
      </c>
      <c r="H99" s="153">
        <f>IFERROR(__xludf.DUMMYFUNCTION("""COMPUTED_VALUE"""),216872.0)</f>
        <v>216872</v>
      </c>
      <c r="I99" s="211">
        <f>IFERROR(__xludf.DUMMYFUNCTION("""COMPUTED_VALUE"""),50.0)</f>
        <v>50</v>
      </c>
      <c r="J99" s="211">
        <f>IFERROR(__xludf.DUMMYFUNCTION("""COMPUTED_VALUE"""),53.0)</f>
        <v>53</v>
      </c>
      <c r="K99" s="211">
        <f>IFERROR(__xludf.DUMMYFUNCTION("""COMPUTED_VALUE"""),16169.0)</f>
        <v>16169</v>
      </c>
      <c r="L99" s="211">
        <f>IFERROR(__xludf.DUMMYFUNCTION("""COMPUTED_VALUE"""),1578.0)</f>
        <v>1578</v>
      </c>
      <c r="M99" s="211">
        <f>IFERROR(__xludf.DUMMYFUNCTION("""COMPUTED_VALUE"""),122550.0)</f>
        <v>122550</v>
      </c>
      <c r="N99" s="211">
        <f>IFERROR(__xludf.DUMMYFUNCTION("""COMPUTED_VALUE"""),138719.0)</f>
        <v>138719</v>
      </c>
      <c r="O99" s="211">
        <f>IFERROR(__xludf.DUMMYFUNCTION("""COMPUTED_VALUE"""),10.0)</f>
        <v>10</v>
      </c>
      <c r="P99" s="211">
        <f>IFERROR(__xludf.DUMMYFUNCTION("""COMPUTED_VALUE"""),1940.0)</f>
        <v>1940</v>
      </c>
      <c r="Q99" s="211">
        <f>IFERROR(__xludf.DUMMYFUNCTION("""COMPUTED_VALUE"""),9.0)</f>
        <v>9</v>
      </c>
      <c r="R99" s="211">
        <f>IFERROR(__xludf.DUMMYFUNCTION("""COMPUTED_VALUE"""),1522.0)</f>
        <v>1522</v>
      </c>
      <c r="S99" s="211">
        <f>IFERROR(__xludf.DUMMYFUNCTION("""COMPUTED_VALUE"""),1.0)</f>
        <v>1</v>
      </c>
      <c r="T99" s="211">
        <f>IFERROR(__xludf.DUMMYFUNCTION("""COMPUTED_VALUE"""),287.0)</f>
        <v>287</v>
      </c>
      <c r="U99" s="211">
        <f>IFERROR(__xludf.DUMMYFUNCTION("""COMPUTED_VALUE"""),131.0)</f>
        <v>131</v>
      </c>
      <c r="V99" s="211">
        <f>IFERROR(__xludf.DUMMYFUNCTION("""COMPUTED_VALUE"""),131.0)</f>
        <v>131</v>
      </c>
      <c r="W99" s="211">
        <f>IFERROR(__xludf.DUMMYFUNCTION("""COMPUTED_VALUE"""),22.0)</f>
        <v>22</v>
      </c>
      <c r="X99" s="211">
        <f>IFERROR(__xludf.DUMMYFUNCTION("""COMPUTED_VALUE"""),16.0)</f>
        <v>16</v>
      </c>
      <c r="Y99" s="211">
        <f>IFERROR(__xludf.DUMMYFUNCTION("""COMPUTED_VALUE"""),8.0)</f>
        <v>8</v>
      </c>
      <c r="Z99" s="211">
        <f>IFERROR(__xludf.DUMMYFUNCTION("""COMPUTED_VALUE"""),919.0)</f>
        <v>919</v>
      </c>
    </row>
    <row r="100">
      <c r="A100" s="210">
        <f>IFERROR(__xludf.DUMMYFUNCTION("""COMPUTED_VALUE"""),43999.0)</f>
        <v>43999</v>
      </c>
      <c r="B100" s="211">
        <f>IFERROR(__xludf.DUMMYFUNCTION("""COMPUTED_VALUE"""),127.0)</f>
        <v>127</v>
      </c>
      <c r="C100" s="211">
        <f>IFERROR(__xludf.DUMMYFUNCTION("""COMPUTED_VALUE"""),142.0)</f>
        <v>142</v>
      </c>
      <c r="D100" s="211">
        <f>IFERROR(__xludf.DUMMYFUNCTION("""COMPUTED_VALUE"""),23274.0)</f>
        <v>23274</v>
      </c>
      <c r="E100" s="211">
        <f>IFERROR(__xludf.DUMMYFUNCTION("""COMPUTED_VALUE"""),2835.0)</f>
        <v>2835</v>
      </c>
      <c r="F100" s="153">
        <f>IFERROR(__xludf.DUMMYFUNCTION("""COMPUTED_VALUE"""),196560.0)</f>
        <v>196560</v>
      </c>
      <c r="G100" s="153">
        <f>IFERROR(__xludf.DUMMYFUNCTION("""COMPUTED_VALUE"""),2962.0)</f>
        <v>2962</v>
      </c>
      <c r="H100" s="153">
        <f>IFERROR(__xludf.DUMMYFUNCTION("""COMPUTED_VALUE"""),219834.0)</f>
        <v>219834</v>
      </c>
      <c r="I100" s="211">
        <f>IFERROR(__xludf.DUMMYFUNCTION("""COMPUTED_VALUE"""),50.0)</f>
        <v>50</v>
      </c>
      <c r="J100" s="211">
        <f>IFERROR(__xludf.DUMMYFUNCTION("""COMPUTED_VALUE"""),58.0)</f>
        <v>58</v>
      </c>
      <c r="K100" s="211">
        <f>IFERROR(__xludf.DUMMYFUNCTION("""COMPUTED_VALUE"""),16219.0)</f>
        <v>16219</v>
      </c>
      <c r="L100" s="211">
        <f>IFERROR(__xludf.DUMMYFUNCTION("""COMPUTED_VALUE"""),1319.0)</f>
        <v>1319</v>
      </c>
      <c r="M100" s="211">
        <f>IFERROR(__xludf.DUMMYFUNCTION("""COMPUTED_VALUE"""),123869.0)</f>
        <v>123869</v>
      </c>
      <c r="N100" s="211">
        <f>IFERROR(__xludf.DUMMYFUNCTION("""COMPUTED_VALUE"""),140088.0)</f>
        <v>140088</v>
      </c>
      <c r="O100" s="211">
        <f>IFERROR(__xludf.DUMMYFUNCTION("""COMPUTED_VALUE"""),15.0)</f>
        <v>15</v>
      </c>
      <c r="P100" s="211">
        <f>IFERROR(__xludf.DUMMYFUNCTION("""COMPUTED_VALUE"""),1955.0)</f>
        <v>1955</v>
      </c>
      <c r="Q100" s="211">
        <f>IFERROR(__xludf.DUMMYFUNCTION("""COMPUTED_VALUE"""),20.0)</f>
        <v>20</v>
      </c>
      <c r="R100" s="211">
        <f>IFERROR(__xludf.DUMMYFUNCTION("""COMPUTED_VALUE"""),1542.0)</f>
        <v>1542</v>
      </c>
      <c r="S100" s="211">
        <f>IFERROR(__xludf.DUMMYFUNCTION("""COMPUTED_VALUE"""),4.0)</f>
        <v>4</v>
      </c>
      <c r="T100" s="211">
        <f>IFERROR(__xludf.DUMMYFUNCTION("""COMPUTED_VALUE"""),291.0)</f>
        <v>291</v>
      </c>
      <c r="U100" s="211">
        <f>IFERROR(__xludf.DUMMYFUNCTION("""COMPUTED_VALUE"""),122.0)</f>
        <v>122</v>
      </c>
      <c r="V100" s="211">
        <f>IFERROR(__xludf.DUMMYFUNCTION("""COMPUTED_VALUE"""),128.0)</f>
        <v>128</v>
      </c>
      <c r="W100" s="211">
        <f>IFERROR(__xludf.DUMMYFUNCTION("""COMPUTED_VALUE"""),18.0)</f>
        <v>18</v>
      </c>
      <c r="X100" s="211">
        <f>IFERROR(__xludf.DUMMYFUNCTION("""COMPUTED_VALUE"""),14.0)</f>
        <v>14</v>
      </c>
      <c r="Y100" s="211">
        <f>IFERROR(__xludf.DUMMYFUNCTION("""COMPUTED_VALUE"""),6.0)</f>
        <v>6</v>
      </c>
      <c r="Z100" s="211">
        <f>IFERROR(__xludf.DUMMYFUNCTION("""COMPUTED_VALUE"""),925.0)</f>
        <v>925</v>
      </c>
    </row>
    <row r="101">
      <c r="A101" s="210">
        <f>IFERROR(__xludf.DUMMYFUNCTION("""COMPUTED_VALUE"""),44000.0)</f>
        <v>44000</v>
      </c>
      <c r="B101" s="211">
        <f>IFERROR(__xludf.DUMMYFUNCTION("""COMPUTED_VALUE"""),149.0)</f>
        <v>149</v>
      </c>
      <c r="C101" s="211">
        <f>IFERROR(__xludf.DUMMYFUNCTION("""COMPUTED_VALUE"""),129.0)</f>
        <v>129</v>
      </c>
      <c r="D101" s="211">
        <f>IFERROR(__xludf.DUMMYFUNCTION("""COMPUTED_VALUE"""),23423.0)</f>
        <v>23423</v>
      </c>
      <c r="E101" s="211">
        <f>IFERROR(__xludf.DUMMYFUNCTION("""COMPUTED_VALUE"""),3047.0)</f>
        <v>3047</v>
      </c>
      <c r="F101" s="153">
        <f>IFERROR(__xludf.DUMMYFUNCTION("""COMPUTED_VALUE"""),199607.0)</f>
        <v>199607</v>
      </c>
      <c r="G101" s="153">
        <f>IFERROR(__xludf.DUMMYFUNCTION("""COMPUTED_VALUE"""),3196.0)</f>
        <v>3196</v>
      </c>
      <c r="H101" s="153">
        <f>IFERROR(__xludf.DUMMYFUNCTION("""COMPUTED_VALUE"""),223030.0)</f>
        <v>223030</v>
      </c>
      <c r="I101" s="211">
        <f>IFERROR(__xludf.DUMMYFUNCTION("""COMPUTED_VALUE"""),70.0)</f>
        <v>70</v>
      </c>
      <c r="J101" s="211">
        <f>IFERROR(__xludf.DUMMYFUNCTION("""COMPUTED_VALUE"""),57.0)</f>
        <v>57</v>
      </c>
      <c r="K101" s="211">
        <f>IFERROR(__xludf.DUMMYFUNCTION("""COMPUTED_VALUE"""),16289.0)</f>
        <v>16289</v>
      </c>
      <c r="L101" s="211">
        <f>IFERROR(__xludf.DUMMYFUNCTION("""COMPUTED_VALUE"""),1314.0)</f>
        <v>1314</v>
      </c>
      <c r="M101" s="211">
        <f>IFERROR(__xludf.DUMMYFUNCTION("""COMPUTED_VALUE"""),125183.0)</f>
        <v>125183</v>
      </c>
      <c r="N101" s="211">
        <f>IFERROR(__xludf.DUMMYFUNCTION("""COMPUTED_VALUE"""),141472.0)</f>
        <v>141472</v>
      </c>
      <c r="O101" s="211">
        <f>IFERROR(__xludf.DUMMYFUNCTION("""COMPUTED_VALUE"""),9.0)</f>
        <v>9</v>
      </c>
      <c r="P101" s="211">
        <f>IFERROR(__xludf.DUMMYFUNCTION("""COMPUTED_VALUE"""),1964.0)</f>
        <v>1964</v>
      </c>
      <c r="Q101" s="211">
        <f>IFERROR(__xludf.DUMMYFUNCTION("""COMPUTED_VALUE"""),13.0)</f>
        <v>13</v>
      </c>
      <c r="R101" s="211">
        <f>IFERROR(__xludf.DUMMYFUNCTION("""COMPUTED_VALUE"""),1555.0)</f>
        <v>1555</v>
      </c>
      <c r="S101" s="211">
        <f>IFERROR(__xludf.DUMMYFUNCTION("""COMPUTED_VALUE"""),1.0)</f>
        <v>1</v>
      </c>
      <c r="T101" s="211">
        <f>IFERROR(__xludf.DUMMYFUNCTION("""COMPUTED_VALUE"""),292.0)</f>
        <v>292</v>
      </c>
      <c r="U101" s="211">
        <f>IFERROR(__xludf.DUMMYFUNCTION("""COMPUTED_VALUE"""),117.0)</f>
        <v>117</v>
      </c>
      <c r="V101" s="211">
        <f>IFERROR(__xludf.DUMMYFUNCTION("""COMPUTED_VALUE"""),123.0)</f>
        <v>123</v>
      </c>
      <c r="W101" s="211">
        <f>IFERROR(__xludf.DUMMYFUNCTION("""COMPUTED_VALUE"""),19.0)</f>
        <v>19</v>
      </c>
      <c r="X101" s="211">
        <f>IFERROR(__xludf.DUMMYFUNCTION("""COMPUTED_VALUE"""),16.0)</f>
        <v>16</v>
      </c>
      <c r="Y101" s="211">
        <f>IFERROR(__xludf.DUMMYFUNCTION("""COMPUTED_VALUE"""),7.0)</f>
        <v>7</v>
      </c>
      <c r="Z101" s="211">
        <f>IFERROR(__xludf.DUMMYFUNCTION("""COMPUTED_VALUE"""),932.0)</f>
        <v>932</v>
      </c>
    </row>
    <row r="102">
      <c r="A102" s="210">
        <f>IFERROR(__xludf.DUMMYFUNCTION("""COMPUTED_VALUE"""),44001.0)</f>
        <v>44001</v>
      </c>
      <c r="B102" s="211">
        <f>IFERROR(__xludf.DUMMYFUNCTION("""COMPUTED_VALUE"""),141.0)</f>
        <v>141</v>
      </c>
      <c r="C102" s="211">
        <f>IFERROR(__xludf.DUMMYFUNCTION("""COMPUTED_VALUE"""),139.0)</f>
        <v>139</v>
      </c>
      <c r="D102" s="211">
        <f>IFERROR(__xludf.DUMMYFUNCTION("""COMPUTED_VALUE"""),23564.0)</f>
        <v>23564</v>
      </c>
      <c r="E102" s="211">
        <f>IFERROR(__xludf.DUMMYFUNCTION("""COMPUTED_VALUE"""),3769.0)</f>
        <v>3769</v>
      </c>
      <c r="F102" s="153">
        <f>IFERROR(__xludf.DUMMYFUNCTION("""COMPUTED_VALUE"""),203376.0)</f>
        <v>203376</v>
      </c>
      <c r="G102" s="153">
        <f>IFERROR(__xludf.DUMMYFUNCTION("""COMPUTED_VALUE"""),3910.0)</f>
        <v>3910</v>
      </c>
      <c r="H102" s="153">
        <f>IFERROR(__xludf.DUMMYFUNCTION("""COMPUTED_VALUE"""),226940.0)</f>
        <v>226940</v>
      </c>
      <c r="I102" s="211">
        <f>IFERROR(__xludf.DUMMYFUNCTION("""COMPUTED_VALUE"""),59.0)</f>
        <v>59</v>
      </c>
      <c r="J102" s="211">
        <f>IFERROR(__xludf.DUMMYFUNCTION("""COMPUTED_VALUE"""),60.0)</f>
        <v>60</v>
      </c>
      <c r="K102" s="211">
        <f>IFERROR(__xludf.DUMMYFUNCTION("""COMPUTED_VALUE"""),16348.0)</f>
        <v>16348</v>
      </c>
      <c r="L102" s="211">
        <f>IFERROR(__xludf.DUMMYFUNCTION("""COMPUTED_VALUE"""),1372.0)</f>
        <v>1372</v>
      </c>
      <c r="M102" s="211">
        <f>IFERROR(__xludf.DUMMYFUNCTION("""COMPUTED_VALUE"""),126555.0)</f>
        <v>126555</v>
      </c>
      <c r="N102" s="211">
        <f>IFERROR(__xludf.DUMMYFUNCTION("""COMPUTED_VALUE"""),142903.0)</f>
        <v>142903</v>
      </c>
      <c r="O102" s="211">
        <f>IFERROR(__xludf.DUMMYFUNCTION("""COMPUTED_VALUE"""),12.0)</f>
        <v>12</v>
      </c>
      <c r="P102" s="211">
        <f>IFERROR(__xludf.DUMMYFUNCTION("""COMPUTED_VALUE"""),1976.0)</f>
        <v>1976</v>
      </c>
      <c r="Q102" s="211">
        <f>IFERROR(__xludf.DUMMYFUNCTION("""COMPUTED_VALUE"""),11.0)</f>
        <v>11</v>
      </c>
      <c r="R102" s="211">
        <f>IFERROR(__xludf.DUMMYFUNCTION("""COMPUTED_VALUE"""),1566.0)</f>
        <v>1566</v>
      </c>
      <c r="S102" s="211">
        <f>IFERROR(__xludf.DUMMYFUNCTION("""COMPUTED_VALUE"""),1.0)</f>
        <v>1</v>
      </c>
      <c r="T102" s="211">
        <f>IFERROR(__xludf.DUMMYFUNCTION("""COMPUTED_VALUE"""),293.0)</f>
        <v>293</v>
      </c>
      <c r="U102" s="211">
        <f>IFERROR(__xludf.DUMMYFUNCTION("""COMPUTED_VALUE"""),117.0)</f>
        <v>117</v>
      </c>
      <c r="V102" s="211">
        <f>IFERROR(__xludf.DUMMYFUNCTION("""COMPUTED_VALUE"""),119.0)</f>
        <v>119</v>
      </c>
      <c r="W102" s="211">
        <f>IFERROR(__xludf.DUMMYFUNCTION("""COMPUTED_VALUE"""),20.0)</f>
        <v>20</v>
      </c>
      <c r="X102" s="211">
        <f>IFERROR(__xludf.DUMMYFUNCTION("""COMPUTED_VALUE"""),17.0)</f>
        <v>17</v>
      </c>
      <c r="Y102" s="211">
        <f>IFERROR(__xludf.DUMMYFUNCTION("""COMPUTED_VALUE"""),3.0)</f>
        <v>3</v>
      </c>
      <c r="Z102" s="211">
        <f>IFERROR(__xludf.DUMMYFUNCTION("""COMPUTED_VALUE"""),935.0)</f>
        <v>935</v>
      </c>
    </row>
    <row r="103">
      <c r="A103" s="210">
        <f>IFERROR(__xludf.DUMMYFUNCTION("""COMPUTED_VALUE"""),44002.0)</f>
        <v>44002</v>
      </c>
      <c r="B103" s="211">
        <f>IFERROR(__xludf.DUMMYFUNCTION("""COMPUTED_VALUE"""),84.0)</f>
        <v>84</v>
      </c>
      <c r="C103" s="211">
        <f>IFERROR(__xludf.DUMMYFUNCTION("""COMPUTED_VALUE"""),125.0)</f>
        <v>125</v>
      </c>
      <c r="D103" s="211">
        <f>IFERROR(__xludf.DUMMYFUNCTION("""COMPUTED_VALUE"""),23648.0)</f>
        <v>23648</v>
      </c>
      <c r="E103" s="211">
        <f>IFERROR(__xludf.DUMMYFUNCTION("""COMPUTED_VALUE"""),1891.0)</f>
        <v>1891</v>
      </c>
      <c r="F103" s="153">
        <f>IFERROR(__xludf.DUMMYFUNCTION("""COMPUTED_VALUE"""),205267.0)</f>
        <v>205267</v>
      </c>
      <c r="G103" s="153">
        <f>IFERROR(__xludf.DUMMYFUNCTION("""COMPUTED_VALUE"""),1975.0)</f>
        <v>1975</v>
      </c>
      <c r="H103" s="153">
        <f>IFERROR(__xludf.DUMMYFUNCTION("""COMPUTED_VALUE"""),228915.0)</f>
        <v>228915</v>
      </c>
      <c r="I103" s="211">
        <f>IFERROR(__xludf.DUMMYFUNCTION("""COMPUTED_VALUE"""),36.0)</f>
        <v>36</v>
      </c>
      <c r="J103" s="211">
        <f>IFERROR(__xludf.DUMMYFUNCTION("""COMPUTED_VALUE"""),55.0)</f>
        <v>55</v>
      </c>
      <c r="K103" s="211">
        <f>IFERROR(__xludf.DUMMYFUNCTION("""COMPUTED_VALUE"""),16384.0)</f>
        <v>16384</v>
      </c>
      <c r="L103" s="211">
        <f>IFERROR(__xludf.DUMMYFUNCTION("""COMPUTED_VALUE"""),813.0)</f>
        <v>813</v>
      </c>
      <c r="M103" s="211">
        <f>IFERROR(__xludf.DUMMYFUNCTION("""COMPUTED_VALUE"""),127368.0)</f>
        <v>127368</v>
      </c>
      <c r="N103" s="211">
        <f>IFERROR(__xludf.DUMMYFUNCTION("""COMPUTED_VALUE"""),143752.0)</f>
        <v>143752</v>
      </c>
      <c r="O103" s="211">
        <f>IFERROR(__xludf.DUMMYFUNCTION("""COMPUTED_VALUE"""),9.0)</f>
        <v>9</v>
      </c>
      <c r="P103" s="211">
        <f>IFERROR(__xludf.DUMMYFUNCTION("""COMPUTED_VALUE"""),1985.0)</f>
        <v>1985</v>
      </c>
      <c r="Q103" s="211">
        <f>IFERROR(__xludf.DUMMYFUNCTION("""COMPUTED_VALUE"""),12.0)</f>
        <v>12</v>
      </c>
      <c r="R103" s="211">
        <f>IFERROR(__xludf.DUMMYFUNCTION("""COMPUTED_VALUE"""),1578.0)</f>
        <v>1578</v>
      </c>
      <c r="S103" s="211">
        <f>IFERROR(__xludf.DUMMYFUNCTION("""COMPUTED_VALUE"""),0.0)</f>
        <v>0</v>
      </c>
      <c r="T103" s="211">
        <f>IFERROR(__xludf.DUMMYFUNCTION("""COMPUTED_VALUE"""),293.0)</f>
        <v>293</v>
      </c>
      <c r="U103" s="211">
        <f>IFERROR(__xludf.DUMMYFUNCTION("""COMPUTED_VALUE"""),114.0)</f>
        <v>114</v>
      </c>
      <c r="V103" s="211">
        <f>IFERROR(__xludf.DUMMYFUNCTION("""COMPUTED_VALUE"""),116.0)</f>
        <v>116</v>
      </c>
      <c r="W103" s="211">
        <f>IFERROR(__xludf.DUMMYFUNCTION("""COMPUTED_VALUE"""),20.0)</f>
        <v>20</v>
      </c>
      <c r="X103" s="211">
        <f>IFERROR(__xludf.DUMMYFUNCTION("""COMPUTED_VALUE"""),18.0)</f>
        <v>18</v>
      </c>
      <c r="Y103" s="211">
        <f>IFERROR(__xludf.DUMMYFUNCTION("""COMPUTED_VALUE"""),4.0)</f>
        <v>4</v>
      </c>
      <c r="Z103" s="211">
        <f>IFERROR(__xludf.DUMMYFUNCTION("""COMPUTED_VALUE"""),939.0)</f>
        <v>939</v>
      </c>
    </row>
    <row r="104">
      <c r="A104" s="210">
        <f>IFERROR(__xludf.DUMMYFUNCTION("""COMPUTED_VALUE"""),44003.0)</f>
        <v>44003</v>
      </c>
      <c r="B104" s="211">
        <f>IFERROR(__xludf.DUMMYFUNCTION("""COMPUTED_VALUE"""),37.0)</f>
        <v>37</v>
      </c>
      <c r="C104" s="211">
        <f>IFERROR(__xludf.DUMMYFUNCTION("""COMPUTED_VALUE"""),87.0)</f>
        <v>87</v>
      </c>
      <c r="D104" s="211">
        <f>IFERROR(__xludf.DUMMYFUNCTION("""COMPUTED_VALUE"""),23685.0)</f>
        <v>23685</v>
      </c>
      <c r="E104" s="211">
        <f>IFERROR(__xludf.DUMMYFUNCTION("""COMPUTED_VALUE"""),1064.0)</f>
        <v>1064</v>
      </c>
      <c r="F104" s="153">
        <f>IFERROR(__xludf.DUMMYFUNCTION("""COMPUTED_VALUE"""),206331.0)</f>
        <v>206331</v>
      </c>
      <c r="G104" s="153">
        <f>IFERROR(__xludf.DUMMYFUNCTION("""COMPUTED_VALUE"""),1101.0)</f>
        <v>1101</v>
      </c>
      <c r="H104" s="153">
        <f>IFERROR(__xludf.DUMMYFUNCTION("""COMPUTED_VALUE"""),230016.0)</f>
        <v>230016</v>
      </c>
      <c r="I104" s="211">
        <f>IFERROR(__xludf.DUMMYFUNCTION("""COMPUTED_VALUE"""),29.0)</f>
        <v>29</v>
      </c>
      <c r="J104" s="211">
        <f>IFERROR(__xludf.DUMMYFUNCTION("""COMPUTED_VALUE"""),41.0)</f>
        <v>41</v>
      </c>
      <c r="K104" s="211">
        <f>IFERROR(__xludf.DUMMYFUNCTION("""COMPUTED_VALUE"""),16413.0)</f>
        <v>16413</v>
      </c>
      <c r="L104" s="211">
        <f>IFERROR(__xludf.DUMMYFUNCTION("""COMPUTED_VALUE"""),692.0)</f>
        <v>692</v>
      </c>
      <c r="M104" s="211">
        <f>IFERROR(__xludf.DUMMYFUNCTION("""COMPUTED_VALUE"""),128060.0)</f>
        <v>128060</v>
      </c>
      <c r="N104" s="211">
        <f>IFERROR(__xludf.DUMMYFUNCTION("""COMPUTED_VALUE"""),144473.0)</f>
        <v>144473</v>
      </c>
      <c r="O104" s="211">
        <f>IFERROR(__xludf.DUMMYFUNCTION("""COMPUTED_VALUE"""),8.0)</f>
        <v>8</v>
      </c>
      <c r="P104" s="211">
        <f>IFERROR(__xludf.DUMMYFUNCTION("""COMPUTED_VALUE"""),1993.0)</f>
        <v>1993</v>
      </c>
      <c r="Q104" s="211">
        <f>IFERROR(__xludf.DUMMYFUNCTION("""COMPUTED_VALUE"""),5.0)</f>
        <v>5</v>
      </c>
      <c r="R104" s="211">
        <f>IFERROR(__xludf.DUMMYFUNCTION("""COMPUTED_VALUE"""),1583.0)</f>
        <v>1583</v>
      </c>
      <c r="S104" s="211">
        <f>IFERROR(__xludf.DUMMYFUNCTION("""COMPUTED_VALUE"""),0.0)</f>
        <v>0</v>
      </c>
      <c r="T104" s="211">
        <f>IFERROR(__xludf.DUMMYFUNCTION("""COMPUTED_VALUE"""),293.0)</f>
        <v>293</v>
      </c>
      <c r="U104" s="211">
        <f>IFERROR(__xludf.DUMMYFUNCTION("""COMPUTED_VALUE"""),117.0)</f>
        <v>117</v>
      </c>
      <c r="V104" s="211">
        <f>IFERROR(__xludf.DUMMYFUNCTION("""COMPUTED_VALUE"""),116.0)</f>
        <v>116</v>
      </c>
      <c r="W104" s="211">
        <f>IFERROR(__xludf.DUMMYFUNCTION("""COMPUTED_VALUE"""),20.0)</f>
        <v>20</v>
      </c>
      <c r="X104" s="211">
        <f>IFERROR(__xludf.DUMMYFUNCTION("""COMPUTED_VALUE"""),18.0)</f>
        <v>18</v>
      </c>
      <c r="Y104" s="211">
        <f>IFERROR(__xludf.DUMMYFUNCTION("""COMPUTED_VALUE"""),2.0)</f>
        <v>2</v>
      </c>
      <c r="Z104" s="211">
        <f>IFERROR(__xludf.DUMMYFUNCTION("""COMPUTED_VALUE"""),941.0)</f>
        <v>941</v>
      </c>
    </row>
    <row r="105">
      <c r="A105" s="210">
        <f>IFERROR(__xludf.DUMMYFUNCTION("""COMPUTED_VALUE"""),44004.0)</f>
        <v>44004</v>
      </c>
      <c r="B105" s="211">
        <f>IFERROR(__xludf.DUMMYFUNCTION("""COMPUTED_VALUE"""),138.0)</f>
        <v>138</v>
      </c>
      <c r="C105" s="211">
        <f>IFERROR(__xludf.DUMMYFUNCTION("""COMPUTED_VALUE"""),86.0)</f>
        <v>86</v>
      </c>
      <c r="D105" s="211">
        <f>IFERROR(__xludf.DUMMYFUNCTION("""COMPUTED_VALUE"""),23823.0)</f>
        <v>23823</v>
      </c>
      <c r="E105" s="211">
        <f>IFERROR(__xludf.DUMMYFUNCTION("""COMPUTED_VALUE"""),3730.0)</f>
        <v>3730</v>
      </c>
      <c r="F105" s="153">
        <f>IFERROR(__xludf.DUMMYFUNCTION("""COMPUTED_VALUE"""),210061.0)</f>
        <v>210061</v>
      </c>
      <c r="G105" s="153">
        <f>IFERROR(__xludf.DUMMYFUNCTION("""COMPUTED_VALUE"""),3868.0)</f>
        <v>3868</v>
      </c>
      <c r="H105" s="153">
        <f>IFERROR(__xludf.DUMMYFUNCTION("""COMPUTED_VALUE"""),233884.0)</f>
        <v>233884</v>
      </c>
      <c r="I105" s="211">
        <f>IFERROR(__xludf.DUMMYFUNCTION("""COMPUTED_VALUE"""),65.0)</f>
        <v>65</v>
      </c>
      <c r="J105" s="211">
        <f>IFERROR(__xludf.DUMMYFUNCTION("""COMPUTED_VALUE"""),43.0)</f>
        <v>43</v>
      </c>
      <c r="K105" s="211">
        <f>IFERROR(__xludf.DUMMYFUNCTION("""COMPUTED_VALUE"""),16478.0)</f>
        <v>16478</v>
      </c>
      <c r="L105" s="211">
        <f>IFERROR(__xludf.DUMMYFUNCTION("""COMPUTED_VALUE"""),1708.0)</f>
        <v>1708</v>
      </c>
      <c r="M105" s="211">
        <f>IFERROR(__xludf.DUMMYFUNCTION("""COMPUTED_VALUE"""),129768.0)</f>
        <v>129768</v>
      </c>
      <c r="N105" s="211">
        <f>IFERROR(__xludf.DUMMYFUNCTION("""COMPUTED_VALUE"""),146246.0)</f>
        <v>146246</v>
      </c>
      <c r="O105" s="211">
        <f>IFERROR(__xludf.DUMMYFUNCTION("""COMPUTED_VALUE"""),12.0)</f>
        <v>12</v>
      </c>
      <c r="P105" s="211">
        <f>IFERROR(__xludf.DUMMYFUNCTION("""COMPUTED_VALUE"""),2005.0)</f>
        <v>2005</v>
      </c>
      <c r="Q105" s="211">
        <f>IFERROR(__xludf.DUMMYFUNCTION("""COMPUTED_VALUE"""),16.0)</f>
        <v>16</v>
      </c>
      <c r="R105" s="211">
        <f>IFERROR(__xludf.DUMMYFUNCTION("""COMPUTED_VALUE"""),1599.0)</f>
        <v>1599</v>
      </c>
      <c r="S105" s="211">
        <f>IFERROR(__xludf.DUMMYFUNCTION("""COMPUTED_VALUE"""),0.0)</f>
        <v>0</v>
      </c>
      <c r="T105" s="211">
        <f>IFERROR(__xludf.DUMMYFUNCTION("""COMPUTED_VALUE"""),293.0)</f>
        <v>293</v>
      </c>
      <c r="U105" s="211">
        <f>IFERROR(__xludf.DUMMYFUNCTION("""COMPUTED_VALUE"""),113.0)</f>
        <v>113</v>
      </c>
      <c r="V105" s="211">
        <f>IFERROR(__xludf.DUMMYFUNCTION("""COMPUTED_VALUE"""),115.0)</f>
        <v>115</v>
      </c>
      <c r="W105" s="211">
        <f>IFERROR(__xludf.DUMMYFUNCTION("""COMPUTED_VALUE"""),19.0)</f>
        <v>19</v>
      </c>
      <c r="X105" s="211">
        <f>IFERROR(__xludf.DUMMYFUNCTION("""COMPUTED_VALUE"""),18.0)</f>
        <v>18</v>
      </c>
      <c r="Y105" s="211">
        <f>IFERROR(__xludf.DUMMYFUNCTION("""COMPUTED_VALUE"""),1.0)</f>
        <v>1</v>
      </c>
      <c r="Z105" s="211">
        <f>IFERROR(__xludf.DUMMYFUNCTION("""COMPUTED_VALUE"""),942.0)</f>
        <v>942</v>
      </c>
    </row>
    <row r="106">
      <c r="A106" s="210">
        <f>IFERROR(__xludf.DUMMYFUNCTION("""COMPUTED_VALUE"""),44005.0)</f>
        <v>44005</v>
      </c>
      <c r="B106" s="211">
        <f>IFERROR(__xludf.DUMMYFUNCTION("""COMPUTED_VALUE"""),163.0)</f>
        <v>163</v>
      </c>
      <c r="C106" s="211">
        <f>IFERROR(__xludf.DUMMYFUNCTION("""COMPUTED_VALUE"""),113.0)</f>
        <v>113</v>
      </c>
      <c r="D106" s="211">
        <f>IFERROR(__xludf.DUMMYFUNCTION("""COMPUTED_VALUE"""),23986.0)</f>
        <v>23986</v>
      </c>
      <c r="E106" s="211">
        <f>IFERROR(__xludf.DUMMYFUNCTION("""COMPUTED_VALUE"""),3831.0)</f>
        <v>3831</v>
      </c>
      <c r="F106" s="153">
        <f>IFERROR(__xludf.DUMMYFUNCTION("""COMPUTED_VALUE"""),213892.0)</f>
        <v>213892</v>
      </c>
      <c r="G106" s="153">
        <f>IFERROR(__xludf.DUMMYFUNCTION("""COMPUTED_VALUE"""),3994.0)</f>
        <v>3994</v>
      </c>
      <c r="H106" s="153">
        <f>IFERROR(__xludf.DUMMYFUNCTION("""COMPUTED_VALUE"""),237878.0)</f>
        <v>237878</v>
      </c>
      <c r="I106" s="211">
        <f>IFERROR(__xludf.DUMMYFUNCTION("""COMPUTED_VALUE"""),81.0)</f>
        <v>81</v>
      </c>
      <c r="J106" s="211">
        <f>IFERROR(__xludf.DUMMYFUNCTION("""COMPUTED_VALUE"""),58.0)</f>
        <v>58</v>
      </c>
      <c r="K106" s="211">
        <f>IFERROR(__xludf.DUMMYFUNCTION("""COMPUTED_VALUE"""),16559.0)</f>
        <v>16559</v>
      </c>
      <c r="L106" s="211">
        <f>IFERROR(__xludf.DUMMYFUNCTION("""COMPUTED_VALUE"""),1781.0)</f>
        <v>1781</v>
      </c>
      <c r="M106" s="211">
        <f>IFERROR(__xludf.DUMMYFUNCTION("""COMPUTED_VALUE"""),131549.0)</f>
        <v>131549</v>
      </c>
      <c r="N106" s="211">
        <f>IFERROR(__xludf.DUMMYFUNCTION("""COMPUTED_VALUE"""),148108.0)</f>
        <v>148108</v>
      </c>
      <c r="O106" s="211">
        <f>IFERROR(__xludf.DUMMYFUNCTION("""COMPUTED_VALUE"""),3.0)</f>
        <v>3</v>
      </c>
      <c r="P106" s="211">
        <f>IFERROR(__xludf.DUMMYFUNCTION("""COMPUTED_VALUE"""),2008.0)</f>
        <v>2008</v>
      </c>
      <c r="Q106" s="211">
        <f>IFERROR(__xludf.DUMMYFUNCTION("""COMPUTED_VALUE"""),13.0)</f>
        <v>13</v>
      </c>
      <c r="R106" s="211">
        <f>IFERROR(__xludf.DUMMYFUNCTION("""COMPUTED_VALUE"""),1612.0)</f>
        <v>1612</v>
      </c>
      <c r="S106" s="211">
        <f>IFERROR(__xludf.DUMMYFUNCTION("""COMPUTED_VALUE"""),3.0)</f>
        <v>3</v>
      </c>
      <c r="T106" s="211">
        <f>IFERROR(__xludf.DUMMYFUNCTION("""COMPUTED_VALUE"""),296.0)</f>
        <v>296</v>
      </c>
      <c r="U106" s="211">
        <f>IFERROR(__xludf.DUMMYFUNCTION("""COMPUTED_VALUE"""),100.0)</f>
        <v>100</v>
      </c>
      <c r="V106" s="211">
        <f>IFERROR(__xludf.DUMMYFUNCTION("""COMPUTED_VALUE"""),110.0)</f>
        <v>110</v>
      </c>
      <c r="W106" s="211">
        <f>IFERROR(__xludf.DUMMYFUNCTION("""COMPUTED_VALUE"""),18.0)</f>
        <v>18</v>
      </c>
      <c r="X106" s="211">
        <f>IFERROR(__xludf.DUMMYFUNCTION("""COMPUTED_VALUE"""),18.0)</f>
        <v>18</v>
      </c>
      <c r="Y106" s="211">
        <f>IFERROR(__xludf.DUMMYFUNCTION("""COMPUTED_VALUE"""),7.0)</f>
        <v>7</v>
      </c>
      <c r="Z106" s="211">
        <f>IFERROR(__xludf.DUMMYFUNCTION("""COMPUTED_VALUE"""),949.0)</f>
        <v>949</v>
      </c>
    </row>
    <row r="107">
      <c r="A107" s="210">
        <f>IFERROR(__xludf.DUMMYFUNCTION("""COMPUTED_VALUE"""),44006.0)</f>
        <v>44006</v>
      </c>
      <c r="B107" s="211">
        <f>IFERROR(__xludf.DUMMYFUNCTION("""COMPUTED_VALUE"""),120.0)</f>
        <v>120</v>
      </c>
      <c r="C107" s="211">
        <f>IFERROR(__xludf.DUMMYFUNCTION("""COMPUTED_VALUE"""),140.0)</f>
        <v>140</v>
      </c>
      <c r="D107" s="211">
        <f>IFERROR(__xludf.DUMMYFUNCTION("""COMPUTED_VALUE"""),24106.0)</f>
        <v>24106</v>
      </c>
      <c r="E107" s="211">
        <f>IFERROR(__xludf.DUMMYFUNCTION("""COMPUTED_VALUE"""),3502.0)</f>
        <v>3502</v>
      </c>
      <c r="F107" s="153">
        <f>IFERROR(__xludf.DUMMYFUNCTION("""COMPUTED_VALUE"""),217394.0)</f>
        <v>217394</v>
      </c>
      <c r="G107" s="153">
        <f>IFERROR(__xludf.DUMMYFUNCTION("""COMPUTED_VALUE"""),3622.0)</f>
        <v>3622</v>
      </c>
      <c r="H107" s="153">
        <f>IFERROR(__xludf.DUMMYFUNCTION("""COMPUTED_VALUE"""),241500.0)</f>
        <v>241500</v>
      </c>
      <c r="I107" s="211">
        <f>IFERROR(__xludf.DUMMYFUNCTION("""COMPUTED_VALUE"""),44.0)</f>
        <v>44</v>
      </c>
      <c r="J107" s="211">
        <f>IFERROR(__xludf.DUMMYFUNCTION("""COMPUTED_VALUE"""),63.0)</f>
        <v>63</v>
      </c>
      <c r="K107" s="211">
        <f>IFERROR(__xludf.DUMMYFUNCTION("""COMPUTED_VALUE"""),16603.0)</f>
        <v>16603</v>
      </c>
      <c r="L107" s="211">
        <f>IFERROR(__xludf.DUMMYFUNCTION("""COMPUTED_VALUE"""),1687.0)</f>
        <v>1687</v>
      </c>
      <c r="M107" s="211">
        <f>IFERROR(__xludf.DUMMYFUNCTION("""COMPUTED_VALUE"""),133236.0)</f>
        <v>133236</v>
      </c>
      <c r="N107" s="211">
        <f>IFERROR(__xludf.DUMMYFUNCTION("""COMPUTED_VALUE"""),149839.0)</f>
        <v>149839</v>
      </c>
      <c r="O107" s="211">
        <f>IFERROR(__xludf.DUMMYFUNCTION("""COMPUTED_VALUE"""),9.0)</f>
        <v>9</v>
      </c>
      <c r="P107" s="211">
        <f>IFERROR(__xludf.DUMMYFUNCTION("""COMPUTED_VALUE"""),2017.0)</f>
        <v>2017</v>
      </c>
      <c r="Q107" s="211">
        <f>IFERROR(__xludf.DUMMYFUNCTION("""COMPUTED_VALUE"""),10.0)</f>
        <v>10</v>
      </c>
      <c r="R107" s="211">
        <f>IFERROR(__xludf.DUMMYFUNCTION("""COMPUTED_VALUE"""),1622.0)</f>
        <v>1622</v>
      </c>
      <c r="S107" s="211">
        <f>IFERROR(__xludf.DUMMYFUNCTION("""COMPUTED_VALUE"""),1.0)</f>
        <v>1</v>
      </c>
      <c r="T107" s="211">
        <f>IFERROR(__xludf.DUMMYFUNCTION("""COMPUTED_VALUE"""),297.0)</f>
        <v>297</v>
      </c>
      <c r="U107" s="211">
        <f>IFERROR(__xludf.DUMMYFUNCTION("""COMPUTED_VALUE"""),98.0)</f>
        <v>98</v>
      </c>
      <c r="V107" s="211">
        <f>IFERROR(__xludf.DUMMYFUNCTION("""COMPUTED_VALUE"""),104.0)</f>
        <v>104</v>
      </c>
      <c r="W107" s="211">
        <f>IFERROR(__xludf.DUMMYFUNCTION("""COMPUTED_VALUE"""),18.0)</f>
        <v>18</v>
      </c>
      <c r="X107" s="211">
        <f>IFERROR(__xludf.DUMMYFUNCTION("""COMPUTED_VALUE"""),18.0)</f>
        <v>18</v>
      </c>
      <c r="Y107" s="211">
        <f>IFERROR(__xludf.DUMMYFUNCTION("""COMPUTED_VALUE"""),5.0)</f>
        <v>5</v>
      </c>
      <c r="Z107" s="211">
        <f>IFERROR(__xludf.DUMMYFUNCTION("""COMPUTED_VALUE"""),954.0)</f>
        <v>954</v>
      </c>
    </row>
    <row r="108">
      <c r="A108" s="210">
        <f>IFERROR(__xludf.DUMMYFUNCTION("""COMPUTED_VALUE"""),44007.0)</f>
        <v>44007</v>
      </c>
      <c r="B108" s="211">
        <f>IFERROR(__xludf.DUMMYFUNCTION("""COMPUTED_VALUE"""),103.0)</f>
        <v>103</v>
      </c>
      <c r="C108" s="211">
        <f>IFERROR(__xludf.DUMMYFUNCTION("""COMPUTED_VALUE"""),129.0)</f>
        <v>129</v>
      </c>
      <c r="D108" s="211">
        <f>IFERROR(__xludf.DUMMYFUNCTION("""COMPUTED_VALUE"""),24209.0)</f>
        <v>24209</v>
      </c>
      <c r="E108" s="211">
        <f>IFERROR(__xludf.DUMMYFUNCTION("""COMPUTED_VALUE"""),2883.0)</f>
        <v>2883</v>
      </c>
      <c r="F108" s="153">
        <f>IFERROR(__xludf.DUMMYFUNCTION("""COMPUTED_VALUE"""),220277.0)</f>
        <v>220277</v>
      </c>
      <c r="G108" s="153">
        <f>IFERROR(__xludf.DUMMYFUNCTION("""COMPUTED_VALUE"""),2986.0)</f>
        <v>2986</v>
      </c>
      <c r="H108" s="153">
        <f>IFERROR(__xludf.DUMMYFUNCTION("""COMPUTED_VALUE"""),244486.0)</f>
        <v>244486</v>
      </c>
      <c r="I108" s="211">
        <f>IFERROR(__xludf.DUMMYFUNCTION("""COMPUTED_VALUE"""),50.0)</f>
        <v>50</v>
      </c>
      <c r="J108" s="211">
        <f>IFERROR(__xludf.DUMMYFUNCTION("""COMPUTED_VALUE"""),58.0)</f>
        <v>58</v>
      </c>
      <c r="K108" s="211">
        <f>IFERROR(__xludf.DUMMYFUNCTION("""COMPUTED_VALUE"""),16653.0)</f>
        <v>16653</v>
      </c>
      <c r="L108" s="211">
        <f>IFERROR(__xludf.DUMMYFUNCTION("""COMPUTED_VALUE"""),1511.0)</f>
        <v>1511</v>
      </c>
      <c r="M108" s="211">
        <f>IFERROR(__xludf.DUMMYFUNCTION("""COMPUTED_VALUE"""),134747.0)</f>
        <v>134747</v>
      </c>
      <c r="N108" s="211">
        <f>IFERROR(__xludf.DUMMYFUNCTION("""COMPUTED_VALUE"""),151400.0)</f>
        <v>151400</v>
      </c>
      <c r="O108" s="211">
        <f>IFERROR(__xludf.DUMMYFUNCTION("""COMPUTED_VALUE"""),6.0)</f>
        <v>6</v>
      </c>
      <c r="P108" s="211">
        <f>IFERROR(__xludf.DUMMYFUNCTION("""COMPUTED_VALUE"""),2023.0)</f>
        <v>2023</v>
      </c>
      <c r="Q108" s="211">
        <f>IFERROR(__xludf.DUMMYFUNCTION("""COMPUTED_VALUE"""),14.0)</f>
        <v>14</v>
      </c>
      <c r="R108" s="211">
        <f>IFERROR(__xludf.DUMMYFUNCTION("""COMPUTED_VALUE"""),1636.0)</f>
        <v>1636</v>
      </c>
      <c r="S108" s="211">
        <f>IFERROR(__xludf.DUMMYFUNCTION("""COMPUTED_VALUE"""),1.0)</f>
        <v>1</v>
      </c>
      <c r="T108" s="211">
        <f>IFERROR(__xludf.DUMMYFUNCTION("""COMPUTED_VALUE"""),298.0)</f>
        <v>298</v>
      </c>
      <c r="U108" s="211">
        <f>IFERROR(__xludf.DUMMYFUNCTION("""COMPUTED_VALUE"""),89.0)</f>
        <v>89</v>
      </c>
      <c r="V108" s="211">
        <f>IFERROR(__xludf.DUMMYFUNCTION("""COMPUTED_VALUE"""),96.0)</f>
        <v>96</v>
      </c>
      <c r="W108" s="211">
        <f>IFERROR(__xludf.DUMMYFUNCTION("""COMPUTED_VALUE"""),17.0)</f>
        <v>17</v>
      </c>
      <c r="X108" s="211">
        <f>IFERROR(__xludf.DUMMYFUNCTION("""COMPUTED_VALUE"""),17.0)</f>
        <v>17</v>
      </c>
      <c r="Y108" s="211">
        <f>IFERROR(__xludf.DUMMYFUNCTION("""COMPUTED_VALUE"""),1.0)</f>
        <v>1</v>
      </c>
      <c r="Z108" s="211">
        <f>IFERROR(__xludf.DUMMYFUNCTION("""COMPUTED_VALUE"""),955.0)</f>
        <v>955</v>
      </c>
    </row>
    <row r="109">
      <c r="A109" s="210">
        <f>IFERROR(__xludf.DUMMYFUNCTION("""COMPUTED_VALUE"""),44008.0)</f>
        <v>44008</v>
      </c>
      <c r="B109" s="211">
        <f>IFERROR(__xludf.DUMMYFUNCTION("""COMPUTED_VALUE"""),94.0)</f>
        <v>94</v>
      </c>
      <c r="C109" s="211">
        <f>IFERROR(__xludf.DUMMYFUNCTION("""COMPUTED_VALUE"""),106.0)</f>
        <v>106</v>
      </c>
      <c r="D109" s="211">
        <f>IFERROR(__xludf.DUMMYFUNCTION("""COMPUTED_VALUE"""),24303.0)</f>
        <v>24303</v>
      </c>
      <c r="E109" s="211">
        <f>IFERROR(__xludf.DUMMYFUNCTION("""COMPUTED_VALUE"""),2488.0)</f>
        <v>2488</v>
      </c>
      <c r="F109" s="153">
        <f>IFERROR(__xludf.DUMMYFUNCTION("""COMPUTED_VALUE"""),222765.0)</f>
        <v>222765</v>
      </c>
      <c r="G109" s="153">
        <f>IFERROR(__xludf.DUMMYFUNCTION("""COMPUTED_VALUE"""),2582.0)</f>
        <v>2582</v>
      </c>
      <c r="H109" s="153">
        <f>IFERROR(__xludf.DUMMYFUNCTION("""COMPUTED_VALUE"""),247068.0)</f>
        <v>247068</v>
      </c>
      <c r="I109" s="211">
        <f>IFERROR(__xludf.DUMMYFUNCTION("""COMPUTED_VALUE"""),61.0)</f>
        <v>61</v>
      </c>
      <c r="J109" s="211">
        <f>IFERROR(__xludf.DUMMYFUNCTION("""COMPUTED_VALUE"""),52.0)</f>
        <v>52</v>
      </c>
      <c r="K109" s="211">
        <f>IFERROR(__xludf.DUMMYFUNCTION("""COMPUTED_VALUE"""),16714.0)</f>
        <v>16714</v>
      </c>
      <c r="L109" s="211">
        <f>IFERROR(__xludf.DUMMYFUNCTION("""COMPUTED_VALUE"""),1332.0)</f>
        <v>1332</v>
      </c>
      <c r="M109" s="211">
        <f>IFERROR(__xludf.DUMMYFUNCTION("""COMPUTED_VALUE"""),136079.0)</f>
        <v>136079</v>
      </c>
      <c r="N109" s="211">
        <f>IFERROR(__xludf.DUMMYFUNCTION("""COMPUTED_VALUE"""),152793.0)</f>
        <v>152793</v>
      </c>
      <c r="O109" s="211">
        <f>IFERROR(__xludf.DUMMYFUNCTION("""COMPUTED_VALUE"""),2.0)</f>
        <v>2</v>
      </c>
      <c r="P109" s="211">
        <f>IFERROR(__xludf.DUMMYFUNCTION("""COMPUTED_VALUE"""),2025.0)</f>
        <v>2025</v>
      </c>
      <c r="Q109" s="211">
        <f>IFERROR(__xludf.DUMMYFUNCTION("""COMPUTED_VALUE"""),10.0)</f>
        <v>10</v>
      </c>
      <c r="R109" s="211">
        <f>IFERROR(__xludf.DUMMYFUNCTION("""COMPUTED_VALUE"""),1646.0)</f>
        <v>1646</v>
      </c>
      <c r="S109" s="211">
        <f>IFERROR(__xludf.DUMMYFUNCTION("""COMPUTED_VALUE"""),0.0)</f>
        <v>0</v>
      </c>
      <c r="T109" s="211">
        <f>IFERROR(__xludf.DUMMYFUNCTION("""COMPUTED_VALUE"""),298.0)</f>
        <v>298</v>
      </c>
      <c r="U109" s="211">
        <f>IFERROR(__xludf.DUMMYFUNCTION("""COMPUTED_VALUE"""),81.0)</f>
        <v>81</v>
      </c>
      <c r="V109" s="211">
        <f>IFERROR(__xludf.DUMMYFUNCTION("""COMPUTED_VALUE"""),89.0)</f>
        <v>89</v>
      </c>
      <c r="W109" s="211">
        <f>IFERROR(__xludf.DUMMYFUNCTION("""COMPUTED_VALUE"""),18.0)</f>
        <v>18</v>
      </c>
      <c r="X109" s="211">
        <f>IFERROR(__xludf.DUMMYFUNCTION("""COMPUTED_VALUE"""),18.0)</f>
        <v>18</v>
      </c>
      <c r="Y109" s="211">
        <f>IFERROR(__xludf.DUMMYFUNCTION("""COMPUTED_VALUE"""),1.0)</f>
        <v>1</v>
      </c>
      <c r="Z109" s="211">
        <f>IFERROR(__xludf.DUMMYFUNCTION("""COMPUTED_VALUE"""),956.0)</f>
        <v>956</v>
      </c>
    </row>
    <row r="110">
      <c r="A110" s="210">
        <f>IFERROR(__xludf.DUMMYFUNCTION("""COMPUTED_VALUE"""),44009.0)</f>
        <v>44009</v>
      </c>
      <c r="B110" s="211">
        <f>IFERROR(__xludf.DUMMYFUNCTION("""COMPUTED_VALUE"""),84.0)</f>
        <v>84</v>
      </c>
      <c r="C110" s="211">
        <f>IFERROR(__xludf.DUMMYFUNCTION("""COMPUTED_VALUE"""),94.0)</f>
        <v>94</v>
      </c>
      <c r="D110" s="211">
        <f>IFERROR(__xludf.DUMMYFUNCTION("""COMPUTED_VALUE"""),24387.0)</f>
        <v>24387</v>
      </c>
      <c r="E110" s="211">
        <f>IFERROR(__xludf.DUMMYFUNCTION("""COMPUTED_VALUE"""),3214.0)</f>
        <v>3214</v>
      </c>
      <c r="F110" s="153">
        <f>IFERROR(__xludf.DUMMYFUNCTION("""COMPUTED_VALUE"""),225979.0)</f>
        <v>225979</v>
      </c>
      <c r="G110" s="153">
        <f>IFERROR(__xludf.DUMMYFUNCTION("""COMPUTED_VALUE"""),3298.0)</f>
        <v>3298</v>
      </c>
      <c r="H110" s="153">
        <f>IFERROR(__xludf.DUMMYFUNCTION("""COMPUTED_VALUE"""),250366.0)</f>
        <v>250366</v>
      </c>
      <c r="I110" s="211">
        <f>IFERROR(__xludf.DUMMYFUNCTION("""COMPUTED_VALUE"""),37.0)</f>
        <v>37</v>
      </c>
      <c r="J110" s="211">
        <f>IFERROR(__xludf.DUMMYFUNCTION("""COMPUTED_VALUE"""),49.0)</f>
        <v>49</v>
      </c>
      <c r="K110" s="211">
        <f>IFERROR(__xludf.DUMMYFUNCTION("""COMPUTED_VALUE"""),16751.0)</f>
        <v>16751</v>
      </c>
      <c r="L110" s="211">
        <f>IFERROR(__xludf.DUMMYFUNCTION("""COMPUTED_VALUE"""),1221.0)</f>
        <v>1221</v>
      </c>
      <c r="M110" s="211">
        <f>IFERROR(__xludf.DUMMYFUNCTION("""COMPUTED_VALUE"""),137300.0)</f>
        <v>137300</v>
      </c>
      <c r="N110" s="211">
        <f>IFERROR(__xludf.DUMMYFUNCTION("""COMPUTED_VALUE"""),154051.0)</f>
        <v>154051</v>
      </c>
      <c r="O110" s="211">
        <f>IFERROR(__xludf.DUMMYFUNCTION("""COMPUTED_VALUE"""),5.0)</f>
        <v>5</v>
      </c>
      <c r="P110" s="211">
        <f>IFERROR(__xludf.DUMMYFUNCTION("""COMPUTED_VALUE"""),2030.0)</f>
        <v>2030</v>
      </c>
      <c r="Q110" s="211">
        <f>IFERROR(__xludf.DUMMYFUNCTION("""COMPUTED_VALUE"""),3.0)</f>
        <v>3</v>
      </c>
      <c r="R110" s="211">
        <f>IFERROR(__xludf.DUMMYFUNCTION("""COMPUTED_VALUE"""),1649.0)</f>
        <v>1649</v>
      </c>
      <c r="S110" s="211">
        <f>IFERROR(__xludf.DUMMYFUNCTION("""COMPUTED_VALUE"""),1.0)</f>
        <v>1</v>
      </c>
      <c r="T110" s="211">
        <f>IFERROR(__xludf.DUMMYFUNCTION("""COMPUTED_VALUE"""),299.0)</f>
        <v>299</v>
      </c>
      <c r="U110" s="211">
        <f>IFERROR(__xludf.DUMMYFUNCTION("""COMPUTED_VALUE"""),82.0)</f>
        <v>82</v>
      </c>
      <c r="V110" s="211">
        <f>IFERROR(__xludf.DUMMYFUNCTION("""COMPUTED_VALUE"""),84.0)</f>
        <v>84</v>
      </c>
      <c r="W110" s="211">
        <f>IFERROR(__xludf.DUMMYFUNCTION("""COMPUTED_VALUE"""),17.0)</f>
        <v>17</v>
      </c>
      <c r="X110" s="211">
        <f>IFERROR(__xludf.DUMMYFUNCTION("""COMPUTED_VALUE"""),17.0)</f>
        <v>17</v>
      </c>
      <c r="Y110" s="211">
        <f>IFERROR(__xludf.DUMMYFUNCTION("""COMPUTED_VALUE"""),5.0)</f>
        <v>5</v>
      </c>
      <c r="Z110" s="211">
        <f>IFERROR(__xludf.DUMMYFUNCTION("""COMPUTED_VALUE"""),961.0)</f>
        <v>961</v>
      </c>
    </row>
    <row r="111">
      <c r="A111" s="210">
        <f>IFERROR(__xludf.DUMMYFUNCTION("""COMPUTED_VALUE"""),44010.0)</f>
        <v>44010</v>
      </c>
      <c r="B111" s="211">
        <f>IFERROR(__xludf.DUMMYFUNCTION("""COMPUTED_VALUE"""),39.0)</f>
        <v>39</v>
      </c>
      <c r="C111" s="211">
        <f>IFERROR(__xludf.DUMMYFUNCTION("""COMPUTED_VALUE"""),72.0)</f>
        <v>72</v>
      </c>
      <c r="D111" s="211">
        <f>IFERROR(__xludf.DUMMYFUNCTION("""COMPUTED_VALUE"""),24426.0)</f>
        <v>24426</v>
      </c>
      <c r="E111" s="211">
        <f>IFERROR(__xludf.DUMMYFUNCTION("""COMPUTED_VALUE"""),1469.0)</f>
        <v>1469</v>
      </c>
      <c r="F111" s="153">
        <f>IFERROR(__xludf.DUMMYFUNCTION("""COMPUTED_VALUE"""),227448.0)</f>
        <v>227448</v>
      </c>
      <c r="G111" s="153">
        <f>IFERROR(__xludf.DUMMYFUNCTION("""COMPUTED_VALUE"""),1508.0)</f>
        <v>1508</v>
      </c>
      <c r="H111" s="153">
        <f>IFERROR(__xludf.DUMMYFUNCTION("""COMPUTED_VALUE"""),251874.0)</f>
        <v>251874</v>
      </c>
      <c r="I111" s="211">
        <f>IFERROR(__xludf.DUMMYFUNCTION("""COMPUTED_VALUE"""),17.0)</f>
        <v>17</v>
      </c>
      <c r="J111" s="211">
        <f>IFERROR(__xludf.DUMMYFUNCTION("""COMPUTED_VALUE"""),38.0)</f>
        <v>38</v>
      </c>
      <c r="K111" s="211">
        <f>IFERROR(__xludf.DUMMYFUNCTION("""COMPUTED_VALUE"""),16768.0)</f>
        <v>16768</v>
      </c>
      <c r="L111" s="211">
        <f>IFERROR(__xludf.DUMMYFUNCTION("""COMPUTED_VALUE"""),596.0)</f>
        <v>596</v>
      </c>
      <c r="M111" s="211">
        <f>IFERROR(__xludf.DUMMYFUNCTION("""COMPUTED_VALUE"""),137896.0)</f>
        <v>137896</v>
      </c>
      <c r="N111" s="211">
        <f>IFERROR(__xludf.DUMMYFUNCTION("""COMPUTED_VALUE"""),154664.0)</f>
        <v>154664</v>
      </c>
      <c r="O111" s="211">
        <f>IFERROR(__xludf.DUMMYFUNCTION("""COMPUTED_VALUE"""),4.0)</f>
        <v>4</v>
      </c>
      <c r="P111" s="211">
        <f>IFERROR(__xludf.DUMMYFUNCTION("""COMPUTED_VALUE"""),2034.0)</f>
        <v>2034</v>
      </c>
      <c r="Q111" s="211">
        <f>IFERROR(__xludf.DUMMYFUNCTION("""COMPUTED_VALUE"""),4.0)</f>
        <v>4</v>
      </c>
      <c r="R111" s="211">
        <f>IFERROR(__xludf.DUMMYFUNCTION("""COMPUTED_VALUE"""),1653.0)</f>
        <v>1653</v>
      </c>
      <c r="S111" s="211">
        <f>IFERROR(__xludf.DUMMYFUNCTION("""COMPUTED_VALUE"""),4.0)</f>
        <v>4</v>
      </c>
      <c r="T111" s="211">
        <f>IFERROR(__xludf.DUMMYFUNCTION("""COMPUTED_VALUE"""),303.0)</f>
        <v>303</v>
      </c>
      <c r="U111" s="211">
        <f>IFERROR(__xludf.DUMMYFUNCTION("""COMPUTED_VALUE"""),78.0)</f>
        <v>78</v>
      </c>
      <c r="V111" s="211">
        <f>IFERROR(__xludf.DUMMYFUNCTION("""COMPUTED_VALUE"""),80.0)</f>
        <v>80</v>
      </c>
      <c r="W111" s="211">
        <f>IFERROR(__xludf.DUMMYFUNCTION("""COMPUTED_VALUE"""),15.0)</f>
        <v>15</v>
      </c>
      <c r="X111" s="211">
        <f>IFERROR(__xludf.DUMMYFUNCTION("""COMPUTED_VALUE"""),14.0)</f>
        <v>14</v>
      </c>
      <c r="Y111" s="211">
        <f>IFERROR(__xludf.DUMMYFUNCTION("""COMPUTED_VALUE"""),6.0)</f>
        <v>6</v>
      </c>
      <c r="Z111" s="211">
        <f>IFERROR(__xludf.DUMMYFUNCTION("""COMPUTED_VALUE"""),967.0)</f>
        <v>967</v>
      </c>
    </row>
    <row r="112">
      <c r="A112" s="210">
        <f>IFERROR(__xludf.DUMMYFUNCTION("""COMPUTED_VALUE"""),44011.0)</f>
        <v>44011</v>
      </c>
      <c r="B112" s="211">
        <f>IFERROR(__xludf.DUMMYFUNCTION("""COMPUTED_VALUE"""),85.0)</f>
        <v>85</v>
      </c>
      <c r="C112" s="211">
        <f>IFERROR(__xludf.DUMMYFUNCTION("""COMPUTED_VALUE"""),69.0)</f>
        <v>69</v>
      </c>
      <c r="D112" s="211">
        <f>IFERROR(__xludf.DUMMYFUNCTION("""COMPUTED_VALUE"""),24511.0)</f>
        <v>24511</v>
      </c>
      <c r="E112" s="211">
        <f>IFERROR(__xludf.DUMMYFUNCTION("""COMPUTED_VALUE"""),3697.0)</f>
        <v>3697</v>
      </c>
      <c r="F112" s="153">
        <f>IFERROR(__xludf.DUMMYFUNCTION("""COMPUTED_VALUE"""),231145.0)</f>
        <v>231145</v>
      </c>
      <c r="G112" s="153">
        <f>IFERROR(__xludf.DUMMYFUNCTION("""COMPUTED_VALUE"""),3782.0)</f>
        <v>3782</v>
      </c>
      <c r="H112" s="153">
        <f>IFERROR(__xludf.DUMMYFUNCTION("""COMPUTED_VALUE"""),255656.0)</f>
        <v>255656</v>
      </c>
      <c r="I112" s="211">
        <f>IFERROR(__xludf.DUMMYFUNCTION("""COMPUTED_VALUE"""),39.0)</f>
        <v>39</v>
      </c>
      <c r="J112" s="211">
        <f>IFERROR(__xludf.DUMMYFUNCTION("""COMPUTED_VALUE"""),31.0)</f>
        <v>31</v>
      </c>
      <c r="K112" s="211">
        <f>IFERROR(__xludf.DUMMYFUNCTION("""COMPUTED_VALUE"""),16807.0)</f>
        <v>16807</v>
      </c>
      <c r="L112" s="211">
        <f>IFERROR(__xludf.DUMMYFUNCTION("""COMPUTED_VALUE"""),1354.0)</f>
        <v>1354</v>
      </c>
      <c r="M112" s="211">
        <f>IFERROR(__xludf.DUMMYFUNCTION("""COMPUTED_VALUE"""),139250.0)</f>
        <v>139250</v>
      </c>
      <c r="N112" s="211">
        <f>IFERROR(__xludf.DUMMYFUNCTION("""COMPUTED_VALUE"""),156057.0)</f>
        <v>156057</v>
      </c>
      <c r="O112" s="211">
        <f>IFERROR(__xludf.DUMMYFUNCTION("""COMPUTED_VALUE"""),4.0)</f>
        <v>4</v>
      </c>
      <c r="P112" s="211">
        <f>IFERROR(__xludf.DUMMYFUNCTION("""COMPUTED_VALUE"""),2038.0)</f>
        <v>2038</v>
      </c>
      <c r="Q112" s="211">
        <f>IFERROR(__xludf.DUMMYFUNCTION("""COMPUTED_VALUE"""),5.0)</f>
        <v>5</v>
      </c>
      <c r="R112" s="211">
        <f>IFERROR(__xludf.DUMMYFUNCTION("""COMPUTED_VALUE"""),1658.0)</f>
        <v>1658</v>
      </c>
      <c r="S112" s="211">
        <f>IFERROR(__xludf.DUMMYFUNCTION("""COMPUTED_VALUE"""),0.0)</f>
        <v>0</v>
      </c>
      <c r="T112" s="211">
        <f>IFERROR(__xludf.DUMMYFUNCTION("""COMPUTED_VALUE"""),303.0)</f>
        <v>303</v>
      </c>
      <c r="U112" s="211">
        <f>IFERROR(__xludf.DUMMYFUNCTION("""COMPUTED_VALUE"""),77.0)</f>
        <v>77</v>
      </c>
      <c r="V112" s="211">
        <f>IFERROR(__xludf.DUMMYFUNCTION("""COMPUTED_VALUE"""),79.0)</f>
        <v>79</v>
      </c>
      <c r="W112" s="211">
        <f>IFERROR(__xludf.DUMMYFUNCTION("""COMPUTED_VALUE"""),14.0)</f>
        <v>14</v>
      </c>
      <c r="X112" s="211">
        <f>IFERROR(__xludf.DUMMYFUNCTION("""COMPUTED_VALUE"""),14.0)</f>
        <v>14</v>
      </c>
      <c r="Y112" s="211">
        <f>IFERROR(__xludf.DUMMYFUNCTION("""COMPUTED_VALUE"""),1.0)</f>
        <v>1</v>
      </c>
      <c r="Z112" s="211">
        <f>IFERROR(__xludf.DUMMYFUNCTION("""COMPUTED_VALUE"""),968.0)</f>
        <v>968</v>
      </c>
    </row>
    <row r="113">
      <c r="A113" s="210">
        <f>IFERROR(__xludf.DUMMYFUNCTION("""COMPUTED_VALUE"""),44012.0)</f>
        <v>44012</v>
      </c>
      <c r="B113" s="211">
        <f>IFERROR(__xludf.DUMMYFUNCTION("""COMPUTED_VALUE"""),57.0)</f>
        <v>57</v>
      </c>
      <c r="C113" s="211">
        <f>IFERROR(__xludf.DUMMYFUNCTION("""COMPUTED_VALUE"""),60.0)</f>
        <v>60</v>
      </c>
      <c r="D113" s="211">
        <f>IFERROR(__xludf.DUMMYFUNCTION("""COMPUTED_VALUE"""),24568.0)</f>
        <v>24568</v>
      </c>
      <c r="E113" s="211">
        <f>IFERROR(__xludf.DUMMYFUNCTION("""COMPUTED_VALUE"""),1956.0)</f>
        <v>1956</v>
      </c>
      <c r="F113" s="153">
        <f>IFERROR(__xludf.DUMMYFUNCTION("""COMPUTED_VALUE"""),233101.0)</f>
        <v>233101</v>
      </c>
      <c r="G113" s="153">
        <f>IFERROR(__xludf.DUMMYFUNCTION("""COMPUTED_VALUE"""),2013.0)</f>
        <v>2013</v>
      </c>
      <c r="H113" s="153">
        <f>IFERROR(__xludf.DUMMYFUNCTION("""COMPUTED_VALUE"""),257669.0)</f>
        <v>257669</v>
      </c>
      <c r="I113" s="211">
        <f>IFERROR(__xludf.DUMMYFUNCTION("""COMPUTED_VALUE"""),33.0)</f>
        <v>33</v>
      </c>
      <c r="J113" s="211">
        <f>IFERROR(__xludf.DUMMYFUNCTION("""COMPUTED_VALUE"""),30.0)</f>
        <v>30</v>
      </c>
      <c r="K113" s="211">
        <f>IFERROR(__xludf.DUMMYFUNCTION("""COMPUTED_VALUE"""),16840.0)</f>
        <v>16840</v>
      </c>
      <c r="L113" s="211">
        <f>IFERROR(__xludf.DUMMYFUNCTION("""COMPUTED_VALUE"""),995.0)</f>
        <v>995</v>
      </c>
      <c r="M113" s="211">
        <f>IFERROR(__xludf.DUMMYFUNCTION("""COMPUTED_VALUE"""),140245.0)</f>
        <v>140245</v>
      </c>
      <c r="N113" s="211">
        <f>IFERROR(__xludf.DUMMYFUNCTION("""COMPUTED_VALUE"""),157085.0)</f>
        <v>157085</v>
      </c>
      <c r="O113" s="211">
        <f>IFERROR(__xludf.DUMMYFUNCTION("""COMPUTED_VALUE"""),1.0)</f>
        <v>1</v>
      </c>
      <c r="P113" s="211">
        <f>IFERROR(__xludf.DUMMYFUNCTION("""COMPUTED_VALUE"""),2039.0)</f>
        <v>2039</v>
      </c>
      <c r="Q113" s="211">
        <f>IFERROR(__xludf.DUMMYFUNCTION("""COMPUTED_VALUE"""),5.0)</f>
        <v>5</v>
      </c>
      <c r="R113" s="211">
        <f>IFERROR(__xludf.DUMMYFUNCTION("""COMPUTED_VALUE"""),1663.0)</f>
        <v>1663</v>
      </c>
      <c r="S113" s="211">
        <f>IFERROR(__xludf.DUMMYFUNCTION("""COMPUTED_VALUE"""),1.0)</f>
        <v>1</v>
      </c>
      <c r="T113" s="211">
        <f>IFERROR(__xludf.DUMMYFUNCTION("""COMPUTED_VALUE"""),304.0)</f>
        <v>304</v>
      </c>
      <c r="U113" s="211">
        <f>IFERROR(__xludf.DUMMYFUNCTION("""COMPUTED_VALUE"""),72.0)</f>
        <v>72</v>
      </c>
      <c r="V113" s="211">
        <f>IFERROR(__xludf.DUMMYFUNCTION("""COMPUTED_VALUE"""),76.0)</f>
        <v>76</v>
      </c>
      <c r="W113" s="211">
        <f>IFERROR(__xludf.DUMMYFUNCTION("""COMPUTED_VALUE"""),12.0)</f>
        <v>12</v>
      </c>
      <c r="X113" s="211">
        <f>IFERROR(__xludf.DUMMYFUNCTION("""COMPUTED_VALUE"""),11.0)</f>
        <v>11</v>
      </c>
      <c r="Y113" s="211">
        <f>IFERROR(__xludf.DUMMYFUNCTION("""COMPUTED_VALUE"""),4.0)</f>
        <v>4</v>
      </c>
      <c r="Z113" s="211">
        <f>IFERROR(__xludf.DUMMYFUNCTION("""COMPUTED_VALUE"""),972.0)</f>
        <v>972</v>
      </c>
    </row>
    <row r="114">
      <c r="A114" s="210">
        <f>IFERROR(__xludf.DUMMYFUNCTION("""COMPUTED_VALUE"""),44013.0)</f>
        <v>44013</v>
      </c>
      <c r="B114" s="211">
        <f>IFERROR(__xludf.DUMMYFUNCTION("""COMPUTED_VALUE"""),144.0)</f>
        <v>144</v>
      </c>
      <c r="C114" s="211">
        <f>IFERROR(__xludf.DUMMYFUNCTION("""COMPUTED_VALUE"""),95.0)</f>
        <v>95</v>
      </c>
      <c r="D114" s="211">
        <f>IFERROR(__xludf.DUMMYFUNCTION("""COMPUTED_VALUE"""),24712.0)</f>
        <v>24712</v>
      </c>
      <c r="E114" s="211">
        <f>IFERROR(__xludf.DUMMYFUNCTION("""COMPUTED_VALUE"""),4098.0)</f>
        <v>4098</v>
      </c>
      <c r="F114" s="153">
        <f>IFERROR(__xludf.DUMMYFUNCTION("""COMPUTED_VALUE"""),237199.0)</f>
        <v>237199</v>
      </c>
      <c r="G114" s="153">
        <f>IFERROR(__xludf.DUMMYFUNCTION("""COMPUTED_VALUE"""),4242.0)</f>
        <v>4242</v>
      </c>
      <c r="H114" s="153">
        <f>IFERROR(__xludf.DUMMYFUNCTION("""COMPUTED_VALUE"""),261911.0)</f>
        <v>261911</v>
      </c>
      <c r="I114" s="211">
        <f>IFERROR(__xludf.DUMMYFUNCTION("""COMPUTED_VALUE"""),78.0)</f>
        <v>78</v>
      </c>
      <c r="J114" s="211">
        <f>IFERROR(__xludf.DUMMYFUNCTION("""COMPUTED_VALUE"""),50.0)</f>
        <v>50</v>
      </c>
      <c r="K114" s="211">
        <f>IFERROR(__xludf.DUMMYFUNCTION("""COMPUTED_VALUE"""),16918.0)</f>
        <v>16918</v>
      </c>
      <c r="L114" s="211">
        <f>IFERROR(__xludf.DUMMYFUNCTION("""COMPUTED_VALUE"""),1936.0)</f>
        <v>1936</v>
      </c>
      <c r="M114" s="211">
        <f>IFERROR(__xludf.DUMMYFUNCTION("""COMPUTED_VALUE"""),142181.0)</f>
        <v>142181</v>
      </c>
      <c r="N114" s="211">
        <f>IFERROR(__xludf.DUMMYFUNCTION("""COMPUTED_VALUE"""),159099.0)</f>
        <v>159099</v>
      </c>
      <c r="O114" s="211">
        <f>IFERROR(__xludf.DUMMYFUNCTION("""COMPUTED_VALUE"""),7.0)</f>
        <v>7</v>
      </c>
      <c r="P114" s="211">
        <f>IFERROR(__xludf.DUMMYFUNCTION("""COMPUTED_VALUE"""),2046.0)</f>
        <v>2046</v>
      </c>
      <c r="Q114" s="211">
        <f>IFERROR(__xludf.DUMMYFUNCTION("""COMPUTED_VALUE"""),9.0)</f>
        <v>9</v>
      </c>
      <c r="R114" s="211">
        <f>IFERROR(__xludf.DUMMYFUNCTION("""COMPUTED_VALUE"""),1672.0)</f>
        <v>1672</v>
      </c>
      <c r="S114" s="211">
        <f>IFERROR(__xludf.DUMMYFUNCTION("""COMPUTED_VALUE"""),0.0)</f>
        <v>0</v>
      </c>
      <c r="T114" s="211">
        <f>IFERROR(__xludf.DUMMYFUNCTION("""COMPUTED_VALUE"""),304.0)</f>
        <v>304</v>
      </c>
      <c r="U114" s="211">
        <f>IFERROR(__xludf.DUMMYFUNCTION("""COMPUTED_VALUE"""),70.0)</f>
        <v>70</v>
      </c>
      <c r="V114" s="211">
        <f>IFERROR(__xludf.DUMMYFUNCTION("""COMPUTED_VALUE"""),73.0)</f>
        <v>73</v>
      </c>
      <c r="W114" s="211">
        <f>IFERROR(__xludf.DUMMYFUNCTION("""COMPUTED_VALUE"""),11.0)</f>
        <v>11</v>
      </c>
      <c r="X114" s="211">
        <f>IFERROR(__xludf.DUMMYFUNCTION("""COMPUTED_VALUE"""),11.0)</f>
        <v>11</v>
      </c>
      <c r="Y114" s="211">
        <f>IFERROR(__xludf.DUMMYFUNCTION("""COMPUTED_VALUE"""),1.0)</f>
        <v>1</v>
      </c>
      <c r="Z114" s="211">
        <f>IFERROR(__xludf.DUMMYFUNCTION("""COMPUTED_VALUE"""),973.0)</f>
        <v>973</v>
      </c>
    </row>
    <row r="115">
      <c r="A115" s="210">
        <f>IFERROR(__xludf.DUMMYFUNCTION("""COMPUTED_VALUE"""),44014.0)</f>
        <v>44014</v>
      </c>
      <c r="B115" s="211">
        <f>IFERROR(__xludf.DUMMYFUNCTION("""COMPUTED_VALUE"""),103.0)</f>
        <v>103</v>
      </c>
      <c r="C115" s="211">
        <f>IFERROR(__xludf.DUMMYFUNCTION("""COMPUTED_VALUE"""),101.0)</f>
        <v>101</v>
      </c>
      <c r="D115" s="211">
        <f>IFERROR(__xludf.DUMMYFUNCTION("""COMPUTED_VALUE"""),24815.0)</f>
        <v>24815</v>
      </c>
      <c r="E115" s="211">
        <f>IFERROR(__xludf.DUMMYFUNCTION("""COMPUTED_VALUE"""),2803.0)</f>
        <v>2803</v>
      </c>
      <c r="F115" s="153">
        <f>IFERROR(__xludf.DUMMYFUNCTION("""COMPUTED_VALUE"""),240002.0)</f>
        <v>240002</v>
      </c>
      <c r="G115" s="153">
        <f>IFERROR(__xludf.DUMMYFUNCTION("""COMPUTED_VALUE"""),2906.0)</f>
        <v>2906</v>
      </c>
      <c r="H115" s="153">
        <f>IFERROR(__xludf.DUMMYFUNCTION("""COMPUTED_VALUE"""),264817.0)</f>
        <v>264817</v>
      </c>
      <c r="I115" s="211">
        <f>IFERROR(__xludf.DUMMYFUNCTION("""COMPUTED_VALUE"""),59.0)</f>
        <v>59</v>
      </c>
      <c r="J115" s="211">
        <f>IFERROR(__xludf.DUMMYFUNCTION("""COMPUTED_VALUE"""),57.0)</f>
        <v>57</v>
      </c>
      <c r="K115" s="211">
        <f>IFERROR(__xludf.DUMMYFUNCTION("""COMPUTED_VALUE"""),16977.0)</f>
        <v>16977</v>
      </c>
      <c r="L115" s="211">
        <f>IFERROR(__xludf.DUMMYFUNCTION("""COMPUTED_VALUE"""),1089.0)</f>
        <v>1089</v>
      </c>
      <c r="M115" s="211">
        <f>IFERROR(__xludf.DUMMYFUNCTION("""COMPUTED_VALUE"""),143270.0)</f>
        <v>143270</v>
      </c>
      <c r="N115" s="211">
        <f>IFERROR(__xludf.DUMMYFUNCTION("""COMPUTED_VALUE"""),160247.0)</f>
        <v>160247</v>
      </c>
      <c r="O115" s="211">
        <f>IFERROR(__xludf.DUMMYFUNCTION("""COMPUTED_VALUE"""),5.0)</f>
        <v>5</v>
      </c>
      <c r="P115" s="211">
        <f>IFERROR(__xludf.DUMMYFUNCTION("""COMPUTED_VALUE"""),2051.0)</f>
        <v>2051</v>
      </c>
      <c r="Q115" s="211">
        <f>IFERROR(__xludf.DUMMYFUNCTION("""COMPUTED_VALUE"""),5.0)</f>
        <v>5</v>
      </c>
      <c r="R115" s="211">
        <f>IFERROR(__xludf.DUMMYFUNCTION("""COMPUTED_VALUE"""),1677.0)</f>
        <v>1677</v>
      </c>
      <c r="S115" s="211">
        <f>IFERROR(__xludf.DUMMYFUNCTION("""COMPUTED_VALUE"""),1.0)</f>
        <v>1</v>
      </c>
      <c r="T115" s="211">
        <f>IFERROR(__xludf.DUMMYFUNCTION("""COMPUTED_VALUE"""),305.0)</f>
        <v>305</v>
      </c>
      <c r="U115" s="211">
        <f>IFERROR(__xludf.DUMMYFUNCTION("""COMPUTED_VALUE"""),69.0)</f>
        <v>69</v>
      </c>
      <c r="V115" s="211">
        <f>IFERROR(__xludf.DUMMYFUNCTION("""COMPUTED_VALUE"""),70.0)</f>
        <v>70</v>
      </c>
      <c r="W115" s="211">
        <f>IFERROR(__xludf.DUMMYFUNCTION("""COMPUTED_VALUE"""),10.0)</f>
        <v>10</v>
      </c>
      <c r="X115" s="211">
        <f>IFERROR(__xludf.DUMMYFUNCTION("""COMPUTED_VALUE"""),10.0)</f>
        <v>10</v>
      </c>
      <c r="Y115" s="211">
        <f>IFERROR(__xludf.DUMMYFUNCTION("""COMPUTED_VALUE"""),2.0)</f>
        <v>2</v>
      </c>
      <c r="Z115" s="211">
        <f>IFERROR(__xludf.DUMMYFUNCTION("""COMPUTED_VALUE"""),975.0)</f>
        <v>975</v>
      </c>
    </row>
    <row r="116">
      <c r="A116" s="210">
        <f>IFERROR(__xludf.DUMMYFUNCTION("""COMPUTED_VALUE"""),44015.0)</f>
        <v>44015</v>
      </c>
      <c r="B116" s="211">
        <f>IFERROR(__xludf.DUMMYFUNCTION("""COMPUTED_VALUE"""),50.0)</f>
        <v>50</v>
      </c>
      <c r="C116" s="211">
        <f>IFERROR(__xludf.DUMMYFUNCTION("""COMPUTED_VALUE"""),99.0)</f>
        <v>99</v>
      </c>
      <c r="D116" s="211">
        <f>IFERROR(__xludf.DUMMYFUNCTION("""COMPUTED_VALUE"""),24865.0)</f>
        <v>24865</v>
      </c>
      <c r="E116" s="211">
        <f>IFERROR(__xludf.DUMMYFUNCTION("""COMPUTED_VALUE"""),2076.0)</f>
        <v>2076</v>
      </c>
      <c r="F116" s="153">
        <f>IFERROR(__xludf.DUMMYFUNCTION("""COMPUTED_VALUE"""),242078.0)</f>
        <v>242078</v>
      </c>
      <c r="G116" s="153">
        <f>IFERROR(__xludf.DUMMYFUNCTION("""COMPUTED_VALUE"""),2126.0)</f>
        <v>2126</v>
      </c>
      <c r="H116" s="153">
        <f>IFERROR(__xludf.DUMMYFUNCTION("""COMPUTED_VALUE"""),266943.0)</f>
        <v>266943</v>
      </c>
      <c r="I116" s="211">
        <f>IFERROR(__xludf.DUMMYFUNCTION("""COMPUTED_VALUE"""),25.0)</f>
        <v>25</v>
      </c>
      <c r="J116" s="211">
        <f>IFERROR(__xludf.DUMMYFUNCTION("""COMPUTED_VALUE"""),54.0)</f>
        <v>54</v>
      </c>
      <c r="K116" s="211">
        <f>IFERROR(__xludf.DUMMYFUNCTION("""COMPUTED_VALUE"""),17002.0)</f>
        <v>17002</v>
      </c>
      <c r="L116" s="211">
        <f>IFERROR(__xludf.DUMMYFUNCTION("""COMPUTED_VALUE"""),778.0)</f>
        <v>778</v>
      </c>
      <c r="M116" s="211">
        <f>IFERROR(__xludf.DUMMYFUNCTION("""COMPUTED_VALUE"""),144048.0)</f>
        <v>144048</v>
      </c>
      <c r="N116" s="211">
        <f>IFERROR(__xludf.DUMMYFUNCTION("""COMPUTED_VALUE"""),161050.0)</f>
        <v>161050</v>
      </c>
      <c r="O116" s="211">
        <f>IFERROR(__xludf.DUMMYFUNCTION("""COMPUTED_VALUE"""),9.0)</f>
        <v>9</v>
      </c>
      <c r="P116" s="211">
        <f>IFERROR(__xludf.DUMMYFUNCTION("""COMPUTED_VALUE"""),2060.0)</f>
        <v>2060</v>
      </c>
      <c r="Q116" s="211">
        <f>IFERROR(__xludf.DUMMYFUNCTION("""COMPUTED_VALUE"""),6.0)</f>
        <v>6</v>
      </c>
      <c r="R116" s="211">
        <f>IFERROR(__xludf.DUMMYFUNCTION("""COMPUTED_VALUE"""),1683.0)</f>
        <v>1683</v>
      </c>
      <c r="S116" s="211">
        <f>IFERROR(__xludf.DUMMYFUNCTION("""COMPUTED_VALUE"""),0.0)</f>
        <v>0</v>
      </c>
      <c r="T116" s="211">
        <f>IFERROR(__xludf.DUMMYFUNCTION("""COMPUTED_VALUE"""),305.0)</f>
        <v>305</v>
      </c>
      <c r="U116" s="211">
        <f>IFERROR(__xludf.DUMMYFUNCTION("""COMPUTED_VALUE"""),72.0)</f>
        <v>72</v>
      </c>
      <c r="V116" s="211">
        <f>IFERROR(__xludf.DUMMYFUNCTION("""COMPUTED_VALUE"""),70.0)</f>
        <v>70</v>
      </c>
      <c r="W116" s="211">
        <f>IFERROR(__xludf.DUMMYFUNCTION("""COMPUTED_VALUE"""),9.0)</f>
        <v>9</v>
      </c>
      <c r="X116" s="211">
        <f>IFERROR(__xludf.DUMMYFUNCTION("""COMPUTED_VALUE"""),9.0)</f>
        <v>9</v>
      </c>
      <c r="Y116" s="211">
        <f>IFERROR(__xludf.DUMMYFUNCTION("""COMPUTED_VALUE"""),3.0)</f>
        <v>3</v>
      </c>
      <c r="Z116" s="211">
        <f>IFERROR(__xludf.DUMMYFUNCTION("""COMPUTED_VALUE"""),978.0)</f>
        <v>978</v>
      </c>
    </row>
    <row r="117">
      <c r="A117" s="210">
        <f>IFERROR(__xludf.DUMMYFUNCTION("""COMPUTED_VALUE"""),44016.0)</f>
        <v>44016</v>
      </c>
      <c r="B117" s="211">
        <f>IFERROR(__xludf.DUMMYFUNCTION("""COMPUTED_VALUE"""),57.0)</f>
        <v>57</v>
      </c>
      <c r="C117" s="211">
        <f>IFERROR(__xludf.DUMMYFUNCTION("""COMPUTED_VALUE"""),70.0)</f>
        <v>70</v>
      </c>
      <c r="D117" s="211">
        <f>IFERROR(__xludf.DUMMYFUNCTION("""COMPUTED_VALUE"""),24922.0)</f>
        <v>24922</v>
      </c>
      <c r="E117" s="211">
        <f>IFERROR(__xludf.DUMMYFUNCTION("""COMPUTED_VALUE"""),2345.0)</f>
        <v>2345</v>
      </c>
      <c r="F117" s="153">
        <f>IFERROR(__xludf.DUMMYFUNCTION("""COMPUTED_VALUE"""),244423.0)</f>
        <v>244423</v>
      </c>
      <c r="G117" s="153">
        <f>IFERROR(__xludf.DUMMYFUNCTION("""COMPUTED_VALUE"""),2402.0)</f>
        <v>2402</v>
      </c>
      <c r="H117" s="153">
        <f>IFERROR(__xludf.DUMMYFUNCTION("""COMPUTED_VALUE"""),269345.0)</f>
        <v>269345</v>
      </c>
      <c r="I117" s="211">
        <f>IFERROR(__xludf.DUMMYFUNCTION("""COMPUTED_VALUE"""),33.0)</f>
        <v>33</v>
      </c>
      <c r="J117" s="211">
        <f>IFERROR(__xludf.DUMMYFUNCTION("""COMPUTED_VALUE"""),39.0)</f>
        <v>39</v>
      </c>
      <c r="K117" s="211">
        <f>IFERROR(__xludf.DUMMYFUNCTION("""COMPUTED_VALUE"""),17035.0)</f>
        <v>17035</v>
      </c>
      <c r="L117" s="211">
        <f>IFERROR(__xludf.DUMMYFUNCTION("""COMPUTED_VALUE"""),1010.0)</f>
        <v>1010</v>
      </c>
      <c r="M117" s="211">
        <f>IFERROR(__xludf.DUMMYFUNCTION("""COMPUTED_VALUE"""),145058.0)</f>
        <v>145058</v>
      </c>
      <c r="N117" s="211">
        <f>IFERROR(__xludf.DUMMYFUNCTION("""COMPUTED_VALUE"""),162093.0)</f>
        <v>162093</v>
      </c>
      <c r="O117" s="211">
        <f>IFERROR(__xludf.DUMMYFUNCTION("""COMPUTED_VALUE"""),2.0)</f>
        <v>2</v>
      </c>
      <c r="P117" s="211">
        <f>IFERROR(__xludf.DUMMYFUNCTION("""COMPUTED_VALUE"""),2062.0)</f>
        <v>2062</v>
      </c>
      <c r="Q117" s="211">
        <f>IFERROR(__xludf.DUMMYFUNCTION("""COMPUTED_VALUE"""),4.0)</f>
        <v>4</v>
      </c>
      <c r="R117" s="211">
        <f>IFERROR(__xludf.DUMMYFUNCTION("""COMPUTED_VALUE"""),1687.0)</f>
        <v>1687</v>
      </c>
      <c r="S117" s="211">
        <f>IFERROR(__xludf.DUMMYFUNCTION("""COMPUTED_VALUE"""),1.0)</f>
        <v>1</v>
      </c>
      <c r="T117" s="211">
        <f>IFERROR(__xludf.DUMMYFUNCTION("""COMPUTED_VALUE"""),306.0)</f>
        <v>306</v>
      </c>
      <c r="U117" s="211">
        <f>IFERROR(__xludf.DUMMYFUNCTION("""COMPUTED_VALUE"""),69.0)</f>
        <v>69</v>
      </c>
      <c r="V117" s="211">
        <f>IFERROR(__xludf.DUMMYFUNCTION("""COMPUTED_VALUE"""),70.0)</f>
        <v>70</v>
      </c>
      <c r="W117" s="211">
        <f>IFERROR(__xludf.DUMMYFUNCTION("""COMPUTED_VALUE"""),10.0)</f>
        <v>10</v>
      </c>
      <c r="X117" s="211">
        <f>IFERROR(__xludf.DUMMYFUNCTION("""COMPUTED_VALUE"""),9.0)</f>
        <v>9</v>
      </c>
      <c r="Y117" s="211">
        <f>IFERROR(__xludf.DUMMYFUNCTION("""COMPUTED_VALUE"""),2.0)</f>
        <v>2</v>
      </c>
      <c r="Z117" s="211">
        <f>IFERROR(__xludf.DUMMYFUNCTION("""COMPUTED_VALUE"""),980.0)</f>
        <v>980</v>
      </c>
    </row>
    <row r="118">
      <c r="A118" s="210">
        <f>IFERROR(__xludf.DUMMYFUNCTION("""COMPUTED_VALUE"""),44017.0)</f>
        <v>44017</v>
      </c>
      <c r="B118" s="211">
        <f>IFERROR(__xludf.DUMMYFUNCTION("""COMPUTED_VALUE"""),49.0)</f>
        <v>49</v>
      </c>
      <c r="C118" s="211">
        <f>IFERROR(__xludf.DUMMYFUNCTION("""COMPUTED_VALUE"""),52.0)</f>
        <v>52</v>
      </c>
      <c r="D118" s="211">
        <f>IFERROR(__xludf.DUMMYFUNCTION("""COMPUTED_VALUE"""),24971.0)</f>
        <v>24971</v>
      </c>
      <c r="E118" s="211">
        <f>IFERROR(__xludf.DUMMYFUNCTION("""COMPUTED_VALUE"""),2932.0)</f>
        <v>2932</v>
      </c>
      <c r="F118" s="153">
        <f>IFERROR(__xludf.DUMMYFUNCTION("""COMPUTED_VALUE"""),247355.0)</f>
        <v>247355</v>
      </c>
      <c r="G118" s="153">
        <f>IFERROR(__xludf.DUMMYFUNCTION("""COMPUTED_VALUE"""),2981.0)</f>
        <v>2981</v>
      </c>
      <c r="H118" s="153">
        <f>IFERROR(__xludf.DUMMYFUNCTION("""COMPUTED_VALUE"""),272326.0)</f>
        <v>272326</v>
      </c>
      <c r="I118" s="211">
        <f>IFERROR(__xludf.DUMMYFUNCTION("""COMPUTED_VALUE"""),26.0)</f>
        <v>26</v>
      </c>
      <c r="J118" s="211">
        <f>IFERROR(__xludf.DUMMYFUNCTION("""COMPUTED_VALUE"""),28.0)</f>
        <v>28</v>
      </c>
      <c r="K118" s="211">
        <f>IFERROR(__xludf.DUMMYFUNCTION("""COMPUTED_VALUE"""),17061.0)</f>
        <v>17061</v>
      </c>
      <c r="L118" s="211">
        <f>IFERROR(__xludf.DUMMYFUNCTION("""COMPUTED_VALUE"""),1446.0)</f>
        <v>1446</v>
      </c>
      <c r="M118" s="211">
        <f>IFERROR(__xludf.DUMMYFUNCTION("""COMPUTED_VALUE"""),146504.0)</f>
        <v>146504</v>
      </c>
      <c r="N118" s="211">
        <f>IFERROR(__xludf.DUMMYFUNCTION("""COMPUTED_VALUE"""),163565.0)</f>
        <v>163565</v>
      </c>
      <c r="O118" s="211">
        <f>IFERROR(__xludf.DUMMYFUNCTION("""COMPUTED_VALUE"""),1.0)</f>
        <v>1</v>
      </c>
      <c r="P118" s="211">
        <f>IFERROR(__xludf.DUMMYFUNCTION("""COMPUTED_VALUE"""),2063.0)</f>
        <v>2063</v>
      </c>
      <c r="Q118" s="211">
        <f>IFERROR(__xludf.DUMMYFUNCTION("""COMPUTED_VALUE"""),2.0)</f>
        <v>2</v>
      </c>
      <c r="R118" s="211">
        <f>IFERROR(__xludf.DUMMYFUNCTION("""COMPUTED_VALUE"""),1689.0)</f>
        <v>1689</v>
      </c>
      <c r="S118" s="211">
        <f>IFERROR(__xludf.DUMMYFUNCTION("""COMPUTED_VALUE"""),1.0)</f>
        <v>1</v>
      </c>
      <c r="T118" s="211">
        <f>IFERROR(__xludf.DUMMYFUNCTION("""COMPUTED_VALUE"""),307.0)</f>
        <v>307</v>
      </c>
      <c r="U118" s="211">
        <f>IFERROR(__xludf.DUMMYFUNCTION("""COMPUTED_VALUE"""),67.0)</f>
        <v>67</v>
      </c>
      <c r="V118" s="211">
        <f>IFERROR(__xludf.DUMMYFUNCTION("""COMPUTED_VALUE"""),69.0)</f>
        <v>69</v>
      </c>
      <c r="W118" s="211">
        <f>IFERROR(__xludf.DUMMYFUNCTION("""COMPUTED_VALUE"""),8.0)</f>
        <v>8</v>
      </c>
      <c r="X118" s="211">
        <f>IFERROR(__xludf.DUMMYFUNCTION("""COMPUTED_VALUE"""),8.0)</f>
        <v>8</v>
      </c>
      <c r="Y118" s="211">
        <f>IFERROR(__xludf.DUMMYFUNCTION("""COMPUTED_VALUE"""),2.0)</f>
        <v>2</v>
      </c>
      <c r="Z118" s="211">
        <f>IFERROR(__xludf.DUMMYFUNCTION("""COMPUTED_VALUE"""),982.0)</f>
        <v>982</v>
      </c>
    </row>
    <row r="119">
      <c r="A119" s="210">
        <f>IFERROR(__xludf.DUMMYFUNCTION("""COMPUTED_VALUE"""),44018.0)</f>
        <v>44018</v>
      </c>
      <c r="B119" s="211">
        <f>IFERROR(__xludf.DUMMYFUNCTION("""COMPUTED_VALUE"""),101.0)</f>
        <v>101</v>
      </c>
      <c r="C119" s="211">
        <f>IFERROR(__xludf.DUMMYFUNCTION("""COMPUTED_VALUE"""),69.0)</f>
        <v>69</v>
      </c>
      <c r="D119" s="211">
        <f>IFERROR(__xludf.DUMMYFUNCTION("""COMPUTED_VALUE"""),25072.0)</f>
        <v>25072</v>
      </c>
      <c r="E119" s="211">
        <f>IFERROR(__xludf.DUMMYFUNCTION("""COMPUTED_VALUE"""),2811.0)</f>
        <v>2811</v>
      </c>
      <c r="F119" s="153">
        <f>IFERROR(__xludf.DUMMYFUNCTION("""COMPUTED_VALUE"""),250166.0)</f>
        <v>250166</v>
      </c>
      <c r="G119" s="153">
        <f>IFERROR(__xludf.DUMMYFUNCTION("""COMPUTED_VALUE"""),2912.0)</f>
        <v>2912</v>
      </c>
      <c r="H119" s="153">
        <f>IFERROR(__xludf.DUMMYFUNCTION("""COMPUTED_VALUE"""),275238.0)</f>
        <v>275238</v>
      </c>
      <c r="I119" s="211">
        <f>IFERROR(__xludf.DUMMYFUNCTION("""COMPUTED_VALUE"""),57.0)</f>
        <v>57</v>
      </c>
      <c r="J119" s="211">
        <f>IFERROR(__xludf.DUMMYFUNCTION("""COMPUTED_VALUE"""),39.0)</f>
        <v>39</v>
      </c>
      <c r="K119" s="211">
        <f>IFERROR(__xludf.DUMMYFUNCTION("""COMPUTED_VALUE"""),17118.0)</f>
        <v>17118</v>
      </c>
      <c r="L119" s="211">
        <f>IFERROR(__xludf.DUMMYFUNCTION("""COMPUTED_VALUE"""),1552.0)</f>
        <v>1552</v>
      </c>
      <c r="M119" s="211">
        <f>IFERROR(__xludf.DUMMYFUNCTION("""COMPUTED_VALUE"""),148056.0)</f>
        <v>148056</v>
      </c>
      <c r="N119" s="211">
        <f>IFERROR(__xludf.DUMMYFUNCTION("""COMPUTED_VALUE"""),165174.0)</f>
        <v>165174</v>
      </c>
      <c r="O119" s="211">
        <f>IFERROR(__xludf.DUMMYFUNCTION("""COMPUTED_VALUE"""),6.0)</f>
        <v>6</v>
      </c>
      <c r="P119" s="211">
        <f>IFERROR(__xludf.DUMMYFUNCTION("""COMPUTED_VALUE"""),2069.0)</f>
        <v>2069</v>
      </c>
      <c r="Q119" s="211">
        <f>IFERROR(__xludf.DUMMYFUNCTION("""COMPUTED_VALUE"""),6.0)</f>
        <v>6</v>
      </c>
      <c r="R119" s="211">
        <f>IFERROR(__xludf.DUMMYFUNCTION("""COMPUTED_VALUE"""),1695.0)</f>
        <v>1695</v>
      </c>
      <c r="S119" s="211">
        <f>IFERROR(__xludf.DUMMYFUNCTION("""COMPUTED_VALUE"""),0.0)</f>
        <v>0</v>
      </c>
      <c r="T119" s="211">
        <f>IFERROR(__xludf.DUMMYFUNCTION("""COMPUTED_VALUE"""),307.0)</f>
        <v>307</v>
      </c>
      <c r="U119" s="211">
        <f>IFERROR(__xludf.DUMMYFUNCTION("""COMPUTED_VALUE"""),67.0)</f>
        <v>67</v>
      </c>
      <c r="V119" s="211">
        <f>IFERROR(__xludf.DUMMYFUNCTION("""COMPUTED_VALUE"""),68.0)</f>
        <v>68</v>
      </c>
      <c r="W119" s="211">
        <f>IFERROR(__xludf.DUMMYFUNCTION("""COMPUTED_VALUE"""),9.0)</f>
        <v>9</v>
      </c>
      <c r="X119" s="211">
        <f>IFERROR(__xludf.DUMMYFUNCTION("""COMPUTED_VALUE"""),9.0)</f>
        <v>9</v>
      </c>
      <c r="Y119" s="211">
        <f>IFERROR(__xludf.DUMMYFUNCTION("""COMPUTED_VALUE"""),4.0)</f>
        <v>4</v>
      </c>
      <c r="Z119" s="211">
        <f>IFERROR(__xludf.DUMMYFUNCTION("""COMPUTED_VALUE"""),986.0)</f>
        <v>986</v>
      </c>
    </row>
    <row r="120">
      <c r="A120" s="210">
        <f>IFERROR(__xludf.DUMMYFUNCTION("""COMPUTED_VALUE"""),44019.0)</f>
        <v>44019</v>
      </c>
      <c r="B120" s="211">
        <f>IFERROR(__xludf.DUMMYFUNCTION("""COMPUTED_VALUE"""),81.0)</f>
        <v>81</v>
      </c>
      <c r="C120" s="211">
        <f>IFERROR(__xludf.DUMMYFUNCTION("""COMPUTED_VALUE"""),77.0)</f>
        <v>77</v>
      </c>
      <c r="D120" s="211">
        <f>IFERROR(__xludf.DUMMYFUNCTION("""COMPUTED_VALUE"""),25153.0)</f>
        <v>25153</v>
      </c>
      <c r="E120" s="211">
        <f>IFERROR(__xludf.DUMMYFUNCTION("""COMPUTED_VALUE"""),3457.0)</f>
        <v>3457</v>
      </c>
      <c r="F120" s="153">
        <f>IFERROR(__xludf.DUMMYFUNCTION("""COMPUTED_VALUE"""),253623.0)</f>
        <v>253623</v>
      </c>
      <c r="G120" s="153">
        <f>IFERROR(__xludf.DUMMYFUNCTION("""COMPUTED_VALUE"""),3538.0)</f>
        <v>3538</v>
      </c>
      <c r="H120" s="153">
        <f>IFERROR(__xludf.DUMMYFUNCTION("""COMPUTED_VALUE"""),278776.0)</f>
        <v>278776</v>
      </c>
      <c r="I120" s="211">
        <f>IFERROR(__xludf.DUMMYFUNCTION("""COMPUTED_VALUE"""),47.0)</f>
        <v>47</v>
      </c>
      <c r="J120" s="211">
        <f>IFERROR(__xludf.DUMMYFUNCTION("""COMPUTED_VALUE"""),43.0)</f>
        <v>43</v>
      </c>
      <c r="K120" s="211">
        <f>IFERROR(__xludf.DUMMYFUNCTION("""COMPUTED_VALUE"""),17165.0)</f>
        <v>17165</v>
      </c>
      <c r="L120" s="211">
        <f>IFERROR(__xludf.DUMMYFUNCTION("""COMPUTED_VALUE"""),1534.0)</f>
        <v>1534</v>
      </c>
      <c r="M120" s="211">
        <f>IFERROR(__xludf.DUMMYFUNCTION("""COMPUTED_VALUE"""),149590.0)</f>
        <v>149590</v>
      </c>
      <c r="N120" s="211">
        <f>IFERROR(__xludf.DUMMYFUNCTION("""COMPUTED_VALUE"""),166755.0)</f>
        <v>166755</v>
      </c>
      <c r="O120" s="211">
        <f>IFERROR(__xludf.DUMMYFUNCTION("""COMPUTED_VALUE"""),5.0)</f>
        <v>5</v>
      </c>
      <c r="P120" s="211">
        <f>IFERROR(__xludf.DUMMYFUNCTION("""COMPUTED_VALUE"""),2074.0)</f>
        <v>2074</v>
      </c>
      <c r="Q120" s="211">
        <f>IFERROR(__xludf.DUMMYFUNCTION("""COMPUTED_VALUE"""),7.0)</f>
        <v>7</v>
      </c>
      <c r="R120" s="211">
        <f>IFERROR(__xludf.DUMMYFUNCTION("""COMPUTED_VALUE"""),1702.0)</f>
        <v>1702</v>
      </c>
      <c r="S120" s="211">
        <f>IFERROR(__xludf.DUMMYFUNCTION("""COMPUTED_VALUE"""),0.0)</f>
        <v>0</v>
      </c>
      <c r="T120" s="211">
        <f>IFERROR(__xludf.DUMMYFUNCTION("""COMPUTED_VALUE"""),307.0)</f>
        <v>307</v>
      </c>
      <c r="U120" s="211">
        <f>IFERROR(__xludf.DUMMYFUNCTION("""COMPUTED_VALUE"""),65.0)</f>
        <v>65</v>
      </c>
      <c r="V120" s="211">
        <f>IFERROR(__xludf.DUMMYFUNCTION("""COMPUTED_VALUE"""),66.0)</f>
        <v>66</v>
      </c>
      <c r="W120" s="211">
        <f>IFERROR(__xludf.DUMMYFUNCTION("""COMPUTED_VALUE"""),8.0)</f>
        <v>8</v>
      </c>
      <c r="X120" s="211">
        <f>IFERROR(__xludf.DUMMYFUNCTION("""COMPUTED_VALUE"""),8.0)</f>
        <v>8</v>
      </c>
      <c r="Y120" s="211">
        <f>IFERROR(__xludf.DUMMYFUNCTION("""COMPUTED_VALUE"""),2.0)</f>
        <v>2</v>
      </c>
      <c r="Z120" s="211">
        <f>IFERROR(__xludf.DUMMYFUNCTION("""COMPUTED_VALUE"""),988.0)</f>
        <v>988</v>
      </c>
    </row>
    <row r="121">
      <c r="A121" s="210">
        <f>IFERROR(__xludf.DUMMYFUNCTION("""COMPUTED_VALUE"""),44020.0)</f>
        <v>44020</v>
      </c>
      <c r="B121" s="211">
        <f>IFERROR(__xludf.DUMMYFUNCTION("""COMPUTED_VALUE"""),105.0)</f>
        <v>105</v>
      </c>
      <c r="C121" s="211">
        <f>IFERROR(__xludf.DUMMYFUNCTION("""COMPUTED_VALUE"""),96.0)</f>
        <v>96</v>
      </c>
      <c r="D121" s="211">
        <f>IFERROR(__xludf.DUMMYFUNCTION("""COMPUTED_VALUE"""),25258.0)</f>
        <v>25258</v>
      </c>
      <c r="E121" s="211">
        <f>IFERROR(__xludf.DUMMYFUNCTION("""COMPUTED_VALUE"""),3403.0)</f>
        <v>3403</v>
      </c>
      <c r="F121" s="153">
        <f>IFERROR(__xludf.DUMMYFUNCTION("""COMPUTED_VALUE"""),257026.0)</f>
        <v>257026</v>
      </c>
      <c r="G121" s="153">
        <f>IFERROR(__xludf.DUMMYFUNCTION("""COMPUTED_VALUE"""),3508.0)</f>
        <v>3508</v>
      </c>
      <c r="H121" s="153">
        <f>IFERROR(__xludf.DUMMYFUNCTION("""COMPUTED_VALUE"""),282284.0)</f>
        <v>282284</v>
      </c>
      <c r="I121" s="211">
        <f>IFERROR(__xludf.DUMMYFUNCTION("""COMPUTED_VALUE"""),64.0)</f>
        <v>64</v>
      </c>
      <c r="J121" s="211">
        <f>IFERROR(__xludf.DUMMYFUNCTION("""COMPUTED_VALUE"""),56.0)</f>
        <v>56</v>
      </c>
      <c r="K121" s="211">
        <f>IFERROR(__xludf.DUMMYFUNCTION("""COMPUTED_VALUE"""),17229.0)</f>
        <v>17229</v>
      </c>
      <c r="L121" s="211">
        <f>IFERROR(__xludf.DUMMYFUNCTION("""COMPUTED_VALUE"""),1425.0)</f>
        <v>1425</v>
      </c>
      <c r="M121" s="211">
        <f>IFERROR(__xludf.DUMMYFUNCTION("""COMPUTED_VALUE"""),151015.0)</f>
        <v>151015</v>
      </c>
      <c r="N121" s="211">
        <f>IFERROR(__xludf.DUMMYFUNCTION("""COMPUTED_VALUE"""),168244.0)</f>
        <v>168244</v>
      </c>
      <c r="O121" s="211">
        <f>IFERROR(__xludf.DUMMYFUNCTION("""COMPUTED_VALUE"""),4.0)</f>
        <v>4</v>
      </c>
      <c r="P121" s="211">
        <f>IFERROR(__xludf.DUMMYFUNCTION("""COMPUTED_VALUE"""),2078.0)</f>
        <v>2078</v>
      </c>
      <c r="Q121" s="211">
        <f>IFERROR(__xludf.DUMMYFUNCTION("""COMPUTED_VALUE"""),2.0)</f>
        <v>2</v>
      </c>
      <c r="R121" s="211">
        <f>IFERROR(__xludf.DUMMYFUNCTION("""COMPUTED_VALUE"""),1704.0)</f>
        <v>1704</v>
      </c>
      <c r="S121" s="211">
        <f>IFERROR(__xludf.DUMMYFUNCTION("""COMPUTED_VALUE"""),0.0)</f>
        <v>0</v>
      </c>
      <c r="T121" s="211">
        <f>IFERROR(__xludf.DUMMYFUNCTION("""COMPUTED_VALUE"""),307.0)</f>
        <v>307</v>
      </c>
      <c r="U121" s="211">
        <f>IFERROR(__xludf.DUMMYFUNCTION("""COMPUTED_VALUE"""),67.0)</f>
        <v>67</v>
      </c>
      <c r="V121" s="211">
        <f>IFERROR(__xludf.DUMMYFUNCTION("""COMPUTED_VALUE"""),66.0)</f>
        <v>66</v>
      </c>
      <c r="W121" s="211">
        <f>IFERROR(__xludf.DUMMYFUNCTION("""COMPUTED_VALUE"""),9.0)</f>
        <v>9</v>
      </c>
      <c r="X121" s="211">
        <f>IFERROR(__xludf.DUMMYFUNCTION("""COMPUTED_VALUE"""),8.0)</f>
        <v>8</v>
      </c>
      <c r="Y121" s="211">
        <f>IFERROR(__xludf.DUMMYFUNCTION("""COMPUTED_VALUE"""),0.0)</f>
        <v>0</v>
      </c>
      <c r="Z121" s="211">
        <f>IFERROR(__xludf.DUMMYFUNCTION("""COMPUTED_VALUE"""),988.0)</f>
        <v>988</v>
      </c>
    </row>
    <row r="122">
      <c r="A122" s="210">
        <f>IFERROR(__xludf.DUMMYFUNCTION("""COMPUTED_VALUE"""),44021.0)</f>
        <v>44021</v>
      </c>
      <c r="B122" s="211">
        <f>IFERROR(__xludf.DUMMYFUNCTION("""COMPUTED_VALUE"""),94.0)</f>
        <v>94</v>
      </c>
      <c r="C122" s="211">
        <f>IFERROR(__xludf.DUMMYFUNCTION("""COMPUTED_VALUE"""),93.0)</f>
        <v>93</v>
      </c>
      <c r="D122" s="211">
        <f>IFERROR(__xludf.DUMMYFUNCTION("""COMPUTED_VALUE"""),25352.0)</f>
        <v>25352</v>
      </c>
      <c r="E122" s="211">
        <f>IFERROR(__xludf.DUMMYFUNCTION("""COMPUTED_VALUE"""),3712.0)</f>
        <v>3712</v>
      </c>
      <c r="F122" s="153">
        <f>IFERROR(__xludf.DUMMYFUNCTION("""COMPUTED_VALUE"""),260738.0)</f>
        <v>260738</v>
      </c>
      <c r="G122" s="153">
        <f>IFERROR(__xludf.DUMMYFUNCTION("""COMPUTED_VALUE"""),3806.0)</f>
        <v>3806</v>
      </c>
      <c r="H122" s="153">
        <f>IFERROR(__xludf.DUMMYFUNCTION("""COMPUTED_VALUE"""),286090.0)</f>
        <v>286090</v>
      </c>
      <c r="I122" s="211">
        <f>IFERROR(__xludf.DUMMYFUNCTION("""COMPUTED_VALUE"""),50.0)</f>
        <v>50</v>
      </c>
      <c r="J122" s="211">
        <f>IFERROR(__xludf.DUMMYFUNCTION("""COMPUTED_VALUE"""),54.0)</f>
        <v>54</v>
      </c>
      <c r="K122" s="211">
        <f>IFERROR(__xludf.DUMMYFUNCTION("""COMPUTED_VALUE"""),17279.0)</f>
        <v>17279</v>
      </c>
      <c r="L122" s="211">
        <f>IFERROR(__xludf.DUMMYFUNCTION("""COMPUTED_VALUE"""),1630.0)</f>
        <v>1630</v>
      </c>
      <c r="M122" s="211">
        <f>IFERROR(__xludf.DUMMYFUNCTION("""COMPUTED_VALUE"""),152645.0)</f>
        <v>152645</v>
      </c>
      <c r="N122" s="211">
        <f>IFERROR(__xludf.DUMMYFUNCTION("""COMPUTED_VALUE"""),169924.0)</f>
        <v>169924</v>
      </c>
      <c r="O122" s="211">
        <f>IFERROR(__xludf.DUMMYFUNCTION("""COMPUTED_VALUE"""),9.0)</f>
        <v>9</v>
      </c>
      <c r="P122" s="211">
        <f>IFERROR(__xludf.DUMMYFUNCTION("""COMPUTED_VALUE"""),2087.0)</f>
        <v>2087</v>
      </c>
      <c r="Q122" s="211">
        <f>IFERROR(__xludf.DUMMYFUNCTION("""COMPUTED_VALUE"""),3.0)</f>
        <v>3</v>
      </c>
      <c r="R122" s="211">
        <f>IFERROR(__xludf.DUMMYFUNCTION("""COMPUTED_VALUE"""),1707.0)</f>
        <v>1707</v>
      </c>
      <c r="S122" s="211">
        <f>IFERROR(__xludf.DUMMYFUNCTION("""COMPUTED_VALUE"""),0.0)</f>
        <v>0</v>
      </c>
      <c r="T122" s="211">
        <f>IFERROR(__xludf.DUMMYFUNCTION("""COMPUTED_VALUE"""),307.0)</f>
        <v>307</v>
      </c>
      <c r="U122" s="211">
        <f>IFERROR(__xludf.DUMMYFUNCTION("""COMPUTED_VALUE"""),73.0)</f>
        <v>73</v>
      </c>
      <c r="V122" s="211">
        <f>IFERROR(__xludf.DUMMYFUNCTION("""COMPUTED_VALUE"""),68.0)</f>
        <v>68</v>
      </c>
      <c r="W122" s="211">
        <f>IFERROR(__xludf.DUMMYFUNCTION("""COMPUTED_VALUE"""),9.0)</f>
        <v>9</v>
      </c>
      <c r="X122" s="211">
        <f>IFERROR(__xludf.DUMMYFUNCTION("""COMPUTED_VALUE"""),8.0)</f>
        <v>8</v>
      </c>
      <c r="Y122" s="211">
        <f>IFERROR(__xludf.DUMMYFUNCTION("""COMPUTED_VALUE"""),0.0)</f>
        <v>0</v>
      </c>
      <c r="Z122" s="211">
        <f>IFERROR(__xludf.DUMMYFUNCTION("""COMPUTED_VALUE"""),988.0)</f>
        <v>988</v>
      </c>
    </row>
    <row r="123">
      <c r="A123" s="210">
        <f>IFERROR(__xludf.DUMMYFUNCTION("""COMPUTED_VALUE"""),44022.0)</f>
        <v>44022</v>
      </c>
      <c r="B123" s="211">
        <f>IFERROR(__xludf.DUMMYFUNCTION("""COMPUTED_VALUE"""),131.0)</f>
        <v>131</v>
      </c>
      <c r="C123" s="211">
        <f>IFERROR(__xludf.DUMMYFUNCTION("""COMPUTED_VALUE"""),110.0)</f>
        <v>110</v>
      </c>
      <c r="D123" s="211">
        <f>IFERROR(__xludf.DUMMYFUNCTION("""COMPUTED_VALUE"""),25483.0)</f>
        <v>25483</v>
      </c>
      <c r="E123" s="211">
        <f>IFERROR(__xludf.DUMMYFUNCTION("""COMPUTED_VALUE"""),4431.0)</f>
        <v>4431</v>
      </c>
      <c r="F123" s="153">
        <f>IFERROR(__xludf.DUMMYFUNCTION("""COMPUTED_VALUE"""),265169.0)</f>
        <v>265169</v>
      </c>
      <c r="G123" s="153">
        <f>IFERROR(__xludf.DUMMYFUNCTION("""COMPUTED_VALUE"""),4562.0)</f>
        <v>4562</v>
      </c>
      <c r="H123" s="153">
        <f>IFERROR(__xludf.DUMMYFUNCTION("""COMPUTED_VALUE"""),290652.0)</f>
        <v>290652</v>
      </c>
      <c r="I123" s="211">
        <f>IFERROR(__xludf.DUMMYFUNCTION("""COMPUTED_VALUE"""),80.0)</f>
        <v>80</v>
      </c>
      <c r="J123" s="211">
        <f>IFERROR(__xludf.DUMMYFUNCTION("""COMPUTED_VALUE"""),65.0)</f>
        <v>65</v>
      </c>
      <c r="K123" s="211">
        <f>IFERROR(__xludf.DUMMYFUNCTION("""COMPUTED_VALUE"""),17359.0)</f>
        <v>17359</v>
      </c>
      <c r="L123" s="211">
        <f>IFERROR(__xludf.DUMMYFUNCTION("""COMPUTED_VALUE"""),2078.0)</f>
        <v>2078</v>
      </c>
      <c r="M123" s="211">
        <f>IFERROR(__xludf.DUMMYFUNCTION("""COMPUTED_VALUE"""),154723.0)</f>
        <v>154723</v>
      </c>
      <c r="N123" s="211">
        <f>IFERROR(__xludf.DUMMYFUNCTION("""COMPUTED_VALUE"""),172082.0)</f>
        <v>172082</v>
      </c>
      <c r="O123" s="211">
        <f>IFERROR(__xludf.DUMMYFUNCTION("""COMPUTED_VALUE"""),6.0)</f>
        <v>6</v>
      </c>
      <c r="P123" s="211">
        <f>IFERROR(__xludf.DUMMYFUNCTION("""COMPUTED_VALUE"""),2093.0)</f>
        <v>2093</v>
      </c>
      <c r="Q123" s="211">
        <f>IFERROR(__xludf.DUMMYFUNCTION("""COMPUTED_VALUE"""),3.0)</f>
        <v>3</v>
      </c>
      <c r="R123" s="211">
        <f>IFERROR(__xludf.DUMMYFUNCTION("""COMPUTED_VALUE"""),1710.0)</f>
        <v>1710</v>
      </c>
      <c r="S123" s="211">
        <f>IFERROR(__xludf.DUMMYFUNCTION("""COMPUTED_VALUE"""),2.0)</f>
        <v>2</v>
      </c>
      <c r="T123" s="211">
        <f>IFERROR(__xludf.DUMMYFUNCTION("""COMPUTED_VALUE"""),309.0)</f>
        <v>309</v>
      </c>
      <c r="U123" s="211">
        <f>IFERROR(__xludf.DUMMYFUNCTION("""COMPUTED_VALUE"""),74.0)</f>
        <v>74</v>
      </c>
      <c r="V123" s="211">
        <f>IFERROR(__xludf.DUMMYFUNCTION("""COMPUTED_VALUE"""),71.0)</f>
        <v>71</v>
      </c>
      <c r="W123" s="211">
        <f>IFERROR(__xludf.DUMMYFUNCTION("""COMPUTED_VALUE"""),7.0)</f>
        <v>7</v>
      </c>
      <c r="X123" s="211">
        <f>IFERROR(__xludf.DUMMYFUNCTION("""COMPUTED_VALUE"""),7.0)</f>
        <v>7</v>
      </c>
      <c r="Y123" s="211">
        <f>IFERROR(__xludf.DUMMYFUNCTION("""COMPUTED_VALUE"""),3.0)</f>
        <v>3</v>
      </c>
      <c r="Z123" s="211">
        <f>IFERROR(__xludf.DUMMYFUNCTION("""COMPUTED_VALUE"""),991.0)</f>
        <v>991</v>
      </c>
    </row>
    <row r="124">
      <c r="A124" s="210">
        <f>IFERROR(__xludf.DUMMYFUNCTION("""COMPUTED_VALUE"""),44023.0)</f>
        <v>44023</v>
      </c>
      <c r="B124" s="211">
        <f>IFERROR(__xludf.DUMMYFUNCTION("""COMPUTED_VALUE"""),63.0)</f>
        <v>63</v>
      </c>
      <c r="C124" s="211">
        <f>IFERROR(__xludf.DUMMYFUNCTION("""COMPUTED_VALUE"""),96.0)</f>
        <v>96</v>
      </c>
      <c r="D124" s="211">
        <f>IFERROR(__xludf.DUMMYFUNCTION("""COMPUTED_VALUE"""),25546.0)</f>
        <v>25546</v>
      </c>
      <c r="E124" s="211">
        <f>IFERROR(__xludf.DUMMYFUNCTION("""COMPUTED_VALUE"""),2932.0)</f>
        <v>2932</v>
      </c>
      <c r="F124" s="153">
        <f>IFERROR(__xludf.DUMMYFUNCTION("""COMPUTED_VALUE"""),268101.0)</f>
        <v>268101</v>
      </c>
      <c r="G124" s="153">
        <f>IFERROR(__xludf.DUMMYFUNCTION("""COMPUTED_VALUE"""),2995.0)</f>
        <v>2995</v>
      </c>
      <c r="H124" s="153">
        <f>IFERROR(__xludf.DUMMYFUNCTION("""COMPUTED_VALUE"""),293647.0)</f>
        <v>293647</v>
      </c>
      <c r="I124" s="211">
        <f>IFERROR(__xludf.DUMMYFUNCTION("""COMPUTED_VALUE"""),36.0)</f>
        <v>36</v>
      </c>
      <c r="J124" s="211">
        <f>IFERROR(__xludf.DUMMYFUNCTION("""COMPUTED_VALUE"""),55.0)</f>
        <v>55</v>
      </c>
      <c r="K124" s="211">
        <f>IFERROR(__xludf.DUMMYFUNCTION("""COMPUTED_VALUE"""),17395.0)</f>
        <v>17395</v>
      </c>
      <c r="L124" s="211">
        <f>IFERROR(__xludf.DUMMYFUNCTION("""COMPUTED_VALUE"""),1316.0)</f>
        <v>1316</v>
      </c>
      <c r="M124" s="211">
        <f>IFERROR(__xludf.DUMMYFUNCTION("""COMPUTED_VALUE"""),156039.0)</f>
        <v>156039</v>
      </c>
      <c r="N124" s="211">
        <f>IFERROR(__xludf.DUMMYFUNCTION("""COMPUTED_VALUE"""),173434.0)</f>
        <v>173434</v>
      </c>
      <c r="O124" s="211">
        <f>IFERROR(__xludf.DUMMYFUNCTION("""COMPUTED_VALUE"""),6.0)</f>
        <v>6</v>
      </c>
      <c r="P124" s="211">
        <f>IFERROR(__xludf.DUMMYFUNCTION("""COMPUTED_VALUE"""),2099.0)</f>
        <v>2099</v>
      </c>
      <c r="Q124" s="211">
        <f>IFERROR(__xludf.DUMMYFUNCTION("""COMPUTED_VALUE"""),3.0)</f>
        <v>3</v>
      </c>
      <c r="R124" s="211">
        <f>IFERROR(__xludf.DUMMYFUNCTION("""COMPUTED_VALUE"""),1713.0)</f>
        <v>1713</v>
      </c>
      <c r="S124" s="211">
        <f>IFERROR(__xludf.DUMMYFUNCTION("""COMPUTED_VALUE"""),1.0)</f>
        <v>1</v>
      </c>
      <c r="T124" s="211">
        <f>IFERROR(__xludf.DUMMYFUNCTION("""COMPUTED_VALUE"""),310.0)</f>
        <v>310</v>
      </c>
      <c r="U124" s="211">
        <f>IFERROR(__xludf.DUMMYFUNCTION("""COMPUTED_VALUE"""),76.0)</f>
        <v>76</v>
      </c>
      <c r="V124" s="211">
        <f>IFERROR(__xludf.DUMMYFUNCTION("""COMPUTED_VALUE"""),74.0)</f>
        <v>74</v>
      </c>
      <c r="W124" s="211">
        <f>IFERROR(__xludf.DUMMYFUNCTION("""COMPUTED_VALUE"""),6.0)</f>
        <v>6</v>
      </c>
      <c r="X124" s="211">
        <f>IFERROR(__xludf.DUMMYFUNCTION("""COMPUTED_VALUE"""),6.0)</f>
        <v>6</v>
      </c>
      <c r="Y124" s="211">
        <f>IFERROR(__xludf.DUMMYFUNCTION("""COMPUTED_VALUE"""),3.0)</f>
        <v>3</v>
      </c>
      <c r="Z124" s="211">
        <f>IFERROR(__xludf.DUMMYFUNCTION("""COMPUTED_VALUE"""),994.0)</f>
        <v>994</v>
      </c>
    </row>
    <row r="125">
      <c r="A125" s="210">
        <f>IFERROR(__xludf.DUMMYFUNCTION("""COMPUTED_VALUE"""),44024.0)</f>
        <v>44024</v>
      </c>
      <c r="B125" s="211">
        <f>IFERROR(__xludf.DUMMYFUNCTION("""COMPUTED_VALUE"""),47.0)</f>
        <v>47</v>
      </c>
      <c r="C125" s="211">
        <f>IFERROR(__xludf.DUMMYFUNCTION("""COMPUTED_VALUE"""),80.0)</f>
        <v>80</v>
      </c>
      <c r="D125" s="211">
        <f>IFERROR(__xludf.DUMMYFUNCTION("""COMPUTED_VALUE"""),25593.0)</f>
        <v>25593</v>
      </c>
      <c r="E125" s="211">
        <f>IFERROR(__xludf.DUMMYFUNCTION("""COMPUTED_VALUE"""),1836.0)</f>
        <v>1836</v>
      </c>
      <c r="F125" s="153">
        <f>IFERROR(__xludf.DUMMYFUNCTION("""COMPUTED_VALUE"""),269937.0)</f>
        <v>269937</v>
      </c>
      <c r="G125" s="153">
        <f>IFERROR(__xludf.DUMMYFUNCTION("""COMPUTED_VALUE"""),1883.0)</f>
        <v>1883</v>
      </c>
      <c r="H125" s="153">
        <f>IFERROR(__xludf.DUMMYFUNCTION("""COMPUTED_VALUE"""),295530.0)</f>
        <v>295530</v>
      </c>
      <c r="I125" s="211">
        <f>IFERROR(__xludf.DUMMYFUNCTION("""COMPUTED_VALUE"""),33.0)</f>
        <v>33</v>
      </c>
      <c r="J125" s="211">
        <f>IFERROR(__xludf.DUMMYFUNCTION("""COMPUTED_VALUE"""),50.0)</f>
        <v>50</v>
      </c>
      <c r="K125" s="211">
        <f>IFERROR(__xludf.DUMMYFUNCTION("""COMPUTED_VALUE"""),17428.0)</f>
        <v>17428</v>
      </c>
      <c r="L125" s="211">
        <f>IFERROR(__xludf.DUMMYFUNCTION("""COMPUTED_VALUE"""),943.0)</f>
        <v>943</v>
      </c>
      <c r="M125" s="211">
        <f>IFERROR(__xludf.DUMMYFUNCTION("""COMPUTED_VALUE"""),156982.0)</f>
        <v>156982</v>
      </c>
      <c r="N125" s="211">
        <f>IFERROR(__xludf.DUMMYFUNCTION("""COMPUTED_VALUE"""),174410.0)</f>
        <v>174410</v>
      </c>
      <c r="O125" s="211">
        <f>IFERROR(__xludf.DUMMYFUNCTION("""COMPUTED_VALUE"""),1.0)</f>
        <v>1</v>
      </c>
      <c r="P125" s="211">
        <f>IFERROR(__xludf.DUMMYFUNCTION("""COMPUTED_VALUE"""),2100.0)</f>
        <v>2100</v>
      </c>
      <c r="Q125" s="211">
        <f>IFERROR(__xludf.DUMMYFUNCTION("""COMPUTED_VALUE"""),3.0)</f>
        <v>3</v>
      </c>
      <c r="R125" s="211">
        <f>IFERROR(__xludf.DUMMYFUNCTION("""COMPUTED_VALUE"""),1716.0)</f>
        <v>1716</v>
      </c>
      <c r="S125" s="211">
        <f>IFERROR(__xludf.DUMMYFUNCTION("""COMPUTED_VALUE"""),1.0)</f>
        <v>1</v>
      </c>
      <c r="T125" s="211">
        <f>IFERROR(__xludf.DUMMYFUNCTION("""COMPUTED_VALUE"""),311.0)</f>
        <v>311</v>
      </c>
      <c r="U125" s="211">
        <f>IFERROR(__xludf.DUMMYFUNCTION("""COMPUTED_VALUE"""),73.0)</f>
        <v>73</v>
      </c>
      <c r="V125" s="211">
        <f>IFERROR(__xludf.DUMMYFUNCTION("""COMPUTED_VALUE"""),74.0)</f>
        <v>74</v>
      </c>
      <c r="W125" s="211">
        <f>IFERROR(__xludf.DUMMYFUNCTION("""COMPUTED_VALUE"""),6.0)</f>
        <v>6</v>
      </c>
      <c r="X125" s="211">
        <f>IFERROR(__xludf.DUMMYFUNCTION("""COMPUTED_VALUE"""),5.0)</f>
        <v>5</v>
      </c>
      <c r="Y125" s="211">
        <f>IFERROR(__xludf.DUMMYFUNCTION("""COMPUTED_VALUE"""),3.0)</f>
        <v>3</v>
      </c>
      <c r="Z125" s="211">
        <f>IFERROR(__xludf.DUMMYFUNCTION("""COMPUTED_VALUE"""),997.0)</f>
        <v>997</v>
      </c>
    </row>
    <row r="126">
      <c r="A126" s="210">
        <f>IFERROR(__xludf.DUMMYFUNCTION("""COMPUTED_VALUE"""),44025.0)</f>
        <v>44025</v>
      </c>
      <c r="B126" s="211">
        <f>IFERROR(__xludf.DUMMYFUNCTION("""COMPUTED_VALUE"""),84.0)</f>
        <v>84</v>
      </c>
      <c r="C126" s="211">
        <f>IFERROR(__xludf.DUMMYFUNCTION("""COMPUTED_VALUE"""),65.0)</f>
        <v>65</v>
      </c>
      <c r="D126" s="211">
        <f>IFERROR(__xludf.DUMMYFUNCTION("""COMPUTED_VALUE"""),25677.0)</f>
        <v>25677</v>
      </c>
      <c r="E126" s="211">
        <f>IFERROR(__xludf.DUMMYFUNCTION("""COMPUTED_VALUE"""),3157.0)</f>
        <v>3157</v>
      </c>
      <c r="F126" s="153">
        <f>IFERROR(__xludf.DUMMYFUNCTION("""COMPUTED_VALUE"""),273094.0)</f>
        <v>273094</v>
      </c>
      <c r="G126" s="153">
        <f>IFERROR(__xludf.DUMMYFUNCTION("""COMPUTED_VALUE"""),3241.0)</f>
        <v>3241</v>
      </c>
      <c r="H126" s="153">
        <f>IFERROR(__xludf.DUMMYFUNCTION("""COMPUTED_VALUE"""),298771.0)</f>
        <v>298771</v>
      </c>
      <c r="I126" s="211">
        <f>IFERROR(__xludf.DUMMYFUNCTION("""COMPUTED_VALUE"""),61.0)</f>
        <v>61</v>
      </c>
      <c r="J126" s="211">
        <f>IFERROR(__xludf.DUMMYFUNCTION("""COMPUTED_VALUE"""),43.0)</f>
        <v>43</v>
      </c>
      <c r="K126" s="211">
        <f>IFERROR(__xludf.DUMMYFUNCTION("""COMPUTED_VALUE"""),17489.0)</f>
        <v>17489</v>
      </c>
      <c r="L126" s="211">
        <f>IFERROR(__xludf.DUMMYFUNCTION("""COMPUTED_VALUE"""),1473.0)</f>
        <v>1473</v>
      </c>
      <c r="M126" s="211">
        <f>IFERROR(__xludf.DUMMYFUNCTION("""COMPUTED_VALUE"""),158455.0)</f>
        <v>158455</v>
      </c>
      <c r="N126" s="211">
        <f>IFERROR(__xludf.DUMMYFUNCTION("""COMPUTED_VALUE"""),175944.0)</f>
        <v>175944</v>
      </c>
      <c r="O126" s="211">
        <f>IFERROR(__xludf.DUMMYFUNCTION("""COMPUTED_VALUE"""),8.0)</f>
        <v>8</v>
      </c>
      <c r="P126" s="211">
        <f>IFERROR(__xludf.DUMMYFUNCTION("""COMPUTED_VALUE"""),2108.0)</f>
        <v>2108</v>
      </c>
      <c r="Q126" s="211">
        <f>IFERROR(__xludf.DUMMYFUNCTION("""COMPUTED_VALUE"""),10.0)</f>
        <v>10</v>
      </c>
      <c r="R126" s="211">
        <f>IFERROR(__xludf.DUMMYFUNCTION("""COMPUTED_VALUE"""),1726.0)</f>
        <v>1726</v>
      </c>
      <c r="S126" s="211">
        <f>IFERROR(__xludf.DUMMYFUNCTION("""COMPUTED_VALUE"""),0.0)</f>
        <v>0</v>
      </c>
      <c r="T126" s="211">
        <f>IFERROR(__xludf.DUMMYFUNCTION("""COMPUTED_VALUE"""),311.0)</f>
        <v>311</v>
      </c>
      <c r="U126" s="211">
        <f>IFERROR(__xludf.DUMMYFUNCTION("""COMPUTED_VALUE"""),71.0)</f>
        <v>71</v>
      </c>
      <c r="V126" s="211">
        <f>IFERROR(__xludf.DUMMYFUNCTION("""COMPUTED_VALUE"""),73.0)</f>
        <v>73</v>
      </c>
      <c r="W126" s="211">
        <f>IFERROR(__xludf.DUMMYFUNCTION("""COMPUTED_VALUE"""),6.0)</f>
        <v>6</v>
      </c>
      <c r="X126" s="211">
        <f>IFERROR(__xludf.DUMMYFUNCTION("""COMPUTED_VALUE"""),5.0)</f>
        <v>5</v>
      </c>
      <c r="Y126" s="211">
        <f>IFERROR(__xludf.DUMMYFUNCTION("""COMPUTED_VALUE"""),1.0)</f>
        <v>1</v>
      </c>
      <c r="Z126" s="211">
        <f>IFERROR(__xludf.DUMMYFUNCTION("""COMPUTED_VALUE"""),998.0)</f>
        <v>998</v>
      </c>
    </row>
    <row r="127">
      <c r="A127" s="210">
        <f>IFERROR(__xludf.DUMMYFUNCTION("""COMPUTED_VALUE"""),44026.0)</f>
        <v>44026</v>
      </c>
      <c r="B127" s="211">
        <f>IFERROR(__xludf.DUMMYFUNCTION("""COMPUTED_VALUE"""),73.0)</f>
        <v>73</v>
      </c>
      <c r="C127" s="211">
        <f>IFERROR(__xludf.DUMMYFUNCTION("""COMPUTED_VALUE"""),68.0)</f>
        <v>68</v>
      </c>
      <c r="D127" s="211">
        <f>IFERROR(__xludf.DUMMYFUNCTION("""COMPUTED_VALUE"""),25750.0)</f>
        <v>25750</v>
      </c>
      <c r="E127" s="211">
        <f>IFERROR(__xludf.DUMMYFUNCTION("""COMPUTED_VALUE"""),3289.0)</f>
        <v>3289</v>
      </c>
      <c r="F127" s="153">
        <f>IFERROR(__xludf.DUMMYFUNCTION("""COMPUTED_VALUE"""),276383.0)</f>
        <v>276383</v>
      </c>
      <c r="G127" s="153">
        <f>IFERROR(__xludf.DUMMYFUNCTION("""COMPUTED_VALUE"""),3362.0)</f>
        <v>3362</v>
      </c>
      <c r="H127" s="153">
        <f>IFERROR(__xludf.DUMMYFUNCTION("""COMPUTED_VALUE"""),302133.0)</f>
        <v>302133</v>
      </c>
      <c r="I127" s="211">
        <f>IFERROR(__xludf.DUMMYFUNCTION("""COMPUTED_VALUE"""),43.0)</f>
        <v>43</v>
      </c>
      <c r="J127" s="211">
        <f>IFERROR(__xludf.DUMMYFUNCTION("""COMPUTED_VALUE"""),46.0)</f>
        <v>46</v>
      </c>
      <c r="K127" s="211">
        <f>IFERROR(__xludf.DUMMYFUNCTION("""COMPUTED_VALUE"""),17532.0)</f>
        <v>17532</v>
      </c>
      <c r="L127" s="211">
        <f>IFERROR(__xludf.DUMMYFUNCTION("""COMPUTED_VALUE"""),1373.0)</f>
        <v>1373</v>
      </c>
      <c r="M127" s="211">
        <f>IFERROR(__xludf.DUMMYFUNCTION("""COMPUTED_VALUE"""),159828.0)</f>
        <v>159828</v>
      </c>
      <c r="N127" s="211">
        <f>IFERROR(__xludf.DUMMYFUNCTION("""COMPUTED_VALUE"""),177360.0)</f>
        <v>177360</v>
      </c>
      <c r="O127" s="211">
        <f>IFERROR(__xludf.DUMMYFUNCTION("""COMPUTED_VALUE"""),7.0)</f>
        <v>7</v>
      </c>
      <c r="P127" s="211">
        <f>IFERROR(__xludf.DUMMYFUNCTION("""COMPUTED_VALUE"""),2115.0)</f>
        <v>2115</v>
      </c>
      <c r="Q127" s="211">
        <f>IFERROR(__xludf.DUMMYFUNCTION("""COMPUTED_VALUE"""),4.0)</f>
        <v>4</v>
      </c>
      <c r="R127" s="211">
        <f>IFERROR(__xludf.DUMMYFUNCTION("""COMPUTED_VALUE"""),1730.0)</f>
        <v>1730</v>
      </c>
      <c r="S127" s="211">
        <f>IFERROR(__xludf.DUMMYFUNCTION("""COMPUTED_VALUE"""),0.0)</f>
        <v>0</v>
      </c>
      <c r="T127" s="211">
        <f>IFERROR(__xludf.DUMMYFUNCTION("""COMPUTED_VALUE"""),311.0)</f>
        <v>311</v>
      </c>
      <c r="U127" s="211">
        <f>IFERROR(__xludf.DUMMYFUNCTION("""COMPUTED_VALUE"""),74.0)</f>
        <v>74</v>
      </c>
      <c r="V127" s="211">
        <f>IFERROR(__xludf.DUMMYFUNCTION("""COMPUTED_VALUE"""),73.0)</f>
        <v>73</v>
      </c>
      <c r="W127" s="211">
        <f>IFERROR(__xludf.DUMMYFUNCTION("""COMPUTED_VALUE"""),5.0)</f>
        <v>5</v>
      </c>
      <c r="X127" s="211">
        <f>IFERROR(__xludf.DUMMYFUNCTION("""COMPUTED_VALUE"""),5.0)</f>
        <v>5</v>
      </c>
      <c r="Y127" s="211">
        <f>IFERROR(__xludf.DUMMYFUNCTION("""COMPUTED_VALUE"""),1.0)</f>
        <v>1</v>
      </c>
      <c r="Z127" s="211">
        <f>IFERROR(__xludf.DUMMYFUNCTION("""COMPUTED_VALUE"""),999.0)</f>
        <v>999</v>
      </c>
    </row>
    <row r="128">
      <c r="A128" s="210">
        <f>IFERROR(__xludf.DUMMYFUNCTION("""COMPUTED_VALUE"""),44027.0)</f>
        <v>44027</v>
      </c>
      <c r="B128" s="211">
        <f>IFERROR(__xludf.DUMMYFUNCTION("""COMPUTED_VALUE"""),130.0)</f>
        <v>130</v>
      </c>
      <c r="C128" s="211">
        <f>IFERROR(__xludf.DUMMYFUNCTION("""COMPUTED_VALUE"""),96.0)</f>
        <v>96</v>
      </c>
      <c r="D128" s="211">
        <f>IFERROR(__xludf.DUMMYFUNCTION("""COMPUTED_VALUE"""),25880.0)</f>
        <v>25880</v>
      </c>
      <c r="E128" s="211">
        <f>IFERROR(__xludf.DUMMYFUNCTION("""COMPUTED_VALUE"""),4168.0)</f>
        <v>4168</v>
      </c>
      <c r="F128" s="153">
        <f>IFERROR(__xludf.DUMMYFUNCTION("""COMPUTED_VALUE"""),280551.0)</f>
        <v>280551</v>
      </c>
      <c r="G128" s="153">
        <f>IFERROR(__xludf.DUMMYFUNCTION("""COMPUTED_VALUE"""),4298.0)</f>
        <v>4298</v>
      </c>
      <c r="H128" s="153">
        <f>IFERROR(__xludf.DUMMYFUNCTION("""COMPUTED_VALUE"""),306431.0)</f>
        <v>306431</v>
      </c>
      <c r="I128" s="211">
        <f>IFERROR(__xludf.DUMMYFUNCTION("""COMPUTED_VALUE"""),99.0)</f>
        <v>99</v>
      </c>
      <c r="J128" s="211">
        <f>IFERROR(__xludf.DUMMYFUNCTION("""COMPUTED_VALUE"""),68.0)</f>
        <v>68</v>
      </c>
      <c r="K128" s="211">
        <f>IFERROR(__xludf.DUMMYFUNCTION("""COMPUTED_VALUE"""),17631.0)</f>
        <v>17631</v>
      </c>
      <c r="L128" s="211">
        <f>IFERROR(__xludf.DUMMYFUNCTION("""COMPUTED_VALUE"""),1749.0)</f>
        <v>1749</v>
      </c>
      <c r="M128" s="211">
        <f>IFERROR(__xludf.DUMMYFUNCTION("""COMPUTED_VALUE"""),161577.0)</f>
        <v>161577</v>
      </c>
      <c r="N128" s="211">
        <f>IFERROR(__xludf.DUMMYFUNCTION("""COMPUTED_VALUE"""),179208.0)</f>
        <v>179208</v>
      </c>
      <c r="O128" s="211">
        <f>IFERROR(__xludf.DUMMYFUNCTION("""COMPUTED_VALUE"""),5.0)</f>
        <v>5</v>
      </c>
      <c r="P128" s="211">
        <f>IFERROR(__xludf.DUMMYFUNCTION("""COMPUTED_VALUE"""),2120.0)</f>
        <v>2120</v>
      </c>
      <c r="Q128" s="211">
        <f>IFERROR(__xludf.DUMMYFUNCTION("""COMPUTED_VALUE"""),7.0)</f>
        <v>7</v>
      </c>
      <c r="R128" s="211">
        <f>IFERROR(__xludf.DUMMYFUNCTION("""COMPUTED_VALUE"""),1737.0)</f>
        <v>1737</v>
      </c>
      <c r="S128" s="211">
        <f>IFERROR(__xludf.DUMMYFUNCTION("""COMPUTED_VALUE"""),0.0)</f>
        <v>0</v>
      </c>
      <c r="T128" s="211">
        <f>IFERROR(__xludf.DUMMYFUNCTION("""COMPUTED_VALUE"""),311.0)</f>
        <v>311</v>
      </c>
      <c r="U128" s="211">
        <f>IFERROR(__xludf.DUMMYFUNCTION("""COMPUTED_VALUE"""),72.0)</f>
        <v>72</v>
      </c>
      <c r="V128" s="211">
        <f>IFERROR(__xludf.DUMMYFUNCTION("""COMPUTED_VALUE"""),72.0)</f>
        <v>72</v>
      </c>
      <c r="W128" s="211">
        <f>IFERROR(__xludf.DUMMYFUNCTION("""COMPUTED_VALUE"""),5.0)</f>
        <v>5</v>
      </c>
      <c r="X128" s="211">
        <f>IFERROR(__xludf.DUMMYFUNCTION("""COMPUTED_VALUE"""),4.0)</f>
        <v>4</v>
      </c>
      <c r="Y128" s="211">
        <f>IFERROR(__xludf.DUMMYFUNCTION("""COMPUTED_VALUE"""),0.0)</f>
        <v>0</v>
      </c>
      <c r="Z128" s="211">
        <f>IFERROR(__xludf.DUMMYFUNCTION("""COMPUTED_VALUE"""),999.0)</f>
        <v>999</v>
      </c>
    </row>
    <row r="129">
      <c r="A129" s="210">
        <f>IFERROR(__xludf.DUMMYFUNCTION("""COMPUTED_VALUE"""),44028.0)</f>
        <v>44028</v>
      </c>
      <c r="B129" s="211">
        <f>IFERROR(__xludf.DUMMYFUNCTION("""COMPUTED_VALUE"""),102.0)</f>
        <v>102</v>
      </c>
      <c r="C129" s="211">
        <f>IFERROR(__xludf.DUMMYFUNCTION("""COMPUTED_VALUE"""),102.0)</f>
        <v>102</v>
      </c>
      <c r="D129" s="211">
        <f>IFERROR(__xludf.DUMMYFUNCTION("""COMPUTED_VALUE"""),25982.0)</f>
        <v>25982</v>
      </c>
      <c r="E129" s="211">
        <f>IFERROR(__xludf.DUMMYFUNCTION("""COMPUTED_VALUE"""),3733.0)</f>
        <v>3733</v>
      </c>
      <c r="F129" s="153">
        <f>IFERROR(__xludf.DUMMYFUNCTION("""COMPUTED_VALUE"""),284284.0)</f>
        <v>284284</v>
      </c>
      <c r="G129" s="153">
        <f>IFERROR(__xludf.DUMMYFUNCTION("""COMPUTED_VALUE"""),3835.0)</f>
        <v>3835</v>
      </c>
      <c r="H129" s="153">
        <f>IFERROR(__xludf.DUMMYFUNCTION("""COMPUTED_VALUE"""),310266.0)</f>
        <v>310266</v>
      </c>
      <c r="I129" s="211">
        <f>IFERROR(__xludf.DUMMYFUNCTION("""COMPUTED_VALUE"""),76.0)</f>
        <v>76</v>
      </c>
      <c r="J129" s="211">
        <f>IFERROR(__xludf.DUMMYFUNCTION("""COMPUTED_VALUE"""),73.0)</f>
        <v>73</v>
      </c>
      <c r="K129" s="211">
        <f>IFERROR(__xludf.DUMMYFUNCTION("""COMPUTED_VALUE"""),17707.0)</f>
        <v>17707</v>
      </c>
      <c r="L129" s="211">
        <f>IFERROR(__xludf.DUMMYFUNCTION("""COMPUTED_VALUE"""),1618.0)</f>
        <v>1618</v>
      </c>
      <c r="M129" s="211">
        <f>IFERROR(__xludf.DUMMYFUNCTION("""COMPUTED_VALUE"""),163195.0)</f>
        <v>163195</v>
      </c>
      <c r="N129" s="211">
        <f>IFERROR(__xludf.DUMMYFUNCTION("""COMPUTED_VALUE"""),180902.0)</f>
        <v>180902</v>
      </c>
      <c r="O129" s="211">
        <f>IFERROR(__xludf.DUMMYFUNCTION("""COMPUTED_VALUE"""),6.0)</f>
        <v>6</v>
      </c>
      <c r="P129" s="211">
        <f>IFERROR(__xludf.DUMMYFUNCTION("""COMPUTED_VALUE"""),2126.0)</f>
        <v>2126</v>
      </c>
      <c r="Q129" s="211">
        <f>IFERROR(__xludf.DUMMYFUNCTION("""COMPUTED_VALUE"""),9.0)</f>
        <v>9</v>
      </c>
      <c r="R129" s="211">
        <f>IFERROR(__xludf.DUMMYFUNCTION("""COMPUTED_VALUE"""),1746.0)</f>
        <v>1746</v>
      </c>
      <c r="S129" s="211">
        <f>IFERROR(__xludf.DUMMYFUNCTION("""COMPUTED_VALUE"""),0.0)</f>
        <v>0</v>
      </c>
      <c r="T129" s="211">
        <f>IFERROR(__xludf.DUMMYFUNCTION("""COMPUTED_VALUE"""),311.0)</f>
        <v>311</v>
      </c>
      <c r="U129" s="211">
        <f>IFERROR(__xludf.DUMMYFUNCTION("""COMPUTED_VALUE"""),69.0)</f>
        <v>69</v>
      </c>
      <c r="V129" s="211">
        <f>IFERROR(__xludf.DUMMYFUNCTION("""COMPUTED_VALUE"""),72.0)</f>
        <v>72</v>
      </c>
      <c r="W129" s="211">
        <f>IFERROR(__xludf.DUMMYFUNCTION("""COMPUTED_VALUE"""),6.0)</f>
        <v>6</v>
      </c>
      <c r="X129" s="211">
        <f>IFERROR(__xludf.DUMMYFUNCTION("""COMPUTED_VALUE"""),5.0)</f>
        <v>5</v>
      </c>
      <c r="Y129" s="211">
        <f>IFERROR(__xludf.DUMMYFUNCTION("""COMPUTED_VALUE"""),1.0)</f>
        <v>1</v>
      </c>
      <c r="Z129" s="211">
        <f>IFERROR(__xludf.DUMMYFUNCTION("""COMPUTED_VALUE"""),1000.0)</f>
        <v>1000</v>
      </c>
    </row>
    <row r="130">
      <c r="A130" s="210">
        <f>IFERROR(__xludf.DUMMYFUNCTION("""COMPUTED_VALUE"""),44029.0)</f>
        <v>44029</v>
      </c>
      <c r="B130" s="211">
        <f>IFERROR(__xludf.DUMMYFUNCTION("""COMPUTED_VALUE"""),156.0)</f>
        <v>156</v>
      </c>
      <c r="C130" s="211">
        <f>IFERROR(__xludf.DUMMYFUNCTION("""COMPUTED_VALUE"""),129.0)</f>
        <v>129</v>
      </c>
      <c r="D130" s="211">
        <f>IFERROR(__xludf.DUMMYFUNCTION("""COMPUTED_VALUE"""),26138.0)</f>
        <v>26138</v>
      </c>
      <c r="E130" s="211">
        <f>IFERROR(__xludf.DUMMYFUNCTION("""COMPUTED_VALUE"""),4235.0)</f>
        <v>4235</v>
      </c>
      <c r="F130" s="153">
        <f>IFERROR(__xludf.DUMMYFUNCTION("""COMPUTED_VALUE"""),288519.0)</f>
        <v>288519</v>
      </c>
      <c r="G130" s="153">
        <f>IFERROR(__xludf.DUMMYFUNCTION("""COMPUTED_VALUE"""),4391.0)</f>
        <v>4391</v>
      </c>
      <c r="H130" s="153">
        <f>IFERROR(__xludf.DUMMYFUNCTION("""COMPUTED_VALUE"""),314657.0)</f>
        <v>314657</v>
      </c>
      <c r="I130" s="211">
        <f>IFERROR(__xludf.DUMMYFUNCTION("""COMPUTED_VALUE"""),79.0)</f>
        <v>79</v>
      </c>
      <c r="J130" s="211">
        <f>IFERROR(__xludf.DUMMYFUNCTION("""COMPUTED_VALUE"""),85.0)</f>
        <v>85</v>
      </c>
      <c r="K130" s="211">
        <f>IFERROR(__xludf.DUMMYFUNCTION("""COMPUTED_VALUE"""),17786.0)</f>
        <v>17786</v>
      </c>
      <c r="L130" s="211">
        <f>IFERROR(__xludf.DUMMYFUNCTION("""COMPUTED_VALUE"""),1849.0)</f>
        <v>1849</v>
      </c>
      <c r="M130" s="211">
        <f>IFERROR(__xludf.DUMMYFUNCTION("""COMPUTED_VALUE"""),165044.0)</f>
        <v>165044</v>
      </c>
      <c r="N130" s="211">
        <f>IFERROR(__xludf.DUMMYFUNCTION("""COMPUTED_VALUE"""),182830.0)</f>
        <v>182830</v>
      </c>
      <c r="O130" s="211">
        <f>IFERROR(__xludf.DUMMYFUNCTION("""COMPUTED_VALUE"""),14.0)</f>
        <v>14</v>
      </c>
      <c r="P130" s="211">
        <f>IFERROR(__xludf.DUMMYFUNCTION("""COMPUTED_VALUE"""),2140.0)</f>
        <v>2140</v>
      </c>
      <c r="Q130" s="211">
        <f>IFERROR(__xludf.DUMMYFUNCTION("""COMPUTED_VALUE"""),3.0)</f>
        <v>3</v>
      </c>
      <c r="R130" s="211">
        <f>IFERROR(__xludf.DUMMYFUNCTION("""COMPUTED_VALUE"""),1749.0)</f>
        <v>1749</v>
      </c>
      <c r="S130" s="211">
        <f>IFERROR(__xludf.DUMMYFUNCTION("""COMPUTED_VALUE"""),1.0)</f>
        <v>1</v>
      </c>
      <c r="T130" s="211">
        <f>IFERROR(__xludf.DUMMYFUNCTION("""COMPUTED_VALUE"""),312.0)</f>
        <v>312</v>
      </c>
      <c r="U130" s="211">
        <f>IFERROR(__xludf.DUMMYFUNCTION("""COMPUTED_VALUE"""),79.0)</f>
        <v>79</v>
      </c>
      <c r="V130" s="211">
        <f>IFERROR(__xludf.DUMMYFUNCTION("""COMPUTED_VALUE"""),73.0)</f>
        <v>73</v>
      </c>
      <c r="W130" s="211">
        <f>IFERROR(__xludf.DUMMYFUNCTION("""COMPUTED_VALUE"""),5.0)</f>
        <v>5</v>
      </c>
      <c r="X130" s="211">
        <f>IFERROR(__xludf.DUMMYFUNCTION("""COMPUTED_VALUE"""),5.0)</f>
        <v>5</v>
      </c>
      <c r="Y130" s="211">
        <f>IFERROR(__xludf.DUMMYFUNCTION("""COMPUTED_VALUE"""),2.0)</f>
        <v>2</v>
      </c>
      <c r="Z130" s="211">
        <f>IFERROR(__xludf.DUMMYFUNCTION("""COMPUTED_VALUE"""),1002.0)</f>
        <v>1002</v>
      </c>
    </row>
    <row r="131">
      <c r="A131" s="210">
        <f>IFERROR(__xludf.DUMMYFUNCTION("""COMPUTED_VALUE"""),44030.0)</f>
        <v>44030</v>
      </c>
      <c r="B131" s="211">
        <f>IFERROR(__xludf.DUMMYFUNCTION("""COMPUTED_VALUE"""),85.0)</f>
        <v>85</v>
      </c>
      <c r="C131" s="211">
        <f>IFERROR(__xludf.DUMMYFUNCTION("""COMPUTED_VALUE"""),114.0)</f>
        <v>114</v>
      </c>
      <c r="D131" s="211">
        <f>IFERROR(__xludf.DUMMYFUNCTION("""COMPUTED_VALUE"""),26223.0)</f>
        <v>26223</v>
      </c>
      <c r="E131" s="211">
        <f>IFERROR(__xludf.DUMMYFUNCTION("""COMPUTED_VALUE"""),3267.0)</f>
        <v>3267</v>
      </c>
      <c r="F131" s="153">
        <f>IFERROR(__xludf.DUMMYFUNCTION("""COMPUTED_VALUE"""),291786.0)</f>
        <v>291786</v>
      </c>
      <c r="G131" s="153">
        <f>IFERROR(__xludf.DUMMYFUNCTION("""COMPUTED_VALUE"""),3352.0)</f>
        <v>3352</v>
      </c>
      <c r="H131" s="153">
        <f>IFERROR(__xludf.DUMMYFUNCTION("""COMPUTED_VALUE"""),318009.0)</f>
        <v>318009</v>
      </c>
      <c r="I131" s="211">
        <f>IFERROR(__xludf.DUMMYFUNCTION("""COMPUTED_VALUE"""),70.0)</f>
        <v>70</v>
      </c>
      <c r="J131" s="211">
        <f>IFERROR(__xludf.DUMMYFUNCTION("""COMPUTED_VALUE"""),75.0)</f>
        <v>75</v>
      </c>
      <c r="K131" s="211">
        <f>IFERROR(__xludf.DUMMYFUNCTION("""COMPUTED_VALUE"""),17856.0)</f>
        <v>17856</v>
      </c>
      <c r="L131" s="211">
        <f>IFERROR(__xludf.DUMMYFUNCTION("""COMPUTED_VALUE"""),1401.0)</f>
        <v>1401</v>
      </c>
      <c r="M131" s="211">
        <f>IFERROR(__xludf.DUMMYFUNCTION("""COMPUTED_VALUE"""),166445.0)</f>
        <v>166445</v>
      </c>
      <c r="N131" s="211">
        <f>IFERROR(__xludf.DUMMYFUNCTION("""COMPUTED_VALUE"""),184301.0)</f>
        <v>184301</v>
      </c>
      <c r="O131" s="211">
        <f>IFERROR(__xludf.DUMMYFUNCTION("""COMPUTED_VALUE"""),5.0)</f>
        <v>5</v>
      </c>
      <c r="P131" s="211">
        <f>IFERROR(__xludf.DUMMYFUNCTION("""COMPUTED_VALUE"""),2145.0)</f>
        <v>2145</v>
      </c>
      <c r="Q131" s="211">
        <f>IFERROR(__xludf.DUMMYFUNCTION("""COMPUTED_VALUE"""),9.0)</f>
        <v>9</v>
      </c>
      <c r="R131" s="211">
        <f>IFERROR(__xludf.DUMMYFUNCTION("""COMPUTED_VALUE"""),1758.0)</f>
        <v>1758</v>
      </c>
      <c r="S131" s="211">
        <f>IFERROR(__xludf.DUMMYFUNCTION("""COMPUTED_VALUE"""),1.0)</f>
        <v>1</v>
      </c>
      <c r="T131" s="211">
        <f>IFERROR(__xludf.DUMMYFUNCTION("""COMPUTED_VALUE"""),313.0)</f>
        <v>313</v>
      </c>
      <c r="U131" s="211">
        <f>IFERROR(__xludf.DUMMYFUNCTION("""COMPUTED_VALUE"""),74.0)</f>
        <v>74</v>
      </c>
      <c r="V131" s="211">
        <f>IFERROR(__xludf.DUMMYFUNCTION("""COMPUTED_VALUE"""),74.0)</f>
        <v>74</v>
      </c>
      <c r="W131" s="211">
        <f>IFERROR(__xludf.DUMMYFUNCTION("""COMPUTED_VALUE"""),5.0)</f>
        <v>5</v>
      </c>
      <c r="X131" s="211">
        <f>IFERROR(__xludf.DUMMYFUNCTION("""COMPUTED_VALUE"""),4.0)</f>
        <v>4</v>
      </c>
      <c r="Y131" s="211">
        <f>IFERROR(__xludf.DUMMYFUNCTION("""COMPUTED_VALUE"""),4.0)</f>
        <v>4</v>
      </c>
      <c r="Z131" s="211">
        <f>IFERROR(__xludf.DUMMYFUNCTION("""COMPUTED_VALUE"""),1006.0)</f>
        <v>1006</v>
      </c>
    </row>
    <row r="132">
      <c r="A132" s="210">
        <f>IFERROR(__xludf.DUMMYFUNCTION("""COMPUTED_VALUE"""),44031.0)</f>
        <v>44031</v>
      </c>
      <c r="B132" s="211">
        <f>IFERROR(__xludf.DUMMYFUNCTION("""COMPUTED_VALUE"""),82.0)</f>
        <v>82</v>
      </c>
      <c r="C132" s="211">
        <f>IFERROR(__xludf.DUMMYFUNCTION("""COMPUTED_VALUE"""),108.0)</f>
        <v>108</v>
      </c>
      <c r="D132" s="211">
        <f>IFERROR(__xludf.DUMMYFUNCTION("""COMPUTED_VALUE"""),26305.0)</f>
        <v>26305</v>
      </c>
      <c r="E132" s="211">
        <f>IFERROR(__xludf.DUMMYFUNCTION("""COMPUTED_VALUE"""),2693.0)</f>
        <v>2693</v>
      </c>
      <c r="F132" s="153">
        <f>IFERROR(__xludf.DUMMYFUNCTION("""COMPUTED_VALUE"""),294479.0)</f>
        <v>294479</v>
      </c>
      <c r="G132" s="153">
        <f>IFERROR(__xludf.DUMMYFUNCTION("""COMPUTED_VALUE"""),2775.0)</f>
        <v>2775</v>
      </c>
      <c r="H132" s="153">
        <f>IFERROR(__xludf.DUMMYFUNCTION("""COMPUTED_VALUE"""),320784.0)</f>
        <v>320784</v>
      </c>
      <c r="I132" s="211">
        <f>IFERROR(__xludf.DUMMYFUNCTION("""COMPUTED_VALUE"""),57.0)</f>
        <v>57</v>
      </c>
      <c r="J132" s="211">
        <f>IFERROR(__xludf.DUMMYFUNCTION("""COMPUTED_VALUE"""),69.0)</f>
        <v>69</v>
      </c>
      <c r="K132" s="211">
        <f>IFERROR(__xludf.DUMMYFUNCTION("""COMPUTED_VALUE"""),17913.0)</f>
        <v>17913</v>
      </c>
      <c r="L132" s="211">
        <f>IFERROR(__xludf.DUMMYFUNCTION("""COMPUTED_VALUE"""),1149.0)</f>
        <v>1149</v>
      </c>
      <c r="M132" s="211">
        <f>IFERROR(__xludf.DUMMYFUNCTION("""COMPUTED_VALUE"""),167594.0)</f>
        <v>167594</v>
      </c>
      <c r="N132" s="211">
        <f>IFERROR(__xludf.DUMMYFUNCTION("""COMPUTED_VALUE"""),185507.0)</f>
        <v>185507</v>
      </c>
      <c r="O132" s="211">
        <f>IFERROR(__xludf.DUMMYFUNCTION("""COMPUTED_VALUE"""),7.0)</f>
        <v>7</v>
      </c>
      <c r="P132" s="211">
        <f>IFERROR(__xludf.DUMMYFUNCTION("""COMPUTED_VALUE"""),2152.0)</f>
        <v>2152</v>
      </c>
      <c r="Q132" s="211">
        <f>IFERROR(__xludf.DUMMYFUNCTION("""COMPUTED_VALUE"""),3.0)</f>
        <v>3</v>
      </c>
      <c r="R132" s="211">
        <f>IFERROR(__xludf.DUMMYFUNCTION("""COMPUTED_VALUE"""),1761.0)</f>
        <v>1761</v>
      </c>
      <c r="S132" s="211">
        <f>IFERROR(__xludf.DUMMYFUNCTION("""COMPUTED_VALUE"""),0.0)</f>
        <v>0</v>
      </c>
      <c r="T132" s="211">
        <f>IFERROR(__xludf.DUMMYFUNCTION("""COMPUTED_VALUE"""),313.0)</f>
        <v>313</v>
      </c>
      <c r="U132" s="211">
        <f>IFERROR(__xludf.DUMMYFUNCTION("""COMPUTED_VALUE"""),78.0)</f>
        <v>78</v>
      </c>
      <c r="V132" s="211">
        <f>IFERROR(__xludf.DUMMYFUNCTION("""COMPUTED_VALUE"""),77.0)</f>
        <v>77</v>
      </c>
      <c r="W132" s="211">
        <f>IFERROR(__xludf.DUMMYFUNCTION("""COMPUTED_VALUE"""),6.0)</f>
        <v>6</v>
      </c>
      <c r="X132" s="211">
        <f>IFERROR(__xludf.DUMMYFUNCTION("""COMPUTED_VALUE"""),4.0)</f>
        <v>4</v>
      </c>
      <c r="Y132" s="211">
        <f>IFERROR(__xludf.DUMMYFUNCTION("""COMPUTED_VALUE"""),2.0)</f>
        <v>2</v>
      </c>
      <c r="Z132" s="211">
        <f>IFERROR(__xludf.DUMMYFUNCTION("""COMPUTED_VALUE"""),1008.0)</f>
        <v>1008</v>
      </c>
    </row>
    <row r="133">
      <c r="A133" s="210">
        <f>IFERROR(__xludf.DUMMYFUNCTION("""COMPUTED_VALUE"""),44032.0)</f>
        <v>44032</v>
      </c>
      <c r="B133" s="211">
        <f>IFERROR(__xludf.DUMMYFUNCTION("""COMPUTED_VALUE"""),71.0)</f>
        <v>71</v>
      </c>
      <c r="C133" s="211">
        <f>IFERROR(__xludf.DUMMYFUNCTION("""COMPUTED_VALUE"""),79.0)</f>
        <v>79</v>
      </c>
      <c r="D133" s="211">
        <f>IFERROR(__xludf.DUMMYFUNCTION("""COMPUTED_VALUE"""),26376.0)</f>
        <v>26376</v>
      </c>
      <c r="E133" s="211">
        <f>IFERROR(__xludf.DUMMYFUNCTION("""COMPUTED_VALUE"""),2664.0)</f>
        <v>2664</v>
      </c>
      <c r="F133" s="153">
        <f>IFERROR(__xludf.DUMMYFUNCTION("""COMPUTED_VALUE"""),297143.0)</f>
        <v>297143</v>
      </c>
      <c r="G133" s="153">
        <f>IFERROR(__xludf.DUMMYFUNCTION("""COMPUTED_VALUE"""),2735.0)</f>
        <v>2735</v>
      </c>
      <c r="H133" s="153">
        <f>IFERROR(__xludf.DUMMYFUNCTION("""COMPUTED_VALUE"""),323519.0)</f>
        <v>323519</v>
      </c>
      <c r="I133" s="211">
        <f>IFERROR(__xludf.DUMMYFUNCTION("""COMPUTED_VALUE"""),68.0)</f>
        <v>68</v>
      </c>
      <c r="J133" s="211">
        <f>IFERROR(__xludf.DUMMYFUNCTION("""COMPUTED_VALUE"""),65.0)</f>
        <v>65</v>
      </c>
      <c r="K133" s="211">
        <f>IFERROR(__xludf.DUMMYFUNCTION("""COMPUTED_VALUE"""),17981.0)</f>
        <v>17981</v>
      </c>
      <c r="L133" s="211">
        <f>IFERROR(__xludf.DUMMYFUNCTION("""COMPUTED_VALUE"""),1466.0)</f>
        <v>1466</v>
      </c>
      <c r="M133" s="211">
        <f>IFERROR(__xludf.DUMMYFUNCTION("""COMPUTED_VALUE"""),169060.0)</f>
        <v>169060</v>
      </c>
      <c r="N133" s="211">
        <f>IFERROR(__xludf.DUMMYFUNCTION("""COMPUTED_VALUE"""),187041.0)</f>
        <v>187041</v>
      </c>
      <c r="O133" s="211">
        <f>IFERROR(__xludf.DUMMYFUNCTION("""COMPUTED_VALUE"""),9.0)</f>
        <v>9</v>
      </c>
      <c r="P133" s="211">
        <f>IFERROR(__xludf.DUMMYFUNCTION("""COMPUTED_VALUE"""),2161.0)</f>
        <v>2161</v>
      </c>
      <c r="Q133" s="211">
        <f>IFERROR(__xludf.DUMMYFUNCTION("""COMPUTED_VALUE"""),7.0)</f>
        <v>7</v>
      </c>
      <c r="R133" s="211">
        <f>IFERROR(__xludf.DUMMYFUNCTION("""COMPUTED_VALUE"""),1768.0)</f>
        <v>1768</v>
      </c>
      <c r="S133" s="211">
        <f>IFERROR(__xludf.DUMMYFUNCTION("""COMPUTED_VALUE"""),0.0)</f>
        <v>0</v>
      </c>
      <c r="T133" s="211">
        <f>IFERROR(__xludf.DUMMYFUNCTION("""COMPUTED_VALUE"""),313.0)</f>
        <v>313</v>
      </c>
      <c r="U133" s="211">
        <f>IFERROR(__xludf.DUMMYFUNCTION("""COMPUTED_VALUE"""),80.0)</f>
        <v>80</v>
      </c>
      <c r="V133" s="211">
        <f>IFERROR(__xludf.DUMMYFUNCTION("""COMPUTED_VALUE"""),77.0)</f>
        <v>77</v>
      </c>
      <c r="W133" s="211">
        <f>IFERROR(__xludf.DUMMYFUNCTION("""COMPUTED_VALUE"""),7.0)</f>
        <v>7</v>
      </c>
      <c r="X133" s="211">
        <f>IFERROR(__xludf.DUMMYFUNCTION("""COMPUTED_VALUE"""),5.0)</f>
        <v>5</v>
      </c>
      <c r="Y133" s="211">
        <f>IFERROR(__xludf.DUMMYFUNCTION("""COMPUTED_VALUE"""),2.0)</f>
        <v>2</v>
      </c>
      <c r="Z133" s="211">
        <f>IFERROR(__xludf.DUMMYFUNCTION("""COMPUTED_VALUE"""),1010.0)</f>
        <v>1010</v>
      </c>
    </row>
    <row r="134">
      <c r="A134" s="210">
        <f>IFERROR(__xludf.DUMMYFUNCTION("""COMPUTED_VALUE"""),44033.0)</f>
        <v>44033</v>
      </c>
      <c r="B134" s="211">
        <f>IFERROR(__xludf.DUMMYFUNCTION("""COMPUTED_VALUE"""),130.0)</f>
        <v>130</v>
      </c>
      <c r="C134" s="211">
        <f>IFERROR(__xludf.DUMMYFUNCTION("""COMPUTED_VALUE"""),94.0)</f>
        <v>94</v>
      </c>
      <c r="D134" s="211">
        <f>IFERROR(__xludf.DUMMYFUNCTION("""COMPUTED_VALUE"""),26506.0)</f>
        <v>26506</v>
      </c>
      <c r="E134" s="211">
        <f>IFERROR(__xludf.DUMMYFUNCTION("""COMPUTED_VALUE"""),4298.0)</f>
        <v>4298</v>
      </c>
      <c r="F134" s="153">
        <f>IFERROR(__xludf.DUMMYFUNCTION("""COMPUTED_VALUE"""),301441.0)</f>
        <v>301441</v>
      </c>
      <c r="G134" s="153">
        <f>IFERROR(__xludf.DUMMYFUNCTION("""COMPUTED_VALUE"""),4428.0)</f>
        <v>4428</v>
      </c>
      <c r="H134" s="153">
        <f>IFERROR(__xludf.DUMMYFUNCTION("""COMPUTED_VALUE"""),327947.0)</f>
        <v>327947</v>
      </c>
      <c r="I134" s="211">
        <f>IFERROR(__xludf.DUMMYFUNCTION("""COMPUTED_VALUE"""),109.0)</f>
        <v>109</v>
      </c>
      <c r="J134" s="211">
        <f>IFERROR(__xludf.DUMMYFUNCTION("""COMPUTED_VALUE"""),78.0)</f>
        <v>78</v>
      </c>
      <c r="K134" s="211">
        <f>IFERROR(__xludf.DUMMYFUNCTION("""COMPUTED_VALUE"""),18090.0)</f>
        <v>18090</v>
      </c>
      <c r="L134" s="211">
        <f>IFERROR(__xludf.DUMMYFUNCTION("""COMPUTED_VALUE"""),1918.0)</f>
        <v>1918</v>
      </c>
      <c r="M134" s="211">
        <f>IFERROR(__xludf.DUMMYFUNCTION("""COMPUTED_VALUE"""),170978.0)</f>
        <v>170978</v>
      </c>
      <c r="N134" s="211">
        <f>IFERROR(__xludf.DUMMYFUNCTION("""COMPUTED_VALUE"""),189068.0)</f>
        <v>189068</v>
      </c>
      <c r="O134" s="211">
        <f>IFERROR(__xludf.DUMMYFUNCTION("""COMPUTED_VALUE"""),9.0)</f>
        <v>9</v>
      </c>
      <c r="P134" s="211">
        <f>IFERROR(__xludf.DUMMYFUNCTION("""COMPUTED_VALUE"""),2170.0)</f>
        <v>2170</v>
      </c>
      <c r="Q134" s="211">
        <f>IFERROR(__xludf.DUMMYFUNCTION("""COMPUTED_VALUE"""),11.0)</f>
        <v>11</v>
      </c>
      <c r="R134" s="211">
        <f>IFERROR(__xludf.DUMMYFUNCTION("""COMPUTED_VALUE"""),1779.0)</f>
        <v>1779</v>
      </c>
      <c r="S134" s="211">
        <f>IFERROR(__xludf.DUMMYFUNCTION("""COMPUTED_VALUE"""),0.0)</f>
        <v>0</v>
      </c>
      <c r="T134" s="211">
        <f>IFERROR(__xludf.DUMMYFUNCTION("""COMPUTED_VALUE"""),313.0)</f>
        <v>313</v>
      </c>
      <c r="U134" s="211">
        <f>IFERROR(__xludf.DUMMYFUNCTION("""COMPUTED_VALUE"""),78.0)</f>
        <v>78</v>
      </c>
      <c r="V134" s="211">
        <f>IFERROR(__xludf.DUMMYFUNCTION("""COMPUTED_VALUE"""),79.0)</f>
        <v>79</v>
      </c>
      <c r="W134" s="211">
        <f>IFERROR(__xludf.DUMMYFUNCTION("""COMPUTED_VALUE"""),9.0)</f>
        <v>9</v>
      </c>
      <c r="X134" s="211">
        <f>IFERROR(__xludf.DUMMYFUNCTION("""COMPUTED_VALUE"""),6.0)</f>
        <v>6</v>
      </c>
      <c r="Y134" s="211">
        <f>IFERROR(__xludf.DUMMYFUNCTION("""COMPUTED_VALUE"""),1.0)</f>
        <v>1</v>
      </c>
      <c r="Z134" s="211">
        <f>IFERROR(__xludf.DUMMYFUNCTION("""COMPUTED_VALUE"""),1011.0)</f>
        <v>1011</v>
      </c>
    </row>
    <row r="135">
      <c r="A135" s="210">
        <f>IFERROR(__xludf.DUMMYFUNCTION("""COMPUTED_VALUE"""),44034.0)</f>
        <v>44034</v>
      </c>
      <c r="B135" s="211">
        <f>IFERROR(__xludf.DUMMYFUNCTION("""COMPUTED_VALUE"""),130.0)</f>
        <v>130</v>
      </c>
      <c r="C135" s="211">
        <f>IFERROR(__xludf.DUMMYFUNCTION("""COMPUTED_VALUE"""),110.0)</f>
        <v>110</v>
      </c>
      <c r="D135" s="211">
        <f>IFERROR(__xludf.DUMMYFUNCTION("""COMPUTED_VALUE"""),26636.0)</f>
        <v>26636</v>
      </c>
      <c r="E135" s="211">
        <f>IFERROR(__xludf.DUMMYFUNCTION("""COMPUTED_VALUE"""),3926.0)</f>
        <v>3926</v>
      </c>
      <c r="F135" s="153">
        <f>IFERROR(__xludf.DUMMYFUNCTION("""COMPUTED_VALUE"""),305367.0)</f>
        <v>305367</v>
      </c>
      <c r="G135" s="153">
        <f>IFERROR(__xludf.DUMMYFUNCTION("""COMPUTED_VALUE"""),4056.0)</f>
        <v>4056</v>
      </c>
      <c r="H135" s="153">
        <f>IFERROR(__xludf.DUMMYFUNCTION("""COMPUTED_VALUE"""),332003.0)</f>
        <v>332003</v>
      </c>
      <c r="I135" s="211">
        <f>IFERROR(__xludf.DUMMYFUNCTION("""COMPUTED_VALUE"""),86.0)</f>
        <v>86</v>
      </c>
      <c r="J135" s="211">
        <f>IFERROR(__xludf.DUMMYFUNCTION("""COMPUTED_VALUE"""),88.0)</f>
        <v>88</v>
      </c>
      <c r="K135" s="211">
        <f>IFERROR(__xludf.DUMMYFUNCTION("""COMPUTED_VALUE"""),18176.0)</f>
        <v>18176</v>
      </c>
      <c r="L135" s="211">
        <f>IFERROR(__xludf.DUMMYFUNCTION("""COMPUTED_VALUE"""),1683.0)</f>
        <v>1683</v>
      </c>
      <c r="M135" s="211">
        <f>IFERROR(__xludf.DUMMYFUNCTION("""COMPUTED_VALUE"""),172661.0)</f>
        <v>172661</v>
      </c>
      <c r="N135" s="211">
        <f>IFERROR(__xludf.DUMMYFUNCTION("""COMPUTED_VALUE"""),190837.0)</f>
        <v>190837</v>
      </c>
      <c r="O135" s="211">
        <f>IFERROR(__xludf.DUMMYFUNCTION("""COMPUTED_VALUE"""),11.0)</f>
        <v>11</v>
      </c>
      <c r="P135" s="211">
        <f>IFERROR(__xludf.DUMMYFUNCTION("""COMPUTED_VALUE"""),2181.0)</f>
        <v>2181</v>
      </c>
      <c r="Q135" s="211">
        <f>IFERROR(__xludf.DUMMYFUNCTION("""COMPUTED_VALUE"""),11.0)</f>
        <v>11</v>
      </c>
      <c r="R135" s="211">
        <f>IFERROR(__xludf.DUMMYFUNCTION("""COMPUTED_VALUE"""),1790.0)</f>
        <v>1790</v>
      </c>
      <c r="S135" s="211">
        <f>IFERROR(__xludf.DUMMYFUNCTION("""COMPUTED_VALUE"""),1.0)</f>
        <v>1</v>
      </c>
      <c r="T135" s="211">
        <f>IFERROR(__xludf.DUMMYFUNCTION("""COMPUTED_VALUE"""),314.0)</f>
        <v>314</v>
      </c>
      <c r="U135" s="211">
        <f>IFERROR(__xludf.DUMMYFUNCTION("""COMPUTED_VALUE"""),77.0)</f>
        <v>77</v>
      </c>
      <c r="V135" s="211">
        <f>IFERROR(__xludf.DUMMYFUNCTION("""COMPUTED_VALUE"""),78.0)</f>
        <v>78</v>
      </c>
      <c r="W135" s="211">
        <f>IFERROR(__xludf.DUMMYFUNCTION("""COMPUTED_VALUE"""),7.0)</f>
        <v>7</v>
      </c>
      <c r="X135" s="211">
        <f>IFERROR(__xludf.DUMMYFUNCTION("""COMPUTED_VALUE"""),6.0)</f>
        <v>6</v>
      </c>
      <c r="Y135" s="211">
        <f>IFERROR(__xludf.DUMMYFUNCTION("""COMPUTED_VALUE"""),1.0)</f>
        <v>1</v>
      </c>
      <c r="Z135" s="211">
        <f>IFERROR(__xludf.DUMMYFUNCTION("""COMPUTED_VALUE"""),1012.0)</f>
        <v>1012</v>
      </c>
    </row>
    <row r="136">
      <c r="A136" s="210">
        <f>IFERROR(__xludf.DUMMYFUNCTION("""COMPUTED_VALUE"""),44035.0)</f>
        <v>44035</v>
      </c>
      <c r="B136" s="211">
        <f>IFERROR(__xludf.DUMMYFUNCTION("""COMPUTED_VALUE"""),141.0)</f>
        <v>141</v>
      </c>
      <c r="C136" s="211">
        <f>IFERROR(__xludf.DUMMYFUNCTION("""COMPUTED_VALUE"""),134.0)</f>
        <v>134</v>
      </c>
      <c r="D136" s="211">
        <f>IFERROR(__xludf.DUMMYFUNCTION("""COMPUTED_VALUE"""),26777.0)</f>
        <v>26777</v>
      </c>
      <c r="E136" s="211">
        <f>IFERROR(__xludf.DUMMYFUNCTION("""COMPUTED_VALUE"""),4376.0)</f>
        <v>4376</v>
      </c>
      <c r="F136" s="153">
        <f>IFERROR(__xludf.DUMMYFUNCTION("""COMPUTED_VALUE"""),309743.0)</f>
        <v>309743</v>
      </c>
      <c r="G136" s="153">
        <f>IFERROR(__xludf.DUMMYFUNCTION("""COMPUTED_VALUE"""),4517.0)</f>
        <v>4517</v>
      </c>
      <c r="H136" s="153">
        <f>IFERROR(__xludf.DUMMYFUNCTION("""COMPUTED_VALUE"""),336520.0)</f>
        <v>336520</v>
      </c>
      <c r="I136" s="211">
        <f>IFERROR(__xludf.DUMMYFUNCTION("""COMPUTED_VALUE"""),116.0)</f>
        <v>116</v>
      </c>
      <c r="J136" s="211">
        <f>IFERROR(__xludf.DUMMYFUNCTION("""COMPUTED_VALUE"""),104.0)</f>
        <v>104</v>
      </c>
      <c r="K136" s="211">
        <f>IFERROR(__xludf.DUMMYFUNCTION("""COMPUTED_VALUE"""),18292.0)</f>
        <v>18292</v>
      </c>
      <c r="L136" s="211">
        <f>IFERROR(__xludf.DUMMYFUNCTION("""COMPUTED_VALUE"""),1969.0)</f>
        <v>1969</v>
      </c>
      <c r="M136" s="211">
        <f>IFERROR(__xludf.DUMMYFUNCTION("""COMPUTED_VALUE"""),174630.0)</f>
        <v>174630</v>
      </c>
      <c r="N136" s="211">
        <f>IFERROR(__xludf.DUMMYFUNCTION("""COMPUTED_VALUE"""),192922.0)</f>
        <v>192922</v>
      </c>
      <c r="O136" s="211">
        <f>IFERROR(__xludf.DUMMYFUNCTION("""COMPUTED_VALUE"""),8.0)</f>
        <v>8</v>
      </c>
      <c r="P136" s="211">
        <f>IFERROR(__xludf.DUMMYFUNCTION("""COMPUTED_VALUE"""),2189.0)</f>
        <v>2189</v>
      </c>
      <c r="Q136" s="211">
        <f>IFERROR(__xludf.DUMMYFUNCTION("""COMPUTED_VALUE"""),6.0)</f>
        <v>6</v>
      </c>
      <c r="R136" s="211">
        <f>IFERROR(__xludf.DUMMYFUNCTION("""COMPUTED_VALUE"""),1796.0)</f>
        <v>1796</v>
      </c>
      <c r="S136" s="211">
        <f>IFERROR(__xludf.DUMMYFUNCTION("""COMPUTED_VALUE"""),0.0)</f>
        <v>0</v>
      </c>
      <c r="T136" s="211">
        <f>IFERROR(__xludf.DUMMYFUNCTION("""COMPUTED_VALUE"""),314.0)</f>
        <v>314</v>
      </c>
      <c r="U136" s="211">
        <f>IFERROR(__xludf.DUMMYFUNCTION("""COMPUTED_VALUE"""),79.0)</f>
        <v>79</v>
      </c>
      <c r="V136" s="211">
        <f>IFERROR(__xludf.DUMMYFUNCTION("""COMPUTED_VALUE"""),78.0)</f>
        <v>78</v>
      </c>
      <c r="W136" s="211">
        <f>IFERROR(__xludf.DUMMYFUNCTION("""COMPUTED_VALUE"""),8.0)</f>
        <v>8</v>
      </c>
      <c r="X136" s="211">
        <f>IFERROR(__xludf.DUMMYFUNCTION("""COMPUTED_VALUE"""),7.0)</f>
        <v>7</v>
      </c>
      <c r="Y136" s="211">
        <f>IFERROR(__xludf.DUMMYFUNCTION("""COMPUTED_VALUE"""),0.0)</f>
        <v>0</v>
      </c>
      <c r="Z136" s="211">
        <f>IFERROR(__xludf.DUMMYFUNCTION("""COMPUTED_VALUE"""),1012.0)</f>
        <v>1012</v>
      </c>
    </row>
    <row r="137">
      <c r="A137" s="210">
        <f>IFERROR(__xludf.DUMMYFUNCTION("""COMPUTED_VALUE"""),44036.0)</f>
        <v>44036</v>
      </c>
      <c r="B137" s="211">
        <f>IFERROR(__xludf.DUMMYFUNCTION("""COMPUTED_VALUE"""),172.0)</f>
        <v>172</v>
      </c>
      <c r="C137" s="211">
        <f>IFERROR(__xludf.DUMMYFUNCTION("""COMPUTED_VALUE"""),148.0)</f>
        <v>148</v>
      </c>
      <c r="D137" s="211">
        <f>IFERROR(__xludf.DUMMYFUNCTION("""COMPUTED_VALUE"""),26949.0)</f>
        <v>26949</v>
      </c>
      <c r="E137" s="211">
        <f>IFERROR(__xludf.DUMMYFUNCTION("""COMPUTED_VALUE"""),5959.0)</f>
        <v>5959</v>
      </c>
      <c r="F137" s="153">
        <f>IFERROR(__xludf.DUMMYFUNCTION("""COMPUTED_VALUE"""),315702.0)</f>
        <v>315702</v>
      </c>
      <c r="G137" s="153">
        <f>IFERROR(__xludf.DUMMYFUNCTION("""COMPUTED_VALUE"""),6131.0)</f>
        <v>6131</v>
      </c>
      <c r="H137" s="153">
        <f>IFERROR(__xludf.DUMMYFUNCTION("""COMPUTED_VALUE"""),342651.0)</f>
        <v>342651</v>
      </c>
      <c r="I137" s="211">
        <f>IFERROR(__xludf.DUMMYFUNCTION("""COMPUTED_VALUE"""),119.0)</f>
        <v>119</v>
      </c>
      <c r="J137" s="211">
        <f>IFERROR(__xludf.DUMMYFUNCTION("""COMPUTED_VALUE"""),107.0)</f>
        <v>107</v>
      </c>
      <c r="K137" s="211">
        <f>IFERROR(__xludf.DUMMYFUNCTION("""COMPUTED_VALUE"""),18411.0)</f>
        <v>18411</v>
      </c>
      <c r="L137" s="211">
        <f>IFERROR(__xludf.DUMMYFUNCTION("""COMPUTED_VALUE"""),2322.0)</f>
        <v>2322</v>
      </c>
      <c r="M137" s="211">
        <f>IFERROR(__xludf.DUMMYFUNCTION("""COMPUTED_VALUE"""),176952.0)</f>
        <v>176952</v>
      </c>
      <c r="N137" s="211">
        <f>IFERROR(__xludf.DUMMYFUNCTION("""COMPUTED_VALUE"""),195363.0)</f>
        <v>195363</v>
      </c>
      <c r="O137" s="211">
        <f>IFERROR(__xludf.DUMMYFUNCTION("""COMPUTED_VALUE"""),14.0)</f>
        <v>14</v>
      </c>
      <c r="P137" s="211">
        <f>IFERROR(__xludf.DUMMYFUNCTION("""COMPUTED_VALUE"""),2203.0)</f>
        <v>2203</v>
      </c>
      <c r="Q137" s="211">
        <f>IFERROR(__xludf.DUMMYFUNCTION("""COMPUTED_VALUE"""),14.0)</f>
        <v>14</v>
      </c>
      <c r="R137" s="211">
        <f>IFERROR(__xludf.DUMMYFUNCTION("""COMPUTED_VALUE"""),1810.0)</f>
        <v>1810</v>
      </c>
      <c r="S137" s="211">
        <f>IFERROR(__xludf.DUMMYFUNCTION("""COMPUTED_VALUE"""),0.0)</f>
        <v>0</v>
      </c>
      <c r="T137" s="211">
        <f>IFERROR(__xludf.DUMMYFUNCTION("""COMPUTED_VALUE"""),314.0)</f>
        <v>314</v>
      </c>
      <c r="U137" s="211">
        <f>IFERROR(__xludf.DUMMYFUNCTION("""COMPUTED_VALUE"""),79.0)</f>
        <v>79</v>
      </c>
      <c r="V137" s="211">
        <f>IFERROR(__xludf.DUMMYFUNCTION("""COMPUTED_VALUE"""),78.0)</f>
        <v>78</v>
      </c>
      <c r="W137" s="211">
        <f>IFERROR(__xludf.DUMMYFUNCTION("""COMPUTED_VALUE"""),9.0)</f>
        <v>9</v>
      </c>
      <c r="X137" s="211">
        <f>IFERROR(__xludf.DUMMYFUNCTION("""COMPUTED_VALUE"""),7.0)</f>
        <v>7</v>
      </c>
      <c r="Y137" s="211">
        <f>IFERROR(__xludf.DUMMYFUNCTION("""COMPUTED_VALUE"""),0.0)</f>
        <v>0</v>
      </c>
      <c r="Z137" s="211">
        <f>IFERROR(__xludf.DUMMYFUNCTION("""COMPUTED_VALUE"""),1012.0)</f>
        <v>1012</v>
      </c>
    </row>
    <row r="138">
      <c r="A138" s="210">
        <f>IFERROR(__xludf.DUMMYFUNCTION("""COMPUTED_VALUE"""),44037.0)</f>
        <v>44037</v>
      </c>
      <c r="B138" s="211">
        <f>IFERROR(__xludf.DUMMYFUNCTION("""COMPUTED_VALUE"""),134.0)</f>
        <v>134</v>
      </c>
      <c r="C138" s="211">
        <f>IFERROR(__xludf.DUMMYFUNCTION("""COMPUTED_VALUE"""),149.0)</f>
        <v>149</v>
      </c>
      <c r="D138" s="211">
        <f>IFERROR(__xludf.DUMMYFUNCTION("""COMPUTED_VALUE"""),27083.0)</f>
        <v>27083</v>
      </c>
      <c r="E138" s="211">
        <f>IFERROR(__xludf.DUMMYFUNCTION("""COMPUTED_VALUE"""),4398.0)</f>
        <v>4398</v>
      </c>
      <c r="F138" s="153">
        <f>IFERROR(__xludf.DUMMYFUNCTION("""COMPUTED_VALUE"""),320100.0)</f>
        <v>320100</v>
      </c>
      <c r="G138" s="153">
        <f>IFERROR(__xludf.DUMMYFUNCTION("""COMPUTED_VALUE"""),4532.0)</f>
        <v>4532</v>
      </c>
      <c r="H138" s="153">
        <f>IFERROR(__xludf.DUMMYFUNCTION("""COMPUTED_VALUE"""),347183.0)</f>
        <v>347183</v>
      </c>
      <c r="I138" s="211">
        <f>IFERROR(__xludf.DUMMYFUNCTION("""COMPUTED_VALUE"""),108.0)</f>
        <v>108</v>
      </c>
      <c r="J138" s="211">
        <f>IFERROR(__xludf.DUMMYFUNCTION("""COMPUTED_VALUE"""),114.0)</f>
        <v>114</v>
      </c>
      <c r="K138" s="211">
        <f>IFERROR(__xludf.DUMMYFUNCTION("""COMPUTED_VALUE"""),18519.0)</f>
        <v>18519</v>
      </c>
      <c r="L138" s="211">
        <f>IFERROR(__xludf.DUMMYFUNCTION("""COMPUTED_VALUE"""),2100.0)</f>
        <v>2100</v>
      </c>
      <c r="M138" s="211">
        <f>IFERROR(__xludf.DUMMYFUNCTION("""COMPUTED_VALUE"""),179052.0)</f>
        <v>179052</v>
      </c>
      <c r="N138" s="211">
        <f>IFERROR(__xludf.DUMMYFUNCTION("""COMPUTED_VALUE"""),197571.0)</f>
        <v>197571</v>
      </c>
      <c r="O138" s="211">
        <f>IFERROR(__xludf.DUMMYFUNCTION("""COMPUTED_VALUE"""),7.0)</f>
        <v>7</v>
      </c>
      <c r="P138" s="211">
        <f>IFERROR(__xludf.DUMMYFUNCTION("""COMPUTED_VALUE"""),2210.0)</f>
        <v>2210</v>
      </c>
      <c r="Q138" s="211">
        <f>IFERROR(__xludf.DUMMYFUNCTION("""COMPUTED_VALUE"""),7.0)</f>
        <v>7</v>
      </c>
      <c r="R138" s="211">
        <f>IFERROR(__xludf.DUMMYFUNCTION("""COMPUTED_VALUE"""),1817.0)</f>
        <v>1817</v>
      </c>
      <c r="S138" s="211">
        <f>IFERROR(__xludf.DUMMYFUNCTION("""COMPUTED_VALUE"""),0.0)</f>
        <v>0</v>
      </c>
      <c r="T138" s="211">
        <f>IFERROR(__xludf.DUMMYFUNCTION("""COMPUTED_VALUE"""),314.0)</f>
        <v>314</v>
      </c>
      <c r="U138" s="211">
        <f>IFERROR(__xludf.DUMMYFUNCTION("""COMPUTED_VALUE"""),79.0)</f>
        <v>79</v>
      </c>
      <c r="V138" s="211">
        <f>IFERROR(__xludf.DUMMYFUNCTION("""COMPUTED_VALUE"""),79.0)</f>
        <v>79</v>
      </c>
      <c r="W138" s="211">
        <f>IFERROR(__xludf.DUMMYFUNCTION("""COMPUTED_VALUE"""),10.0)</f>
        <v>10</v>
      </c>
      <c r="X138" s="211">
        <f>IFERROR(__xludf.DUMMYFUNCTION("""COMPUTED_VALUE"""),8.0)</f>
        <v>8</v>
      </c>
      <c r="Y138" s="211">
        <f>IFERROR(__xludf.DUMMYFUNCTION("""COMPUTED_VALUE"""),2.0)</f>
        <v>2</v>
      </c>
      <c r="Z138" s="211">
        <f>IFERROR(__xludf.DUMMYFUNCTION("""COMPUTED_VALUE"""),1014.0)</f>
        <v>1014</v>
      </c>
    </row>
    <row r="139">
      <c r="A139" s="210">
        <f>IFERROR(__xludf.DUMMYFUNCTION("""COMPUTED_VALUE"""),44038.0)</f>
        <v>44038</v>
      </c>
      <c r="B139" s="211">
        <f>IFERROR(__xludf.DUMMYFUNCTION("""COMPUTED_VALUE"""),62.0)</f>
        <v>62</v>
      </c>
      <c r="C139" s="211">
        <f>IFERROR(__xludf.DUMMYFUNCTION("""COMPUTED_VALUE"""),123.0)</f>
        <v>123</v>
      </c>
      <c r="D139" s="211">
        <f>IFERROR(__xludf.DUMMYFUNCTION("""COMPUTED_VALUE"""),27145.0)</f>
        <v>27145</v>
      </c>
      <c r="E139" s="211">
        <f>IFERROR(__xludf.DUMMYFUNCTION("""COMPUTED_VALUE"""),3027.0)</f>
        <v>3027</v>
      </c>
      <c r="F139" s="153">
        <f>IFERROR(__xludf.DUMMYFUNCTION("""COMPUTED_VALUE"""),323127.0)</f>
        <v>323127</v>
      </c>
      <c r="G139" s="153">
        <f>IFERROR(__xludf.DUMMYFUNCTION("""COMPUTED_VALUE"""),3089.0)</f>
        <v>3089</v>
      </c>
      <c r="H139" s="153">
        <f>IFERROR(__xludf.DUMMYFUNCTION("""COMPUTED_VALUE"""),350272.0)</f>
        <v>350272</v>
      </c>
      <c r="I139" s="211">
        <f>IFERROR(__xludf.DUMMYFUNCTION("""COMPUTED_VALUE"""),54.0)</f>
        <v>54</v>
      </c>
      <c r="J139" s="211">
        <f>IFERROR(__xludf.DUMMYFUNCTION("""COMPUTED_VALUE"""),94.0)</f>
        <v>94</v>
      </c>
      <c r="K139" s="211">
        <f>IFERROR(__xludf.DUMMYFUNCTION("""COMPUTED_VALUE"""),18573.0)</f>
        <v>18573</v>
      </c>
      <c r="L139" s="211">
        <f>IFERROR(__xludf.DUMMYFUNCTION("""COMPUTED_VALUE"""),1339.0)</f>
        <v>1339</v>
      </c>
      <c r="M139" s="211">
        <f>IFERROR(__xludf.DUMMYFUNCTION("""COMPUTED_VALUE"""),180391.0)</f>
        <v>180391</v>
      </c>
      <c r="N139" s="211">
        <f>IFERROR(__xludf.DUMMYFUNCTION("""COMPUTED_VALUE"""),198964.0)</f>
        <v>198964</v>
      </c>
      <c r="O139" s="211">
        <f>IFERROR(__xludf.DUMMYFUNCTION("""COMPUTED_VALUE"""),8.0)</f>
        <v>8</v>
      </c>
      <c r="P139" s="211">
        <f>IFERROR(__xludf.DUMMYFUNCTION("""COMPUTED_VALUE"""),2218.0)</f>
        <v>2218</v>
      </c>
      <c r="Q139" s="211">
        <f>IFERROR(__xludf.DUMMYFUNCTION("""COMPUTED_VALUE"""),9.0)</f>
        <v>9</v>
      </c>
      <c r="R139" s="211">
        <f>IFERROR(__xludf.DUMMYFUNCTION("""COMPUTED_VALUE"""),1826.0)</f>
        <v>1826</v>
      </c>
      <c r="S139" s="211">
        <f>IFERROR(__xludf.DUMMYFUNCTION("""COMPUTED_VALUE"""),0.0)</f>
        <v>0</v>
      </c>
      <c r="T139" s="211">
        <f>IFERROR(__xludf.DUMMYFUNCTION("""COMPUTED_VALUE"""),314.0)</f>
        <v>314</v>
      </c>
      <c r="U139" s="211">
        <f>IFERROR(__xludf.DUMMYFUNCTION("""COMPUTED_VALUE"""),78.0)</f>
        <v>78</v>
      </c>
      <c r="V139" s="211">
        <f>IFERROR(__xludf.DUMMYFUNCTION("""COMPUTED_VALUE"""),79.0)</f>
        <v>79</v>
      </c>
      <c r="W139" s="211">
        <f>IFERROR(__xludf.DUMMYFUNCTION("""COMPUTED_VALUE"""),11.0)</f>
        <v>11</v>
      </c>
      <c r="X139" s="211">
        <f>IFERROR(__xludf.DUMMYFUNCTION("""COMPUTED_VALUE"""),7.0)</f>
        <v>7</v>
      </c>
      <c r="Y139" s="211">
        <f>IFERROR(__xludf.DUMMYFUNCTION("""COMPUTED_VALUE"""),1.0)</f>
        <v>1</v>
      </c>
      <c r="Z139" s="211">
        <f>IFERROR(__xludf.DUMMYFUNCTION("""COMPUTED_VALUE"""),1015.0)</f>
        <v>1015</v>
      </c>
    </row>
    <row r="140">
      <c r="A140" s="210">
        <f>IFERROR(__xludf.DUMMYFUNCTION("""COMPUTED_VALUE"""),44039.0)</f>
        <v>44039</v>
      </c>
      <c r="B140" s="211">
        <f>IFERROR(__xludf.DUMMYFUNCTION("""COMPUTED_VALUE"""),186.0)</f>
        <v>186</v>
      </c>
      <c r="C140" s="211">
        <f>IFERROR(__xludf.DUMMYFUNCTION("""COMPUTED_VALUE"""),127.0)</f>
        <v>127</v>
      </c>
      <c r="D140" s="211">
        <f>IFERROR(__xludf.DUMMYFUNCTION("""COMPUTED_VALUE"""),27331.0)</f>
        <v>27331</v>
      </c>
      <c r="E140" s="211">
        <f>IFERROR(__xludf.DUMMYFUNCTION("""COMPUTED_VALUE"""),4163.0)</f>
        <v>4163</v>
      </c>
      <c r="F140" s="153">
        <f>IFERROR(__xludf.DUMMYFUNCTION("""COMPUTED_VALUE"""),327290.0)</f>
        <v>327290</v>
      </c>
      <c r="G140" s="153">
        <f>IFERROR(__xludf.DUMMYFUNCTION("""COMPUTED_VALUE"""),4349.0)</f>
        <v>4349</v>
      </c>
      <c r="H140" s="153">
        <f>IFERROR(__xludf.DUMMYFUNCTION("""COMPUTED_VALUE"""),354621.0)</f>
        <v>354621</v>
      </c>
      <c r="I140" s="211">
        <f>IFERROR(__xludf.DUMMYFUNCTION("""COMPUTED_VALUE"""),138.0)</f>
        <v>138</v>
      </c>
      <c r="J140" s="211">
        <f>IFERROR(__xludf.DUMMYFUNCTION("""COMPUTED_VALUE"""),100.0)</f>
        <v>100</v>
      </c>
      <c r="K140" s="211">
        <f>IFERROR(__xludf.DUMMYFUNCTION("""COMPUTED_VALUE"""),18711.0)</f>
        <v>18711</v>
      </c>
      <c r="L140" s="211">
        <f>IFERROR(__xludf.DUMMYFUNCTION("""COMPUTED_VALUE"""),2333.0)</f>
        <v>2333</v>
      </c>
      <c r="M140" s="211">
        <f>IFERROR(__xludf.DUMMYFUNCTION("""COMPUTED_VALUE"""),182724.0)</f>
        <v>182724</v>
      </c>
      <c r="N140" s="211">
        <f>IFERROR(__xludf.DUMMYFUNCTION("""COMPUTED_VALUE"""),201435.0)</f>
        <v>201435</v>
      </c>
      <c r="O140" s="211">
        <f>IFERROR(__xludf.DUMMYFUNCTION("""COMPUTED_VALUE"""),12.0)</f>
        <v>12</v>
      </c>
      <c r="P140" s="211">
        <f>IFERROR(__xludf.DUMMYFUNCTION("""COMPUTED_VALUE"""),2230.0)</f>
        <v>2230</v>
      </c>
      <c r="Q140" s="211">
        <f>IFERROR(__xludf.DUMMYFUNCTION("""COMPUTED_VALUE"""),7.0)</f>
        <v>7</v>
      </c>
      <c r="R140" s="211">
        <f>IFERROR(__xludf.DUMMYFUNCTION("""COMPUTED_VALUE"""),1833.0)</f>
        <v>1833</v>
      </c>
      <c r="S140" s="211">
        <f>IFERROR(__xludf.DUMMYFUNCTION("""COMPUTED_VALUE"""),0.0)</f>
        <v>0</v>
      </c>
      <c r="T140" s="211">
        <f>IFERROR(__xludf.DUMMYFUNCTION("""COMPUTED_VALUE"""),314.0)</f>
        <v>314</v>
      </c>
      <c r="U140" s="211">
        <f>IFERROR(__xludf.DUMMYFUNCTION("""COMPUTED_VALUE"""),83.0)</f>
        <v>83</v>
      </c>
      <c r="V140" s="211">
        <f>IFERROR(__xludf.DUMMYFUNCTION("""COMPUTED_VALUE"""),80.0)</f>
        <v>80</v>
      </c>
      <c r="W140" s="211">
        <f>IFERROR(__xludf.DUMMYFUNCTION("""COMPUTED_VALUE"""),13.0)</f>
        <v>13</v>
      </c>
      <c r="X140" s="211">
        <f>IFERROR(__xludf.DUMMYFUNCTION("""COMPUTED_VALUE"""),8.0)</f>
        <v>8</v>
      </c>
      <c r="Y140" s="211">
        <f>IFERROR(__xludf.DUMMYFUNCTION("""COMPUTED_VALUE"""),1.0)</f>
        <v>1</v>
      </c>
      <c r="Z140" s="211">
        <f>IFERROR(__xludf.DUMMYFUNCTION("""COMPUTED_VALUE"""),1016.0)</f>
        <v>1016</v>
      </c>
    </row>
    <row r="141">
      <c r="A141" s="210">
        <f>IFERROR(__xludf.DUMMYFUNCTION("""COMPUTED_VALUE"""),44040.0)</f>
        <v>44040</v>
      </c>
      <c r="B141" s="211">
        <f>IFERROR(__xludf.DUMMYFUNCTION("""COMPUTED_VALUE"""),105.0)</f>
        <v>105</v>
      </c>
      <c r="C141" s="211">
        <f>IFERROR(__xludf.DUMMYFUNCTION("""COMPUTED_VALUE"""),118.0)</f>
        <v>118</v>
      </c>
      <c r="D141" s="211">
        <f>IFERROR(__xludf.DUMMYFUNCTION("""COMPUTED_VALUE"""),27436.0)</f>
        <v>27436</v>
      </c>
      <c r="E141" s="211">
        <f>IFERROR(__xludf.DUMMYFUNCTION("""COMPUTED_VALUE"""),3831.0)</f>
        <v>3831</v>
      </c>
      <c r="F141" s="153">
        <f>IFERROR(__xludf.DUMMYFUNCTION("""COMPUTED_VALUE"""),331121.0)</f>
        <v>331121</v>
      </c>
      <c r="G141" s="153">
        <f>IFERROR(__xludf.DUMMYFUNCTION("""COMPUTED_VALUE"""),3936.0)</f>
        <v>3936</v>
      </c>
      <c r="H141" s="153">
        <f>IFERROR(__xludf.DUMMYFUNCTION("""COMPUTED_VALUE"""),358557.0)</f>
        <v>358557</v>
      </c>
      <c r="I141" s="211">
        <f>IFERROR(__xludf.DUMMYFUNCTION("""COMPUTED_VALUE"""),94.0)</f>
        <v>94</v>
      </c>
      <c r="J141" s="211">
        <f>IFERROR(__xludf.DUMMYFUNCTION("""COMPUTED_VALUE"""),95.0)</f>
        <v>95</v>
      </c>
      <c r="K141" s="211">
        <f>IFERROR(__xludf.DUMMYFUNCTION("""COMPUTED_VALUE"""),18805.0)</f>
        <v>18805</v>
      </c>
      <c r="L141" s="211">
        <f>IFERROR(__xludf.DUMMYFUNCTION("""COMPUTED_VALUE"""),1632.0)</f>
        <v>1632</v>
      </c>
      <c r="M141" s="211">
        <f>IFERROR(__xludf.DUMMYFUNCTION("""COMPUTED_VALUE"""),184356.0)</f>
        <v>184356</v>
      </c>
      <c r="N141" s="211">
        <f>IFERROR(__xludf.DUMMYFUNCTION("""COMPUTED_VALUE"""),203161.0)</f>
        <v>203161</v>
      </c>
      <c r="O141" s="211">
        <f>IFERROR(__xludf.DUMMYFUNCTION("""COMPUTED_VALUE"""),5.0)</f>
        <v>5</v>
      </c>
      <c r="P141" s="211">
        <f>IFERROR(__xludf.DUMMYFUNCTION("""COMPUTED_VALUE"""),2235.0)</f>
        <v>2235</v>
      </c>
      <c r="Q141" s="211">
        <f>IFERROR(__xludf.DUMMYFUNCTION("""COMPUTED_VALUE"""),5.0)</f>
        <v>5</v>
      </c>
      <c r="R141" s="211">
        <f>IFERROR(__xludf.DUMMYFUNCTION("""COMPUTED_VALUE"""),1838.0)</f>
        <v>1838</v>
      </c>
      <c r="S141" s="211">
        <f>IFERROR(__xludf.DUMMYFUNCTION("""COMPUTED_VALUE"""),0.0)</f>
        <v>0</v>
      </c>
      <c r="T141" s="211">
        <f>IFERROR(__xludf.DUMMYFUNCTION("""COMPUTED_VALUE"""),314.0)</f>
        <v>314</v>
      </c>
      <c r="U141" s="211">
        <f>IFERROR(__xludf.DUMMYFUNCTION("""COMPUTED_VALUE"""),83.0)</f>
        <v>83</v>
      </c>
      <c r="V141" s="211">
        <f>IFERROR(__xludf.DUMMYFUNCTION("""COMPUTED_VALUE"""),81.0)</f>
        <v>81</v>
      </c>
      <c r="W141" s="211">
        <f>IFERROR(__xludf.DUMMYFUNCTION("""COMPUTED_VALUE"""),14.0)</f>
        <v>14</v>
      </c>
      <c r="X141" s="211">
        <f>IFERROR(__xludf.DUMMYFUNCTION("""COMPUTED_VALUE"""),7.0)</f>
        <v>7</v>
      </c>
      <c r="Y141" s="211">
        <f>IFERROR(__xludf.DUMMYFUNCTION("""COMPUTED_VALUE"""),1.0)</f>
        <v>1</v>
      </c>
      <c r="Z141" s="211">
        <f>IFERROR(__xludf.DUMMYFUNCTION("""COMPUTED_VALUE"""),1017.0)</f>
        <v>1017</v>
      </c>
    </row>
    <row r="142">
      <c r="A142" s="210">
        <f>IFERROR(__xludf.DUMMYFUNCTION("""COMPUTED_VALUE"""),44041.0)</f>
        <v>44041</v>
      </c>
      <c r="B142" s="211">
        <f>IFERROR(__xludf.DUMMYFUNCTION("""COMPUTED_VALUE"""),191.0)</f>
        <v>191</v>
      </c>
      <c r="C142" s="211">
        <f>IFERROR(__xludf.DUMMYFUNCTION("""COMPUTED_VALUE"""),161.0)</f>
        <v>161</v>
      </c>
      <c r="D142" s="211">
        <f>IFERROR(__xludf.DUMMYFUNCTION("""COMPUTED_VALUE"""),27627.0)</f>
        <v>27627</v>
      </c>
      <c r="E142" s="211">
        <f>IFERROR(__xludf.DUMMYFUNCTION("""COMPUTED_VALUE"""),5123.0)</f>
        <v>5123</v>
      </c>
      <c r="F142" s="153">
        <f>IFERROR(__xludf.DUMMYFUNCTION("""COMPUTED_VALUE"""),336244.0)</f>
        <v>336244</v>
      </c>
      <c r="G142" s="153">
        <f>IFERROR(__xludf.DUMMYFUNCTION("""COMPUTED_VALUE"""),5314.0)</f>
        <v>5314</v>
      </c>
      <c r="H142" s="153">
        <f>IFERROR(__xludf.DUMMYFUNCTION("""COMPUTED_VALUE"""),363871.0)</f>
        <v>363871</v>
      </c>
      <c r="I142" s="211">
        <f>IFERROR(__xludf.DUMMYFUNCTION("""COMPUTED_VALUE"""),154.0)</f>
        <v>154</v>
      </c>
      <c r="J142" s="211">
        <f>IFERROR(__xludf.DUMMYFUNCTION("""COMPUTED_VALUE"""),129.0)</f>
        <v>129</v>
      </c>
      <c r="K142" s="211">
        <f>IFERROR(__xludf.DUMMYFUNCTION("""COMPUTED_VALUE"""),18959.0)</f>
        <v>18959</v>
      </c>
      <c r="L142" s="211">
        <f>IFERROR(__xludf.DUMMYFUNCTION("""COMPUTED_VALUE"""),2324.0)</f>
        <v>2324</v>
      </c>
      <c r="M142" s="211">
        <f>IFERROR(__xludf.DUMMYFUNCTION("""COMPUTED_VALUE"""),186680.0)</f>
        <v>186680</v>
      </c>
      <c r="N142" s="211">
        <f>IFERROR(__xludf.DUMMYFUNCTION("""COMPUTED_VALUE"""),205639.0)</f>
        <v>205639</v>
      </c>
      <c r="O142" s="211">
        <f>IFERROR(__xludf.DUMMYFUNCTION("""COMPUTED_VALUE"""),11.0)</f>
        <v>11</v>
      </c>
      <c r="P142" s="211">
        <f>IFERROR(__xludf.DUMMYFUNCTION("""COMPUTED_VALUE"""),2246.0)</f>
        <v>2246</v>
      </c>
      <c r="Q142" s="211">
        <f>IFERROR(__xludf.DUMMYFUNCTION("""COMPUTED_VALUE"""),12.0)</f>
        <v>12</v>
      </c>
      <c r="R142" s="211">
        <f>IFERROR(__xludf.DUMMYFUNCTION("""COMPUTED_VALUE"""),1850.0)</f>
        <v>1850</v>
      </c>
      <c r="S142" s="211">
        <f>IFERROR(__xludf.DUMMYFUNCTION("""COMPUTED_VALUE"""),0.0)</f>
        <v>0</v>
      </c>
      <c r="T142" s="211">
        <f>IFERROR(__xludf.DUMMYFUNCTION("""COMPUTED_VALUE"""),314.0)</f>
        <v>314</v>
      </c>
      <c r="U142" s="211">
        <f>IFERROR(__xludf.DUMMYFUNCTION("""COMPUTED_VALUE"""),82.0)</f>
        <v>82</v>
      </c>
      <c r="V142" s="211">
        <f>IFERROR(__xludf.DUMMYFUNCTION("""COMPUTED_VALUE"""),83.0)</f>
        <v>83</v>
      </c>
      <c r="W142" s="211">
        <f>IFERROR(__xludf.DUMMYFUNCTION("""COMPUTED_VALUE"""),15.0)</f>
        <v>15</v>
      </c>
      <c r="X142" s="211">
        <f>IFERROR(__xludf.DUMMYFUNCTION("""COMPUTED_VALUE"""),7.0)</f>
        <v>7</v>
      </c>
      <c r="Y142" s="211">
        <f>IFERROR(__xludf.DUMMYFUNCTION("""COMPUTED_VALUE"""),0.0)</f>
        <v>0</v>
      </c>
      <c r="Z142" s="211">
        <f>IFERROR(__xludf.DUMMYFUNCTION("""COMPUTED_VALUE"""),1017.0)</f>
        <v>1017</v>
      </c>
    </row>
    <row r="143">
      <c r="A143" s="210">
        <f>IFERROR(__xludf.DUMMYFUNCTION("""COMPUTED_VALUE"""),44042.0)</f>
        <v>44042</v>
      </c>
      <c r="B143" s="211">
        <f>IFERROR(__xludf.DUMMYFUNCTION("""COMPUTED_VALUE"""),121.0)</f>
        <v>121</v>
      </c>
      <c r="C143" s="211">
        <f>IFERROR(__xludf.DUMMYFUNCTION("""COMPUTED_VALUE"""),139.0)</f>
        <v>139</v>
      </c>
      <c r="D143" s="211">
        <f>IFERROR(__xludf.DUMMYFUNCTION("""COMPUTED_VALUE"""),27748.0)</f>
        <v>27748</v>
      </c>
      <c r="E143" s="211">
        <f>IFERROR(__xludf.DUMMYFUNCTION("""COMPUTED_VALUE"""),4344.0)</f>
        <v>4344</v>
      </c>
      <c r="F143" s="153">
        <f>IFERROR(__xludf.DUMMYFUNCTION("""COMPUTED_VALUE"""),340588.0)</f>
        <v>340588</v>
      </c>
      <c r="G143" s="153">
        <f>IFERROR(__xludf.DUMMYFUNCTION("""COMPUTED_VALUE"""),4465.0)</f>
        <v>4465</v>
      </c>
      <c r="H143" s="153">
        <f>IFERROR(__xludf.DUMMYFUNCTION("""COMPUTED_VALUE"""),368336.0)</f>
        <v>368336</v>
      </c>
      <c r="I143" s="211">
        <f>IFERROR(__xludf.DUMMYFUNCTION("""COMPUTED_VALUE"""),97.0)</f>
        <v>97</v>
      </c>
      <c r="J143" s="211">
        <f>IFERROR(__xludf.DUMMYFUNCTION("""COMPUTED_VALUE"""),115.0)</f>
        <v>115</v>
      </c>
      <c r="K143" s="211">
        <f>IFERROR(__xludf.DUMMYFUNCTION("""COMPUTED_VALUE"""),19056.0)</f>
        <v>19056</v>
      </c>
      <c r="L143" s="211">
        <f>IFERROR(__xludf.DUMMYFUNCTION("""COMPUTED_VALUE"""),1651.0)</f>
        <v>1651</v>
      </c>
      <c r="M143" s="211">
        <f>IFERROR(__xludf.DUMMYFUNCTION("""COMPUTED_VALUE"""),188331.0)</f>
        <v>188331</v>
      </c>
      <c r="N143" s="211">
        <f>IFERROR(__xludf.DUMMYFUNCTION("""COMPUTED_VALUE"""),207387.0)</f>
        <v>207387</v>
      </c>
      <c r="O143" s="211">
        <f>IFERROR(__xludf.DUMMYFUNCTION("""COMPUTED_VALUE"""),6.0)</f>
        <v>6</v>
      </c>
      <c r="P143" s="211">
        <f>IFERROR(__xludf.DUMMYFUNCTION("""COMPUTED_VALUE"""),2252.0)</f>
        <v>2252</v>
      </c>
      <c r="Q143" s="211">
        <f>IFERROR(__xludf.DUMMYFUNCTION("""COMPUTED_VALUE"""),2.0)</f>
        <v>2</v>
      </c>
      <c r="R143" s="211">
        <f>IFERROR(__xludf.DUMMYFUNCTION("""COMPUTED_VALUE"""),1852.0)</f>
        <v>1852</v>
      </c>
      <c r="S143" s="211">
        <f>IFERROR(__xludf.DUMMYFUNCTION("""COMPUTED_VALUE"""),1.0)</f>
        <v>1</v>
      </c>
      <c r="T143" s="211">
        <f>IFERROR(__xludf.DUMMYFUNCTION("""COMPUTED_VALUE"""),315.0)</f>
        <v>315</v>
      </c>
      <c r="U143" s="211">
        <f>IFERROR(__xludf.DUMMYFUNCTION("""COMPUTED_VALUE"""),85.0)</f>
        <v>85</v>
      </c>
      <c r="V143" s="211">
        <f>IFERROR(__xludf.DUMMYFUNCTION("""COMPUTED_VALUE"""),83.0)</f>
        <v>83</v>
      </c>
      <c r="W143" s="211">
        <f>IFERROR(__xludf.DUMMYFUNCTION("""COMPUTED_VALUE"""),15.0)</f>
        <v>15</v>
      </c>
      <c r="X143" s="211">
        <f>IFERROR(__xludf.DUMMYFUNCTION("""COMPUTED_VALUE"""),6.0)</f>
        <v>6</v>
      </c>
      <c r="Y143" s="211">
        <f>IFERROR(__xludf.DUMMYFUNCTION("""COMPUTED_VALUE"""),1.0)</f>
        <v>1</v>
      </c>
      <c r="Z143" s="211">
        <f>IFERROR(__xludf.DUMMYFUNCTION("""COMPUTED_VALUE"""),1018.0)</f>
        <v>1018</v>
      </c>
    </row>
    <row r="144">
      <c r="A144" s="210">
        <f>IFERROR(__xludf.DUMMYFUNCTION("""COMPUTED_VALUE"""),44043.0)</f>
        <v>44043</v>
      </c>
      <c r="B144" s="211">
        <f>IFERROR(__xludf.DUMMYFUNCTION("""COMPUTED_VALUE"""),131.0)</f>
        <v>131</v>
      </c>
      <c r="C144" s="211">
        <f>IFERROR(__xludf.DUMMYFUNCTION("""COMPUTED_VALUE"""),148.0)</f>
        <v>148</v>
      </c>
      <c r="D144" s="211">
        <f>IFERROR(__xludf.DUMMYFUNCTION("""COMPUTED_VALUE"""),27879.0)</f>
        <v>27879</v>
      </c>
      <c r="E144" s="211">
        <f>IFERROR(__xludf.DUMMYFUNCTION("""COMPUTED_VALUE"""),5508.0)</f>
        <v>5508</v>
      </c>
      <c r="F144" s="153">
        <f>IFERROR(__xludf.DUMMYFUNCTION("""COMPUTED_VALUE"""),346096.0)</f>
        <v>346096</v>
      </c>
      <c r="G144" s="153">
        <f>IFERROR(__xludf.DUMMYFUNCTION("""COMPUTED_VALUE"""),5639.0)</f>
        <v>5639</v>
      </c>
      <c r="H144" s="153">
        <f>IFERROR(__xludf.DUMMYFUNCTION("""COMPUTED_VALUE"""),373975.0)</f>
        <v>373975</v>
      </c>
      <c r="I144" s="211">
        <f>IFERROR(__xludf.DUMMYFUNCTION("""COMPUTED_VALUE"""),89.0)</f>
        <v>89</v>
      </c>
      <c r="J144" s="211">
        <f>IFERROR(__xludf.DUMMYFUNCTION("""COMPUTED_VALUE"""),113.0)</f>
        <v>113</v>
      </c>
      <c r="K144" s="211">
        <f>IFERROR(__xludf.DUMMYFUNCTION("""COMPUTED_VALUE"""),19145.0)</f>
        <v>19145</v>
      </c>
      <c r="L144" s="211">
        <f>IFERROR(__xludf.DUMMYFUNCTION("""COMPUTED_VALUE"""),1856.0)</f>
        <v>1856</v>
      </c>
      <c r="M144" s="211">
        <f>IFERROR(__xludf.DUMMYFUNCTION("""COMPUTED_VALUE"""),190187.0)</f>
        <v>190187</v>
      </c>
      <c r="N144" s="211">
        <f>IFERROR(__xludf.DUMMYFUNCTION("""COMPUTED_VALUE"""),209332.0)</f>
        <v>209332</v>
      </c>
      <c r="O144" s="211">
        <f>IFERROR(__xludf.DUMMYFUNCTION("""COMPUTED_VALUE"""),8.0)</f>
        <v>8</v>
      </c>
      <c r="P144" s="211">
        <f>IFERROR(__xludf.DUMMYFUNCTION("""COMPUTED_VALUE"""),2260.0)</f>
        <v>2260</v>
      </c>
      <c r="Q144" s="211">
        <f>IFERROR(__xludf.DUMMYFUNCTION("""COMPUTED_VALUE"""),10.0)</f>
        <v>10</v>
      </c>
      <c r="R144" s="211">
        <f>IFERROR(__xludf.DUMMYFUNCTION("""COMPUTED_VALUE"""),1862.0)</f>
        <v>1862</v>
      </c>
      <c r="S144" s="211">
        <f>IFERROR(__xludf.DUMMYFUNCTION("""COMPUTED_VALUE"""),0.0)</f>
        <v>0</v>
      </c>
      <c r="T144" s="211">
        <f>IFERROR(__xludf.DUMMYFUNCTION("""COMPUTED_VALUE"""),315.0)</f>
        <v>315</v>
      </c>
      <c r="U144" s="211">
        <f>IFERROR(__xludf.DUMMYFUNCTION("""COMPUTED_VALUE"""),83.0)</f>
        <v>83</v>
      </c>
      <c r="V144" s="211">
        <f>IFERROR(__xludf.DUMMYFUNCTION("""COMPUTED_VALUE"""),83.0)</f>
        <v>83</v>
      </c>
      <c r="W144" s="211">
        <f>IFERROR(__xludf.DUMMYFUNCTION("""COMPUTED_VALUE"""),15.0)</f>
        <v>15</v>
      </c>
      <c r="X144" s="211">
        <f>IFERROR(__xludf.DUMMYFUNCTION("""COMPUTED_VALUE"""),7.0)</f>
        <v>7</v>
      </c>
      <c r="Y144" s="211">
        <f>IFERROR(__xludf.DUMMYFUNCTION("""COMPUTED_VALUE"""),1.0)</f>
        <v>1</v>
      </c>
      <c r="Z144" s="211">
        <f>IFERROR(__xludf.DUMMYFUNCTION("""COMPUTED_VALUE"""),1019.0)</f>
        <v>1019</v>
      </c>
    </row>
    <row r="145">
      <c r="A145" s="210">
        <f>IFERROR(__xludf.DUMMYFUNCTION("""COMPUTED_VALUE"""),44044.0)</f>
        <v>44044</v>
      </c>
      <c r="B145" s="211">
        <f>IFERROR(__xludf.DUMMYFUNCTION("""COMPUTED_VALUE"""),108.0)</f>
        <v>108</v>
      </c>
      <c r="C145" s="211">
        <f>IFERROR(__xludf.DUMMYFUNCTION("""COMPUTED_VALUE"""),120.0)</f>
        <v>120</v>
      </c>
      <c r="D145" s="211">
        <f>IFERROR(__xludf.DUMMYFUNCTION("""COMPUTED_VALUE"""),27987.0)</f>
        <v>27987</v>
      </c>
      <c r="E145" s="211">
        <f>IFERROR(__xludf.DUMMYFUNCTION("""COMPUTED_VALUE"""),4288.0)</f>
        <v>4288</v>
      </c>
      <c r="F145" s="153">
        <f>IFERROR(__xludf.DUMMYFUNCTION("""COMPUTED_VALUE"""),350384.0)</f>
        <v>350384</v>
      </c>
      <c r="G145" s="153">
        <f>IFERROR(__xludf.DUMMYFUNCTION("""COMPUTED_VALUE"""),4396.0)</f>
        <v>4396</v>
      </c>
      <c r="H145" s="153">
        <f>IFERROR(__xludf.DUMMYFUNCTION("""COMPUTED_VALUE"""),378371.0)</f>
        <v>378371</v>
      </c>
      <c r="I145" s="211">
        <f>IFERROR(__xludf.DUMMYFUNCTION("""COMPUTED_VALUE"""),88.0)</f>
        <v>88</v>
      </c>
      <c r="J145" s="211">
        <f>IFERROR(__xludf.DUMMYFUNCTION("""COMPUTED_VALUE"""),91.0)</f>
        <v>91</v>
      </c>
      <c r="K145" s="211">
        <f>IFERROR(__xludf.DUMMYFUNCTION("""COMPUTED_VALUE"""),19233.0)</f>
        <v>19233</v>
      </c>
      <c r="L145" s="211">
        <f>IFERROR(__xludf.DUMMYFUNCTION("""COMPUTED_VALUE"""),1558.0)</f>
        <v>1558</v>
      </c>
      <c r="M145" s="211">
        <f>IFERROR(__xludf.DUMMYFUNCTION("""COMPUTED_VALUE"""),191745.0)</f>
        <v>191745</v>
      </c>
      <c r="N145" s="211">
        <f>IFERROR(__xludf.DUMMYFUNCTION("""COMPUTED_VALUE"""),210978.0)</f>
        <v>210978</v>
      </c>
      <c r="O145" s="211">
        <f>IFERROR(__xludf.DUMMYFUNCTION("""COMPUTED_VALUE"""),7.0)</f>
        <v>7</v>
      </c>
      <c r="P145" s="211">
        <f>IFERROR(__xludf.DUMMYFUNCTION("""COMPUTED_VALUE"""),2267.0)</f>
        <v>2267</v>
      </c>
      <c r="Q145" s="211">
        <f>IFERROR(__xludf.DUMMYFUNCTION("""COMPUTED_VALUE"""),2.0)</f>
        <v>2</v>
      </c>
      <c r="R145" s="211">
        <f>IFERROR(__xludf.DUMMYFUNCTION("""COMPUTED_VALUE"""),1864.0)</f>
        <v>1864</v>
      </c>
      <c r="S145" s="211">
        <f>IFERROR(__xludf.DUMMYFUNCTION("""COMPUTED_VALUE"""),0.0)</f>
        <v>0</v>
      </c>
      <c r="T145" s="211">
        <f>IFERROR(__xludf.DUMMYFUNCTION("""COMPUTED_VALUE"""),315.0)</f>
        <v>315</v>
      </c>
      <c r="U145" s="211">
        <f>IFERROR(__xludf.DUMMYFUNCTION("""COMPUTED_VALUE"""),88.0)</f>
        <v>88</v>
      </c>
      <c r="V145" s="211">
        <f>IFERROR(__xludf.DUMMYFUNCTION("""COMPUTED_VALUE"""),85.0)</f>
        <v>85</v>
      </c>
      <c r="W145" s="211">
        <f>IFERROR(__xludf.DUMMYFUNCTION("""COMPUTED_VALUE"""),14.0)</f>
        <v>14</v>
      </c>
      <c r="X145" s="211">
        <f>IFERROR(__xludf.DUMMYFUNCTION("""COMPUTED_VALUE"""),7.0)</f>
        <v>7</v>
      </c>
      <c r="Y145" s="211">
        <f>IFERROR(__xludf.DUMMYFUNCTION("""COMPUTED_VALUE"""),1.0)</f>
        <v>1</v>
      </c>
      <c r="Z145" s="211">
        <f>IFERROR(__xludf.DUMMYFUNCTION("""COMPUTED_VALUE"""),1020.0)</f>
        <v>1020</v>
      </c>
    </row>
    <row r="146">
      <c r="A146" s="210">
        <f>IFERROR(__xludf.DUMMYFUNCTION("""COMPUTED_VALUE"""),44045.0)</f>
        <v>44045</v>
      </c>
      <c r="B146" s="211">
        <f>IFERROR(__xludf.DUMMYFUNCTION("""COMPUTED_VALUE"""),84.0)</f>
        <v>84</v>
      </c>
      <c r="C146" s="211">
        <f>IFERROR(__xludf.DUMMYFUNCTION("""COMPUTED_VALUE"""),108.0)</f>
        <v>108</v>
      </c>
      <c r="D146" s="211">
        <f>IFERROR(__xludf.DUMMYFUNCTION("""COMPUTED_VALUE"""),28071.0)</f>
        <v>28071</v>
      </c>
      <c r="E146" s="211">
        <f>IFERROR(__xludf.DUMMYFUNCTION("""COMPUTED_VALUE"""),2802.0)</f>
        <v>2802</v>
      </c>
      <c r="F146" s="153">
        <f>IFERROR(__xludf.DUMMYFUNCTION("""COMPUTED_VALUE"""),353186.0)</f>
        <v>353186</v>
      </c>
      <c r="G146" s="153">
        <f>IFERROR(__xludf.DUMMYFUNCTION("""COMPUTED_VALUE"""),2886.0)</f>
        <v>2886</v>
      </c>
      <c r="H146" s="153">
        <f>IFERROR(__xludf.DUMMYFUNCTION("""COMPUTED_VALUE"""),381257.0)</f>
        <v>381257</v>
      </c>
      <c r="I146" s="211">
        <f>IFERROR(__xludf.DUMMYFUNCTION("""COMPUTED_VALUE"""),62.0)</f>
        <v>62</v>
      </c>
      <c r="J146" s="211">
        <f>IFERROR(__xludf.DUMMYFUNCTION("""COMPUTED_VALUE"""),80.0)</f>
        <v>80</v>
      </c>
      <c r="K146" s="211">
        <f>IFERROR(__xludf.DUMMYFUNCTION("""COMPUTED_VALUE"""),19295.0)</f>
        <v>19295</v>
      </c>
      <c r="L146" s="211">
        <f>IFERROR(__xludf.DUMMYFUNCTION("""COMPUTED_VALUE"""),1275.0)</f>
        <v>1275</v>
      </c>
      <c r="M146" s="211">
        <f>IFERROR(__xludf.DUMMYFUNCTION("""COMPUTED_VALUE"""),193020.0)</f>
        <v>193020</v>
      </c>
      <c r="N146" s="211">
        <f>IFERROR(__xludf.DUMMYFUNCTION("""COMPUTED_VALUE"""),212315.0)</f>
        <v>212315</v>
      </c>
      <c r="O146" s="211">
        <f>IFERROR(__xludf.DUMMYFUNCTION("""COMPUTED_VALUE"""),12.0)</f>
        <v>12</v>
      </c>
      <c r="P146" s="211">
        <f>IFERROR(__xludf.DUMMYFUNCTION("""COMPUTED_VALUE"""),2279.0)</f>
        <v>2279</v>
      </c>
      <c r="Q146" s="211">
        <f>IFERROR(__xludf.DUMMYFUNCTION("""COMPUTED_VALUE"""),12.0)</f>
        <v>12</v>
      </c>
      <c r="R146" s="211">
        <f>IFERROR(__xludf.DUMMYFUNCTION("""COMPUTED_VALUE"""),1876.0)</f>
        <v>1876</v>
      </c>
      <c r="S146" s="211">
        <f>IFERROR(__xludf.DUMMYFUNCTION("""COMPUTED_VALUE"""),2.0)</f>
        <v>2</v>
      </c>
      <c r="T146" s="211">
        <f>IFERROR(__xludf.DUMMYFUNCTION("""COMPUTED_VALUE"""),317.0)</f>
        <v>317</v>
      </c>
      <c r="U146" s="211">
        <f>IFERROR(__xludf.DUMMYFUNCTION("""COMPUTED_VALUE"""),86.0)</f>
        <v>86</v>
      </c>
      <c r="V146" s="211">
        <f>IFERROR(__xludf.DUMMYFUNCTION("""COMPUTED_VALUE"""),86.0)</f>
        <v>86</v>
      </c>
      <c r="W146" s="211">
        <f>IFERROR(__xludf.DUMMYFUNCTION("""COMPUTED_VALUE"""),14.0)</f>
        <v>14</v>
      </c>
      <c r="X146" s="211">
        <f>IFERROR(__xludf.DUMMYFUNCTION("""COMPUTED_VALUE"""),8.0)</f>
        <v>8</v>
      </c>
      <c r="Y146" s="211">
        <f>IFERROR(__xludf.DUMMYFUNCTION("""COMPUTED_VALUE"""),2.0)</f>
        <v>2</v>
      </c>
      <c r="Z146" s="211">
        <f>IFERROR(__xludf.DUMMYFUNCTION("""COMPUTED_VALUE"""),1022.0)</f>
        <v>1022</v>
      </c>
    </row>
    <row r="147">
      <c r="A147" s="210">
        <f>IFERROR(__xludf.DUMMYFUNCTION("""COMPUTED_VALUE"""),44046.0)</f>
        <v>44046</v>
      </c>
      <c r="B147" s="211">
        <f>IFERROR(__xludf.DUMMYFUNCTION("""COMPUTED_VALUE"""),187.0)</f>
        <v>187</v>
      </c>
      <c r="C147" s="211">
        <f>IFERROR(__xludf.DUMMYFUNCTION("""COMPUTED_VALUE"""),126.0)</f>
        <v>126</v>
      </c>
      <c r="D147" s="211">
        <f>IFERROR(__xludf.DUMMYFUNCTION("""COMPUTED_VALUE"""),28258.0)</f>
        <v>28258</v>
      </c>
      <c r="E147" s="211">
        <f>IFERROR(__xludf.DUMMYFUNCTION("""COMPUTED_VALUE"""),5203.0)</f>
        <v>5203</v>
      </c>
      <c r="F147" s="153">
        <f>IFERROR(__xludf.DUMMYFUNCTION("""COMPUTED_VALUE"""),358389.0)</f>
        <v>358389</v>
      </c>
      <c r="G147" s="153">
        <f>IFERROR(__xludf.DUMMYFUNCTION("""COMPUTED_VALUE"""),5390.0)</f>
        <v>5390</v>
      </c>
      <c r="H147" s="153">
        <f>IFERROR(__xludf.DUMMYFUNCTION("""COMPUTED_VALUE"""),386647.0)</f>
        <v>386647</v>
      </c>
      <c r="I147" s="211">
        <f>IFERROR(__xludf.DUMMYFUNCTION("""COMPUTED_VALUE"""),150.0)</f>
        <v>150</v>
      </c>
      <c r="J147" s="211">
        <f>IFERROR(__xludf.DUMMYFUNCTION("""COMPUTED_VALUE"""),100.0)</f>
        <v>100</v>
      </c>
      <c r="K147" s="211">
        <f>IFERROR(__xludf.DUMMYFUNCTION("""COMPUTED_VALUE"""),19445.0)</f>
        <v>19445</v>
      </c>
      <c r="L147" s="211">
        <f>IFERROR(__xludf.DUMMYFUNCTION("""COMPUTED_VALUE"""),2186.0)</f>
        <v>2186</v>
      </c>
      <c r="M147" s="211">
        <f>IFERROR(__xludf.DUMMYFUNCTION("""COMPUTED_VALUE"""),195206.0)</f>
        <v>195206</v>
      </c>
      <c r="N147" s="211">
        <f>IFERROR(__xludf.DUMMYFUNCTION("""COMPUTED_VALUE"""),214651.0)</f>
        <v>214651</v>
      </c>
      <c r="O147" s="211">
        <f>IFERROR(__xludf.DUMMYFUNCTION("""COMPUTED_VALUE"""),13.0)</f>
        <v>13</v>
      </c>
      <c r="P147" s="211">
        <f>IFERROR(__xludf.DUMMYFUNCTION("""COMPUTED_VALUE"""),2292.0)</f>
        <v>2292</v>
      </c>
      <c r="Q147" s="211">
        <f>IFERROR(__xludf.DUMMYFUNCTION("""COMPUTED_VALUE"""),12.0)</f>
        <v>12</v>
      </c>
      <c r="R147" s="211">
        <f>IFERROR(__xludf.DUMMYFUNCTION("""COMPUTED_VALUE"""),1888.0)</f>
        <v>1888</v>
      </c>
      <c r="S147" s="211">
        <f>IFERROR(__xludf.DUMMYFUNCTION("""COMPUTED_VALUE"""),0.0)</f>
        <v>0</v>
      </c>
      <c r="T147" s="211">
        <f>IFERROR(__xludf.DUMMYFUNCTION("""COMPUTED_VALUE"""),317.0)</f>
        <v>317</v>
      </c>
      <c r="U147" s="211">
        <f>IFERROR(__xludf.DUMMYFUNCTION("""COMPUTED_VALUE"""),87.0)</f>
        <v>87</v>
      </c>
      <c r="V147" s="211">
        <f>IFERROR(__xludf.DUMMYFUNCTION("""COMPUTED_VALUE"""),87.0)</f>
        <v>87</v>
      </c>
      <c r="W147" s="211">
        <f>IFERROR(__xludf.DUMMYFUNCTION("""COMPUTED_VALUE"""),16.0)</f>
        <v>16</v>
      </c>
      <c r="X147" s="211">
        <f>IFERROR(__xludf.DUMMYFUNCTION("""COMPUTED_VALUE"""),7.0)</f>
        <v>7</v>
      </c>
      <c r="Y147" s="211">
        <f>IFERROR(__xludf.DUMMYFUNCTION("""COMPUTED_VALUE"""),1.0)</f>
        <v>1</v>
      </c>
      <c r="Z147" s="211">
        <f>IFERROR(__xludf.DUMMYFUNCTION("""COMPUTED_VALUE"""),1023.0)</f>
        <v>1023</v>
      </c>
    </row>
    <row r="148">
      <c r="A148" s="210">
        <f>IFERROR(__xludf.DUMMYFUNCTION("""COMPUTED_VALUE"""),44047.0)</f>
        <v>44047</v>
      </c>
      <c r="B148" s="211">
        <f>IFERROR(__xludf.DUMMYFUNCTION("""COMPUTED_VALUE"""),126.0)</f>
        <v>126</v>
      </c>
      <c r="C148" s="211">
        <f>IFERROR(__xludf.DUMMYFUNCTION("""COMPUTED_VALUE"""),132.0)</f>
        <v>132</v>
      </c>
      <c r="D148" s="211">
        <f>IFERROR(__xludf.DUMMYFUNCTION("""COMPUTED_VALUE"""),28384.0)</f>
        <v>28384</v>
      </c>
      <c r="E148" s="211">
        <f>IFERROR(__xludf.DUMMYFUNCTION("""COMPUTED_VALUE"""),3687.0)</f>
        <v>3687</v>
      </c>
      <c r="F148" s="153">
        <f>IFERROR(__xludf.DUMMYFUNCTION("""COMPUTED_VALUE"""),362076.0)</f>
        <v>362076</v>
      </c>
      <c r="G148" s="153">
        <f>IFERROR(__xludf.DUMMYFUNCTION("""COMPUTED_VALUE"""),3813.0)</f>
        <v>3813</v>
      </c>
      <c r="H148" s="153">
        <f>IFERROR(__xludf.DUMMYFUNCTION("""COMPUTED_VALUE"""),390460.0)</f>
        <v>390460</v>
      </c>
      <c r="I148" s="211">
        <f>IFERROR(__xludf.DUMMYFUNCTION("""COMPUTED_VALUE"""),99.0)</f>
        <v>99</v>
      </c>
      <c r="J148" s="211">
        <f>IFERROR(__xludf.DUMMYFUNCTION("""COMPUTED_VALUE"""),104.0)</f>
        <v>104</v>
      </c>
      <c r="K148" s="211">
        <f>IFERROR(__xludf.DUMMYFUNCTION("""COMPUTED_VALUE"""),19544.0)</f>
        <v>19544</v>
      </c>
      <c r="L148" s="211">
        <f>IFERROR(__xludf.DUMMYFUNCTION("""COMPUTED_VALUE"""),1770.0)</f>
        <v>1770</v>
      </c>
      <c r="M148" s="211">
        <f>IFERROR(__xludf.DUMMYFUNCTION("""COMPUTED_VALUE"""),196976.0)</f>
        <v>196976</v>
      </c>
      <c r="N148" s="211">
        <f>IFERROR(__xludf.DUMMYFUNCTION("""COMPUTED_VALUE"""),216520.0)</f>
        <v>216520</v>
      </c>
      <c r="O148" s="211">
        <f>IFERROR(__xludf.DUMMYFUNCTION("""COMPUTED_VALUE"""),8.0)</f>
        <v>8</v>
      </c>
      <c r="P148" s="211">
        <f>IFERROR(__xludf.DUMMYFUNCTION("""COMPUTED_VALUE"""),2300.0)</f>
        <v>2300</v>
      </c>
      <c r="Q148" s="211">
        <f>IFERROR(__xludf.DUMMYFUNCTION("""COMPUTED_VALUE"""),6.0)</f>
        <v>6</v>
      </c>
      <c r="R148" s="211">
        <f>IFERROR(__xludf.DUMMYFUNCTION("""COMPUTED_VALUE"""),1894.0)</f>
        <v>1894</v>
      </c>
      <c r="S148" s="211">
        <f>IFERROR(__xludf.DUMMYFUNCTION("""COMPUTED_VALUE"""),1.0)</f>
        <v>1</v>
      </c>
      <c r="T148" s="211">
        <f>IFERROR(__xludf.DUMMYFUNCTION("""COMPUTED_VALUE"""),318.0)</f>
        <v>318</v>
      </c>
      <c r="U148" s="211">
        <f>IFERROR(__xludf.DUMMYFUNCTION("""COMPUTED_VALUE"""),88.0)</f>
        <v>88</v>
      </c>
      <c r="V148" s="211">
        <f>IFERROR(__xludf.DUMMYFUNCTION("""COMPUTED_VALUE"""),87.0)</f>
        <v>87</v>
      </c>
      <c r="W148" s="211">
        <f>IFERROR(__xludf.DUMMYFUNCTION("""COMPUTED_VALUE"""),12.0)</f>
        <v>12</v>
      </c>
      <c r="X148" s="211">
        <f>IFERROR(__xludf.DUMMYFUNCTION("""COMPUTED_VALUE"""),5.0)</f>
        <v>5</v>
      </c>
      <c r="Y148" s="211">
        <f>IFERROR(__xludf.DUMMYFUNCTION("""COMPUTED_VALUE"""),2.0)</f>
        <v>2</v>
      </c>
      <c r="Z148" s="211">
        <f>IFERROR(__xludf.DUMMYFUNCTION("""COMPUTED_VALUE"""),1025.0)</f>
        <v>1025</v>
      </c>
    </row>
    <row r="149">
      <c r="A149" s="210">
        <f>IFERROR(__xludf.DUMMYFUNCTION("""COMPUTED_VALUE"""),44048.0)</f>
        <v>44048</v>
      </c>
      <c r="B149" s="211">
        <f>IFERROR(__xludf.DUMMYFUNCTION("""COMPUTED_VALUE"""),148.0)</f>
        <v>148</v>
      </c>
      <c r="C149" s="211">
        <f>IFERROR(__xludf.DUMMYFUNCTION("""COMPUTED_VALUE"""),154.0)</f>
        <v>154</v>
      </c>
      <c r="D149" s="211">
        <f>IFERROR(__xludf.DUMMYFUNCTION("""COMPUTED_VALUE"""),28532.0)</f>
        <v>28532</v>
      </c>
      <c r="E149" s="211">
        <f>IFERROR(__xludf.DUMMYFUNCTION("""COMPUTED_VALUE"""),5914.0)</f>
        <v>5914</v>
      </c>
      <c r="F149" s="153">
        <f>IFERROR(__xludf.DUMMYFUNCTION("""COMPUTED_VALUE"""),367990.0)</f>
        <v>367990</v>
      </c>
      <c r="G149" s="153">
        <f>IFERROR(__xludf.DUMMYFUNCTION("""COMPUTED_VALUE"""),6062.0)</f>
        <v>6062</v>
      </c>
      <c r="H149" s="153">
        <f>IFERROR(__xludf.DUMMYFUNCTION("""COMPUTED_VALUE"""),396522.0)</f>
        <v>396522</v>
      </c>
      <c r="I149" s="211">
        <f>IFERROR(__xludf.DUMMYFUNCTION("""COMPUTED_VALUE"""),118.0)</f>
        <v>118</v>
      </c>
      <c r="J149" s="211">
        <f>IFERROR(__xludf.DUMMYFUNCTION("""COMPUTED_VALUE"""),122.0)</f>
        <v>122</v>
      </c>
      <c r="K149" s="211">
        <f>IFERROR(__xludf.DUMMYFUNCTION("""COMPUTED_VALUE"""),19662.0)</f>
        <v>19662</v>
      </c>
      <c r="L149" s="211">
        <f>IFERROR(__xludf.DUMMYFUNCTION("""COMPUTED_VALUE"""),2468.0)</f>
        <v>2468</v>
      </c>
      <c r="M149" s="211">
        <f>IFERROR(__xludf.DUMMYFUNCTION("""COMPUTED_VALUE"""),199444.0)</f>
        <v>199444</v>
      </c>
      <c r="N149" s="211">
        <f>IFERROR(__xludf.DUMMYFUNCTION("""COMPUTED_VALUE"""),219106.0)</f>
        <v>219106</v>
      </c>
      <c r="O149" s="211">
        <f>IFERROR(__xludf.DUMMYFUNCTION("""COMPUTED_VALUE"""),12.0)</f>
        <v>12</v>
      </c>
      <c r="P149" s="211">
        <f>IFERROR(__xludf.DUMMYFUNCTION("""COMPUTED_VALUE"""),2312.0)</f>
        <v>2312</v>
      </c>
      <c r="Q149" s="211">
        <f>IFERROR(__xludf.DUMMYFUNCTION("""COMPUTED_VALUE"""),10.0)</f>
        <v>10</v>
      </c>
      <c r="R149" s="211">
        <f>IFERROR(__xludf.DUMMYFUNCTION("""COMPUTED_VALUE"""),1904.0)</f>
        <v>1904</v>
      </c>
      <c r="S149" s="211">
        <f>IFERROR(__xludf.DUMMYFUNCTION("""COMPUTED_VALUE"""),1.0)</f>
        <v>1</v>
      </c>
      <c r="T149" s="211">
        <f>IFERROR(__xludf.DUMMYFUNCTION("""COMPUTED_VALUE"""),319.0)</f>
        <v>319</v>
      </c>
      <c r="U149" s="211">
        <f>IFERROR(__xludf.DUMMYFUNCTION("""COMPUTED_VALUE"""),89.0)</f>
        <v>89</v>
      </c>
      <c r="V149" s="211">
        <f>IFERROR(__xludf.DUMMYFUNCTION("""COMPUTED_VALUE"""),88.0)</f>
        <v>88</v>
      </c>
      <c r="W149" s="211">
        <f>IFERROR(__xludf.DUMMYFUNCTION("""COMPUTED_VALUE"""),10.0)</f>
        <v>10</v>
      </c>
      <c r="X149" s="211">
        <f>IFERROR(__xludf.DUMMYFUNCTION("""COMPUTED_VALUE"""),5.0)</f>
        <v>5</v>
      </c>
      <c r="Y149" s="211">
        <f>IFERROR(__xludf.DUMMYFUNCTION("""COMPUTED_VALUE"""),2.0)</f>
        <v>2</v>
      </c>
      <c r="Z149" s="211">
        <f>IFERROR(__xludf.DUMMYFUNCTION("""COMPUTED_VALUE"""),1027.0)</f>
        <v>1027</v>
      </c>
    </row>
    <row r="150">
      <c r="A150" s="210">
        <f>IFERROR(__xludf.DUMMYFUNCTION("""COMPUTED_VALUE"""),44049.0)</f>
        <v>44049</v>
      </c>
      <c r="B150" s="211">
        <f>IFERROR(__xludf.DUMMYFUNCTION("""COMPUTED_VALUE"""),169.0)</f>
        <v>169</v>
      </c>
      <c r="C150" s="211">
        <f>IFERROR(__xludf.DUMMYFUNCTION("""COMPUTED_VALUE"""),148.0)</f>
        <v>148</v>
      </c>
      <c r="D150" s="211">
        <f>IFERROR(__xludf.DUMMYFUNCTION("""COMPUTED_VALUE"""),28701.0)</f>
        <v>28701</v>
      </c>
      <c r="E150" s="211">
        <f>IFERROR(__xludf.DUMMYFUNCTION("""COMPUTED_VALUE"""),5533.0)</f>
        <v>5533</v>
      </c>
      <c r="F150" s="153">
        <f>IFERROR(__xludf.DUMMYFUNCTION("""COMPUTED_VALUE"""),373523.0)</f>
        <v>373523</v>
      </c>
      <c r="G150" s="153">
        <f>IFERROR(__xludf.DUMMYFUNCTION("""COMPUTED_VALUE"""),5702.0)</f>
        <v>5702</v>
      </c>
      <c r="H150" s="153">
        <f>IFERROR(__xludf.DUMMYFUNCTION("""COMPUTED_VALUE"""),402224.0)</f>
        <v>402224</v>
      </c>
      <c r="I150" s="211">
        <f>IFERROR(__xludf.DUMMYFUNCTION("""COMPUTED_VALUE"""),121.0)</f>
        <v>121</v>
      </c>
      <c r="J150" s="211">
        <f>IFERROR(__xludf.DUMMYFUNCTION("""COMPUTED_VALUE"""),113.0)</f>
        <v>113</v>
      </c>
      <c r="K150" s="211">
        <f>IFERROR(__xludf.DUMMYFUNCTION("""COMPUTED_VALUE"""),19783.0)</f>
        <v>19783</v>
      </c>
      <c r="L150" s="211">
        <f>IFERROR(__xludf.DUMMYFUNCTION("""COMPUTED_VALUE"""),2422.0)</f>
        <v>2422</v>
      </c>
      <c r="M150" s="211">
        <f>IFERROR(__xludf.DUMMYFUNCTION("""COMPUTED_VALUE"""),201866.0)</f>
        <v>201866</v>
      </c>
      <c r="N150" s="211">
        <f>IFERROR(__xludf.DUMMYFUNCTION("""COMPUTED_VALUE"""),221649.0)</f>
        <v>221649</v>
      </c>
      <c r="O150" s="211">
        <f>IFERROR(__xludf.DUMMYFUNCTION("""COMPUTED_VALUE"""),7.0)</f>
        <v>7</v>
      </c>
      <c r="P150" s="211">
        <f>IFERROR(__xludf.DUMMYFUNCTION("""COMPUTED_VALUE"""),2319.0)</f>
        <v>2319</v>
      </c>
      <c r="Q150" s="211">
        <f>IFERROR(__xludf.DUMMYFUNCTION("""COMPUTED_VALUE"""),9.0)</f>
        <v>9</v>
      </c>
      <c r="R150" s="211">
        <f>IFERROR(__xludf.DUMMYFUNCTION("""COMPUTED_VALUE"""),1913.0)</f>
        <v>1913</v>
      </c>
      <c r="S150" s="211">
        <f>IFERROR(__xludf.DUMMYFUNCTION("""COMPUTED_VALUE"""),0.0)</f>
        <v>0</v>
      </c>
      <c r="T150" s="211">
        <f>IFERROR(__xludf.DUMMYFUNCTION("""COMPUTED_VALUE"""),319.0)</f>
        <v>319</v>
      </c>
      <c r="U150" s="211">
        <f>IFERROR(__xludf.DUMMYFUNCTION("""COMPUTED_VALUE"""),87.0)</f>
        <v>87</v>
      </c>
      <c r="V150" s="211">
        <f>IFERROR(__xludf.DUMMYFUNCTION("""COMPUTED_VALUE"""),88.0)</f>
        <v>88</v>
      </c>
      <c r="W150" s="211">
        <f>IFERROR(__xludf.DUMMYFUNCTION("""COMPUTED_VALUE"""),9.0)</f>
        <v>9</v>
      </c>
      <c r="X150" s="211">
        <f>IFERROR(__xludf.DUMMYFUNCTION("""COMPUTED_VALUE"""),4.0)</f>
        <v>4</v>
      </c>
      <c r="Y150" s="211">
        <f>IFERROR(__xludf.DUMMYFUNCTION("""COMPUTED_VALUE"""),0.0)</f>
        <v>0</v>
      </c>
      <c r="Z150" s="211">
        <f>IFERROR(__xludf.DUMMYFUNCTION("""COMPUTED_VALUE"""),1027.0)</f>
        <v>1027</v>
      </c>
    </row>
    <row r="151">
      <c r="A151" s="210">
        <f>IFERROR(__xludf.DUMMYFUNCTION("""COMPUTED_VALUE"""),44050.0)</f>
        <v>44050</v>
      </c>
      <c r="B151" s="211">
        <f>IFERROR(__xludf.DUMMYFUNCTION("""COMPUTED_VALUE"""),122.0)</f>
        <v>122</v>
      </c>
      <c r="C151" s="211">
        <f>IFERROR(__xludf.DUMMYFUNCTION("""COMPUTED_VALUE"""),146.0)</f>
        <v>146</v>
      </c>
      <c r="D151" s="211">
        <f>IFERROR(__xludf.DUMMYFUNCTION("""COMPUTED_VALUE"""),28823.0)</f>
        <v>28823</v>
      </c>
      <c r="E151" s="211">
        <f>IFERROR(__xludf.DUMMYFUNCTION("""COMPUTED_VALUE"""),4845.0)</f>
        <v>4845</v>
      </c>
      <c r="F151" s="153">
        <f>IFERROR(__xludf.DUMMYFUNCTION("""COMPUTED_VALUE"""),378368.0)</f>
        <v>378368</v>
      </c>
      <c r="G151" s="153">
        <f>IFERROR(__xludf.DUMMYFUNCTION("""COMPUTED_VALUE"""),4967.0)</f>
        <v>4967</v>
      </c>
      <c r="H151" s="153">
        <f>IFERROR(__xludf.DUMMYFUNCTION("""COMPUTED_VALUE"""),407191.0)</f>
        <v>407191</v>
      </c>
      <c r="I151" s="211">
        <f>IFERROR(__xludf.DUMMYFUNCTION("""COMPUTED_VALUE"""),87.0)</f>
        <v>87</v>
      </c>
      <c r="J151" s="211">
        <f>IFERROR(__xludf.DUMMYFUNCTION("""COMPUTED_VALUE"""),109.0)</f>
        <v>109</v>
      </c>
      <c r="K151" s="211">
        <f>IFERROR(__xludf.DUMMYFUNCTION("""COMPUTED_VALUE"""),19870.0)</f>
        <v>19870</v>
      </c>
      <c r="L151" s="211">
        <f>IFERROR(__xludf.DUMMYFUNCTION("""COMPUTED_VALUE"""),2155.0)</f>
        <v>2155</v>
      </c>
      <c r="M151" s="211">
        <f>IFERROR(__xludf.DUMMYFUNCTION("""COMPUTED_VALUE"""),204021.0)</f>
        <v>204021</v>
      </c>
      <c r="N151" s="211">
        <f>IFERROR(__xludf.DUMMYFUNCTION("""COMPUTED_VALUE"""),223891.0)</f>
        <v>223891</v>
      </c>
      <c r="O151" s="211">
        <f>IFERROR(__xludf.DUMMYFUNCTION("""COMPUTED_VALUE"""),13.0)</f>
        <v>13</v>
      </c>
      <c r="P151" s="211">
        <f>IFERROR(__xludf.DUMMYFUNCTION("""COMPUTED_VALUE"""),2332.0)</f>
        <v>2332</v>
      </c>
      <c r="Q151" s="211">
        <f>IFERROR(__xludf.DUMMYFUNCTION("""COMPUTED_VALUE"""),10.0)</f>
        <v>10</v>
      </c>
      <c r="R151" s="211">
        <f>IFERROR(__xludf.DUMMYFUNCTION("""COMPUTED_VALUE"""),1923.0)</f>
        <v>1923</v>
      </c>
      <c r="S151" s="211">
        <f>IFERROR(__xludf.DUMMYFUNCTION("""COMPUTED_VALUE"""),1.0)</f>
        <v>1</v>
      </c>
      <c r="T151" s="211">
        <f>IFERROR(__xludf.DUMMYFUNCTION("""COMPUTED_VALUE"""),320.0)</f>
        <v>320</v>
      </c>
      <c r="U151" s="211">
        <f>IFERROR(__xludf.DUMMYFUNCTION("""COMPUTED_VALUE"""),89.0)</f>
        <v>89</v>
      </c>
      <c r="V151" s="211">
        <f>IFERROR(__xludf.DUMMYFUNCTION("""COMPUTED_VALUE"""),88.0)</f>
        <v>88</v>
      </c>
      <c r="W151" s="211">
        <f>IFERROR(__xludf.DUMMYFUNCTION("""COMPUTED_VALUE"""),9.0)</f>
        <v>9</v>
      </c>
      <c r="X151" s="211">
        <f>IFERROR(__xludf.DUMMYFUNCTION("""COMPUTED_VALUE"""),3.0)</f>
        <v>3</v>
      </c>
      <c r="Y151" s="211">
        <f>IFERROR(__xludf.DUMMYFUNCTION("""COMPUTED_VALUE"""),2.0)</f>
        <v>2</v>
      </c>
      <c r="Z151" s="211">
        <f>IFERROR(__xludf.DUMMYFUNCTION("""COMPUTED_VALUE"""),1029.0)</f>
        <v>1029</v>
      </c>
    </row>
    <row r="152">
      <c r="A152" s="210">
        <f>IFERROR(__xludf.DUMMYFUNCTION("""COMPUTED_VALUE"""),44051.0)</f>
        <v>44051</v>
      </c>
      <c r="B152" s="211">
        <f>IFERROR(__xludf.DUMMYFUNCTION("""COMPUTED_VALUE"""),122.0)</f>
        <v>122</v>
      </c>
      <c r="C152" s="211">
        <f>IFERROR(__xludf.DUMMYFUNCTION("""COMPUTED_VALUE"""),138.0)</f>
        <v>138</v>
      </c>
      <c r="D152" s="211">
        <f>IFERROR(__xludf.DUMMYFUNCTION("""COMPUTED_VALUE"""),28945.0)</f>
        <v>28945</v>
      </c>
      <c r="E152" s="211">
        <f>IFERROR(__xludf.DUMMYFUNCTION("""COMPUTED_VALUE"""),4105.0)</f>
        <v>4105</v>
      </c>
      <c r="F152" s="153">
        <f>IFERROR(__xludf.DUMMYFUNCTION("""COMPUTED_VALUE"""),382473.0)</f>
        <v>382473</v>
      </c>
      <c r="G152" s="153">
        <f>IFERROR(__xludf.DUMMYFUNCTION("""COMPUTED_VALUE"""),4227.0)</f>
        <v>4227</v>
      </c>
      <c r="H152" s="153">
        <f>IFERROR(__xludf.DUMMYFUNCTION("""COMPUTED_VALUE"""),411418.0)</f>
        <v>411418</v>
      </c>
      <c r="I152" s="211">
        <f>IFERROR(__xludf.DUMMYFUNCTION("""COMPUTED_VALUE"""),91.0)</f>
        <v>91</v>
      </c>
      <c r="J152" s="211">
        <f>IFERROR(__xludf.DUMMYFUNCTION("""COMPUTED_VALUE"""),100.0)</f>
        <v>100</v>
      </c>
      <c r="K152" s="211">
        <f>IFERROR(__xludf.DUMMYFUNCTION("""COMPUTED_VALUE"""),19961.0)</f>
        <v>19961</v>
      </c>
      <c r="L152" s="211">
        <f>IFERROR(__xludf.DUMMYFUNCTION("""COMPUTED_VALUE"""),1781.0)</f>
        <v>1781</v>
      </c>
      <c r="M152" s="211">
        <f>IFERROR(__xludf.DUMMYFUNCTION("""COMPUTED_VALUE"""),205802.0)</f>
        <v>205802</v>
      </c>
      <c r="N152" s="211">
        <f>IFERROR(__xludf.DUMMYFUNCTION("""COMPUTED_VALUE"""),225763.0)</f>
        <v>225763</v>
      </c>
      <c r="O152" s="211">
        <f>IFERROR(__xludf.DUMMYFUNCTION("""COMPUTED_VALUE"""),19.0)</f>
        <v>19</v>
      </c>
      <c r="P152" s="211">
        <f>IFERROR(__xludf.DUMMYFUNCTION("""COMPUTED_VALUE"""),2351.0)</f>
        <v>2351</v>
      </c>
      <c r="Q152" s="211">
        <f>IFERROR(__xludf.DUMMYFUNCTION("""COMPUTED_VALUE"""),6.0)</f>
        <v>6</v>
      </c>
      <c r="R152" s="211">
        <f>IFERROR(__xludf.DUMMYFUNCTION("""COMPUTED_VALUE"""),1929.0)</f>
        <v>1929</v>
      </c>
      <c r="S152" s="211">
        <f>IFERROR(__xludf.DUMMYFUNCTION("""COMPUTED_VALUE"""),1.0)</f>
        <v>1</v>
      </c>
      <c r="T152" s="211">
        <f>IFERROR(__xludf.DUMMYFUNCTION("""COMPUTED_VALUE"""),321.0)</f>
        <v>321</v>
      </c>
      <c r="U152" s="211">
        <f>IFERROR(__xludf.DUMMYFUNCTION("""COMPUTED_VALUE"""),101.0)</f>
        <v>101</v>
      </c>
      <c r="V152" s="211">
        <f>IFERROR(__xludf.DUMMYFUNCTION("""COMPUTED_VALUE"""),92.0)</f>
        <v>92</v>
      </c>
      <c r="W152" s="211">
        <f>IFERROR(__xludf.DUMMYFUNCTION("""COMPUTED_VALUE"""),8.0)</f>
        <v>8</v>
      </c>
      <c r="X152" s="211">
        <f>IFERROR(__xludf.DUMMYFUNCTION("""COMPUTED_VALUE"""),3.0)</f>
        <v>3</v>
      </c>
      <c r="Y152" s="211">
        <f>IFERROR(__xludf.DUMMYFUNCTION("""COMPUTED_VALUE"""),1.0)</f>
        <v>1</v>
      </c>
      <c r="Z152" s="211">
        <f>IFERROR(__xludf.DUMMYFUNCTION("""COMPUTED_VALUE"""),1030.0)</f>
        <v>1030</v>
      </c>
    </row>
    <row r="153">
      <c r="A153" s="210">
        <f>IFERROR(__xludf.DUMMYFUNCTION("""COMPUTED_VALUE"""),44052.0)</f>
        <v>44052</v>
      </c>
      <c r="B153" s="211">
        <f>IFERROR(__xludf.DUMMYFUNCTION("""COMPUTED_VALUE"""),42.0)</f>
        <v>42</v>
      </c>
      <c r="C153" s="211">
        <f>IFERROR(__xludf.DUMMYFUNCTION("""COMPUTED_VALUE"""),95.0)</f>
        <v>95</v>
      </c>
      <c r="D153" s="211">
        <f>IFERROR(__xludf.DUMMYFUNCTION("""COMPUTED_VALUE"""),28987.0)</f>
        <v>28987</v>
      </c>
      <c r="E153" s="211">
        <f>IFERROR(__xludf.DUMMYFUNCTION("""COMPUTED_VALUE"""),1722.0)</f>
        <v>1722</v>
      </c>
      <c r="F153" s="153">
        <f>IFERROR(__xludf.DUMMYFUNCTION("""COMPUTED_VALUE"""),384195.0)</f>
        <v>384195</v>
      </c>
      <c r="G153" s="153">
        <f>IFERROR(__xludf.DUMMYFUNCTION("""COMPUTED_VALUE"""),1764.0)</f>
        <v>1764</v>
      </c>
      <c r="H153" s="153">
        <f>IFERROR(__xludf.DUMMYFUNCTION("""COMPUTED_VALUE"""),413182.0)</f>
        <v>413182</v>
      </c>
      <c r="I153" s="211">
        <f>IFERROR(__xludf.DUMMYFUNCTION("""COMPUTED_VALUE"""),35.0)</f>
        <v>35</v>
      </c>
      <c r="J153" s="211">
        <f>IFERROR(__xludf.DUMMYFUNCTION("""COMPUTED_VALUE"""),71.0)</f>
        <v>71</v>
      </c>
      <c r="K153" s="211">
        <f>IFERROR(__xludf.DUMMYFUNCTION("""COMPUTED_VALUE"""),19996.0)</f>
        <v>19996</v>
      </c>
      <c r="L153" s="211">
        <f>IFERROR(__xludf.DUMMYFUNCTION("""COMPUTED_VALUE"""),1076.0)</f>
        <v>1076</v>
      </c>
      <c r="M153" s="211">
        <f>IFERROR(__xludf.DUMMYFUNCTION("""COMPUTED_VALUE"""),206878.0)</f>
        <v>206878</v>
      </c>
      <c r="N153" s="211">
        <f>IFERROR(__xludf.DUMMYFUNCTION("""COMPUTED_VALUE"""),226874.0)</f>
        <v>226874</v>
      </c>
      <c r="O153" s="211">
        <f>IFERROR(__xludf.DUMMYFUNCTION("""COMPUTED_VALUE"""),8.0)</f>
        <v>8</v>
      </c>
      <c r="P153" s="211">
        <f>IFERROR(__xludf.DUMMYFUNCTION("""COMPUTED_VALUE"""),2359.0)</f>
        <v>2359</v>
      </c>
      <c r="Q153" s="211">
        <f>IFERROR(__xludf.DUMMYFUNCTION("""COMPUTED_VALUE"""),10.0)</f>
        <v>10</v>
      </c>
      <c r="R153" s="211">
        <f>IFERROR(__xludf.DUMMYFUNCTION("""COMPUTED_VALUE"""),1939.0)</f>
        <v>1939</v>
      </c>
      <c r="S153" s="211">
        <f>IFERROR(__xludf.DUMMYFUNCTION("""COMPUTED_VALUE"""),0.0)</f>
        <v>0</v>
      </c>
      <c r="T153" s="211">
        <f>IFERROR(__xludf.DUMMYFUNCTION("""COMPUTED_VALUE"""),321.0)</f>
        <v>321</v>
      </c>
      <c r="U153" s="211">
        <f>IFERROR(__xludf.DUMMYFUNCTION("""COMPUTED_VALUE"""),99.0)</f>
        <v>99</v>
      </c>
      <c r="V153" s="211">
        <f>IFERROR(__xludf.DUMMYFUNCTION("""COMPUTED_VALUE"""),96.0)</f>
        <v>96</v>
      </c>
      <c r="W153" s="211">
        <f>IFERROR(__xludf.DUMMYFUNCTION("""COMPUTED_VALUE"""),9.0)</f>
        <v>9</v>
      </c>
      <c r="X153" s="211">
        <f>IFERROR(__xludf.DUMMYFUNCTION("""COMPUTED_VALUE"""),4.0)</f>
        <v>4</v>
      </c>
      <c r="Y153" s="211">
        <f>IFERROR(__xludf.DUMMYFUNCTION("""COMPUTED_VALUE"""),0.0)</f>
        <v>0</v>
      </c>
      <c r="Z153" s="211">
        <f>IFERROR(__xludf.DUMMYFUNCTION("""COMPUTED_VALUE"""),1030.0)</f>
        <v>1030</v>
      </c>
    </row>
    <row r="154">
      <c r="A154" s="210">
        <f>IFERROR(__xludf.DUMMYFUNCTION("""COMPUTED_VALUE"""),44053.0)</f>
        <v>44053</v>
      </c>
      <c r="B154" s="211">
        <f>IFERROR(__xludf.DUMMYFUNCTION("""COMPUTED_VALUE"""),149.0)</f>
        <v>149</v>
      </c>
      <c r="C154" s="211">
        <f>IFERROR(__xludf.DUMMYFUNCTION("""COMPUTED_VALUE"""),104.0)</f>
        <v>104</v>
      </c>
      <c r="D154" s="211">
        <f>IFERROR(__xludf.DUMMYFUNCTION("""COMPUTED_VALUE"""),29136.0)</f>
        <v>29136</v>
      </c>
      <c r="E154" s="211">
        <f>IFERROR(__xludf.DUMMYFUNCTION("""COMPUTED_VALUE"""),4577.0)</f>
        <v>4577</v>
      </c>
      <c r="F154" s="153">
        <f>IFERROR(__xludf.DUMMYFUNCTION("""COMPUTED_VALUE"""),388772.0)</f>
        <v>388772</v>
      </c>
      <c r="G154" s="153">
        <f>IFERROR(__xludf.DUMMYFUNCTION("""COMPUTED_VALUE"""),4726.0)</f>
        <v>4726</v>
      </c>
      <c r="H154" s="153">
        <f>IFERROR(__xludf.DUMMYFUNCTION("""COMPUTED_VALUE"""),417908.0)</f>
        <v>417908</v>
      </c>
      <c r="I154" s="211">
        <f>IFERROR(__xludf.DUMMYFUNCTION("""COMPUTED_VALUE"""),113.0)</f>
        <v>113</v>
      </c>
      <c r="J154" s="211">
        <f>IFERROR(__xludf.DUMMYFUNCTION("""COMPUTED_VALUE"""),80.0)</f>
        <v>80</v>
      </c>
      <c r="K154" s="211">
        <f>IFERROR(__xludf.DUMMYFUNCTION("""COMPUTED_VALUE"""),20109.0)</f>
        <v>20109</v>
      </c>
      <c r="L154" s="211">
        <f>IFERROR(__xludf.DUMMYFUNCTION("""COMPUTED_VALUE"""),2028.0)</f>
        <v>2028</v>
      </c>
      <c r="M154" s="211">
        <f>IFERROR(__xludf.DUMMYFUNCTION("""COMPUTED_VALUE"""),208906.0)</f>
        <v>208906</v>
      </c>
      <c r="N154" s="211">
        <f>IFERROR(__xludf.DUMMYFUNCTION("""COMPUTED_VALUE"""),229015.0)</f>
        <v>229015</v>
      </c>
      <c r="O154" s="211">
        <f>IFERROR(__xludf.DUMMYFUNCTION("""COMPUTED_VALUE"""),11.0)</f>
        <v>11</v>
      </c>
      <c r="P154" s="211">
        <f>IFERROR(__xludf.DUMMYFUNCTION("""COMPUTED_VALUE"""),2370.0)</f>
        <v>2370</v>
      </c>
      <c r="Q154" s="211">
        <f>IFERROR(__xludf.DUMMYFUNCTION("""COMPUTED_VALUE"""),12.0)</f>
        <v>12</v>
      </c>
      <c r="R154" s="211">
        <f>IFERROR(__xludf.DUMMYFUNCTION("""COMPUTED_VALUE"""),1951.0)</f>
        <v>1951</v>
      </c>
      <c r="S154" s="211">
        <f>IFERROR(__xludf.DUMMYFUNCTION("""COMPUTED_VALUE"""),0.0)</f>
        <v>0</v>
      </c>
      <c r="T154" s="211">
        <f>IFERROR(__xludf.DUMMYFUNCTION("""COMPUTED_VALUE"""),321.0)</f>
        <v>321</v>
      </c>
      <c r="U154" s="211">
        <f>IFERROR(__xludf.DUMMYFUNCTION("""COMPUTED_VALUE"""),98.0)</f>
        <v>98</v>
      </c>
      <c r="V154" s="211">
        <f>IFERROR(__xludf.DUMMYFUNCTION("""COMPUTED_VALUE"""),99.0)</f>
        <v>99</v>
      </c>
      <c r="W154" s="211">
        <f>IFERROR(__xludf.DUMMYFUNCTION("""COMPUTED_VALUE"""),9.0)</f>
        <v>9</v>
      </c>
      <c r="X154" s="211">
        <f>IFERROR(__xludf.DUMMYFUNCTION("""COMPUTED_VALUE"""),4.0)</f>
        <v>4</v>
      </c>
      <c r="Y154" s="211">
        <f>IFERROR(__xludf.DUMMYFUNCTION("""COMPUTED_VALUE"""),1.0)</f>
        <v>1</v>
      </c>
      <c r="Z154" s="211">
        <f>IFERROR(__xludf.DUMMYFUNCTION("""COMPUTED_VALUE"""),1031.0)</f>
        <v>1031</v>
      </c>
    </row>
    <row r="155">
      <c r="A155" s="210">
        <f>IFERROR(__xludf.DUMMYFUNCTION("""COMPUTED_VALUE"""),44054.0)</f>
        <v>44054</v>
      </c>
      <c r="B155" s="211">
        <f>IFERROR(__xludf.DUMMYFUNCTION("""COMPUTED_VALUE"""),105.0)</f>
        <v>105</v>
      </c>
      <c r="C155" s="211">
        <f>IFERROR(__xludf.DUMMYFUNCTION("""COMPUTED_VALUE"""),99.0)</f>
        <v>99</v>
      </c>
      <c r="D155" s="211">
        <f>IFERROR(__xludf.DUMMYFUNCTION("""COMPUTED_VALUE"""),29241.0)</f>
        <v>29241</v>
      </c>
      <c r="E155" s="211">
        <f>IFERROR(__xludf.DUMMYFUNCTION("""COMPUTED_VALUE"""),4320.0)</f>
        <v>4320</v>
      </c>
      <c r="F155" s="153">
        <f>IFERROR(__xludf.DUMMYFUNCTION("""COMPUTED_VALUE"""),393092.0)</f>
        <v>393092</v>
      </c>
      <c r="G155" s="153">
        <f>IFERROR(__xludf.DUMMYFUNCTION("""COMPUTED_VALUE"""),4425.0)</f>
        <v>4425</v>
      </c>
      <c r="H155" s="153">
        <f>IFERROR(__xludf.DUMMYFUNCTION("""COMPUTED_VALUE"""),422333.0)</f>
        <v>422333</v>
      </c>
      <c r="I155" s="211">
        <f>IFERROR(__xludf.DUMMYFUNCTION("""COMPUTED_VALUE"""),92.0)</f>
        <v>92</v>
      </c>
      <c r="J155" s="211">
        <f>IFERROR(__xludf.DUMMYFUNCTION("""COMPUTED_VALUE"""),80.0)</f>
        <v>80</v>
      </c>
      <c r="K155" s="211">
        <f>IFERROR(__xludf.DUMMYFUNCTION("""COMPUTED_VALUE"""),20201.0)</f>
        <v>20201</v>
      </c>
      <c r="L155" s="211">
        <f>IFERROR(__xludf.DUMMYFUNCTION("""COMPUTED_VALUE"""),2269.0)</f>
        <v>2269</v>
      </c>
      <c r="M155" s="211">
        <f>IFERROR(__xludf.DUMMYFUNCTION("""COMPUTED_VALUE"""),211175.0)</f>
        <v>211175</v>
      </c>
      <c r="N155" s="211">
        <f>IFERROR(__xludf.DUMMYFUNCTION("""COMPUTED_VALUE"""),231376.0)</f>
        <v>231376</v>
      </c>
      <c r="O155" s="211">
        <f>IFERROR(__xludf.DUMMYFUNCTION("""COMPUTED_VALUE"""),6.0)</f>
        <v>6</v>
      </c>
      <c r="P155" s="211">
        <f>IFERROR(__xludf.DUMMYFUNCTION("""COMPUTED_VALUE"""),2376.0)</f>
        <v>2376</v>
      </c>
      <c r="Q155" s="211">
        <f>IFERROR(__xludf.DUMMYFUNCTION("""COMPUTED_VALUE"""),14.0)</f>
        <v>14</v>
      </c>
      <c r="R155" s="211">
        <f>IFERROR(__xludf.DUMMYFUNCTION("""COMPUTED_VALUE"""),1965.0)</f>
        <v>1965</v>
      </c>
      <c r="S155" s="211">
        <f>IFERROR(__xludf.DUMMYFUNCTION("""COMPUTED_VALUE"""),0.0)</f>
        <v>0</v>
      </c>
      <c r="T155" s="211">
        <f>IFERROR(__xludf.DUMMYFUNCTION("""COMPUTED_VALUE"""),321.0)</f>
        <v>321</v>
      </c>
      <c r="U155" s="211">
        <f>IFERROR(__xludf.DUMMYFUNCTION("""COMPUTED_VALUE"""),90.0)</f>
        <v>90</v>
      </c>
      <c r="V155" s="211">
        <f>IFERROR(__xludf.DUMMYFUNCTION("""COMPUTED_VALUE"""),96.0)</f>
        <v>96</v>
      </c>
      <c r="W155" s="211">
        <f>IFERROR(__xludf.DUMMYFUNCTION("""COMPUTED_VALUE"""),10.0)</f>
        <v>10</v>
      </c>
      <c r="X155" s="211">
        <f>IFERROR(__xludf.DUMMYFUNCTION("""COMPUTED_VALUE"""),4.0)</f>
        <v>4</v>
      </c>
      <c r="Y155" s="211">
        <f>IFERROR(__xludf.DUMMYFUNCTION("""COMPUTED_VALUE"""),3.0)</f>
        <v>3</v>
      </c>
      <c r="Z155" s="211">
        <f>IFERROR(__xludf.DUMMYFUNCTION("""COMPUTED_VALUE"""),1034.0)</f>
        <v>1034</v>
      </c>
    </row>
    <row r="156">
      <c r="A156" s="210">
        <f>IFERROR(__xludf.DUMMYFUNCTION("""COMPUTED_VALUE"""),44055.0)</f>
        <v>44055</v>
      </c>
      <c r="B156" s="211">
        <f>IFERROR(__xludf.DUMMYFUNCTION("""COMPUTED_VALUE"""),121.0)</f>
        <v>121</v>
      </c>
      <c r="C156" s="211">
        <f>IFERROR(__xludf.DUMMYFUNCTION("""COMPUTED_VALUE"""),125.0)</f>
        <v>125</v>
      </c>
      <c r="D156" s="211">
        <f>IFERROR(__xludf.DUMMYFUNCTION("""COMPUTED_VALUE"""),29362.0)</f>
        <v>29362</v>
      </c>
      <c r="E156" s="211">
        <f>IFERROR(__xludf.DUMMYFUNCTION("""COMPUTED_VALUE"""),5184.0)</f>
        <v>5184</v>
      </c>
      <c r="F156" s="153">
        <f>IFERROR(__xludf.DUMMYFUNCTION("""COMPUTED_VALUE"""),398276.0)</f>
        <v>398276</v>
      </c>
      <c r="G156" s="153">
        <f>IFERROR(__xludf.DUMMYFUNCTION("""COMPUTED_VALUE"""),5305.0)</f>
        <v>5305</v>
      </c>
      <c r="H156" s="153">
        <f>IFERROR(__xludf.DUMMYFUNCTION("""COMPUTED_VALUE"""),427638.0)</f>
        <v>427638</v>
      </c>
      <c r="I156" s="211">
        <f>IFERROR(__xludf.DUMMYFUNCTION("""COMPUTED_VALUE"""),101.0)</f>
        <v>101</v>
      </c>
      <c r="J156" s="211">
        <f>IFERROR(__xludf.DUMMYFUNCTION("""COMPUTED_VALUE"""),102.0)</f>
        <v>102</v>
      </c>
      <c r="K156" s="211">
        <f>IFERROR(__xludf.DUMMYFUNCTION("""COMPUTED_VALUE"""),20302.0)</f>
        <v>20302</v>
      </c>
      <c r="L156" s="211">
        <f>IFERROR(__xludf.DUMMYFUNCTION("""COMPUTED_VALUE"""),2629.0)</f>
        <v>2629</v>
      </c>
      <c r="M156" s="211">
        <f>IFERROR(__xludf.DUMMYFUNCTION("""COMPUTED_VALUE"""),213804.0)</f>
        <v>213804</v>
      </c>
      <c r="N156" s="211">
        <f>IFERROR(__xludf.DUMMYFUNCTION("""COMPUTED_VALUE"""),234106.0)</f>
        <v>234106</v>
      </c>
      <c r="O156" s="211">
        <f>IFERROR(__xludf.DUMMYFUNCTION("""COMPUTED_VALUE"""),8.0)</f>
        <v>8</v>
      </c>
      <c r="P156" s="211">
        <f>IFERROR(__xludf.DUMMYFUNCTION("""COMPUTED_VALUE"""),2384.0)</f>
        <v>2384</v>
      </c>
      <c r="Q156" s="211">
        <f>IFERROR(__xludf.DUMMYFUNCTION("""COMPUTED_VALUE"""),11.0)</f>
        <v>11</v>
      </c>
      <c r="R156" s="211">
        <f>IFERROR(__xludf.DUMMYFUNCTION("""COMPUTED_VALUE"""),1976.0)</f>
        <v>1976</v>
      </c>
      <c r="S156" s="211">
        <f>IFERROR(__xludf.DUMMYFUNCTION("""COMPUTED_VALUE"""),0.0)</f>
        <v>0</v>
      </c>
      <c r="T156" s="211">
        <f>IFERROR(__xludf.DUMMYFUNCTION("""COMPUTED_VALUE"""),321.0)</f>
        <v>321</v>
      </c>
      <c r="U156" s="211">
        <f>IFERROR(__xludf.DUMMYFUNCTION("""COMPUTED_VALUE"""),87.0)</f>
        <v>87</v>
      </c>
      <c r="V156" s="211">
        <f>IFERROR(__xludf.DUMMYFUNCTION("""COMPUTED_VALUE"""),92.0)</f>
        <v>92</v>
      </c>
      <c r="W156" s="211">
        <f>IFERROR(__xludf.DUMMYFUNCTION("""COMPUTED_VALUE"""),9.0)</f>
        <v>9</v>
      </c>
      <c r="X156" s="211">
        <f>IFERROR(__xludf.DUMMYFUNCTION("""COMPUTED_VALUE"""),3.0)</f>
        <v>3</v>
      </c>
      <c r="Y156" s="211">
        <f>IFERROR(__xludf.DUMMYFUNCTION("""COMPUTED_VALUE"""),1.0)</f>
        <v>1</v>
      </c>
      <c r="Z156" s="211">
        <f>IFERROR(__xludf.DUMMYFUNCTION("""COMPUTED_VALUE"""),1035.0)</f>
        <v>1035</v>
      </c>
    </row>
    <row r="157">
      <c r="A157" s="210">
        <f>IFERROR(__xludf.DUMMYFUNCTION("""COMPUTED_VALUE"""),44056.0)</f>
        <v>44056</v>
      </c>
      <c r="B157" s="211">
        <f>IFERROR(__xludf.DUMMYFUNCTION("""COMPUTED_VALUE"""),135.0)</f>
        <v>135</v>
      </c>
      <c r="C157" s="211">
        <f>IFERROR(__xludf.DUMMYFUNCTION("""COMPUTED_VALUE"""),120.0)</f>
        <v>120</v>
      </c>
      <c r="D157" s="211">
        <f>IFERROR(__xludf.DUMMYFUNCTION("""COMPUTED_VALUE"""),29497.0)</f>
        <v>29497</v>
      </c>
      <c r="E157" s="211">
        <f>IFERROR(__xludf.DUMMYFUNCTION("""COMPUTED_VALUE"""),4190.0)</f>
        <v>4190</v>
      </c>
      <c r="F157" s="153">
        <f>IFERROR(__xludf.DUMMYFUNCTION("""COMPUTED_VALUE"""),402466.0)</f>
        <v>402466</v>
      </c>
      <c r="G157" s="153">
        <f>IFERROR(__xludf.DUMMYFUNCTION("""COMPUTED_VALUE"""),4325.0)</f>
        <v>4325</v>
      </c>
      <c r="H157" s="153">
        <f>IFERROR(__xludf.DUMMYFUNCTION("""COMPUTED_VALUE"""),431963.0)</f>
        <v>431963</v>
      </c>
      <c r="I157" s="211">
        <f>IFERROR(__xludf.DUMMYFUNCTION("""COMPUTED_VALUE"""),95.0)</f>
        <v>95</v>
      </c>
      <c r="J157" s="211">
        <f>IFERROR(__xludf.DUMMYFUNCTION("""COMPUTED_VALUE"""),96.0)</f>
        <v>96</v>
      </c>
      <c r="K157" s="211">
        <f>IFERROR(__xludf.DUMMYFUNCTION("""COMPUTED_VALUE"""),20397.0)</f>
        <v>20397</v>
      </c>
      <c r="L157" s="211">
        <f>IFERROR(__xludf.DUMMYFUNCTION("""COMPUTED_VALUE"""),1909.0)</f>
        <v>1909</v>
      </c>
      <c r="M157" s="211">
        <f>IFERROR(__xludf.DUMMYFUNCTION("""COMPUTED_VALUE"""),215713.0)</f>
        <v>215713</v>
      </c>
      <c r="N157" s="211">
        <f>IFERROR(__xludf.DUMMYFUNCTION("""COMPUTED_VALUE"""),236110.0)</f>
        <v>236110</v>
      </c>
      <c r="O157" s="211">
        <f>IFERROR(__xludf.DUMMYFUNCTION("""COMPUTED_VALUE"""),13.0)</f>
        <v>13</v>
      </c>
      <c r="P157" s="211">
        <f>IFERROR(__xludf.DUMMYFUNCTION("""COMPUTED_VALUE"""),2397.0)</f>
        <v>2397</v>
      </c>
      <c r="Q157" s="211">
        <f>IFERROR(__xludf.DUMMYFUNCTION("""COMPUTED_VALUE"""),12.0)</f>
        <v>12</v>
      </c>
      <c r="R157" s="211">
        <f>IFERROR(__xludf.DUMMYFUNCTION("""COMPUTED_VALUE"""),1988.0)</f>
        <v>1988</v>
      </c>
      <c r="S157" s="211">
        <f>IFERROR(__xludf.DUMMYFUNCTION("""COMPUTED_VALUE"""),0.0)</f>
        <v>0</v>
      </c>
      <c r="T157" s="211">
        <f>IFERROR(__xludf.DUMMYFUNCTION("""COMPUTED_VALUE"""),321.0)</f>
        <v>321</v>
      </c>
      <c r="U157" s="211">
        <f>IFERROR(__xludf.DUMMYFUNCTION("""COMPUTED_VALUE"""),88.0)</f>
        <v>88</v>
      </c>
      <c r="V157" s="211">
        <f>IFERROR(__xludf.DUMMYFUNCTION("""COMPUTED_VALUE"""),88.0)</f>
        <v>88</v>
      </c>
      <c r="W157" s="211">
        <f>IFERROR(__xludf.DUMMYFUNCTION("""COMPUTED_VALUE"""),11.0)</f>
        <v>11</v>
      </c>
      <c r="X157" s="211">
        <f>IFERROR(__xludf.DUMMYFUNCTION("""COMPUTED_VALUE"""),3.0)</f>
        <v>3</v>
      </c>
      <c r="Y157" s="211">
        <f>IFERROR(__xludf.DUMMYFUNCTION("""COMPUTED_VALUE"""),0.0)</f>
        <v>0</v>
      </c>
      <c r="Z157" s="211">
        <f>IFERROR(__xludf.DUMMYFUNCTION("""COMPUTED_VALUE"""),1035.0)</f>
        <v>1035</v>
      </c>
    </row>
    <row r="158">
      <c r="A158" s="210">
        <f>IFERROR(__xludf.DUMMYFUNCTION("""COMPUTED_VALUE"""),44057.0)</f>
        <v>44057</v>
      </c>
      <c r="B158" s="211">
        <f>IFERROR(__xludf.DUMMYFUNCTION("""COMPUTED_VALUE"""),145.0)</f>
        <v>145</v>
      </c>
      <c r="C158" s="211">
        <f>IFERROR(__xludf.DUMMYFUNCTION("""COMPUTED_VALUE"""),134.0)</f>
        <v>134</v>
      </c>
      <c r="D158" s="211">
        <f>IFERROR(__xludf.DUMMYFUNCTION("""COMPUTED_VALUE"""),29642.0)</f>
        <v>29642</v>
      </c>
      <c r="E158" s="211">
        <f>IFERROR(__xludf.DUMMYFUNCTION("""COMPUTED_VALUE"""),5462.0)</f>
        <v>5462</v>
      </c>
      <c r="F158" s="153">
        <f>IFERROR(__xludf.DUMMYFUNCTION("""COMPUTED_VALUE"""),407928.0)</f>
        <v>407928</v>
      </c>
      <c r="G158" s="153">
        <f>IFERROR(__xludf.DUMMYFUNCTION("""COMPUTED_VALUE"""),5607.0)</f>
        <v>5607</v>
      </c>
      <c r="H158" s="153">
        <f>IFERROR(__xludf.DUMMYFUNCTION("""COMPUTED_VALUE"""),437570.0)</f>
        <v>437570</v>
      </c>
      <c r="I158" s="211">
        <f>IFERROR(__xludf.DUMMYFUNCTION("""COMPUTED_VALUE"""),99.0)</f>
        <v>99</v>
      </c>
      <c r="J158" s="211">
        <f>IFERROR(__xludf.DUMMYFUNCTION("""COMPUTED_VALUE"""),98.0)</f>
        <v>98</v>
      </c>
      <c r="K158" s="211">
        <f>IFERROR(__xludf.DUMMYFUNCTION("""COMPUTED_VALUE"""),20496.0)</f>
        <v>20496</v>
      </c>
      <c r="L158" s="211">
        <f>IFERROR(__xludf.DUMMYFUNCTION("""COMPUTED_VALUE"""),1954.0)</f>
        <v>1954</v>
      </c>
      <c r="M158" s="211">
        <f>IFERROR(__xludf.DUMMYFUNCTION("""COMPUTED_VALUE"""),217667.0)</f>
        <v>217667</v>
      </c>
      <c r="N158" s="211">
        <f>IFERROR(__xludf.DUMMYFUNCTION("""COMPUTED_VALUE"""),238163.0)</f>
        <v>238163</v>
      </c>
      <c r="O158" s="211">
        <f>IFERROR(__xludf.DUMMYFUNCTION("""COMPUTED_VALUE"""),13.0)</f>
        <v>13</v>
      </c>
      <c r="P158" s="211">
        <f>IFERROR(__xludf.DUMMYFUNCTION("""COMPUTED_VALUE"""),2410.0)</f>
        <v>2410</v>
      </c>
      <c r="Q158" s="211">
        <f>IFERROR(__xludf.DUMMYFUNCTION("""COMPUTED_VALUE"""),11.0)</f>
        <v>11</v>
      </c>
      <c r="R158" s="211">
        <f>IFERROR(__xludf.DUMMYFUNCTION("""COMPUTED_VALUE"""),1999.0)</f>
        <v>1999</v>
      </c>
      <c r="S158" s="211">
        <f>IFERROR(__xludf.DUMMYFUNCTION("""COMPUTED_VALUE"""),0.0)</f>
        <v>0</v>
      </c>
      <c r="T158" s="211">
        <f>IFERROR(__xludf.DUMMYFUNCTION("""COMPUTED_VALUE"""),321.0)</f>
        <v>321</v>
      </c>
      <c r="U158" s="211">
        <f>IFERROR(__xludf.DUMMYFUNCTION("""COMPUTED_VALUE"""),90.0)</f>
        <v>90</v>
      </c>
      <c r="V158" s="211">
        <f>IFERROR(__xludf.DUMMYFUNCTION("""COMPUTED_VALUE"""),88.0)</f>
        <v>88</v>
      </c>
      <c r="W158" s="211">
        <f>IFERROR(__xludf.DUMMYFUNCTION("""COMPUTED_VALUE"""),11.0)</f>
        <v>11</v>
      </c>
      <c r="X158" s="211">
        <f>IFERROR(__xludf.DUMMYFUNCTION("""COMPUTED_VALUE"""),4.0)</f>
        <v>4</v>
      </c>
      <c r="Y158" s="211">
        <f>IFERROR(__xludf.DUMMYFUNCTION("""COMPUTED_VALUE"""),3.0)</f>
        <v>3</v>
      </c>
      <c r="Z158" s="211">
        <f>IFERROR(__xludf.DUMMYFUNCTION("""COMPUTED_VALUE"""),1038.0)</f>
        <v>1038</v>
      </c>
    </row>
    <row r="159">
      <c r="A159" s="210">
        <f>IFERROR(__xludf.DUMMYFUNCTION("""COMPUTED_VALUE"""),44058.0)</f>
        <v>44058</v>
      </c>
      <c r="B159" s="211">
        <f>IFERROR(__xludf.DUMMYFUNCTION("""COMPUTED_VALUE"""),105.0)</f>
        <v>105</v>
      </c>
      <c r="C159" s="211">
        <f>IFERROR(__xludf.DUMMYFUNCTION("""COMPUTED_VALUE"""),128.0)</f>
        <v>128</v>
      </c>
      <c r="D159" s="211">
        <f>IFERROR(__xludf.DUMMYFUNCTION("""COMPUTED_VALUE"""),29747.0)</f>
        <v>29747</v>
      </c>
      <c r="E159" s="211">
        <f>IFERROR(__xludf.DUMMYFUNCTION("""COMPUTED_VALUE"""),4532.0)</f>
        <v>4532</v>
      </c>
      <c r="F159" s="153">
        <f>IFERROR(__xludf.DUMMYFUNCTION("""COMPUTED_VALUE"""),412460.0)</f>
        <v>412460</v>
      </c>
      <c r="G159" s="153">
        <f>IFERROR(__xludf.DUMMYFUNCTION("""COMPUTED_VALUE"""),4637.0)</f>
        <v>4637</v>
      </c>
      <c r="H159" s="153">
        <f>IFERROR(__xludf.DUMMYFUNCTION("""COMPUTED_VALUE"""),442207.0)</f>
        <v>442207</v>
      </c>
      <c r="I159" s="211">
        <f>IFERROR(__xludf.DUMMYFUNCTION("""COMPUTED_VALUE"""),89.0)</f>
        <v>89</v>
      </c>
      <c r="J159" s="211">
        <f>IFERROR(__xludf.DUMMYFUNCTION("""COMPUTED_VALUE"""),94.0)</f>
        <v>94</v>
      </c>
      <c r="K159" s="211">
        <f>IFERROR(__xludf.DUMMYFUNCTION("""COMPUTED_VALUE"""),20585.0)</f>
        <v>20585</v>
      </c>
      <c r="L159" s="211">
        <f>IFERROR(__xludf.DUMMYFUNCTION("""COMPUTED_VALUE"""),1701.0)</f>
        <v>1701</v>
      </c>
      <c r="M159" s="211">
        <f>IFERROR(__xludf.DUMMYFUNCTION("""COMPUTED_VALUE"""),219368.0)</f>
        <v>219368</v>
      </c>
      <c r="N159" s="211">
        <f>IFERROR(__xludf.DUMMYFUNCTION("""COMPUTED_VALUE"""),239953.0)</f>
        <v>239953</v>
      </c>
      <c r="O159" s="211">
        <f>IFERROR(__xludf.DUMMYFUNCTION("""COMPUTED_VALUE"""),8.0)</f>
        <v>8</v>
      </c>
      <c r="P159" s="211">
        <f>IFERROR(__xludf.DUMMYFUNCTION("""COMPUTED_VALUE"""),2418.0)</f>
        <v>2418</v>
      </c>
      <c r="Q159" s="211">
        <f>IFERROR(__xludf.DUMMYFUNCTION("""COMPUTED_VALUE"""),11.0)</f>
        <v>11</v>
      </c>
      <c r="R159" s="211">
        <f>IFERROR(__xludf.DUMMYFUNCTION("""COMPUTED_VALUE"""),2010.0)</f>
        <v>2010</v>
      </c>
      <c r="S159" s="211">
        <f>IFERROR(__xludf.DUMMYFUNCTION("""COMPUTED_VALUE"""),1.0)</f>
        <v>1</v>
      </c>
      <c r="T159" s="211">
        <f>IFERROR(__xludf.DUMMYFUNCTION("""COMPUTED_VALUE"""),322.0)</f>
        <v>322</v>
      </c>
      <c r="U159" s="211">
        <f>IFERROR(__xludf.DUMMYFUNCTION("""COMPUTED_VALUE"""),86.0)</f>
        <v>86</v>
      </c>
      <c r="V159" s="211">
        <f>IFERROR(__xludf.DUMMYFUNCTION("""COMPUTED_VALUE"""),88.0)</f>
        <v>88</v>
      </c>
      <c r="W159" s="211">
        <f>IFERROR(__xludf.DUMMYFUNCTION("""COMPUTED_VALUE"""),11.0)</f>
        <v>11</v>
      </c>
      <c r="X159" s="211">
        <f>IFERROR(__xludf.DUMMYFUNCTION("""COMPUTED_VALUE"""),5.0)</f>
        <v>5</v>
      </c>
      <c r="Y159" s="211">
        <f>IFERROR(__xludf.DUMMYFUNCTION("""COMPUTED_VALUE"""),0.0)</f>
        <v>0</v>
      </c>
      <c r="Z159" s="211">
        <f>IFERROR(__xludf.DUMMYFUNCTION("""COMPUTED_VALUE"""),1038.0)</f>
        <v>1038</v>
      </c>
    </row>
    <row r="160">
      <c r="A160" s="210">
        <f>IFERROR(__xludf.DUMMYFUNCTION("""COMPUTED_VALUE"""),44059.0)</f>
        <v>44059</v>
      </c>
      <c r="B160" s="211">
        <f>IFERROR(__xludf.DUMMYFUNCTION("""COMPUTED_VALUE"""),83.0)</f>
        <v>83</v>
      </c>
      <c r="C160" s="211">
        <f>IFERROR(__xludf.DUMMYFUNCTION("""COMPUTED_VALUE"""),111.0)</f>
        <v>111</v>
      </c>
      <c r="D160" s="211">
        <f>IFERROR(__xludf.DUMMYFUNCTION("""COMPUTED_VALUE"""),29830.0)</f>
        <v>29830</v>
      </c>
      <c r="E160" s="211">
        <f>IFERROR(__xludf.DUMMYFUNCTION("""COMPUTED_VALUE"""),2784.0)</f>
        <v>2784</v>
      </c>
      <c r="F160" s="153">
        <f>IFERROR(__xludf.DUMMYFUNCTION("""COMPUTED_VALUE"""),415244.0)</f>
        <v>415244</v>
      </c>
      <c r="G160" s="153">
        <f>IFERROR(__xludf.DUMMYFUNCTION("""COMPUTED_VALUE"""),2867.0)</f>
        <v>2867</v>
      </c>
      <c r="H160" s="153">
        <f>IFERROR(__xludf.DUMMYFUNCTION("""COMPUTED_VALUE"""),445074.0)</f>
        <v>445074</v>
      </c>
      <c r="I160" s="211">
        <f>IFERROR(__xludf.DUMMYFUNCTION("""COMPUTED_VALUE"""),71.0)</f>
        <v>71</v>
      </c>
      <c r="J160" s="211">
        <f>IFERROR(__xludf.DUMMYFUNCTION("""COMPUTED_VALUE"""),86.0)</f>
        <v>86</v>
      </c>
      <c r="K160" s="211">
        <f>IFERROR(__xludf.DUMMYFUNCTION("""COMPUTED_VALUE"""),20656.0)</f>
        <v>20656</v>
      </c>
      <c r="L160" s="211">
        <f>IFERROR(__xludf.DUMMYFUNCTION("""COMPUTED_VALUE"""),985.0)</f>
        <v>985</v>
      </c>
      <c r="M160" s="211">
        <f>IFERROR(__xludf.DUMMYFUNCTION("""COMPUTED_VALUE"""),220353.0)</f>
        <v>220353</v>
      </c>
      <c r="N160" s="211">
        <f>IFERROR(__xludf.DUMMYFUNCTION("""COMPUTED_VALUE"""),241009.0)</f>
        <v>241009</v>
      </c>
      <c r="O160" s="211">
        <f>IFERROR(__xludf.DUMMYFUNCTION("""COMPUTED_VALUE"""),7.0)</f>
        <v>7</v>
      </c>
      <c r="P160" s="211">
        <f>IFERROR(__xludf.DUMMYFUNCTION("""COMPUTED_VALUE"""),2425.0)</f>
        <v>2425</v>
      </c>
      <c r="Q160" s="211">
        <f>IFERROR(__xludf.DUMMYFUNCTION("""COMPUTED_VALUE"""),6.0)</f>
        <v>6</v>
      </c>
      <c r="R160" s="211">
        <f>IFERROR(__xludf.DUMMYFUNCTION("""COMPUTED_VALUE"""),2016.0)</f>
        <v>2016</v>
      </c>
      <c r="S160" s="211">
        <f>IFERROR(__xludf.DUMMYFUNCTION("""COMPUTED_VALUE"""),4.0)</f>
        <v>4</v>
      </c>
      <c r="T160" s="211">
        <f>IFERROR(__xludf.DUMMYFUNCTION("""COMPUTED_VALUE"""),326.0)</f>
        <v>326</v>
      </c>
      <c r="U160" s="211">
        <f>IFERROR(__xludf.DUMMYFUNCTION("""COMPUTED_VALUE"""),83.0)</f>
        <v>83</v>
      </c>
      <c r="V160" s="211">
        <f>IFERROR(__xludf.DUMMYFUNCTION("""COMPUTED_VALUE"""),86.0)</f>
        <v>86</v>
      </c>
      <c r="W160" s="211">
        <f>IFERROR(__xludf.DUMMYFUNCTION("""COMPUTED_VALUE"""),8.0)</f>
        <v>8</v>
      </c>
      <c r="X160" s="211">
        <f>IFERROR(__xludf.DUMMYFUNCTION("""COMPUTED_VALUE"""),4.0)</f>
        <v>4</v>
      </c>
      <c r="Y160" s="211">
        <f>IFERROR(__xludf.DUMMYFUNCTION("""COMPUTED_VALUE"""),6.0)</f>
        <v>6</v>
      </c>
      <c r="Z160" s="211">
        <f>IFERROR(__xludf.DUMMYFUNCTION("""COMPUTED_VALUE"""),1044.0)</f>
        <v>1044</v>
      </c>
    </row>
    <row r="161">
      <c r="A161" s="210">
        <f>IFERROR(__xludf.DUMMYFUNCTION("""COMPUTED_VALUE"""),44060.0)</f>
        <v>44060</v>
      </c>
      <c r="B161" s="211">
        <f>IFERROR(__xludf.DUMMYFUNCTION("""COMPUTED_VALUE"""),106.0)</f>
        <v>106</v>
      </c>
      <c r="C161" s="211">
        <f>IFERROR(__xludf.DUMMYFUNCTION("""COMPUTED_VALUE"""),98.0)</f>
        <v>98</v>
      </c>
      <c r="D161" s="211">
        <f>IFERROR(__xludf.DUMMYFUNCTION("""COMPUTED_VALUE"""),29936.0)</f>
        <v>29936</v>
      </c>
      <c r="E161" s="211">
        <f>IFERROR(__xludf.DUMMYFUNCTION("""COMPUTED_VALUE"""),4548.0)</f>
        <v>4548</v>
      </c>
      <c r="F161" s="153">
        <f>IFERROR(__xludf.DUMMYFUNCTION("""COMPUTED_VALUE"""),419792.0)</f>
        <v>419792</v>
      </c>
      <c r="G161" s="153">
        <f>IFERROR(__xludf.DUMMYFUNCTION("""COMPUTED_VALUE"""),4654.0)</f>
        <v>4654</v>
      </c>
      <c r="H161" s="153">
        <f>IFERROR(__xludf.DUMMYFUNCTION("""COMPUTED_VALUE"""),449728.0)</f>
        <v>449728</v>
      </c>
      <c r="I161" s="211">
        <f>IFERROR(__xludf.DUMMYFUNCTION("""COMPUTED_VALUE"""),88.0)</f>
        <v>88</v>
      </c>
      <c r="J161" s="211">
        <f>IFERROR(__xludf.DUMMYFUNCTION("""COMPUTED_VALUE"""),83.0)</f>
        <v>83</v>
      </c>
      <c r="K161" s="211">
        <f>IFERROR(__xludf.DUMMYFUNCTION("""COMPUTED_VALUE"""),20744.0)</f>
        <v>20744</v>
      </c>
      <c r="L161" s="211">
        <f>IFERROR(__xludf.DUMMYFUNCTION("""COMPUTED_VALUE"""),2383.0)</f>
        <v>2383</v>
      </c>
      <c r="M161" s="211">
        <f>IFERROR(__xludf.DUMMYFUNCTION("""COMPUTED_VALUE"""),222736.0)</f>
        <v>222736</v>
      </c>
      <c r="N161" s="211">
        <f>IFERROR(__xludf.DUMMYFUNCTION("""COMPUTED_VALUE"""),243480.0)</f>
        <v>243480</v>
      </c>
      <c r="O161" s="211">
        <f>IFERROR(__xludf.DUMMYFUNCTION("""COMPUTED_VALUE"""),10.0)</f>
        <v>10</v>
      </c>
      <c r="P161" s="211">
        <f>IFERROR(__xludf.DUMMYFUNCTION("""COMPUTED_VALUE"""),2435.0)</f>
        <v>2435</v>
      </c>
      <c r="Q161" s="211">
        <f>IFERROR(__xludf.DUMMYFUNCTION("""COMPUTED_VALUE"""),7.0)</f>
        <v>7</v>
      </c>
      <c r="R161" s="211">
        <f>IFERROR(__xludf.DUMMYFUNCTION("""COMPUTED_VALUE"""),2023.0)</f>
        <v>2023</v>
      </c>
      <c r="S161" s="211">
        <f>IFERROR(__xludf.DUMMYFUNCTION("""COMPUTED_VALUE"""),0.0)</f>
        <v>0</v>
      </c>
      <c r="T161" s="211">
        <f>IFERROR(__xludf.DUMMYFUNCTION("""COMPUTED_VALUE"""),326.0)</f>
        <v>326</v>
      </c>
      <c r="U161" s="211">
        <f>IFERROR(__xludf.DUMMYFUNCTION("""COMPUTED_VALUE"""),86.0)</f>
        <v>86</v>
      </c>
      <c r="V161" s="211">
        <f>IFERROR(__xludf.DUMMYFUNCTION("""COMPUTED_VALUE"""),85.0)</f>
        <v>85</v>
      </c>
      <c r="W161" s="211">
        <f>IFERROR(__xludf.DUMMYFUNCTION("""COMPUTED_VALUE"""),8.0)</f>
        <v>8</v>
      </c>
      <c r="X161" s="211">
        <f>IFERROR(__xludf.DUMMYFUNCTION("""COMPUTED_VALUE"""),5.0)</f>
        <v>5</v>
      </c>
      <c r="Y161" s="211">
        <f>IFERROR(__xludf.DUMMYFUNCTION("""COMPUTED_VALUE"""),2.0)</f>
        <v>2</v>
      </c>
      <c r="Z161" s="211">
        <f>IFERROR(__xludf.DUMMYFUNCTION("""COMPUTED_VALUE"""),1046.0)</f>
        <v>1046</v>
      </c>
    </row>
    <row r="162">
      <c r="A162" s="210">
        <f>IFERROR(__xludf.DUMMYFUNCTION("""COMPUTED_VALUE"""),44061.0)</f>
        <v>44061</v>
      </c>
      <c r="B162" s="211">
        <f>IFERROR(__xludf.DUMMYFUNCTION("""COMPUTED_VALUE"""),128.0)</f>
        <v>128</v>
      </c>
      <c r="C162" s="211">
        <f>IFERROR(__xludf.DUMMYFUNCTION("""COMPUTED_VALUE"""),106.0)</f>
        <v>106</v>
      </c>
      <c r="D162" s="211">
        <f>IFERROR(__xludf.DUMMYFUNCTION("""COMPUTED_VALUE"""),30064.0)</f>
        <v>30064</v>
      </c>
      <c r="E162" s="211">
        <f>IFERROR(__xludf.DUMMYFUNCTION("""COMPUTED_VALUE"""),5047.0)</f>
        <v>5047</v>
      </c>
      <c r="F162" s="153">
        <f>IFERROR(__xludf.DUMMYFUNCTION("""COMPUTED_VALUE"""),424839.0)</f>
        <v>424839</v>
      </c>
      <c r="G162" s="153">
        <f>IFERROR(__xludf.DUMMYFUNCTION("""COMPUTED_VALUE"""),5175.0)</f>
        <v>5175</v>
      </c>
      <c r="H162" s="153">
        <f>IFERROR(__xludf.DUMMYFUNCTION("""COMPUTED_VALUE"""),454903.0)</f>
        <v>454903</v>
      </c>
      <c r="I162" s="211">
        <f>IFERROR(__xludf.DUMMYFUNCTION("""COMPUTED_VALUE"""),95.0)</f>
        <v>95</v>
      </c>
      <c r="J162" s="211">
        <f>IFERROR(__xludf.DUMMYFUNCTION("""COMPUTED_VALUE"""),85.0)</f>
        <v>85</v>
      </c>
      <c r="K162" s="211">
        <f>IFERROR(__xludf.DUMMYFUNCTION("""COMPUTED_VALUE"""),20839.0)</f>
        <v>20839</v>
      </c>
      <c r="L162" s="211">
        <f>IFERROR(__xludf.DUMMYFUNCTION("""COMPUTED_VALUE"""),2778.0)</f>
        <v>2778</v>
      </c>
      <c r="M162" s="211">
        <f>IFERROR(__xludf.DUMMYFUNCTION("""COMPUTED_VALUE"""),225514.0)</f>
        <v>225514</v>
      </c>
      <c r="N162" s="211">
        <f>IFERROR(__xludf.DUMMYFUNCTION("""COMPUTED_VALUE"""),246353.0)</f>
        <v>246353</v>
      </c>
      <c r="O162" s="211">
        <f>IFERROR(__xludf.DUMMYFUNCTION("""COMPUTED_VALUE"""),11.0)</f>
        <v>11</v>
      </c>
      <c r="P162" s="211">
        <f>IFERROR(__xludf.DUMMYFUNCTION("""COMPUTED_VALUE"""),2446.0)</f>
        <v>2446</v>
      </c>
      <c r="Q162" s="211">
        <f>IFERROR(__xludf.DUMMYFUNCTION("""COMPUTED_VALUE"""),9.0)</f>
        <v>9</v>
      </c>
      <c r="R162" s="211">
        <f>IFERROR(__xludf.DUMMYFUNCTION("""COMPUTED_VALUE"""),2032.0)</f>
        <v>2032</v>
      </c>
      <c r="S162" s="211">
        <f>IFERROR(__xludf.DUMMYFUNCTION("""COMPUTED_VALUE"""),1.0)</f>
        <v>1</v>
      </c>
      <c r="T162" s="211">
        <f>IFERROR(__xludf.DUMMYFUNCTION("""COMPUTED_VALUE"""),327.0)</f>
        <v>327</v>
      </c>
      <c r="U162" s="211">
        <f>IFERROR(__xludf.DUMMYFUNCTION("""COMPUTED_VALUE"""),87.0)</f>
        <v>87</v>
      </c>
      <c r="V162" s="211">
        <f>IFERROR(__xludf.DUMMYFUNCTION("""COMPUTED_VALUE"""),85.0)</f>
        <v>85</v>
      </c>
      <c r="W162" s="211">
        <f>IFERROR(__xludf.DUMMYFUNCTION("""COMPUTED_VALUE"""),8.0)</f>
        <v>8</v>
      </c>
      <c r="X162" s="211">
        <f>IFERROR(__xludf.DUMMYFUNCTION("""COMPUTED_VALUE"""),4.0)</f>
        <v>4</v>
      </c>
      <c r="Y162" s="211">
        <f>IFERROR(__xludf.DUMMYFUNCTION("""COMPUTED_VALUE"""),5.0)</f>
        <v>5</v>
      </c>
      <c r="Z162" s="211">
        <f>IFERROR(__xludf.DUMMYFUNCTION("""COMPUTED_VALUE"""),1051.0)</f>
        <v>1051</v>
      </c>
    </row>
    <row r="163">
      <c r="A163" s="210">
        <f>IFERROR(__xludf.DUMMYFUNCTION("""COMPUTED_VALUE"""),44062.0)</f>
        <v>44062</v>
      </c>
      <c r="B163" s="211">
        <f>IFERROR(__xludf.DUMMYFUNCTION("""COMPUTED_VALUE"""),114.0)</f>
        <v>114</v>
      </c>
      <c r="C163" s="211">
        <f>IFERROR(__xludf.DUMMYFUNCTION("""COMPUTED_VALUE"""),116.0)</f>
        <v>116</v>
      </c>
      <c r="D163" s="211">
        <f>IFERROR(__xludf.DUMMYFUNCTION("""COMPUTED_VALUE"""),30178.0)</f>
        <v>30178</v>
      </c>
      <c r="E163" s="211">
        <f>IFERROR(__xludf.DUMMYFUNCTION("""COMPUTED_VALUE"""),5407.0)</f>
        <v>5407</v>
      </c>
      <c r="F163" s="153">
        <f>IFERROR(__xludf.DUMMYFUNCTION("""COMPUTED_VALUE"""),430246.0)</f>
        <v>430246</v>
      </c>
      <c r="G163" s="153">
        <f>IFERROR(__xludf.DUMMYFUNCTION("""COMPUTED_VALUE"""),5521.0)</f>
        <v>5521</v>
      </c>
      <c r="H163" s="153">
        <f>IFERROR(__xludf.DUMMYFUNCTION("""COMPUTED_VALUE"""),460424.0)</f>
        <v>460424</v>
      </c>
      <c r="I163" s="211">
        <f>IFERROR(__xludf.DUMMYFUNCTION("""COMPUTED_VALUE"""),89.0)</f>
        <v>89</v>
      </c>
      <c r="J163" s="211">
        <f>IFERROR(__xludf.DUMMYFUNCTION("""COMPUTED_VALUE"""),91.0)</f>
        <v>91</v>
      </c>
      <c r="K163" s="211">
        <f>IFERROR(__xludf.DUMMYFUNCTION("""COMPUTED_VALUE"""),20928.0)</f>
        <v>20928</v>
      </c>
      <c r="L163" s="211">
        <f>IFERROR(__xludf.DUMMYFUNCTION("""COMPUTED_VALUE"""),2672.0)</f>
        <v>2672</v>
      </c>
      <c r="M163" s="211">
        <f>IFERROR(__xludf.DUMMYFUNCTION("""COMPUTED_VALUE"""),228186.0)</f>
        <v>228186</v>
      </c>
      <c r="N163" s="211">
        <f>IFERROR(__xludf.DUMMYFUNCTION("""COMPUTED_VALUE"""),249114.0)</f>
        <v>249114</v>
      </c>
      <c r="O163" s="211">
        <f>IFERROR(__xludf.DUMMYFUNCTION("""COMPUTED_VALUE"""),8.0)</f>
        <v>8</v>
      </c>
      <c r="P163" s="211">
        <f>IFERROR(__xludf.DUMMYFUNCTION("""COMPUTED_VALUE"""),2454.0)</f>
        <v>2454</v>
      </c>
      <c r="Q163" s="211">
        <f>IFERROR(__xludf.DUMMYFUNCTION("""COMPUTED_VALUE"""),9.0)</f>
        <v>9</v>
      </c>
      <c r="R163" s="211">
        <f>IFERROR(__xludf.DUMMYFUNCTION("""COMPUTED_VALUE"""),2041.0)</f>
        <v>2041</v>
      </c>
      <c r="S163" s="211">
        <f>IFERROR(__xludf.DUMMYFUNCTION("""COMPUTED_VALUE"""),1.0)</f>
        <v>1</v>
      </c>
      <c r="T163" s="211">
        <f>IFERROR(__xludf.DUMMYFUNCTION("""COMPUTED_VALUE"""),328.0)</f>
        <v>328</v>
      </c>
      <c r="U163" s="211">
        <f>IFERROR(__xludf.DUMMYFUNCTION("""COMPUTED_VALUE"""),85.0)</f>
        <v>85</v>
      </c>
      <c r="V163" s="211">
        <f>IFERROR(__xludf.DUMMYFUNCTION("""COMPUTED_VALUE"""),86.0)</f>
        <v>86</v>
      </c>
      <c r="W163" s="211">
        <f>IFERROR(__xludf.DUMMYFUNCTION("""COMPUTED_VALUE"""),9.0)</f>
        <v>9</v>
      </c>
      <c r="X163" s="211">
        <f>IFERROR(__xludf.DUMMYFUNCTION("""COMPUTED_VALUE"""),5.0)</f>
        <v>5</v>
      </c>
      <c r="Y163" s="211">
        <f>IFERROR(__xludf.DUMMYFUNCTION("""COMPUTED_VALUE"""),0.0)</f>
        <v>0</v>
      </c>
      <c r="Z163" s="211">
        <f>IFERROR(__xludf.DUMMYFUNCTION("""COMPUTED_VALUE"""),1051.0)</f>
        <v>1051</v>
      </c>
    </row>
    <row r="164">
      <c r="A164" s="210">
        <f>IFERROR(__xludf.DUMMYFUNCTION("""COMPUTED_VALUE"""),44063.0)</f>
        <v>44063</v>
      </c>
      <c r="B164" s="211">
        <f>IFERROR(__xludf.DUMMYFUNCTION("""COMPUTED_VALUE"""),174.0)</f>
        <v>174</v>
      </c>
      <c r="C164" s="211">
        <f>IFERROR(__xludf.DUMMYFUNCTION("""COMPUTED_VALUE"""),139.0)</f>
        <v>139</v>
      </c>
      <c r="D164" s="211">
        <f>IFERROR(__xludf.DUMMYFUNCTION("""COMPUTED_VALUE"""),30352.0)</f>
        <v>30352</v>
      </c>
      <c r="E164" s="211">
        <f>IFERROR(__xludf.DUMMYFUNCTION("""COMPUTED_VALUE"""),8218.0)</f>
        <v>8218</v>
      </c>
      <c r="F164" s="153">
        <f>IFERROR(__xludf.DUMMYFUNCTION("""COMPUTED_VALUE"""),438464.0)</f>
        <v>438464</v>
      </c>
      <c r="G164" s="153">
        <f>IFERROR(__xludf.DUMMYFUNCTION("""COMPUTED_VALUE"""),8392.0)</f>
        <v>8392</v>
      </c>
      <c r="H164" s="153">
        <f>IFERROR(__xludf.DUMMYFUNCTION("""COMPUTED_VALUE"""),468816.0)</f>
        <v>468816</v>
      </c>
      <c r="I164" s="211">
        <f>IFERROR(__xludf.DUMMYFUNCTION("""COMPUTED_VALUE"""),139.0)</f>
        <v>139</v>
      </c>
      <c r="J164" s="211">
        <f>IFERROR(__xludf.DUMMYFUNCTION("""COMPUTED_VALUE"""),108.0)</f>
        <v>108</v>
      </c>
      <c r="K164" s="211">
        <f>IFERROR(__xludf.DUMMYFUNCTION("""COMPUTED_VALUE"""),21067.0)</f>
        <v>21067</v>
      </c>
      <c r="L164" s="211">
        <f>IFERROR(__xludf.DUMMYFUNCTION("""COMPUTED_VALUE"""),3565.0)</f>
        <v>3565</v>
      </c>
      <c r="M164" s="211">
        <f>IFERROR(__xludf.DUMMYFUNCTION("""COMPUTED_VALUE"""),231751.0)</f>
        <v>231751</v>
      </c>
      <c r="N164" s="211">
        <f>IFERROR(__xludf.DUMMYFUNCTION("""COMPUTED_VALUE"""),252818.0)</f>
        <v>252818</v>
      </c>
      <c r="O164" s="211">
        <f>IFERROR(__xludf.DUMMYFUNCTION("""COMPUTED_VALUE"""),12.0)</f>
        <v>12</v>
      </c>
      <c r="P164" s="211">
        <f>IFERROR(__xludf.DUMMYFUNCTION("""COMPUTED_VALUE"""),2466.0)</f>
        <v>2466</v>
      </c>
      <c r="Q164" s="211">
        <f>IFERROR(__xludf.DUMMYFUNCTION("""COMPUTED_VALUE"""),6.0)</f>
        <v>6</v>
      </c>
      <c r="R164" s="211">
        <f>IFERROR(__xludf.DUMMYFUNCTION("""COMPUTED_VALUE"""),2047.0)</f>
        <v>2047</v>
      </c>
      <c r="S164" s="211">
        <f>IFERROR(__xludf.DUMMYFUNCTION("""COMPUTED_VALUE"""),2.0)</f>
        <v>2</v>
      </c>
      <c r="T164" s="211">
        <f>IFERROR(__xludf.DUMMYFUNCTION("""COMPUTED_VALUE"""),330.0)</f>
        <v>330</v>
      </c>
      <c r="U164" s="211">
        <f>IFERROR(__xludf.DUMMYFUNCTION("""COMPUTED_VALUE"""),89.0)</f>
        <v>89</v>
      </c>
      <c r="V164" s="211">
        <f>IFERROR(__xludf.DUMMYFUNCTION("""COMPUTED_VALUE"""),87.0)</f>
        <v>87</v>
      </c>
      <c r="W164" s="211">
        <f>IFERROR(__xludf.DUMMYFUNCTION("""COMPUTED_VALUE"""),10.0)</f>
        <v>10</v>
      </c>
      <c r="X164" s="211">
        <f>IFERROR(__xludf.DUMMYFUNCTION("""COMPUTED_VALUE"""),5.0)</f>
        <v>5</v>
      </c>
      <c r="Y164" s="211">
        <f>IFERROR(__xludf.DUMMYFUNCTION("""COMPUTED_VALUE"""),3.0)</f>
        <v>3</v>
      </c>
      <c r="Z164" s="211">
        <f>IFERROR(__xludf.DUMMYFUNCTION("""COMPUTED_VALUE"""),1054.0)</f>
        <v>1054</v>
      </c>
    </row>
    <row r="165">
      <c r="A165" s="210">
        <f>IFERROR(__xludf.DUMMYFUNCTION("""COMPUTED_VALUE"""),44064.0)</f>
        <v>44064</v>
      </c>
      <c r="B165" s="211">
        <f>IFERROR(__xludf.DUMMYFUNCTION("""COMPUTED_VALUE"""),154.0)</f>
        <v>154</v>
      </c>
      <c r="C165" s="211">
        <f>IFERROR(__xludf.DUMMYFUNCTION("""COMPUTED_VALUE"""),147.0)</f>
        <v>147</v>
      </c>
      <c r="D165" s="211">
        <f>IFERROR(__xludf.DUMMYFUNCTION("""COMPUTED_VALUE"""),30506.0)</f>
        <v>30506</v>
      </c>
      <c r="E165" s="211">
        <f>IFERROR(__xludf.DUMMYFUNCTION("""COMPUTED_VALUE"""),6811.0)</f>
        <v>6811</v>
      </c>
      <c r="F165" s="153">
        <f>IFERROR(__xludf.DUMMYFUNCTION("""COMPUTED_VALUE"""),445275.0)</f>
        <v>445275</v>
      </c>
      <c r="G165" s="153">
        <f>IFERROR(__xludf.DUMMYFUNCTION("""COMPUTED_VALUE"""),6965.0)</f>
        <v>6965</v>
      </c>
      <c r="H165" s="153">
        <f>IFERROR(__xludf.DUMMYFUNCTION("""COMPUTED_VALUE"""),475781.0)</f>
        <v>475781</v>
      </c>
      <c r="I165" s="211">
        <f>IFERROR(__xludf.DUMMYFUNCTION("""COMPUTED_VALUE"""),125.0)</f>
        <v>125</v>
      </c>
      <c r="J165" s="211">
        <f>IFERROR(__xludf.DUMMYFUNCTION("""COMPUTED_VALUE"""),118.0)</f>
        <v>118</v>
      </c>
      <c r="K165" s="211">
        <f>IFERROR(__xludf.DUMMYFUNCTION("""COMPUTED_VALUE"""),21192.0)</f>
        <v>21192</v>
      </c>
      <c r="L165" s="211">
        <f>IFERROR(__xludf.DUMMYFUNCTION("""COMPUTED_VALUE"""),2965.0)</f>
        <v>2965</v>
      </c>
      <c r="M165" s="211">
        <f>IFERROR(__xludf.DUMMYFUNCTION("""COMPUTED_VALUE"""),234716.0)</f>
        <v>234716</v>
      </c>
      <c r="N165" s="211">
        <f>IFERROR(__xludf.DUMMYFUNCTION("""COMPUTED_VALUE"""),255908.0)</f>
        <v>255908</v>
      </c>
      <c r="O165" s="211">
        <f>IFERROR(__xludf.DUMMYFUNCTION("""COMPUTED_VALUE"""),8.0)</f>
        <v>8</v>
      </c>
      <c r="P165" s="211">
        <f>IFERROR(__xludf.DUMMYFUNCTION("""COMPUTED_VALUE"""),2474.0)</f>
        <v>2474</v>
      </c>
      <c r="Q165" s="211">
        <f>IFERROR(__xludf.DUMMYFUNCTION("""COMPUTED_VALUE"""),5.0)</f>
        <v>5</v>
      </c>
      <c r="R165" s="211">
        <f>IFERROR(__xludf.DUMMYFUNCTION("""COMPUTED_VALUE"""),2052.0)</f>
        <v>2052</v>
      </c>
      <c r="S165" s="211">
        <f>IFERROR(__xludf.DUMMYFUNCTION("""COMPUTED_VALUE"""),1.0)</f>
        <v>1</v>
      </c>
      <c r="T165" s="211">
        <f>IFERROR(__xludf.DUMMYFUNCTION("""COMPUTED_VALUE"""),331.0)</f>
        <v>331</v>
      </c>
      <c r="U165" s="211">
        <f>IFERROR(__xludf.DUMMYFUNCTION("""COMPUTED_VALUE"""),91.0)</f>
        <v>91</v>
      </c>
      <c r="V165" s="211">
        <f>IFERROR(__xludf.DUMMYFUNCTION("""COMPUTED_VALUE"""),88.0)</f>
        <v>88</v>
      </c>
      <c r="W165" s="211">
        <f>IFERROR(__xludf.DUMMYFUNCTION("""COMPUTED_VALUE"""),9.0)</f>
        <v>9</v>
      </c>
      <c r="X165" s="211">
        <f>IFERROR(__xludf.DUMMYFUNCTION("""COMPUTED_VALUE"""),4.0)</f>
        <v>4</v>
      </c>
      <c r="Y165" s="211">
        <f>IFERROR(__xludf.DUMMYFUNCTION("""COMPUTED_VALUE"""),2.0)</f>
        <v>2</v>
      </c>
      <c r="Z165" s="211">
        <f>IFERROR(__xludf.DUMMYFUNCTION("""COMPUTED_VALUE"""),1056.0)</f>
        <v>1056</v>
      </c>
    </row>
    <row r="166">
      <c r="A166" s="210">
        <f>IFERROR(__xludf.DUMMYFUNCTION("""COMPUTED_VALUE"""),44065.0)</f>
        <v>44065</v>
      </c>
      <c r="B166" s="211">
        <f>IFERROR(__xludf.DUMMYFUNCTION("""COMPUTED_VALUE"""),96.0)</f>
        <v>96</v>
      </c>
      <c r="C166" s="211">
        <f>IFERROR(__xludf.DUMMYFUNCTION("""COMPUTED_VALUE"""),141.0)</f>
        <v>141</v>
      </c>
      <c r="D166" s="211">
        <f>IFERROR(__xludf.DUMMYFUNCTION("""COMPUTED_VALUE"""),30602.0)</f>
        <v>30602</v>
      </c>
      <c r="E166" s="211">
        <f>IFERROR(__xludf.DUMMYFUNCTION("""COMPUTED_VALUE"""),5957.0)</f>
        <v>5957</v>
      </c>
      <c r="F166" s="153">
        <f>IFERROR(__xludf.DUMMYFUNCTION("""COMPUTED_VALUE"""),451232.0)</f>
        <v>451232</v>
      </c>
      <c r="G166" s="153">
        <f>IFERROR(__xludf.DUMMYFUNCTION("""COMPUTED_VALUE"""),6053.0)</f>
        <v>6053</v>
      </c>
      <c r="H166" s="153">
        <f>IFERROR(__xludf.DUMMYFUNCTION("""COMPUTED_VALUE"""),481834.0)</f>
        <v>481834</v>
      </c>
      <c r="I166" s="211">
        <f>IFERROR(__xludf.DUMMYFUNCTION("""COMPUTED_VALUE"""),84.0)</f>
        <v>84</v>
      </c>
      <c r="J166" s="211">
        <f>IFERROR(__xludf.DUMMYFUNCTION("""COMPUTED_VALUE"""),116.0)</f>
        <v>116</v>
      </c>
      <c r="K166" s="211">
        <f>IFERROR(__xludf.DUMMYFUNCTION("""COMPUTED_VALUE"""),21276.0)</f>
        <v>21276</v>
      </c>
      <c r="L166" s="211">
        <f>IFERROR(__xludf.DUMMYFUNCTION("""COMPUTED_VALUE"""),2625.0)</f>
        <v>2625</v>
      </c>
      <c r="M166" s="211">
        <f>IFERROR(__xludf.DUMMYFUNCTION("""COMPUTED_VALUE"""),237341.0)</f>
        <v>237341</v>
      </c>
      <c r="N166" s="211">
        <f>IFERROR(__xludf.DUMMYFUNCTION("""COMPUTED_VALUE"""),258617.0)</f>
        <v>258617</v>
      </c>
      <c r="O166" s="211">
        <f>IFERROR(__xludf.DUMMYFUNCTION("""COMPUTED_VALUE"""),10.0)</f>
        <v>10</v>
      </c>
      <c r="P166" s="211">
        <f>IFERROR(__xludf.DUMMYFUNCTION("""COMPUTED_VALUE"""),2484.0)</f>
        <v>2484</v>
      </c>
      <c r="Q166" s="211">
        <f>IFERROR(__xludf.DUMMYFUNCTION("""COMPUTED_VALUE"""),12.0)</f>
        <v>12</v>
      </c>
      <c r="R166" s="211">
        <f>IFERROR(__xludf.DUMMYFUNCTION("""COMPUTED_VALUE"""),2064.0)</f>
        <v>2064</v>
      </c>
      <c r="S166" s="211">
        <f>IFERROR(__xludf.DUMMYFUNCTION("""COMPUTED_VALUE"""),0.0)</f>
        <v>0</v>
      </c>
      <c r="T166" s="211">
        <f>IFERROR(__xludf.DUMMYFUNCTION("""COMPUTED_VALUE"""),331.0)</f>
        <v>331</v>
      </c>
      <c r="U166" s="211">
        <f>IFERROR(__xludf.DUMMYFUNCTION("""COMPUTED_VALUE"""),89.0)</f>
        <v>89</v>
      </c>
      <c r="V166" s="211">
        <f>IFERROR(__xludf.DUMMYFUNCTION("""COMPUTED_VALUE"""),90.0)</f>
        <v>90</v>
      </c>
      <c r="W166" s="211">
        <f>IFERROR(__xludf.DUMMYFUNCTION("""COMPUTED_VALUE"""),11.0)</f>
        <v>11</v>
      </c>
      <c r="X166" s="211">
        <f>IFERROR(__xludf.DUMMYFUNCTION("""COMPUTED_VALUE"""),4.0)</f>
        <v>4</v>
      </c>
      <c r="Y166" s="211">
        <f>IFERROR(__xludf.DUMMYFUNCTION("""COMPUTED_VALUE"""),1.0)</f>
        <v>1</v>
      </c>
      <c r="Z166" s="211">
        <f>IFERROR(__xludf.DUMMYFUNCTION("""COMPUTED_VALUE"""),1057.0)</f>
        <v>1057</v>
      </c>
    </row>
    <row r="167">
      <c r="A167" s="210">
        <f>IFERROR(__xludf.DUMMYFUNCTION("""COMPUTED_VALUE"""),44066.0)</f>
        <v>44066</v>
      </c>
      <c r="B167" s="211">
        <f>IFERROR(__xludf.DUMMYFUNCTION("""COMPUTED_VALUE"""),70.0)</f>
        <v>70</v>
      </c>
      <c r="C167" s="211">
        <f>IFERROR(__xludf.DUMMYFUNCTION("""COMPUTED_VALUE"""),107.0)</f>
        <v>107</v>
      </c>
      <c r="D167" s="211">
        <f>IFERROR(__xludf.DUMMYFUNCTION("""COMPUTED_VALUE"""),30672.0)</f>
        <v>30672</v>
      </c>
      <c r="E167" s="211">
        <f>IFERROR(__xludf.DUMMYFUNCTION("""COMPUTED_VALUE"""),4365.0)</f>
        <v>4365</v>
      </c>
      <c r="F167" s="153">
        <f>IFERROR(__xludf.DUMMYFUNCTION("""COMPUTED_VALUE"""),455597.0)</f>
        <v>455597</v>
      </c>
      <c r="G167" s="153">
        <f>IFERROR(__xludf.DUMMYFUNCTION("""COMPUTED_VALUE"""),4435.0)</f>
        <v>4435</v>
      </c>
      <c r="H167" s="153">
        <f>IFERROR(__xludf.DUMMYFUNCTION("""COMPUTED_VALUE"""),486269.0)</f>
        <v>486269</v>
      </c>
      <c r="I167" s="211">
        <f>IFERROR(__xludf.DUMMYFUNCTION("""COMPUTED_VALUE"""),56.0)</f>
        <v>56</v>
      </c>
      <c r="J167" s="211">
        <f>IFERROR(__xludf.DUMMYFUNCTION("""COMPUTED_VALUE"""),88.0)</f>
        <v>88</v>
      </c>
      <c r="K167" s="211">
        <f>IFERROR(__xludf.DUMMYFUNCTION("""COMPUTED_VALUE"""),21332.0)</f>
        <v>21332</v>
      </c>
      <c r="L167" s="211">
        <f>IFERROR(__xludf.DUMMYFUNCTION("""COMPUTED_VALUE"""),2468.0)</f>
        <v>2468</v>
      </c>
      <c r="M167" s="211">
        <f>IFERROR(__xludf.DUMMYFUNCTION("""COMPUTED_VALUE"""),239809.0)</f>
        <v>239809</v>
      </c>
      <c r="N167" s="211">
        <f>IFERROR(__xludf.DUMMYFUNCTION("""COMPUTED_VALUE"""),261141.0)</f>
        <v>261141</v>
      </c>
      <c r="O167" s="211">
        <f>IFERROR(__xludf.DUMMYFUNCTION("""COMPUTED_VALUE"""),11.0)</f>
        <v>11</v>
      </c>
      <c r="P167" s="211">
        <f>IFERROR(__xludf.DUMMYFUNCTION("""COMPUTED_VALUE"""),2495.0)</f>
        <v>2495</v>
      </c>
      <c r="Q167" s="211">
        <f>IFERROR(__xludf.DUMMYFUNCTION("""COMPUTED_VALUE"""),6.0)</f>
        <v>6</v>
      </c>
      <c r="R167" s="211">
        <f>IFERROR(__xludf.DUMMYFUNCTION("""COMPUTED_VALUE"""),2070.0)</f>
        <v>2070</v>
      </c>
      <c r="S167" s="211">
        <f>IFERROR(__xludf.DUMMYFUNCTION("""COMPUTED_VALUE"""),0.0)</f>
        <v>0</v>
      </c>
      <c r="T167" s="211">
        <f>IFERROR(__xludf.DUMMYFUNCTION("""COMPUTED_VALUE"""),331.0)</f>
        <v>331</v>
      </c>
      <c r="U167" s="211">
        <f>IFERROR(__xludf.DUMMYFUNCTION("""COMPUTED_VALUE"""),94.0)</f>
        <v>94</v>
      </c>
      <c r="V167" s="211">
        <f>IFERROR(__xludf.DUMMYFUNCTION("""COMPUTED_VALUE"""),91.0)</f>
        <v>91</v>
      </c>
      <c r="W167" s="211">
        <f>IFERROR(__xludf.DUMMYFUNCTION("""COMPUTED_VALUE"""),11.0)</f>
        <v>11</v>
      </c>
      <c r="X167" s="211">
        <f>IFERROR(__xludf.DUMMYFUNCTION("""COMPUTED_VALUE"""),2.0)</f>
        <v>2</v>
      </c>
      <c r="Y167" s="211">
        <f>IFERROR(__xludf.DUMMYFUNCTION("""COMPUTED_VALUE"""),1.0)</f>
        <v>1</v>
      </c>
      <c r="Z167" s="211">
        <f>IFERROR(__xludf.DUMMYFUNCTION("""COMPUTED_VALUE"""),1058.0)</f>
        <v>1058</v>
      </c>
    </row>
    <row r="168">
      <c r="A168" s="210">
        <f>IFERROR(__xludf.DUMMYFUNCTION("""COMPUTED_VALUE"""),44067.0)</f>
        <v>44067</v>
      </c>
      <c r="B168" s="211">
        <f>IFERROR(__xludf.DUMMYFUNCTION("""COMPUTED_VALUE"""),105.0)</f>
        <v>105</v>
      </c>
      <c r="C168" s="211">
        <f>IFERROR(__xludf.DUMMYFUNCTION("""COMPUTED_VALUE"""),90.0)</f>
        <v>90</v>
      </c>
      <c r="D168" s="211">
        <f>IFERROR(__xludf.DUMMYFUNCTION("""COMPUTED_VALUE"""),30777.0)</f>
        <v>30777</v>
      </c>
      <c r="E168" s="211">
        <f>IFERROR(__xludf.DUMMYFUNCTION("""COMPUTED_VALUE"""),5775.0)</f>
        <v>5775</v>
      </c>
      <c r="F168" s="153">
        <f>IFERROR(__xludf.DUMMYFUNCTION("""COMPUTED_VALUE"""),461372.0)</f>
        <v>461372</v>
      </c>
      <c r="G168" s="153">
        <f>IFERROR(__xludf.DUMMYFUNCTION("""COMPUTED_VALUE"""),5880.0)</f>
        <v>5880</v>
      </c>
      <c r="H168" s="153">
        <f>IFERROR(__xludf.DUMMYFUNCTION("""COMPUTED_VALUE"""),492149.0)</f>
        <v>492149</v>
      </c>
      <c r="I168" s="211">
        <f>IFERROR(__xludf.DUMMYFUNCTION("""COMPUTED_VALUE"""),76.0)</f>
        <v>76</v>
      </c>
      <c r="J168" s="211">
        <f>IFERROR(__xludf.DUMMYFUNCTION("""COMPUTED_VALUE"""),72.0)</f>
        <v>72</v>
      </c>
      <c r="K168" s="211">
        <f>IFERROR(__xludf.DUMMYFUNCTION("""COMPUTED_VALUE"""),21408.0)</f>
        <v>21408</v>
      </c>
      <c r="L168" s="211">
        <f>IFERROR(__xludf.DUMMYFUNCTION("""COMPUTED_VALUE"""),3151.0)</f>
        <v>3151</v>
      </c>
      <c r="M168" s="211">
        <f>IFERROR(__xludf.DUMMYFUNCTION("""COMPUTED_VALUE"""),242960.0)</f>
        <v>242960</v>
      </c>
      <c r="N168" s="211">
        <f>IFERROR(__xludf.DUMMYFUNCTION("""COMPUTED_VALUE"""),264368.0)</f>
        <v>264368</v>
      </c>
      <c r="O168" s="211">
        <f>IFERROR(__xludf.DUMMYFUNCTION("""COMPUTED_VALUE"""),7.0)</f>
        <v>7</v>
      </c>
      <c r="P168" s="211">
        <f>IFERROR(__xludf.DUMMYFUNCTION("""COMPUTED_VALUE"""),2502.0)</f>
        <v>2502</v>
      </c>
      <c r="Q168" s="211">
        <f>IFERROR(__xludf.DUMMYFUNCTION("""COMPUTED_VALUE"""),10.0)</f>
        <v>10</v>
      </c>
      <c r="R168" s="211">
        <f>IFERROR(__xludf.DUMMYFUNCTION("""COMPUTED_VALUE"""),2080.0)</f>
        <v>2080</v>
      </c>
      <c r="S168" s="211">
        <f>IFERROR(__xludf.DUMMYFUNCTION("""COMPUTED_VALUE"""),1.0)</f>
        <v>1</v>
      </c>
      <c r="T168" s="211">
        <f>IFERROR(__xludf.DUMMYFUNCTION("""COMPUTED_VALUE"""),332.0)</f>
        <v>332</v>
      </c>
      <c r="U168" s="211">
        <f>IFERROR(__xludf.DUMMYFUNCTION("""COMPUTED_VALUE"""),90.0)</f>
        <v>90</v>
      </c>
      <c r="V168" s="211">
        <f>IFERROR(__xludf.DUMMYFUNCTION("""COMPUTED_VALUE"""),91.0)</f>
        <v>91</v>
      </c>
      <c r="W168" s="211">
        <f>IFERROR(__xludf.DUMMYFUNCTION("""COMPUTED_VALUE"""),13.0)</f>
        <v>13</v>
      </c>
      <c r="X168" s="211">
        <f>IFERROR(__xludf.DUMMYFUNCTION("""COMPUTED_VALUE"""),4.0)</f>
        <v>4</v>
      </c>
      <c r="Y168" s="211">
        <f>IFERROR(__xludf.DUMMYFUNCTION("""COMPUTED_VALUE"""),1.0)</f>
        <v>1</v>
      </c>
      <c r="Z168" s="211">
        <f>IFERROR(__xludf.DUMMYFUNCTION("""COMPUTED_VALUE"""),1059.0)</f>
        <v>1059</v>
      </c>
    </row>
    <row r="169">
      <c r="A169" s="210">
        <f>IFERROR(__xludf.DUMMYFUNCTION("""COMPUTED_VALUE"""),44068.0)</f>
        <v>44068</v>
      </c>
      <c r="B169" s="211">
        <f>IFERROR(__xludf.DUMMYFUNCTION("""COMPUTED_VALUE"""),108.0)</f>
        <v>108</v>
      </c>
      <c r="C169" s="211">
        <f>IFERROR(__xludf.DUMMYFUNCTION("""COMPUTED_VALUE"""),94.0)</f>
        <v>94</v>
      </c>
      <c r="D169" s="211">
        <f>IFERROR(__xludf.DUMMYFUNCTION("""COMPUTED_VALUE"""),30885.0)</f>
        <v>30885</v>
      </c>
      <c r="E169" s="211">
        <f>IFERROR(__xludf.DUMMYFUNCTION("""COMPUTED_VALUE"""),4745.0)</f>
        <v>4745</v>
      </c>
      <c r="F169" s="153">
        <f>IFERROR(__xludf.DUMMYFUNCTION("""COMPUTED_VALUE"""),466117.0)</f>
        <v>466117</v>
      </c>
      <c r="G169" s="153">
        <f>IFERROR(__xludf.DUMMYFUNCTION("""COMPUTED_VALUE"""),4853.0)</f>
        <v>4853</v>
      </c>
      <c r="H169" s="153">
        <f>IFERROR(__xludf.DUMMYFUNCTION("""COMPUTED_VALUE"""),497002.0)</f>
        <v>497002</v>
      </c>
      <c r="I169" s="211">
        <f>IFERROR(__xludf.DUMMYFUNCTION("""COMPUTED_VALUE"""),92.0)</f>
        <v>92</v>
      </c>
      <c r="J169" s="211">
        <f>IFERROR(__xludf.DUMMYFUNCTION("""COMPUTED_VALUE"""),75.0)</f>
        <v>75</v>
      </c>
      <c r="K169" s="211">
        <f>IFERROR(__xludf.DUMMYFUNCTION("""COMPUTED_VALUE"""),21500.0)</f>
        <v>21500</v>
      </c>
      <c r="L169" s="211">
        <f>IFERROR(__xludf.DUMMYFUNCTION("""COMPUTED_VALUE"""),2295.0)</f>
        <v>2295</v>
      </c>
      <c r="M169" s="211">
        <f>IFERROR(__xludf.DUMMYFUNCTION("""COMPUTED_VALUE"""),245255.0)</f>
        <v>245255</v>
      </c>
      <c r="N169" s="211">
        <f>IFERROR(__xludf.DUMMYFUNCTION("""COMPUTED_VALUE"""),266755.0)</f>
        <v>266755</v>
      </c>
      <c r="O169" s="211">
        <f>IFERROR(__xludf.DUMMYFUNCTION("""COMPUTED_VALUE"""),10.0)</f>
        <v>10</v>
      </c>
      <c r="P169" s="211">
        <f>IFERROR(__xludf.DUMMYFUNCTION("""COMPUTED_VALUE"""),2512.0)</f>
        <v>2512</v>
      </c>
      <c r="Q169" s="211">
        <f>IFERROR(__xludf.DUMMYFUNCTION("""COMPUTED_VALUE"""),4.0)</f>
        <v>4</v>
      </c>
      <c r="R169" s="211">
        <f>IFERROR(__xludf.DUMMYFUNCTION("""COMPUTED_VALUE"""),2084.0)</f>
        <v>2084</v>
      </c>
      <c r="S169" s="211">
        <f>IFERROR(__xludf.DUMMYFUNCTION("""COMPUTED_VALUE"""),1.0)</f>
        <v>1</v>
      </c>
      <c r="T169" s="211">
        <f>IFERROR(__xludf.DUMMYFUNCTION("""COMPUTED_VALUE"""),333.0)</f>
        <v>333</v>
      </c>
      <c r="U169" s="211">
        <f>IFERROR(__xludf.DUMMYFUNCTION("""COMPUTED_VALUE"""),95.0)</f>
        <v>95</v>
      </c>
      <c r="V169" s="211">
        <f>IFERROR(__xludf.DUMMYFUNCTION("""COMPUTED_VALUE"""),93.0)</f>
        <v>93</v>
      </c>
      <c r="W169" s="211">
        <f>IFERROR(__xludf.DUMMYFUNCTION("""COMPUTED_VALUE"""),11.0)</f>
        <v>11</v>
      </c>
      <c r="X169" s="211">
        <f>IFERROR(__xludf.DUMMYFUNCTION("""COMPUTED_VALUE"""),4.0)</f>
        <v>4</v>
      </c>
      <c r="Y169" s="211">
        <f>IFERROR(__xludf.DUMMYFUNCTION("""COMPUTED_VALUE"""),1.0)</f>
        <v>1</v>
      </c>
      <c r="Z169" s="211">
        <f>IFERROR(__xludf.DUMMYFUNCTION("""COMPUTED_VALUE"""),1060.0)</f>
        <v>1060</v>
      </c>
    </row>
    <row r="170">
      <c r="A170" s="210">
        <f>IFERROR(__xludf.DUMMYFUNCTION("""COMPUTED_VALUE"""),44069.0)</f>
        <v>44069</v>
      </c>
      <c r="B170" s="211">
        <f>IFERROR(__xludf.DUMMYFUNCTION("""COMPUTED_VALUE"""),170.0)</f>
        <v>170</v>
      </c>
      <c r="C170" s="211">
        <f>IFERROR(__xludf.DUMMYFUNCTION("""COMPUTED_VALUE"""),128.0)</f>
        <v>128</v>
      </c>
      <c r="D170" s="211">
        <f>IFERROR(__xludf.DUMMYFUNCTION("""COMPUTED_VALUE"""),31055.0)</f>
        <v>31055</v>
      </c>
      <c r="E170" s="211">
        <f>IFERROR(__xludf.DUMMYFUNCTION("""COMPUTED_VALUE"""),9490.0)</f>
        <v>9490</v>
      </c>
      <c r="F170" s="153">
        <f>IFERROR(__xludf.DUMMYFUNCTION("""COMPUTED_VALUE"""),475607.0)</f>
        <v>475607</v>
      </c>
      <c r="G170" s="153">
        <f>IFERROR(__xludf.DUMMYFUNCTION("""COMPUTED_VALUE"""),9660.0)</f>
        <v>9660</v>
      </c>
      <c r="H170" s="153">
        <f>IFERROR(__xludf.DUMMYFUNCTION("""COMPUTED_VALUE"""),506662.0)</f>
        <v>506662</v>
      </c>
      <c r="I170" s="211">
        <f>IFERROR(__xludf.DUMMYFUNCTION("""COMPUTED_VALUE"""),127.0)</f>
        <v>127</v>
      </c>
      <c r="J170" s="211">
        <f>IFERROR(__xludf.DUMMYFUNCTION("""COMPUTED_VALUE"""),98.0)</f>
        <v>98</v>
      </c>
      <c r="K170" s="211">
        <f>IFERROR(__xludf.DUMMYFUNCTION("""COMPUTED_VALUE"""),21627.0)</f>
        <v>21627</v>
      </c>
      <c r="L170" s="211">
        <f>IFERROR(__xludf.DUMMYFUNCTION("""COMPUTED_VALUE"""),3068.0)</f>
        <v>3068</v>
      </c>
      <c r="M170" s="211">
        <f>IFERROR(__xludf.DUMMYFUNCTION("""COMPUTED_VALUE"""),248323.0)</f>
        <v>248323</v>
      </c>
      <c r="N170" s="211">
        <f>IFERROR(__xludf.DUMMYFUNCTION("""COMPUTED_VALUE"""),269950.0)</f>
        <v>269950</v>
      </c>
      <c r="O170" s="211">
        <f>IFERROR(__xludf.DUMMYFUNCTION("""COMPUTED_VALUE"""),4.0)</f>
        <v>4</v>
      </c>
      <c r="P170" s="211">
        <f>IFERROR(__xludf.DUMMYFUNCTION("""COMPUTED_VALUE"""),2516.0)</f>
        <v>2516</v>
      </c>
      <c r="Q170" s="211">
        <f>IFERROR(__xludf.DUMMYFUNCTION("""COMPUTED_VALUE"""),8.0)</f>
        <v>8</v>
      </c>
      <c r="R170" s="211">
        <f>IFERROR(__xludf.DUMMYFUNCTION("""COMPUTED_VALUE"""),2092.0)</f>
        <v>2092</v>
      </c>
      <c r="S170" s="211">
        <f>IFERROR(__xludf.DUMMYFUNCTION("""COMPUTED_VALUE"""),0.0)</f>
        <v>0</v>
      </c>
      <c r="T170" s="211">
        <f>IFERROR(__xludf.DUMMYFUNCTION("""COMPUTED_VALUE"""),333.0)</f>
        <v>333</v>
      </c>
      <c r="U170" s="211">
        <f>IFERROR(__xludf.DUMMYFUNCTION("""COMPUTED_VALUE"""),91.0)</f>
        <v>91</v>
      </c>
      <c r="V170" s="211">
        <f>IFERROR(__xludf.DUMMYFUNCTION("""COMPUTED_VALUE"""),92.0)</f>
        <v>92</v>
      </c>
      <c r="W170" s="211">
        <f>IFERROR(__xludf.DUMMYFUNCTION("""COMPUTED_VALUE"""),9.0)</f>
        <v>9</v>
      </c>
      <c r="X170" s="211">
        <f>IFERROR(__xludf.DUMMYFUNCTION("""COMPUTED_VALUE"""),5.0)</f>
        <v>5</v>
      </c>
      <c r="Y170" s="211">
        <f>IFERROR(__xludf.DUMMYFUNCTION("""COMPUTED_VALUE"""),1.0)</f>
        <v>1</v>
      </c>
      <c r="Z170" s="211">
        <f>IFERROR(__xludf.DUMMYFUNCTION("""COMPUTED_VALUE"""),1061.0)</f>
        <v>1061</v>
      </c>
    </row>
    <row r="171">
      <c r="A171" s="210">
        <f>IFERROR(__xludf.DUMMYFUNCTION("""COMPUTED_VALUE"""),44070.0)</f>
        <v>44070</v>
      </c>
      <c r="B171" s="211">
        <f>IFERROR(__xludf.DUMMYFUNCTION("""COMPUTED_VALUE"""),93.0)</f>
        <v>93</v>
      </c>
      <c r="C171" s="211">
        <f>IFERROR(__xludf.DUMMYFUNCTION("""COMPUTED_VALUE"""),124.0)</f>
        <v>124</v>
      </c>
      <c r="D171" s="211">
        <f>IFERROR(__xludf.DUMMYFUNCTION("""COMPUTED_VALUE"""),31148.0)</f>
        <v>31148</v>
      </c>
      <c r="E171" s="211">
        <f>IFERROR(__xludf.DUMMYFUNCTION("""COMPUTED_VALUE"""),8798.0)</f>
        <v>8798</v>
      </c>
      <c r="F171" s="153">
        <f>IFERROR(__xludf.DUMMYFUNCTION("""COMPUTED_VALUE"""),484405.0)</f>
        <v>484405</v>
      </c>
      <c r="G171" s="153">
        <f>IFERROR(__xludf.DUMMYFUNCTION("""COMPUTED_VALUE"""),8891.0)</f>
        <v>8891</v>
      </c>
      <c r="H171" s="153">
        <f>IFERROR(__xludf.DUMMYFUNCTION("""COMPUTED_VALUE"""),515553.0)</f>
        <v>515553</v>
      </c>
      <c r="I171" s="211">
        <f>IFERROR(__xludf.DUMMYFUNCTION("""COMPUTED_VALUE"""),71.0)</f>
        <v>71</v>
      </c>
      <c r="J171" s="211">
        <f>IFERROR(__xludf.DUMMYFUNCTION("""COMPUTED_VALUE"""),97.0)</f>
        <v>97</v>
      </c>
      <c r="K171" s="211">
        <f>IFERROR(__xludf.DUMMYFUNCTION("""COMPUTED_VALUE"""),21698.0)</f>
        <v>21698</v>
      </c>
      <c r="L171" s="211">
        <f>IFERROR(__xludf.DUMMYFUNCTION("""COMPUTED_VALUE"""),3210.0)</f>
        <v>3210</v>
      </c>
      <c r="M171" s="211">
        <f>IFERROR(__xludf.DUMMYFUNCTION("""COMPUTED_VALUE"""),251533.0)</f>
        <v>251533</v>
      </c>
      <c r="N171" s="211">
        <f>IFERROR(__xludf.DUMMYFUNCTION("""COMPUTED_VALUE"""),273231.0)</f>
        <v>273231</v>
      </c>
      <c r="O171" s="211">
        <f>IFERROR(__xludf.DUMMYFUNCTION("""COMPUTED_VALUE"""),6.0)</f>
        <v>6</v>
      </c>
      <c r="P171" s="211">
        <f>IFERROR(__xludf.DUMMYFUNCTION("""COMPUTED_VALUE"""),2522.0)</f>
        <v>2522</v>
      </c>
      <c r="Q171" s="211">
        <f>IFERROR(__xludf.DUMMYFUNCTION("""COMPUTED_VALUE"""),13.0)</f>
        <v>13</v>
      </c>
      <c r="R171" s="211">
        <f>IFERROR(__xludf.DUMMYFUNCTION("""COMPUTED_VALUE"""),2105.0)</f>
        <v>2105</v>
      </c>
      <c r="S171" s="211">
        <f>IFERROR(__xludf.DUMMYFUNCTION("""COMPUTED_VALUE"""),1.0)</f>
        <v>1</v>
      </c>
      <c r="T171" s="211">
        <f>IFERROR(__xludf.DUMMYFUNCTION("""COMPUTED_VALUE"""),334.0)</f>
        <v>334</v>
      </c>
      <c r="U171" s="211">
        <f>IFERROR(__xludf.DUMMYFUNCTION("""COMPUTED_VALUE"""),83.0)</f>
        <v>83</v>
      </c>
      <c r="V171" s="211">
        <f>IFERROR(__xludf.DUMMYFUNCTION("""COMPUTED_VALUE"""),90.0)</f>
        <v>90</v>
      </c>
      <c r="W171" s="211">
        <f>IFERROR(__xludf.DUMMYFUNCTION("""COMPUTED_VALUE"""),6.0)</f>
        <v>6</v>
      </c>
      <c r="X171" s="211">
        <f>IFERROR(__xludf.DUMMYFUNCTION("""COMPUTED_VALUE"""),5.0)</f>
        <v>5</v>
      </c>
      <c r="Y171" s="211">
        <f>IFERROR(__xludf.DUMMYFUNCTION("""COMPUTED_VALUE"""),2.0)</f>
        <v>2</v>
      </c>
      <c r="Z171" s="211">
        <f>IFERROR(__xludf.DUMMYFUNCTION("""COMPUTED_VALUE"""),1063.0)</f>
        <v>1063</v>
      </c>
    </row>
    <row r="172">
      <c r="A172" s="210">
        <f>IFERROR(__xludf.DUMMYFUNCTION("""COMPUTED_VALUE"""),44071.0)</f>
        <v>44071</v>
      </c>
      <c r="B172" s="211">
        <f>IFERROR(__xludf.DUMMYFUNCTION("""COMPUTED_VALUE"""),112.0)</f>
        <v>112</v>
      </c>
      <c r="C172" s="211">
        <f>IFERROR(__xludf.DUMMYFUNCTION("""COMPUTED_VALUE"""),125.0)</f>
        <v>125</v>
      </c>
      <c r="D172" s="211">
        <f>IFERROR(__xludf.DUMMYFUNCTION("""COMPUTED_VALUE"""),31260.0)</f>
        <v>31260</v>
      </c>
      <c r="E172" s="211">
        <f>IFERROR(__xludf.DUMMYFUNCTION("""COMPUTED_VALUE"""),8056.0)</f>
        <v>8056</v>
      </c>
      <c r="F172" s="153">
        <f>IFERROR(__xludf.DUMMYFUNCTION("""COMPUTED_VALUE"""),492461.0)</f>
        <v>492461</v>
      </c>
      <c r="G172" s="153">
        <f>IFERROR(__xludf.DUMMYFUNCTION("""COMPUTED_VALUE"""),8168.0)</f>
        <v>8168</v>
      </c>
      <c r="H172" s="153">
        <f>IFERROR(__xludf.DUMMYFUNCTION("""COMPUTED_VALUE"""),523721.0)</f>
        <v>523721</v>
      </c>
      <c r="I172" s="211">
        <f>IFERROR(__xludf.DUMMYFUNCTION("""COMPUTED_VALUE"""),88.0)</f>
        <v>88</v>
      </c>
      <c r="J172" s="211">
        <f>IFERROR(__xludf.DUMMYFUNCTION("""COMPUTED_VALUE"""),95.0)</f>
        <v>95</v>
      </c>
      <c r="K172" s="211">
        <f>IFERROR(__xludf.DUMMYFUNCTION("""COMPUTED_VALUE"""),21786.0)</f>
        <v>21786</v>
      </c>
      <c r="L172" s="211">
        <f>IFERROR(__xludf.DUMMYFUNCTION("""COMPUTED_VALUE"""),2427.0)</f>
        <v>2427</v>
      </c>
      <c r="M172" s="211">
        <f>IFERROR(__xludf.DUMMYFUNCTION("""COMPUTED_VALUE"""),253960.0)</f>
        <v>253960</v>
      </c>
      <c r="N172" s="211">
        <f>IFERROR(__xludf.DUMMYFUNCTION("""COMPUTED_VALUE"""),275746.0)</f>
        <v>275746</v>
      </c>
      <c r="O172" s="211">
        <f>IFERROR(__xludf.DUMMYFUNCTION("""COMPUTED_VALUE"""),14.0)</f>
        <v>14</v>
      </c>
      <c r="P172" s="211">
        <f>IFERROR(__xludf.DUMMYFUNCTION("""COMPUTED_VALUE"""),2536.0)</f>
        <v>2536</v>
      </c>
      <c r="Q172" s="211">
        <f>IFERROR(__xludf.DUMMYFUNCTION("""COMPUTED_VALUE"""),4.0)</f>
        <v>4</v>
      </c>
      <c r="R172" s="211">
        <f>IFERROR(__xludf.DUMMYFUNCTION("""COMPUTED_VALUE"""),2109.0)</f>
        <v>2109</v>
      </c>
      <c r="S172" s="211">
        <f>IFERROR(__xludf.DUMMYFUNCTION("""COMPUTED_VALUE"""),0.0)</f>
        <v>0</v>
      </c>
      <c r="T172" s="211">
        <f>IFERROR(__xludf.DUMMYFUNCTION("""COMPUTED_VALUE"""),334.0)</f>
        <v>334</v>
      </c>
      <c r="U172" s="211">
        <f>IFERROR(__xludf.DUMMYFUNCTION("""COMPUTED_VALUE"""),93.0)</f>
        <v>93</v>
      </c>
      <c r="V172" s="211">
        <f>IFERROR(__xludf.DUMMYFUNCTION("""COMPUTED_VALUE"""),89.0)</f>
        <v>89</v>
      </c>
      <c r="W172" s="211">
        <f>IFERROR(__xludf.DUMMYFUNCTION("""COMPUTED_VALUE"""),9.0)</f>
        <v>9</v>
      </c>
      <c r="X172" s="211">
        <f>IFERROR(__xludf.DUMMYFUNCTION("""COMPUTED_VALUE"""),7.0)</f>
        <v>7</v>
      </c>
      <c r="Y172" s="211">
        <f>IFERROR(__xludf.DUMMYFUNCTION("""COMPUTED_VALUE"""),2.0)</f>
        <v>2</v>
      </c>
      <c r="Z172" s="211">
        <f>IFERROR(__xludf.DUMMYFUNCTION("""COMPUTED_VALUE"""),1065.0)</f>
        <v>1065</v>
      </c>
    </row>
    <row r="173">
      <c r="A173" s="210">
        <f>IFERROR(__xludf.DUMMYFUNCTION("""COMPUTED_VALUE"""),44072.0)</f>
        <v>44072</v>
      </c>
      <c r="B173" s="211">
        <f>IFERROR(__xludf.DUMMYFUNCTION("""COMPUTED_VALUE"""),65.0)</f>
        <v>65</v>
      </c>
      <c r="C173" s="211">
        <f>IFERROR(__xludf.DUMMYFUNCTION("""COMPUTED_VALUE"""),90.0)</f>
        <v>90</v>
      </c>
      <c r="D173" s="211">
        <f>IFERROR(__xludf.DUMMYFUNCTION("""COMPUTED_VALUE"""),31325.0)</f>
        <v>31325</v>
      </c>
      <c r="E173" s="211">
        <f>IFERROR(__xludf.DUMMYFUNCTION("""COMPUTED_VALUE"""),5412.0)</f>
        <v>5412</v>
      </c>
      <c r="F173" s="153">
        <f>IFERROR(__xludf.DUMMYFUNCTION("""COMPUTED_VALUE"""),497873.0)</f>
        <v>497873</v>
      </c>
      <c r="G173" s="153">
        <f>IFERROR(__xludf.DUMMYFUNCTION("""COMPUTED_VALUE"""),5477.0)</f>
        <v>5477</v>
      </c>
      <c r="H173" s="153">
        <f>IFERROR(__xludf.DUMMYFUNCTION("""COMPUTED_VALUE"""),529198.0)</f>
        <v>529198</v>
      </c>
      <c r="I173" s="211">
        <f>IFERROR(__xludf.DUMMYFUNCTION("""COMPUTED_VALUE"""),51.0)</f>
        <v>51</v>
      </c>
      <c r="J173" s="211">
        <f>IFERROR(__xludf.DUMMYFUNCTION("""COMPUTED_VALUE"""),70.0)</f>
        <v>70</v>
      </c>
      <c r="K173" s="211">
        <f>IFERROR(__xludf.DUMMYFUNCTION("""COMPUTED_VALUE"""),21837.0)</f>
        <v>21837</v>
      </c>
      <c r="L173" s="211">
        <f>IFERROR(__xludf.DUMMYFUNCTION("""COMPUTED_VALUE"""),1904.0)</f>
        <v>1904</v>
      </c>
      <c r="M173" s="211">
        <f>IFERROR(__xludf.DUMMYFUNCTION("""COMPUTED_VALUE"""),255864.0)</f>
        <v>255864</v>
      </c>
      <c r="N173" s="211">
        <f>IFERROR(__xludf.DUMMYFUNCTION("""COMPUTED_VALUE"""),277701.0)</f>
        <v>277701</v>
      </c>
      <c r="O173" s="211">
        <f>IFERROR(__xludf.DUMMYFUNCTION("""COMPUTED_VALUE"""),6.0)</f>
        <v>6</v>
      </c>
      <c r="P173" s="211">
        <f>IFERROR(__xludf.DUMMYFUNCTION("""COMPUTED_VALUE"""),2542.0)</f>
        <v>2542</v>
      </c>
      <c r="Q173" s="211">
        <f>IFERROR(__xludf.DUMMYFUNCTION("""COMPUTED_VALUE"""),8.0)</f>
        <v>8</v>
      </c>
      <c r="R173" s="211">
        <f>IFERROR(__xludf.DUMMYFUNCTION("""COMPUTED_VALUE"""),2117.0)</f>
        <v>2117</v>
      </c>
      <c r="S173" s="211">
        <f>IFERROR(__xludf.DUMMYFUNCTION("""COMPUTED_VALUE"""),1.0)</f>
        <v>1</v>
      </c>
      <c r="T173" s="211">
        <f>IFERROR(__xludf.DUMMYFUNCTION("""COMPUTED_VALUE"""),335.0)</f>
        <v>335</v>
      </c>
      <c r="U173" s="211">
        <f>IFERROR(__xludf.DUMMYFUNCTION("""COMPUTED_VALUE"""),90.0)</f>
        <v>90</v>
      </c>
      <c r="V173" s="211">
        <f>IFERROR(__xludf.DUMMYFUNCTION("""COMPUTED_VALUE"""),89.0)</f>
        <v>89</v>
      </c>
      <c r="W173" s="211">
        <f>IFERROR(__xludf.DUMMYFUNCTION("""COMPUTED_VALUE"""),10.0)</f>
        <v>10</v>
      </c>
      <c r="X173" s="211">
        <f>IFERROR(__xludf.DUMMYFUNCTION("""COMPUTED_VALUE"""),6.0)</f>
        <v>6</v>
      </c>
      <c r="Y173" s="211">
        <f>IFERROR(__xludf.DUMMYFUNCTION("""COMPUTED_VALUE"""),2.0)</f>
        <v>2</v>
      </c>
      <c r="Z173" s="211">
        <f>IFERROR(__xludf.DUMMYFUNCTION("""COMPUTED_VALUE"""),1067.0)</f>
        <v>1067</v>
      </c>
    </row>
    <row r="174">
      <c r="A174" s="210">
        <f>IFERROR(__xludf.DUMMYFUNCTION("""COMPUTED_VALUE"""),44073.0)</f>
        <v>44073</v>
      </c>
      <c r="B174" s="211">
        <f>IFERROR(__xludf.DUMMYFUNCTION("""COMPUTED_VALUE"""),66.0)</f>
        <v>66</v>
      </c>
      <c r="C174" s="211">
        <f>IFERROR(__xludf.DUMMYFUNCTION("""COMPUTED_VALUE"""),81.0)</f>
        <v>81</v>
      </c>
      <c r="D174" s="211">
        <f>IFERROR(__xludf.DUMMYFUNCTION("""COMPUTED_VALUE"""),31391.0)</f>
        <v>31391</v>
      </c>
      <c r="E174" s="211">
        <f>IFERROR(__xludf.DUMMYFUNCTION("""COMPUTED_VALUE"""),4319.0)</f>
        <v>4319</v>
      </c>
      <c r="F174" s="153">
        <f>IFERROR(__xludf.DUMMYFUNCTION("""COMPUTED_VALUE"""),502192.0)</f>
        <v>502192</v>
      </c>
      <c r="G174" s="153">
        <f>IFERROR(__xludf.DUMMYFUNCTION("""COMPUTED_VALUE"""),4385.0)</f>
        <v>4385</v>
      </c>
      <c r="H174" s="153">
        <f>IFERROR(__xludf.DUMMYFUNCTION("""COMPUTED_VALUE"""),533583.0)</f>
        <v>533583</v>
      </c>
      <c r="I174" s="211">
        <f>IFERROR(__xludf.DUMMYFUNCTION("""COMPUTED_VALUE"""),48.0)</f>
        <v>48</v>
      </c>
      <c r="J174" s="211">
        <f>IFERROR(__xludf.DUMMYFUNCTION("""COMPUTED_VALUE"""),62.0)</f>
        <v>62</v>
      </c>
      <c r="K174" s="211">
        <f>IFERROR(__xludf.DUMMYFUNCTION("""COMPUTED_VALUE"""),21885.0)</f>
        <v>21885</v>
      </c>
      <c r="L174" s="211">
        <f>IFERROR(__xludf.DUMMYFUNCTION("""COMPUTED_VALUE"""),1993.0)</f>
        <v>1993</v>
      </c>
      <c r="M174" s="211">
        <f>IFERROR(__xludf.DUMMYFUNCTION("""COMPUTED_VALUE"""),257857.0)</f>
        <v>257857</v>
      </c>
      <c r="N174" s="211">
        <f>IFERROR(__xludf.DUMMYFUNCTION("""COMPUTED_VALUE"""),279742.0)</f>
        <v>279742</v>
      </c>
      <c r="O174" s="211">
        <f>IFERROR(__xludf.DUMMYFUNCTION("""COMPUTED_VALUE"""),7.0)</f>
        <v>7</v>
      </c>
      <c r="P174" s="211">
        <f>IFERROR(__xludf.DUMMYFUNCTION("""COMPUTED_VALUE"""),2549.0)</f>
        <v>2549</v>
      </c>
      <c r="Q174" s="211">
        <f>IFERROR(__xludf.DUMMYFUNCTION("""COMPUTED_VALUE"""),4.0)</f>
        <v>4</v>
      </c>
      <c r="R174" s="211">
        <f>IFERROR(__xludf.DUMMYFUNCTION("""COMPUTED_VALUE"""),2121.0)</f>
        <v>2121</v>
      </c>
      <c r="S174" s="211">
        <f>IFERROR(__xludf.DUMMYFUNCTION("""COMPUTED_VALUE"""),0.0)</f>
        <v>0</v>
      </c>
      <c r="T174" s="211">
        <f>IFERROR(__xludf.DUMMYFUNCTION("""COMPUTED_VALUE"""),335.0)</f>
        <v>335</v>
      </c>
      <c r="U174" s="211">
        <f>IFERROR(__xludf.DUMMYFUNCTION("""COMPUTED_VALUE"""),93.0)</f>
        <v>93</v>
      </c>
      <c r="V174" s="211">
        <f>IFERROR(__xludf.DUMMYFUNCTION("""COMPUTED_VALUE"""),92.0)</f>
        <v>92</v>
      </c>
      <c r="W174" s="211">
        <f>IFERROR(__xludf.DUMMYFUNCTION("""COMPUTED_VALUE"""),8.0)</f>
        <v>8</v>
      </c>
      <c r="X174" s="211">
        <f>IFERROR(__xludf.DUMMYFUNCTION("""COMPUTED_VALUE"""),5.0)</f>
        <v>5</v>
      </c>
      <c r="Y174" s="211">
        <f>IFERROR(__xludf.DUMMYFUNCTION("""COMPUTED_VALUE"""),2.0)</f>
        <v>2</v>
      </c>
      <c r="Z174" s="211">
        <f>IFERROR(__xludf.DUMMYFUNCTION("""COMPUTED_VALUE"""),1069.0)</f>
        <v>1069</v>
      </c>
    </row>
    <row r="175">
      <c r="A175" s="210">
        <f>IFERROR(__xludf.DUMMYFUNCTION("""COMPUTED_VALUE"""),44074.0)</f>
        <v>44074</v>
      </c>
      <c r="B175" s="211">
        <f>IFERROR(__xludf.DUMMYFUNCTION("""COMPUTED_VALUE"""),105.0)</f>
        <v>105</v>
      </c>
      <c r="C175" s="211">
        <f>IFERROR(__xludf.DUMMYFUNCTION("""COMPUTED_VALUE"""),79.0)</f>
        <v>79</v>
      </c>
      <c r="D175" s="211">
        <f>IFERROR(__xludf.DUMMYFUNCTION("""COMPUTED_VALUE"""),31496.0)</f>
        <v>31496</v>
      </c>
      <c r="E175" s="211">
        <f>IFERROR(__xludf.DUMMYFUNCTION("""COMPUTED_VALUE"""),4870.0)</f>
        <v>4870</v>
      </c>
      <c r="F175" s="153">
        <f>IFERROR(__xludf.DUMMYFUNCTION("""COMPUTED_VALUE"""),507062.0)</f>
        <v>507062</v>
      </c>
      <c r="G175" s="153">
        <f>IFERROR(__xludf.DUMMYFUNCTION("""COMPUTED_VALUE"""),4975.0)</f>
        <v>4975</v>
      </c>
      <c r="H175" s="153">
        <f>IFERROR(__xludf.DUMMYFUNCTION("""COMPUTED_VALUE"""),538558.0)</f>
        <v>538558</v>
      </c>
      <c r="I175" s="211">
        <f>IFERROR(__xludf.DUMMYFUNCTION("""COMPUTED_VALUE"""),80.0)</f>
        <v>80</v>
      </c>
      <c r="J175" s="211">
        <f>IFERROR(__xludf.DUMMYFUNCTION("""COMPUTED_VALUE"""),60.0)</f>
        <v>60</v>
      </c>
      <c r="K175" s="211">
        <f>IFERROR(__xludf.DUMMYFUNCTION("""COMPUTED_VALUE"""),21965.0)</f>
        <v>21965</v>
      </c>
      <c r="L175" s="211">
        <f>IFERROR(__xludf.DUMMYFUNCTION("""COMPUTED_VALUE"""),2197.0)</f>
        <v>2197</v>
      </c>
      <c r="M175" s="211">
        <f>IFERROR(__xludf.DUMMYFUNCTION("""COMPUTED_VALUE"""),260054.0)</f>
        <v>260054</v>
      </c>
      <c r="N175" s="211">
        <f>IFERROR(__xludf.DUMMYFUNCTION("""COMPUTED_VALUE"""),282019.0)</f>
        <v>282019</v>
      </c>
      <c r="O175" s="211">
        <f>IFERROR(__xludf.DUMMYFUNCTION("""COMPUTED_VALUE"""),10.0)</f>
        <v>10</v>
      </c>
      <c r="P175" s="211">
        <f>IFERROR(__xludf.DUMMYFUNCTION("""COMPUTED_VALUE"""),2559.0)</f>
        <v>2559</v>
      </c>
      <c r="Q175" s="211">
        <f>IFERROR(__xludf.DUMMYFUNCTION("""COMPUTED_VALUE"""),15.0)</f>
        <v>15</v>
      </c>
      <c r="R175" s="211">
        <f>IFERROR(__xludf.DUMMYFUNCTION("""COMPUTED_VALUE"""),2136.0)</f>
        <v>2136</v>
      </c>
      <c r="S175" s="211">
        <f>IFERROR(__xludf.DUMMYFUNCTION("""COMPUTED_VALUE"""),0.0)</f>
        <v>0</v>
      </c>
      <c r="T175" s="211">
        <f>IFERROR(__xludf.DUMMYFUNCTION("""COMPUTED_VALUE"""),335.0)</f>
        <v>335</v>
      </c>
      <c r="U175" s="211">
        <f>IFERROR(__xludf.DUMMYFUNCTION("""COMPUTED_VALUE"""),88.0)</f>
        <v>88</v>
      </c>
      <c r="V175" s="211">
        <f>IFERROR(__xludf.DUMMYFUNCTION("""COMPUTED_VALUE"""),90.0)</f>
        <v>90</v>
      </c>
      <c r="W175" s="211">
        <f>IFERROR(__xludf.DUMMYFUNCTION("""COMPUTED_VALUE"""),8.0)</f>
        <v>8</v>
      </c>
      <c r="X175" s="211">
        <f>IFERROR(__xludf.DUMMYFUNCTION("""COMPUTED_VALUE"""),4.0)</f>
        <v>4</v>
      </c>
      <c r="Y175" s="211">
        <f>IFERROR(__xludf.DUMMYFUNCTION("""COMPUTED_VALUE"""),0.0)</f>
        <v>0</v>
      </c>
      <c r="Z175" s="211">
        <f>IFERROR(__xludf.DUMMYFUNCTION("""COMPUTED_VALUE"""),1069.0)</f>
        <v>1069</v>
      </c>
    </row>
    <row r="176">
      <c r="A176" s="210">
        <f>IFERROR(__xludf.DUMMYFUNCTION("""COMPUTED_VALUE"""),44075.0)</f>
        <v>44075</v>
      </c>
      <c r="B176" s="211">
        <f>IFERROR(__xludf.DUMMYFUNCTION("""COMPUTED_VALUE"""),98.0)</f>
        <v>98</v>
      </c>
      <c r="C176" s="211">
        <f>IFERROR(__xludf.DUMMYFUNCTION("""COMPUTED_VALUE"""),90.0)</f>
        <v>90</v>
      </c>
      <c r="D176" s="211">
        <f>IFERROR(__xludf.DUMMYFUNCTION("""COMPUTED_VALUE"""),31594.0)</f>
        <v>31594</v>
      </c>
      <c r="E176" s="211">
        <f>IFERROR(__xludf.DUMMYFUNCTION("""COMPUTED_VALUE"""),7121.0)</f>
        <v>7121</v>
      </c>
      <c r="F176" s="153">
        <f>IFERROR(__xludf.DUMMYFUNCTION("""COMPUTED_VALUE"""),514183.0)</f>
        <v>514183</v>
      </c>
      <c r="G176" s="153">
        <f>IFERROR(__xludf.DUMMYFUNCTION("""COMPUTED_VALUE"""),7219.0)</f>
        <v>7219</v>
      </c>
      <c r="H176" s="153">
        <f>IFERROR(__xludf.DUMMYFUNCTION("""COMPUTED_VALUE"""),545777.0)</f>
        <v>545777</v>
      </c>
      <c r="I176" s="211">
        <f>IFERROR(__xludf.DUMMYFUNCTION("""COMPUTED_VALUE"""),65.0)</f>
        <v>65</v>
      </c>
      <c r="J176" s="211">
        <f>IFERROR(__xludf.DUMMYFUNCTION("""COMPUTED_VALUE"""),64.0)</f>
        <v>64</v>
      </c>
      <c r="K176" s="211">
        <f>IFERROR(__xludf.DUMMYFUNCTION("""COMPUTED_VALUE"""),22030.0)</f>
        <v>22030</v>
      </c>
      <c r="L176" s="211">
        <f>IFERROR(__xludf.DUMMYFUNCTION("""COMPUTED_VALUE"""),2377.0)</f>
        <v>2377</v>
      </c>
      <c r="M176" s="211">
        <f>IFERROR(__xludf.DUMMYFUNCTION("""COMPUTED_VALUE"""),262431.0)</f>
        <v>262431</v>
      </c>
      <c r="N176" s="211">
        <f>IFERROR(__xludf.DUMMYFUNCTION("""COMPUTED_VALUE"""),284461.0)</f>
        <v>284461</v>
      </c>
      <c r="O176" s="211">
        <f>IFERROR(__xludf.DUMMYFUNCTION("""COMPUTED_VALUE"""),6.0)</f>
        <v>6</v>
      </c>
      <c r="P176" s="211">
        <f>IFERROR(__xludf.DUMMYFUNCTION("""COMPUTED_VALUE"""),2565.0)</f>
        <v>2565</v>
      </c>
      <c r="Q176" s="211">
        <f>IFERROR(__xludf.DUMMYFUNCTION("""COMPUTED_VALUE"""),9.0)</f>
        <v>9</v>
      </c>
      <c r="R176" s="211">
        <f>IFERROR(__xludf.DUMMYFUNCTION("""COMPUTED_VALUE"""),2145.0)</f>
        <v>2145</v>
      </c>
      <c r="S176" s="211">
        <f>IFERROR(__xludf.DUMMYFUNCTION("""COMPUTED_VALUE"""),1.0)</f>
        <v>1</v>
      </c>
      <c r="T176" s="211">
        <f>IFERROR(__xludf.DUMMYFUNCTION("""COMPUTED_VALUE"""),336.0)</f>
        <v>336</v>
      </c>
      <c r="U176" s="211">
        <f>IFERROR(__xludf.DUMMYFUNCTION("""COMPUTED_VALUE"""),84.0)</f>
        <v>84</v>
      </c>
      <c r="V176" s="211">
        <f>IFERROR(__xludf.DUMMYFUNCTION("""COMPUTED_VALUE"""),88.0)</f>
        <v>88</v>
      </c>
      <c r="W176" s="211">
        <f>IFERROR(__xludf.DUMMYFUNCTION("""COMPUTED_VALUE"""),7.0)</f>
        <v>7</v>
      </c>
      <c r="X176" s="211">
        <f>IFERROR(__xludf.DUMMYFUNCTION("""COMPUTED_VALUE"""),4.0)</f>
        <v>4</v>
      </c>
      <c r="Y176" s="211">
        <f>IFERROR(__xludf.DUMMYFUNCTION("""COMPUTED_VALUE"""),2.0)</f>
        <v>2</v>
      </c>
      <c r="Z176" s="211">
        <f>IFERROR(__xludf.DUMMYFUNCTION("""COMPUTED_VALUE"""),1071.0)</f>
        <v>1071</v>
      </c>
    </row>
    <row r="177">
      <c r="A177" s="210">
        <f>IFERROR(__xludf.DUMMYFUNCTION("""COMPUTED_VALUE"""),44076.0)</f>
        <v>44076</v>
      </c>
      <c r="B177" s="211">
        <f>IFERROR(__xludf.DUMMYFUNCTION("""COMPUTED_VALUE"""),126.0)</f>
        <v>126</v>
      </c>
      <c r="C177" s="211">
        <f>IFERROR(__xludf.DUMMYFUNCTION("""COMPUTED_VALUE"""),110.0)</f>
        <v>110</v>
      </c>
      <c r="D177" s="211">
        <f>IFERROR(__xludf.DUMMYFUNCTION("""COMPUTED_VALUE"""),31720.0)</f>
        <v>31720</v>
      </c>
      <c r="E177" s="211">
        <f>IFERROR(__xludf.DUMMYFUNCTION("""COMPUTED_VALUE"""),10680.0)</f>
        <v>10680</v>
      </c>
      <c r="F177" s="153">
        <f>IFERROR(__xludf.DUMMYFUNCTION("""COMPUTED_VALUE"""),524863.0)</f>
        <v>524863</v>
      </c>
      <c r="G177" s="153">
        <f>IFERROR(__xludf.DUMMYFUNCTION("""COMPUTED_VALUE"""),10806.0)</f>
        <v>10806</v>
      </c>
      <c r="H177" s="153">
        <f>IFERROR(__xludf.DUMMYFUNCTION("""COMPUTED_VALUE"""),556583.0)</f>
        <v>556583</v>
      </c>
      <c r="I177" s="211">
        <f>IFERROR(__xludf.DUMMYFUNCTION("""COMPUTED_VALUE"""),103.0)</f>
        <v>103</v>
      </c>
      <c r="J177" s="211">
        <f>IFERROR(__xludf.DUMMYFUNCTION("""COMPUTED_VALUE"""),83.0)</f>
        <v>83</v>
      </c>
      <c r="K177" s="211">
        <f>IFERROR(__xludf.DUMMYFUNCTION("""COMPUTED_VALUE"""),22133.0)</f>
        <v>22133</v>
      </c>
      <c r="L177" s="211">
        <f>IFERROR(__xludf.DUMMYFUNCTION("""COMPUTED_VALUE"""),3047.0)</f>
        <v>3047</v>
      </c>
      <c r="M177" s="211">
        <f>IFERROR(__xludf.DUMMYFUNCTION("""COMPUTED_VALUE"""),265478.0)</f>
        <v>265478</v>
      </c>
      <c r="N177" s="211">
        <f>IFERROR(__xludf.DUMMYFUNCTION("""COMPUTED_VALUE"""),287611.0)</f>
        <v>287611</v>
      </c>
      <c r="O177" s="211">
        <f>IFERROR(__xludf.DUMMYFUNCTION("""COMPUTED_VALUE"""),9.0)</f>
        <v>9</v>
      </c>
      <c r="P177" s="211">
        <f>IFERROR(__xludf.DUMMYFUNCTION("""COMPUTED_VALUE"""),2574.0)</f>
        <v>2574</v>
      </c>
      <c r="Q177" s="211">
        <f>IFERROR(__xludf.DUMMYFUNCTION("""COMPUTED_VALUE"""),10.0)</f>
        <v>10</v>
      </c>
      <c r="R177" s="211">
        <f>IFERROR(__xludf.DUMMYFUNCTION("""COMPUTED_VALUE"""),2155.0)</f>
        <v>2155</v>
      </c>
      <c r="S177" s="211">
        <f>IFERROR(__xludf.DUMMYFUNCTION("""COMPUTED_VALUE"""),1.0)</f>
        <v>1</v>
      </c>
      <c r="T177" s="211">
        <f>IFERROR(__xludf.DUMMYFUNCTION("""COMPUTED_VALUE"""),337.0)</f>
        <v>337</v>
      </c>
      <c r="U177" s="211">
        <f>IFERROR(__xludf.DUMMYFUNCTION("""COMPUTED_VALUE"""),82.0)</f>
        <v>82</v>
      </c>
      <c r="V177" s="211">
        <f>IFERROR(__xludf.DUMMYFUNCTION("""COMPUTED_VALUE"""),85.0)</f>
        <v>85</v>
      </c>
      <c r="W177" s="211">
        <f>IFERROR(__xludf.DUMMYFUNCTION("""COMPUTED_VALUE"""),8.0)</f>
        <v>8</v>
      </c>
      <c r="X177" s="211">
        <f>IFERROR(__xludf.DUMMYFUNCTION("""COMPUTED_VALUE"""),4.0)</f>
        <v>4</v>
      </c>
      <c r="Y177" s="211">
        <f>IFERROR(__xludf.DUMMYFUNCTION("""COMPUTED_VALUE"""),2.0)</f>
        <v>2</v>
      </c>
      <c r="Z177" s="211">
        <f>IFERROR(__xludf.DUMMYFUNCTION("""COMPUTED_VALUE"""),1073.0)</f>
        <v>1073</v>
      </c>
    </row>
    <row r="178">
      <c r="A178" s="210">
        <f>IFERROR(__xludf.DUMMYFUNCTION("""COMPUTED_VALUE"""),44077.0)</f>
        <v>44077</v>
      </c>
      <c r="B178" s="211">
        <f>IFERROR(__xludf.DUMMYFUNCTION("""COMPUTED_VALUE"""),89.0)</f>
        <v>89</v>
      </c>
      <c r="C178" s="211">
        <f>IFERROR(__xludf.DUMMYFUNCTION("""COMPUTED_VALUE"""),104.0)</f>
        <v>104</v>
      </c>
      <c r="D178" s="211">
        <f>IFERROR(__xludf.DUMMYFUNCTION("""COMPUTED_VALUE"""),31809.0)</f>
        <v>31809</v>
      </c>
      <c r="E178" s="211">
        <f>IFERROR(__xludf.DUMMYFUNCTION("""COMPUTED_VALUE"""),11205.0)</f>
        <v>11205</v>
      </c>
      <c r="F178" s="153">
        <f>IFERROR(__xludf.DUMMYFUNCTION("""COMPUTED_VALUE"""),536068.0)</f>
        <v>536068</v>
      </c>
      <c r="G178" s="153">
        <f>IFERROR(__xludf.DUMMYFUNCTION("""COMPUTED_VALUE"""),11294.0)</f>
        <v>11294</v>
      </c>
      <c r="H178" s="153">
        <f>IFERROR(__xludf.DUMMYFUNCTION("""COMPUTED_VALUE"""),567877.0)</f>
        <v>567877</v>
      </c>
      <c r="I178" s="211">
        <f>IFERROR(__xludf.DUMMYFUNCTION("""COMPUTED_VALUE"""),74.0)</f>
        <v>74</v>
      </c>
      <c r="J178" s="211">
        <f>IFERROR(__xludf.DUMMYFUNCTION("""COMPUTED_VALUE"""),81.0)</f>
        <v>81</v>
      </c>
      <c r="K178" s="211">
        <f>IFERROR(__xludf.DUMMYFUNCTION("""COMPUTED_VALUE"""),22207.0)</f>
        <v>22207</v>
      </c>
      <c r="L178" s="211">
        <f>IFERROR(__xludf.DUMMYFUNCTION("""COMPUTED_VALUE"""),2583.0)</f>
        <v>2583</v>
      </c>
      <c r="M178" s="211">
        <f>IFERROR(__xludf.DUMMYFUNCTION("""COMPUTED_VALUE"""),268061.0)</f>
        <v>268061</v>
      </c>
      <c r="N178" s="211">
        <f>IFERROR(__xludf.DUMMYFUNCTION("""COMPUTED_VALUE"""),290268.0)</f>
        <v>290268</v>
      </c>
      <c r="O178" s="211">
        <f>IFERROR(__xludf.DUMMYFUNCTION("""COMPUTED_VALUE"""),8.0)</f>
        <v>8</v>
      </c>
      <c r="P178" s="211">
        <f>IFERROR(__xludf.DUMMYFUNCTION("""COMPUTED_VALUE"""),2582.0)</f>
        <v>2582</v>
      </c>
      <c r="Q178" s="211">
        <f>IFERROR(__xludf.DUMMYFUNCTION("""COMPUTED_VALUE"""),8.0)</f>
        <v>8</v>
      </c>
      <c r="R178" s="211">
        <f>IFERROR(__xludf.DUMMYFUNCTION("""COMPUTED_VALUE"""),2163.0)</f>
        <v>2163</v>
      </c>
      <c r="S178" s="211">
        <f>IFERROR(__xludf.DUMMYFUNCTION("""COMPUTED_VALUE"""),0.0)</f>
        <v>0</v>
      </c>
      <c r="T178" s="211">
        <f>IFERROR(__xludf.DUMMYFUNCTION("""COMPUTED_VALUE"""),337.0)</f>
        <v>337</v>
      </c>
      <c r="U178" s="211">
        <f>IFERROR(__xludf.DUMMYFUNCTION("""COMPUTED_VALUE"""),82.0)</f>
        <v>82</v>
      </c>
      <c r="V178" s="211">
        <f>IFERROR(__xludf.DUMMYFUNCTION("""COMPUTED_VALUE"""),83.0)</f>
        <v>83</v>
      </c>
      <c r="W178" s="211">
        <f>IFERROR(__xludf.DUMMYFUNCTION("""COMPUTED_VALUE"""),9.0)</f>
        <v>9</v>
      </c>
      <c r="X178" s="211">
        <f>IFERROR(__xludf.DUMMYFUNCTION("""COMPUTED_VALUE"""),4.0)</f>
        <v>4</v>
      </c>
      <c r="Y178" s="211">
        <f>IFERROR(__xludf.DUMMYFUNCTION("""COMPUTED_VALUE"""),2.0)</f>
        <v>2</v>
      </c>
      <c r="Z178" s="211">
        <f>IFERROR(__xludf.DUMMYFUNCTION("""COMPUTED_VALUE"""),1075.0)</f>
        <v>1075</v>
      </c>
    </row>
    <row r="179">
      <c r="A179" s="210">
        <f>IFERROR(__xludf.DUMMYFUNCTION("""COMPUTED_VALUE"""),44078.0)</f>
        <v>44078</v>
      </c>
      <c r="B179" s="211">
        <f>IFERROR(__xludf.DUMMYFUNCTION("""COMPUTED_VALUE"""),102.0)</f>
        <v>102</v>
      </c>
      <c r="C179" s="211">
        <f>IFERROR(__xludf.DUMMYFUNCTION("""COMPUTED_VALUE"""),106.0)</f>
        <v>106</v>
      </c>
      <c r="D179" s="211">
        <f>IFERROR(__xludf.DUMMYFUNCTION("""COMPUTED_VALUE"""),31911.0)</f>
        <v>31911</v>
      </c>
      <c r="E179" s="211">
        <f>IFERROR(__xludf.DUMMYFUNCTION("""COMPUTED_VALUE"""),9038.0)</f>
        <v>9038</v>
      </c>
      <c r="F179" s="153">
        <f>IFERROR(__xludf.DUMMYFUNCTION("""COMPUTED_VALUE"""),545106.0)</f>
        <v>545106</v>
      </c>
      <c r="G179" s="153">
        <f>IFERROR(__xludf.DUMMYFUNCTION("""COMPUTED_VALUE"""),9140.0)</f>
        <v>9140</v>
      </c>
      <c r="H179" s="153">
        <f>IFERROR(__xludf.DUMMYFUNCTION("""COMPUTED_VALUE"""),577017.0)</f>
        <v>577017</v>
      </c>
      <c r="I179" s="211">
        <f>IFERROR(__xludf.DUMMYFUNCTION("""COMPUTED_VALUE"""),82.0)</f>
        <v>82</v>
      </c>
      <c r="J179" s="211">
        <f>IFERROR(__xludf.DUMMYFUNCTION("""COMPUTED_VALUE"""),86.0)</f>
        <v>86</v>
      </c>
      <c r="K179" s="211">
        <f>IFERROR(__xludf.DUMMYFUNCTION("""COMPUTED_VALUE"""),22289.0)</f>
        <v>22289</v>
      </c>
      <c r="L179" s="211">
        <f>IFERROR(__xludf.DUMMYFUNCTION("""COMPUTED_VALUE"""),2399.0)</f>
        <v>2399</v>
      </c>
      <c r="M179" s="211">
        <f>IFERROR(__xludf.DUMMYFUNCTION("""COMPUTED_VALUE"""),270460.0)</f>
        <v>270460</v>
      </c>
      <c r="N179" s="211">
        <f>IFERROR(__xludf.DUMMYFUNCTION("""COMPUTED_VALUE"""),292749.0)</f>
        <v>292749</v>
      </c>
      <c r="O179" s="211">
        <f>IFERROR(__xludf.DUMMYFUNCTION("""COMPUTED_VALUE"""),11.0)</f>
        <v>11</v>
      </c>
      <c r="P179" s="211">
        <f>IFERROR(__xludf.DUMMYFUNCTION("""COMPUTED_VALUE"""),2593.0)</f>
        <v>2593</v>
      </c>
      <c r="Q179" s="211">
        <f>IFERROR(__xludf.DUMMYFUNCTION("""COMPUTED_VALUE"""),4.0)</f>
        <v>4</v>
      </c>
      <c r="R179" s="211">
        <f>IFERROR(__xludf.DUMMYFUNCTION("""COMPUTED_VALUE"""),2167.0)</f>
        <v>2167</v>
      </c>
      <c r="S179" s="211">
        <f>IFERROR(__xludf.DUMMYFUNCTION("""COMPUTED_VALUE"""),0.0)</f>
        <v>0</v>
      </c>
      <c r="T179" s="211">
        <f>IFERROR(__xludf.DUMMYFUNCTION("""COMPUTED_VALUE"""),337.0)</f>
        <v>337</v>
      </c>
      <c r="U179" s="211">
        <f>IFERROR(__xludf.DUMMYFUNCTION("""COMPUTED_VALUE"""),89.0)</f>
        <v>89</v>
      </c>
      <c r="V179" s="211">
        <f>IFERROR(__xludf.DUMMYFUNCTION("""COMPUTED_VALUE"""),84.0)</f>
        <v>84</v>
      </c>
      <c r="W179" s="211">
        <f>IFERROR(__xludf.DUMMYFUNCTION("""COMPUTED_VALUE"""),9.0)</f>
        <v>9</v>
      </c>
      <c r="X179" s="211">
        <f>IFERROR(__xludf.DUMMYFUNCTION("""COMPUTED_VALUE"""),4.0)</f>
        <v>4</v>
      </c>
      <c r="Y179" s="211">
        <f>IFERROR(__xludf.DUMMYFUNCTION("""COMPUTED_VALUE"""),1.0)</f>
        <v>1</v>
      </c>
      <c r="Z179" s="211">
        <f>IFERROR(__xludf.DUMMYFUNCTION("""COMPUTED_VALUE"""),1076.0)</f>
        <v>1076</v>
      </c>
    </row>
    <row r="180">
      <c r="A180" s="210">
        <f>IFERROR(__xludf.DUMMYFUNCTION("""COMPUTED_VALUE"""),44079.0)</f>
        <v>44079</v>
      </c>
      <c r="B180" s="211">
        <f>IFERROR(__xludf.DUMMYFUNCTION("""COMPUTED_VALUE"""),52.0)</f>
        <v>52</v>
      </c>
      <c r="C180" s="211">
        <f>IFERROR(__xludf.DUMMYFUNCTION("""COMPUTED_VALUE"""),81.0)</f>
        <v>81</v>
      </c>
      <c r="D180" s="211">
        <f>IFERROR(__xludf.DUMMYFUNCTION("""COMPUTED_VALUE"""),31963.0)</f>
        <v>31963</v>
      </c>
      <c r="E180" s="211">
        <f>IFERROR(__xludf.DUMMYFUNCTION("""COMPUTED_VALUE"""),6307.0)</f>
        <v>6307</v>
      </c>
      <c r="F180" s="153">
        <f>IFERROR(__xludf.DUMMYFUNCTION("""COMPUTED_VALUE"""),551413.0)</f>
        <v>551413</v>
      </c>
      <c r="G180" s="153">
        <f>IFERROR(__xludf.DUMMYFUNCTION("""COMPUTED_VALUE"""),6359.0)</f>
        <v>6359</v>
      </c>
      <c r="H180" s="153">
        <f>IFERROR(__xludf.DUMMYFUNCTION("""COMPUTED_VALUE"""),583376.0)</f>
        <v>583376</v>
      </c>
      <c r="I180" s="211">
        <f>IFERROR(__xludf.DUMMYFUNCTION("""COMPUTED_VALUE"""),42.0)</f>
        <v>42</v>
      </c>
      <c r="J180" s="211">
        <f>IFERROR(__xludf.DUMMYFUNCTION("""COMPUTED_VALUE"""),66.0)</f>
        <v>66</v>
      </c>
      <c r="K180" s="211">
        <f>IFERROR(__xludf.DUMMYFUNCTION("""COMPUTED_VALUE"""),22331.0)</f>
        <v>22331</v>
      </c>
      <c r="L180" s="211">
        <f>IFERROR(__xludf.DUMMYFUNCTION("""COMPUTED_VALUE"""),1601.0)</f>
        <v>1601</v>
      </c>
      <c r="M180" s="211">
        <f>IFERROR(__xludf.DUMMYFUNCTION("""COMPUTED_VALUE"""),272061.0)</f>
        <v>272061</v>
      </c>
      <c r="N180" s="211">
        <f>IFERROR(__xludf.DUMMYFUNCTION("""COMPUTED_VALUE"""),294392.0)</f>
        <v>294392</v>
      </c>
      <c r="O180" s="211">
        <f>IFERROR(__xludf.DUMMYFUNCTION("""COMPUTED_VALUE"""),6.0)</f>
        <v>6</v>
      </c>
      <c r="P180" s="211">
        <f>IFERROR(__xludf.DUMMYFUNCTION("""COMPUTED_VALUE"""),2599.0)</f>
        <v>2599</v>
      </c>
      <c r="Q180" s="211">
        <f>IFERROR(__xludf.DUMMYFUNCTION("""COMPUTED_VALUE"""),9.0)</f>
        <v>9</v>
      </c>
      <c r="R180" s="211">
        <f>IFERROR(__xludf.DUMMYFUNCTION("""COMPUTED_VALUE"""),2176.0)</f>
        <v>2176</v>
      </c>
      <c r="S180" s="211">
        <f>IFERROR(__xludf.DUMMYFUNCTION("""COMPUTED_VALUE"""),0.0)</f>
        <v>0</v>
      </c>
      <c r="T180" s="211">
        <f>IFERROR(__xludf.DUMMYFUNCTION("""COMPUTED_VALUE"""),337.0)</f>
        <v>337</v>
      </c>
      <c r="U180" s="211">
        <f>IFERROR(__xludf.DUMMYFUNCTION("""COMPUTED_VALUE"""),86.0)</f>
        <v>86</v>
      </c>
      <c r="V180" s="211">
        <f>IFERROR(__xludf.DUMMYFUNCTION("""COMPUTED_VALUE"""),86.0)</f>
        <v>86</v>
      </c>
      <c r="W180" s="211">
        <f>IFERROR(__xludf.DUMMYFUNCTION("""COMPUTED_VALUE"""),8.0)</f>
        <v>8</v>
      </c>
      <c r="X180" s="211">
        <f>IFERROR(__xludf.DUMMYFUNCTION("""COMPUTED_VALUE"""),3.0)</f>
        <v>3</v>
      </c>
      <c r="Y180" s="211">
        <f>IFERROR(__xludf.DUMMYFUNCTION("""COMPUTED_VALUE"""),1.0)</f>
        <v>1</v>
      </c>
      <c r="Z180" s="211">
        <f>IFERROR(__xludf.DUMMYFUNCTION("""COMPUTED_VALUE"""),1077.0)</f>
        <v>1077</v>
      </c>
    </row>
    <row r="181">
      <c r="A181" s="210">
        <f>IFERROR(__xludf.DUMMYFUNCTION("""COMPUTED_VALUE"""),44080.0)</f>
        <v>44080</v>
      </c>
      <c r="B181" s="211">
        <f>IFERROR(__xludf.DUMMYFUNCTION("""COMPUTED_VALUE"""),87.0)</f>
        <v>87</v>
      </c>
      <c r="C181" s="211">
        <f>IFERROR(__xludf.DUMMYFUNCTION("""COMPUTED_VALUE"""),80.0)</f>
        <v>80</v>
      </c>
      <c r="D181" s="211">
        <f>IFERROR(__xludf.DUMMYFUNCTION("""COMPUTED_VALUE"""),32050.0)</f>
        <v>32050</v>
      </c>
      <c r="E181" s="211">
        <f>IFERROR(__xludf.DUMMYFUNCTION("""COMPUTED_VALUE"""),4316.0)</f>
        <v>4316</v>
      </c>
      <c r="F181" s="153">
        <f>IFERROR(__xludf.DUMMYFUNCTION("""COMPUTED_VALUE"""),555729.0)</f>
        <v>555729</v>
      </c>
      <c r="G181" s="153">
        <f>IFERROR(__xludf.DUMMYFUNCTION("""COMPUTED_VALUE"""),4403.0)</f>
        <v>4403</v>
      </c>
      <c r="H181" s="153">
        <f>IFERROR(__xludf.DUMMYFUNCTION("""COMPUTED_VALUE"""),587779.0)</f>
        <v>587779</v>
      </c>
      <c r="I181" s="211">
        <f>IFERROR(__xludf.DUMMYFUNCTION("""COMPUTED_VALUE"""),64.0)</f>
        <v>64</v>
      </c>
      <c r="J181" s="211">
        <f>IFERROR(__xludf.DUMMYFUNCTION("""COMPUTED_VALUE"""),63.0)</f>
        <v>63</v>
      </c>
      <c r="K181" s="211">
        <f>IFERROR(__xludf.DUMMYFUNCTION("""COMPUTED_VALUE"""),22395.0)</f>
        <v>22395</v>
      </c>
      <c r="L181" s="211">
        <f>IFERROR(__xludf.DUMMYFUNCTION("""COMPUTED_VALUE"""),1959.0)</f>
        <v>1959</v>
      </c>
      <c r="M181" s="211">
        <f>IFERROR(__xludf.DUMMYFUNCTION("""COMPUTED_VALUE"""),274020.0)</f>
        <v>274020</v>
      </c>
      <c r="N181" s="211">
        <f>IFERROR(__xludf.DUMMYFUNCTION("""COMPUTED_VALUE"""),296415.0)</f>
        <v>296415</v>
      </c>
      <c r="O181" s="211">
        <f>IFERROR(__xludf.DUMMYFUNCTION("""COMPUTED_VALUE"""),4.0)</f>
        <v>4</v>
      </c>
      <c r="P181" s="211">
        <f>IFERROR(__xludf.DUMMYFUNCTION("""COMPUTED_VALUE"""),2603.0)</f>
        <v>2603</v>
      </c>
      <c r="Q181" s="211">
        <f>IFERROR(__xludf.DUMMYFUNCTION("""COMPUTED_VALUE"""),8.0)</f>
        <v>8</v>
      </c>
      <c r="R181" s="211">
        <f>IFERROR(__xludf.DUMMYFUNCTION("""COMPUTED_VALUE"""),2184.0)</f>
        <v>2184</v>
      </c>
      <c r="S181" s="211">
        <f>IFERROR(__xludf.DUMMYFUNCTION("""COMPUTED_VALUE"""),1.0)</f>
        <v>1</v>
      </c>
      <c r="T181" s="211">
        <f>IFERROR(__xludf.DUMMYFUNCTION("""COMPUTED_VALUE"""),338.0)</f>
        <v>338</v>
      </c>
      <c r="U181" s="211">
        <f>IFERROR(__xludf.DUMMYFUNCTION("""COMPUTED_VALUE"""),81.0)</f>
        <v>81</v>
      </c>
      <c r="V181" s="211">
        <f>IFERROR(__xludf.DUMMYFUNCTION("""COMPUTED_VALUE"""),85.0)</f>
        <v>85</v>
      </c>
      <c r="W181" s="211">
        <f>IFERROR(__xludf.DUMMYFUNCTION("""COMPUTED_VALUE"""),6.0)</f>
        <v>6</v>
      </c>
      <c r="X181" s="211">
        <f>IFERROR(__xludf.DUMMYFUNCTION("""COMPUTED_VALUE"""),3.0)</f>
        <v>3</v>
      </c>
      <c r="Y181" s="211">
        <f>IFERROR(__xludf.DUMMYFUNCTION("""COMPUTED_VALUE"""),1.0)</f>
        <v>1</v>
      </c>
      <c r="Z181" s="211">
        <f>IFERROR(__xludf.DUMMYFUNCTION("""COMPUTED_VALUE"""),1078.0)</f>
        <v>1078</v>
      </c>
    </row>
    <row r="182">
      <c r="A182" s="210">
        <f>IFERROR(__xludf.DUMMYFUNCTION("""COMPUTED_VALUE"""),44081.0)</f>
        <v>44081</v>
      </c>
      <c r="B182" s="211">
        <f>IFERROR(__xludf.DUMMYFUNCTION("""COMPUTED_VALUE"""),35.0)</f>
        <v>35</v>
      </c>
      <c r="C182" s="211">
        <f>IFERROR(__xludf.DUMMYFUNCTION("""COMPUTED_VALUE"""),58.0)</f>
        <v>58</v>
      </c>
      <c r="D182" s="211">
        <f>IFERROR(__xludf.DUMMYFUNCTION("""COMPUTED_VALUE"""),32085.0)</f>
        <v>32085</v>
      </c>
      <c r="E182" s="211">
        <f>IFERROR(__xludf.DUMMYFUNCTION("""COMPUTED_VALUE"""),3002.0)</f>
        <v>3002</v>
      </c>
      <c r="F182" s="153">
        <f>IFERROR(__xludf.DUMMYFUNCTION("""COMPUTED_VALUE"""),558731.0)</f>
        <v>558731</v>
      </c>
      <c r="G182" s="153">
        <f>IFERROR(__xludf.DUMMYFUNCTION("""COMPUTED_VALUE"""),3037.0)</f>
        <v>3037</v>
      </c>
      <c r="H182" s="153">
        <f>IFERROR(__xludf.DUMMYFUNCTION("""COMPUTED_VALUE"""),590816.0)</f>
        <v>590816</v>
      </c>
      <c r="I182" s="211">
        <f>IFERROR(__xludf.DUMMYFUNCTION("""COMPUTED_VALUE"""),26.0)</f>
        <v>26</v>
      </c>
      <c r="J182" s="211">
        <f>IFERROR(__xludf.DUMMYFUNCTION("""COMPUTED_VALUE"""),44.0)</f>
        <v>44</v>
      </c>
      <c r="K182" s="211">
        <f>IFERROR(__xludf.DUMMYFUNCTION("""COMPUTED_VALUE"""),22421.0)</f>
        <v>22421</v>
      </c>
      <c r="L182" s="211">
        <f>IFERROR(__xludf.DUMMYFUNCTION("""COMPUTED_VALUE"""),649.0)</f>
        <v>649</v>
      </c>
      <c r="M182" s="211">
        <f>IFERROR(__xludf.DUMMYFUNCTION("""COMPUTED_VALUE"""),274669.0)</f>
        <v>274669</v>
      </c>
      <c r="N182" s="211">
        <f>IFERROR(__xludf.DUMMYFUNCTION("""COMPUTED_VALUE"""),297090.0)</f>
        <v>297090</v>
      </c>
      <c r="O182" s="211">
        <f>IFERROR(__xludf.DUMMYFUNCTION("""COMPUTED_VALUE"""),11.0)</f>
        <v>11</v>
      </c>
      <c r="P182" s="211">
        <f>IFERROR(__xludf.DUMMYFUNCTION("""COMPUTED_VALUE"""),2614.0)</f>
        <v>2614</v>
      </c>
      <c r="Q182" s="211">
        <f>IFERROR(__xludf.DUMMYFUNCTION("""COMPUTED_VALUE"""),3.0)</f>
        <v>3</v>
      </c>
      <c r="R182" s="211">
        <f>IFERROR(__xludf.DUMMYFUNCTION("""COMPUTED_VALUE"""),2187.0)</f>
        <v>2187</v>
      </c>
      <c r="S182" s="211">
        <f>IFERROR(__xludf.DUMMYFUNCTION("""COMPUTED_VALUE"""),0.0)</f>
        <v>0</v>
      </c>
      <c r="T182" s="211">
        <f>IFERROR(__xludf.DUMMYFUNCTION("""COMPUTED_VALUE"""),338.0)</f>
        <v>338</v>
      </c>
      <c r="U182" s="211">
        <f>IFERROR(__xludf.DUMMYFUNCTION("""COMPUTED_VALUE"""),89.0)</f>
        <v>89</v>
      </c>
      <c r="V182" s="211">
        <f>IFERROR(__xludf.DUMMYFUNCTION("""COMPUTED_VALUE"""),85.0)</f>
        <v>85</v>
      </c>
      <c r="W182" s="211">
        <f>IFERROR(__xludf.DUMMYFUNCTION("""COMPUTED_VALUE"""),5.0)</f>
        <v>5</v>
      </c>
      <c r="X182" s="211">
        <f>IFERROR(__xludf.DUMMYFUNCTION("""COMPUTED_VALUE"""),3.0)</f>
        <v>3</v>
      </c>
      <c r="Y182" s="211">
        <f>IFERROR(__xludf.DUMMYFUNCTION("""COMPUTED_VALUE"""),1.0)</f>
        <v>1</v>
      </c>
      <c r="Z182" s="211">
        <f>IFERROR(__xludf.DUMMYFUNCTION("""COMPUTED_VALUE"""),1079.0)</f>
        <v>1079</v>
      </c>
    </row>
    <row r="183">
      <c r="A183" s="210">
        <f>IFERROR(__xludf.DUMMYFUNCTION("""COMPUTED_VALUE"""),44082.0)</f>
        <v>44082</v>
      </c>
      <c r="B183" s="211">
        <f>IFERROR(__xludf.DUMMYFUNCTION("""COMPUTED_VALUE"""),75.0)</f>
        <v>75</v>
      </c>
      <c r="C183" s="211">
        <f>IFERROR(__xludf.DUMMYFUNCTION("""COMPUTED_VALUE"""),66.0)</f>
        <v>66</v>
      </c>
      <c r="D183" s="211">
        <f>IFERROR(__xludf.DUMMYFUNCTION("""COMPUTED_VALUE"""),32160.0)</f>
        <v>32160</v>
      </c>
      <c r="E183" s="211">
        <f>IFERROR(__xludf.DUMMYFUNCTION("""COMPUTED_VALUE"""),6377.0)</f>
        <v>6377</v>
      </c>
      <c r="F183" s="153">
        <f>IFERROR(__xludf.DUMMYFUNCTION("""COMPUTED_VALUE"""),565108.0)</f>
        <v>565108</v>
      </c>
      <c r="G183" s="153">
        <f>IFERROR(__xludf.DUMMYFUNCTION("""COMPUTED_VALUE"""),6452.0)</f>
        <v>6452</v>
      </c>
      <c r="H183" s="153">
        <f>IFERROR(__xludf.DUMMYFUNCTION("""COMPUTED_VALUE"""),597268.0)</f>
        <v>597268</v>
      </c>
      <c r="I183" s="211">
        <f>IFERROR(__xludf.DUMMYFUNCTION("""COMPUTED_VALUE"""),66.0)</f>
        <v>66</v>
      </c>
      <c r="J183" s="211">
        <f>IFERROR(__xludf.DUMMYFUNCTION("""COMPUTED_VALUE"""),52.0)</f>
        <v>52</v>
      </c>
      <c r="K183" s="211">
        <f>IFERROR(__xludf.DUMMYFUNCTION("""COMPUTED_VALUE"""),22487.0)</f>
        <v>22487</v>
      </c>
      <c r="L183" s="211">
        <f>IFERROR(__xludf.DUMMYFUNCTION("""COMPUTED_VALUE"""),1605.0)</f>
        <v>1605</v>
      </c>
      <c r="M183" s="211">
        <f>IFERROR(__xludf.DUMMYFUNCTION("""COMPUTED_VALUE"""),276274.0)</f>
        <v>276274</v>
      </c>
      <c r="N183" s="211">
        <f>IFERROR(__xludf.DUMMYFUNCTION("""COMPUTED_VALUE"""),298761.0)</f>
        <v>298761</v>
      </c>
      <c r="O183" s="211">
        <f>IFERROR(__xludf.DUMMYFUNCTION("""COMPUTED_VALUE"""),6.0)</f>
        <v>6</v>
      </c>
      <c r="P183" s="211">
        <f>IFERROR(__xludf.DUMMYFUNCTION("""COMPUTED_VALUE"""),2620.0)</f>
        <v>2620</v>
      </c>
      <c r="Q183" s="211">
        <f>IFERROR(__xludf.DUMMYFUNCTION("""COMPUTED_VALUE"""),12.0)</f>
        <v>12</v>
      </c>
      <c r="R183" s="211">
        <f>IFERROR(__xludf.DUMMYFUNCTION("""COMPUTED_VALUE"""),2199.0)</f>
        <v>2199</v>
      </c>
      <c r="S183" s="211">
        <f>IFERROR(__xludf.DUMMYFUNCTION("""COMPUTED_VALUE"""),1.0)</f>
        <v>1</v>
      </c>
      <c r="T183" s="211">
        <f>IFERROR(__xludf.DUMMYFUNCTION("""COMPUTED_VALUE"""),339.0)</f>
        <v>339</v>
      </c>
      <c r="U183" s="211">
        <f>IFERROR(__xludf.DUMMYFUNCTION("""COMPUTED_VALUE"""),82.0)</f>
        <v>82</v>
      </c>
      <c r="V183" s="211">
        <f>IFERROR(__xludf.DUMMYFUNCTION("""COMPUTED_VALUE"""),84.0)</f>
        <v>84</v>
      </c>
      <c r="W183" s="211">
        <f>IFERROR(__xludf.DUMMYFUNCTION("""COMPUTED_VALUE"""),6.0)</f>
        <v>6</v>
      </c>
      <c r="X183" s="211">
        <f>IFERROR(__xludf.DUMMYFUNCTION("""COMPUTED_VALUE"""),3.0)</f>
        <v>3</v>
      </c>
      <c r="Y183" s="211">
        <f>IFERROR(__xludf.DUMMYFUNCTION("""COMPUTED_VALUE"""),2.0)</f>
        <v>2</v>
      </c>
      <c r="Z183" s="211">
        <f>IFERROR(__xludf.DUMMYFUNCTION("""COMPUTED_VALUE"""),1081.0)</f>
        <v>1081</v>
      </c>
    </row>
    <row r="184">
      <c r="A184" s="210">
        <f>IFERROR(__xludf.DUMMYFUNCTION("""COMPUTED_VALUE"""),44083.0)</f>
        <v>44083</v>
      </c>
      <c r="B184" s="211">
        <f>IFERROR(__xludf.DUMMYFUNCTION("""COMPUTED_VALUE"""),118.0)</f>
        <v>118</v>
      </c>
      <c r="C184" s="211">
        <f>IFERROR(__xludf.DUMMYFUNCTION("""COMPUTED_VALUE"""),76.0)</f>
        <v>76</v>
      </c>
      <c r="D184" s="211">
        <f>IFERROR(__xludf.DUMMYFUNCTION("""COMPUTED_VALUE"""),32278.0)</f>
        <v>32278</v>
      </c>
      <c r="E184" s="211">
        <f>IFERROR(__xludf.DUMMYFUNCTION("""COMPUTED_VALUE"""),8840.0)</f>
        <v>8840</v>
      </c>
      <c r="F184" s="153">
        <f>IFERROR(__xludf.DUMMYFUNCTION("""COMPUTED_VALUE"""),573948.0)</f>
        <v>573948</v>
      </c>
      <c r="G184" s="153">
        <f>IFERROR(__xludf.DUMMYFUNCTION("""COMPUTED_VALUE"""),8958.0)</f>
        <v>8958</v>
      </c>
      <c r="H184" s="153">
        <f>IFERROR(__xludf.DUMMYFUNCTION("""COMPUTED_VALUE"""),606226.0)</f>
        <v>606226</v>
      </c>
      <c r="I184" s="211">
        <f>IFERROR(__xludf.DUMMYFUNCTION("""COMPUTED_VALUE"""),101.0)</f>
        <v>101</v>
      </c>
      <c r="J184" s="211">
        <f>IFERROR(__xludf.DUMMYFUNCTION("""COMPUTED_VALUE"""),64.0)</f>
        <v>64</v>
      </c>
      <c r="K184" s="211">
        <f>IFERROR(__xludf.DUMMYFUNCTION("""COMPUTED_VALUE"""),22588.0)</f>
        <v>22588</v>
      </c>
      <c r="L184" s="211">
        <f>IFERROR(__xludf.DUMMYFUNCTION("""COMPUTED_VALUE"""),2157.0)</f>
        <v>2157</v>
      </c>
      <c r="M184" s="211">
        <f>IFERROR(__xludf.DUMMYFUNCTION("""COMPUTED_VALUE"""),278431.0)</f>
        <v>278431</v>
      </c>
      <c r="N184" s="211">
        <f>IFERROR(__xludf.DUMMYFUNCTION("""COMPUTED_VALUE"""),301019.0)</f>
        <v>301019</v>
      </c>
      <c r="O184" s="211">
        <f>IFERROR(__xludf.DUMMYFUNCTION("""COMPUTED_VALUE"""),9.0)</f>
        <v>9</v>
      </c>
      <c r="P184" s="211">
        <f>IFERROR(__xludf.DUMMYFUNCTION("""COMPUTED_VALUE"""),2629.0)</f>
        <v>2629</v>
      </c>
      <c r="Q184" s="211">
        <f>IFERROR(__xludf.DUMMYFUNCTION("""COMPUTED_VALUE"""),5.0)</f>
        <v>5</v>
      </c>
      <c r="R184" s="211">
        <f>IFERROR(__xludf.DUMMYFUNCTION("""COMPUTED_VALUE"""),2204.0)</f>
        <v>2204</v>
      </c>
      <c r="S184" s="211">
        <f>IFERROR(__xludf.DUMMYFUNCTION("""COMPUTED_VALUE"""),1.0)</f>
        <v>1</v>
      </c>
      <c r="T184" s="211">
        <f>IFERROR(__xludf.DUMMYFUNCTION("""COMPUTED_VALUE"""),340.0)</f>
        <v>340</v>
      </c>
      <c r="U184" s="211">
        <f>IFERROR(__xludf.DUMMYFUNCTION("""COMPUTED_VALUE"""),85.0)</f>
        <v>85</v>
      </c>
      <c r="V184" s="211">
        <f>IFERROR(__xludf.DUMMYFUNCTION("""COMPUTED_VALUE"""),85.0)</f>
        <v>85</v>
      </c>
      <c r="W184" s="211">
        <f>IFERROR(__xludf.DUMMYFUNCTION("""COMPUTED_VALUE"""),9.0)</f>
        <v>9</v>
      </c>
      <c r="X184" s="211">
        <f>IFERROR(__xludf.DUMMYFUNCTION("""COMPUTED_VALUE"""),3.0)</f>
        <v>3</v>
      </c>
      <c r="Y184" s="211">
        <f>IFERROR(__xludf.DUMMYFUNCTION("""COMPUTED_VALUE"""),1.0)</f>
        <v>1</v>
      </c>
      <c r="Z184" s="211">
        <f>IFERROR(__xludf.DUMMYFUNCTION("""COMPUTED_VALUE"""),1082.0)</f>
        <v>1082</v>
      </c>
    </row>
    <row r="185">
      <c r="A185" s="210">
        <f>IFERROR(__xludf.DUMMYFUNCTION("""COMPUTED_VALUE"""),44084.0)</f>
        <v>44084</v>
      </c>
      <c r="B185" s="211">
        <f>IFERROR(__xludf.DUMMYFUNCTION("""COMPUTED_VALUE"""),166.0)</f>
        <v>166</v>
      </c>
      <c r="C185" s="211">
        <f>IFERROR(__xludf.DUMMYFUNCTION("""COMPUTED_VALUE"""),120.0)</f>
        <v>120</v>
      </c>
      <c r="D185" s="211">
        <f>IFERROR(__xludf.DUMMYFUNCTION("""COMPUTED_VALUE"""),32444.0)</f>
        <v>32444</v>
      </c>
      <c r="E185" s="211">
        <f>IFERROR(__xludf.DUMMYFUNCTION("""COMPUTED_VALUE"""),11425.0)</f>
        <v>11425</v>
      </c>
      <c r="F185" s="153">
        <f>IFERROR(__xludf.DUMMYFUNCTION("""COMPUTED_VALUE"""),585373.0)</f>
        <v>585373</v>
      </c>
      <c r="G185" s="153">
        <f>IFERROR(__xludf.DUMMYFUNCTION("""COMPUTED_VALUE"""),11591.0)</f>
        <v>11591</v>
      </c>
      <c r="H185" s="153">
        <f>IFERROR(__xludf.DUMMYFUNCTION("""COMPUTED_VALUE"""),617817.0)</f>
        <v>617817</v>
      </c>
      <c r="I185" s="211">
        <f>IFERROR(__xludf.DUMMYFUNCTION("""COMPUTED_VALUE"""),113.0)</f>
        <v>113</v>
      </c>
      <c r="J185" s="211">
        <f>IFERROR(__xludf.DUMMYFUNCTION("""COMPUTED_VALUE"""),93.0)</f>
        <v>93</v>
      </c>
      <c r="K185" s="211">
        <f>IFERROR(__xludf.DUMMYFUNCTION("""COMPUTED_VALUE"""),22701.0)</f>
        <v>22701</v>
      </c>
      <c r="L185" s="211">
        <f>IFERROR(__xludf.DUMMYFUNCTION("""COMPUTED_VALUE"""),2273.0)</f>
        <v>2273</v>
      </c>
      <c r="M185" s="211">
        <f>IFERROR(__xludf.DUMMYFUNCTION("""COMPUTED_VALUE"""),280704.0)</f>
        <v>280704</v>
      </c>
      <c r="N185" s="211">
        <f>IFERROR(__xludf.DUMMYFUNCTION("""COMPUTED_VALUE"""),303405.0)</f>
        <v>303405</v>
      </c>
      <c r="O185" s="211">
        <f>IFERROR(__xludf.DUMMYFUNCTION("""COMPUTED_VALUE"""),8.0)</f>
        <v>8</v>
      </c>
      <c r="P185" s="211">
        <f>IFERROR(__xludf.DUMMYFUNCTION("""COMPUTED_VALUE"""),2637.0)</f>
        <v>2637</v>
      </c>
      <c r="Q185" s="211">
        <f>IFERROR(__xludf.DUMMYFUNCTION("""COMPUTED_VALUE"""),8.0)</f>
        <v>8</v>
      </c>
      <c r="R185" s="211">
        <f>IFERROR(__xludf.DUMMYFUNCTION("""COMPUTED_VALUE"""),2212.0)</f>
        <v>2212</v>
      </c>
      <c r="S185" s="211">
        <f>IFERROR(__xludf.DUMMYFUNCTION("""COMPUTED_VALUE"""),0.0)</f>
        <v>0</v>
      </c>
      <c r="T185" s="211">
        <f>IFERROR(__xludf.DUMMYFUNCTION("""COMPUTED_VALUE"""),340.0)</f>
        <v>340</v>
      </c>
      <c r="U185" s="211">
        <f>IFERROR(__xludf.DUMMYFUNCTION("""COMPUTED_VALUE"""),85.0)</f>
        <v>85</v>
      </c>
      <c r="V185" s="211">
        <f>IFERROR(__xludf.DUMMYFUNCTION("""COMPUTED_VALUE"""),84.0)</f>
        <v>84</v>
      </c>
      <c r="W185" s="211">
        <f>IFERROR(__xludf.DUMMYFUNCTION("""COMPUTED_VALUE"""),10.0)</f>
        <v>10</v>
      </c>
      <c r="X185" s="211">
        <f>IFERROR(__xludf.DUMMYFUNCTION("""COMPUTED_VALUE"""),3.0)</f>
        <v>3</v>
      </c>
      <c r="Y185" s="211">
        <f>IFERROR(__xludf.DUMMYFUNCTION("""COMPUTED_VALUE"""),0.0)</f>
        <v>0</v>
      </c>
      <c r="Z185" s="211">
        <f>IFERROR(__xludf.DUMMYFUNCTION("""COMPUTED_VALUE"""),1082.0)</f>
        <v>1082</v>
      </c>
    </row>
    <row r="186">
      <c r="A186" s="210">
        <f>IFERROR(__xludf.DUMMYFUNCTION("""COMPUTED_VALUE"""),44085.0)</f>
        <v>44085</v>
      </c>
      <c r="B186" s="211">
        <f>IFERROR(__xludf.DUMMYFUNCTION("""COMPUTED_VALUE"""),119.0)</f>
        <v>119</v>
      </c>
      <c r="C186" s="211">
        <f>IFERROR(__xludf.DUMMYFUNCTION("""COMPUTED_VALUE"""),134.0)</f>
        <v>134</v>
      </c>
      <c r="D186" s="211">
        <f>IFERROR(__xludf.DUMMYFUNCTION("""COMPUTED_VALUE"""),32563.0)</f>
        <v>32563</v>
      </c>
      <c r="E186" s="211">
        <f>IFERROR(__xludf.DUMMYFUNCTION("""COMPUTED_VALUE"""),9459.0)</f>
        <v>9459</v>
      </c>
      <c r="F186" s="153">
        <f>IFERROR(__xludf.DUMMYFUNCTION("""COMPUTED_VALUE"""),594832.0)</f>
        <v>594832</v>
      </c>
      <c r="G186" s="153">
        <f>IFERROR(__xludf.DUMMYFUNCTION("""COMPUTED_VALUE"""),9578.0)</f>
        <v>9578</v>
      </c>
      <c r="H186" s="153">
        <f>IFERROR(__xludf.DUMMYFUNCTION("""COMPUTED_VALUE"""),627395.0)</f>
        <v>627395</v>
      </c>
      <c r="I186" s="211">
        <f>IFERROR(__xludf.DUMMYFUNCTION("""COMPUTED_VALUE"""),99.0)</f>
        <v>99</v>
      </c>
      <c r="J186" s="211">
        <f>IFERROR(__xludf.DUMMYFUNCTION("""COMPUTED_VALUE"""),104.0)</f>
        <v>104</v>
      </c>
      <c r="K186" s="211">
        <f>IFERROR(__xludf.DUMMYFUNCTION("""COMPUTED_VALUE"""),22800.0)</f>
        <v>22800</v>
      </c>
      <c r="L186" s="211">
        <f>IFERROR(__xludf.DUMMYFUNCTION("""COMPUTED_VALUE"""),1971.0)</f>
        <v>1971</v>
      </c>
      <c r="M186" s="211">
        <f>IFERROR(__xludf.DUMMYFUNCTION("""COMPUTED_VALUE"""),282675.0)</f>
        <v>282675</v>
      </c>
      <c r="N186" s="211">
        <f>IFERROR(__xludf.DUMMYFUNCTION("""COMPUTED_VALUE"""),305475.0)</f>
        <v>305475</v>
      </c>
      <c r="O186" s="211">
        <f>IFERROR(__xludf.DUMMYFUNCTION("""COMPUTED_VALUE"""),11.0)</f>
        <v>11</v>
      </c>
      <c r="P186" s="211">
        <f>IFERROR(__xludf.DUMMYFUNCTION("""COMPUTED_VALUE"""),2648.0)</f>
        <v>2648</v>
      </c>
      <c r="Q186" s="211">
        <f>IFERROR(__xludf.DUMMYFUNCTION("""COMPUTED_VALUE"""),11.0)</f>
        <v>11</v>
      </c>
      <c r="R186" s="211">
        <f>IFERROR(__xludf.DUMMYFUNCTION("""COMPUTED_VALUE"""),2223.0)</f>
        <v>2223</v>
      </c>
      <c r="S186" s="211">
        <f>IFERROR(__xludf.DUMMYFUNCTION("""COMPUTED_VALUE"""),0.0)</f>
        <v>0</v>
      </c>
      <c r="T186" s="211">
        <f>IFERROR(__xludf.DUMMYFUNCTION("""COMPUTED_VALUE"""),340.0)</f>
        <v>340</v>
      </c>
      <c r="U186" s="211">
        <f>IFERROR(__xludf.DUMMYFUNCTION("""COMPUTED_VALUE"""),85.0)</f>
        <v>85</v>
      </c>
      <c r="V186" s="211">
        <f>IFERROR(__xludf.DUMMYFUNCTION("""COMPUTED_VALUE"""),85.0)</f>
        <v>85</v>
      </c>
      <c r="W186" s="211">
        <f>IFERROR(__xludf.DUMMYFUNCTION("""COMPUTED_VALUE"""),10.0)</f>
        <v>10</v>
      </c>
      <c r="X186" s="211">
        <f>IFERROR(__xludf.DUMMYFUNCTION("""COMPUTED_VALUE"""),5.0)</f>
        <v>5</v>
      </c>
      <c r="Y186" s="211">
        <f>IFERROR(__xludf.DUMMYFUNCTION("""COMPUTED_VALUE"""),0.0)</f>
        <v>0</v>
      </c>
      <c r="Z186" s="211">
        <f>IFERROR(__xludf.DUMMYFUNCTION("""COMPUTED_VALUE"""),1082.0)</f>
        <v>1082</v>
      </c>
    </row>
    <row r="187">
      <c r="A187" s="210">
        <f>IFERROR(__xludf.DUMMYFUNCTION("""COMPUTED_VALUE"""),44086.0)</f>
        <v>44086</v>
      </c>
      <c r="B187" s="211">
        <f>IFERROR(__xludf.DUMMYFUNCTION("""COMPUTED_VALUE"""),108.0)</f>
        <v>108</v>
      </c>
      <c r="C187" s="211">
        <f>IFERROR(__xludf.DUMMYFUNCTION("""COMPUTED_VALUE"""),131.0)</f>
        <v>131</v>
      </c>
      <c r="D187" s="211">
        <f>IFERROR(__xludf.DUMMYFUNCTION("""COMPUTED_VALUE"""),32671.0)</f>
        <v>32671</v>
      </c>
      <c r="E187" s="211">
        <f>IFERROR(__xludf.DUMMYFUNCTION("""COMPUTED_VALUE"""),6112.0)</f>
        <v>6112</v>
      </c>
      <c r="F187" s="153">
        <f>IFERROR(__xludf.DUMMYFUNCTION("""COMPUTED_VALUE"""),600944.0)</f>
        <v>600944</v>
      </c>
      <c r="G187" s="153">
        <f>IFERROR(__xludf.DUMMYFUNCTION("""COMPUTED_VALUE"""),6220.0)</f>
        <v>6220</v>
      </c>
      <c r="H187" s="153">
        <f>IFERROR(__xludf.DUMMYFUNCTION("""COMPUTED_VALUE"""),633615.0)</f>
        <v>633615</v>
      </c>
      <c r="I187" s="211">
        <f>IFERROR(__xludf.DUMMYFUNCTION("""COMPUTED_VALUE"""),96.0)</f>
        <v>96</v>
      </c>
      <c r="J187" s="211">
        <f>IFERROR(__xludf.DUMMYFUNCTION("""COMPUTED_VALUE"""),103.0)</f>
        <v>103</v>
      </c>
      <c r="K187" s="211">
        <f>IFERROR(__xludf.DUMMYFUNCTION("""COMPUTED_VALUE"""),22896.0)</f>
        <v>22896</v>
      </c>
      <c r="L187" s="211">
        <f>IFERROR(__xludf.DUMMYFUNCTION("""COMPUTED_VALUE"""),1474.0)</f>
        <v>1474</v>
      </c>
      <c r="M187" s="211">
        <f>IFERROR(__xludf.DUMMYFUNCTION("""COMPUTED_VALUE"""),284149.0)</f>
        <v>284149</v>
      </c>
      <c r="N187" s="211">
        <f>IFERROR(__xludf.DUMMYFUNCTION("""COMPUTED_VALUE"""),307045.0)</f>
        <v>307045</v>
      </c>
      <c r="O187" s="211">
        <f>IFERROR(__xludf.DUMMYFUNCTION("""COMPUTED_VALUE"""),8.0)</f>
        <v>8</v>
      </c>
      <c r="P187" s="211">
        <f>IFERROR(__xludf.DUMMYFUNCTION("""COMPUTED_VALUE"""),2656.0)</f>
        <v>2656</v>
      </c>
      <c r="Q187" s="211">
        <f>IFERROR(__xludf.DUMMYFUNCTION("""COMPUTED_VALUE"""),5.0)</f>
        <v>5</v>
      </c>
      <c r="R187" s="211">
        <f>IFERROR(__xludf.DUMMYFUNCTION("""COMPUTED_VALUE"""),2228.0)</f>
        <v>2228</v>
      </c>
      <c r="S187" s="211">
        <f>IFERROR(__xludf.DUMMYFUNCTION("""COMPUTED_VALUE"""),2.0)</f>
        <v>2</v>
      </c>
      <c r="T187" s="211">
        <f>IFERROR(__xludf.DUMMYFUNCTION("""COMPUTED_VALUE"""),342.0)</f>
        <v>342</v>
      </c>
      <c r="U187" s="211">
        <f>IFERROR(__xludf.DUMMYFUNCTION("""COMPUTED_VALUE"""),86.0)</f>
        <v>86</v>
      </c>
      <c r="V187" s="211">
        <f>IFERROR(__xludf.DUMMYFUNCTION("""COMPUTED_VALUE"""),85.0)</f>
        <v>85</v>
      </c>
      <c r="W187" s="211">
        <f>IFERROR(__xludf.DUMMYFUNCTION("""COMPUTED_VALUE"""),9.0)</f>
        <v>9</v>
      </c>
      <c r="X187" s="211">
        <f>IFERROR(__xludf.DUMMYFUNCTION("""COMPUTED_VALUE"""),5.0)</f>
        <v>5</v>
      </c>
      <c r="Y187" s="211">
        <f>IFERROR(__xludf.DUMMYFUNCTION("""COMPUTED_VALUE"""),3.0)</f>
        <v>3</v>
      </c>
      <c r="Z187" s="211">
        <f>IFERROR(__xludf.DUMMYFUNCTION("""COMPUTED_VALUE"""),1085.0)</f>
        <v>1085</v>
      </c>
    </row>
    <row r="188">
      <c r="A188" s="210">
        <f>IFERROR(__xludf.DUMMYFUNCTION("""COMPUTED_VALUE"""),44087.0)</f>
        <v>44087</v>
      </c>
      <c r="B188" s="211">
        <f>IFERROR(__xludf.DUMMYFUNCTION("""COMPUTED_VALUE"""),58.0)</f>
        <v>58</v>
      </c>
      <c r="C188" s="211">
        <f>IFERROR(__xludf.DUMMYFUNCTION("""COMPUTED_VALUE"""),95.0)</f>
        <v>95</v>
      </c>
      <c r="D188" s="211">
        <f>IFERROR(__xludf.DUMMYFUNCTION("""COMPUTED_VALUE"""),32729.0)</f>
        <v>32729</v>
      </c>
      <c r="E188" s="211">
        <f>IFERROR(__xludf.DUMMYFUNCTION("""COMPUTED_VALUE"""),2629.0)</f>
        <v>2629</v>
      </c>
      <c r="F188" s="153">
        <f>IFERROR(__xludf.DUMMYFUNCTION("""COMPUTED_VALUE"""),603573.0)</f>
        <v>603573</v>
      </c>
      <c r="G188" s="153">
        <f>IFERROR(__xludf.DUMMYFUNCTION("""COMPUTED_VALUE"""),2687.0)</f>
        <v>2687</v>
      </c>
      <c r="H188" s="153">
        <f>IFERROR(__xludf.DUMMYFUNCTION("""COMPUTED_VALUE"""),636302.0)</f>
        <v>636302</v>
      </c>
      <c r="I188" s="211">
        <f>IFERROR(__xludf.DUMMYFUNCTION("""COMPUTED_VALUE"""),53.0)</f>
        <v>53</v>
      </c>
      <c r="J188" s="211">
        <f>IFERROR(__xludf.DUMMYFUNCTION("""COMPUTED_VALUE"""),83.0)</f>
        <v>83</v>
      </c>
      <c r="K188" s="211">
        <f>IFERROR(__xludf.DUMMYFUNCTION("""COMPUTED_VALUE"""),22949.0)</f>
        <v>22949</v>
      </c>
      <c r="L188" s="211">
        <f>IFERROR(__xludf.DUMMYFUNCTION("""COMPUTED_VALUE"""),808.0)</f>
        <v>808</v>
      </c>
      <c r="M188" s="211">
        <f>IFERROR(__xludf.DUMMYFUNCTION("""COMPUTED_VALUE"""),284957.0)</f>
        <v>284957</v>
      </c>
      <c r="N188" s="211">
        <f>IFERROR(__xludf.DUMMYFUNCTION("""COMPUTED_VALUE"""),307906.0)</f>
        <v>307906</v>
      </c>
      <c r="O188" s="211">
        <f>IFERROR(__xludf.DUMMYFUNCTION("""COMPUTED_VALUE"""),4.0)</f>
        <v>4</v>
      </c>
      <c r="P188" s="211">
        <f>IFERROR(__xludf.DUMMYFUNCTION("""COMPUTED_VALUE"""),2660.0)</f>
        <v>2660</v>
      </c>
      <c r="Q188" s="211">
        <f>IFERROR(__xludf.DUMMYFUNCTION("""COMPUTED_VALUE"""),3.0)</f>
        <v>3</v>
      </c>
      <c r="R188" s="211">
        <f>IFERROR(__xludf.DUMMYFUNCTION("""COMPUTED_VALUE"""),2231.0)</f>
        <v>2231</v>
      </c>
      <c r="S188" s="211">
        <f>IFERROR(__xludf.DUMMYFUNCTION("""COMPUTED_VALUE"""),0.0)</f>
        <v>0</v>
      </c>
      <c r="T188" s="211">
        <f>IFERROR(__xludf.DUMMYFUNCTION("""COMPUTED_VALUE"""),342.0)</f>
        <v>342</v>
      </c>
      <c r="U188" s="211">
        <f>IFERROR(__xludf.DUMMYFUNCTION("""COMPUTED_VALUE"""),87.0)</f>
        <v>87</v>
      </c>
      <c r="V188" s="211">
        <f>IFERROR(__xludf.DUMMYFUNCTION("""COMPUTED_VALUE"""),86.0)</f>
        <v>86</v>
      </c>
      <c r="W188" s="211">
        <f>IFERROR(__xludf.DUMMYFUNCTION("""COMPUTED_VALUE"""),9.0)</f>
        <v>9</v>
      </c>
      <c r="X188" s="211">
        <f>IFERROR(__xludf.DUMMYFUNCTION("""COMPUTED_VALUE"""),5.0)</f>
        <v>5</v>
      </c>
      <c r="Y188" s="211">
        <f>IFERROR(__xludf.DUMMYFUNCTION("""COMPUTED_VALUE"""),0.0)</f>
        <v>0</v>
      </c>
      <c r="Z188" s="211">
        <f>IFERROR(__xludf.DUMMYFUNCTION("""COMPUTED_VALUE"""),1085.0)</f>
        <v>1085</v>
      </c>
    </row>
    <row r="189">
      <c r="A189" s="210">
        <f>IFERROR(__xludf.DUMMYFUNCTION("""COMPUTED_VALUE"""),44088.0)</f>
        <v>44088</v>
      </c>
      <c r="B189" s="211">
        <f>IFERROR(__xludf.DUMMYFUNCTION("""COMPUTED_VALUE"""),101.0)</f>
        <v>101</v>
      </c>
      <c r="C189" s="211">
        <f>IFERROR(__xludf.DUMMYFUNCTION("""COMPUTED_VALUE"""),89.0)</f>
        <v>89</v>
      </c>
      <c r="D189" s="211">
        <f>IFERROR(__xludf.DUMMYFUNCTION("""COMPUTED_VALUE"""),32830.0)</f>
        <v>32830</v>
      </c>
      <c r="E189" s="211">
        <f>IFERROR(__xludf.DUMMYFUNCTION("""COMPUTED_VALUE"""),6278.0)</f>
        <v>6278</v>
      </c>
      <c r="F189" s="153">
        <f>IFERROR(__xludf.DUMMYFUNCTION("""COMPUTED_VALUE"""),609851.0)</f>
        <v>609851</v>
      </c>
      <c r="G189" s="153">
        <f>IFERROR(__xludf.DUMMYFUNCTION("""COMPUTED_VALUE"""),6379.0)</f>
        <v>6379</v>
      </c>
      <c r="H189" s="153">
        <f>IFERROR(__xludf.DUMMYFUNCTION("""COMPUTED_VALUE"""),642681.0)</f>
        <v>642681</v>
      </c>
      <c r="I189" s="211">
        <f>IFERROR(__xludf.DUMMYFUNCTION("""COMPUTED_VALUE"""),93.0)</f>
        <v>93</v>
      </c>
      <c r="J189" s="211">
        <f>IFERROR(__xludf.DUMMYFUNCTION("""COMPUTED_VALUE"""),81.0)</f>
        <v>81</v>
      </c>
      <c r="K189" s="211">
        <f>IFERROR(__xludf.DUMMYFUNCTION("""COMPUTED_VALUE"""),23042.0)</f>
        <v>23042</v>
      </c>
      <c r="L189" s="211">
        <f>IFERROR(__xludf.DUMMYFUNCTION("""COMPUTED_VALUE"""),1637.0)</f>
        <v>1637</v>
      </c>
      <c r="M189" s="211">
        <f>IFERROR(__xludf.DUMMYFUNCTION("""COMPUTED_VALUE"""),286594.0)</f>
        <v>286594</v>
      </c>
      <c r="N189" s="211">
        <f>IFERROR(__xludf.DUMMYFUNCTION("""COMPUTED_VALUE"""),309636.0)</f>
        <v>309636</v>
      </c>
      <c r="O189" s="211">
        <f>IFERROR(__xludf.DUMMYFUNCTION("""COMPUTED_VALUE"""),5.0)</f>
        <v>5</v>
      </c>
      <c r="P189" s="211">
        <f>IFERROR(__xludf.DUMMYFUNCTION("""COMPUTED_VALUE"""),2665.0)</f>
        <v>2665</v>
      </c>
      <c r="Q189" s="211">
        <f>IFERROR(__xludf.DUMMYFUNCTION("""COMPUTED_VALUE"""),3.0)</f>
        <v>3</v>
      </c>
      <c r="R189" s="211">
        <f>IFERROR(__xludf.DUMMYFUNCTION("""COMPUTED_VALUE"""),2234.0)</f>
        <v>2234</v>
      </c>
      <c r="S189" s="211">
        <f>IFERROR(__xludf.DUMMYFUNCTION("""COMPUTED_VALUE"""),2.0)</f>
        <v>2</v>
      </c>
      <c r="T189" s="211">
        <f>IFERROR(__xludf.DUMMYFUNCTION("""COMPUTED_VALUE"""),344.0)</f>
        <v>344</v>
      </c>
      <c r="U189" s="211">
        <f>IFERROR(__xludf.DUMMYFUNCTION("""COMPUTED_VALUE"""),87.0)</f>
        <v>87</v>
      </c>
      <c r="V189" s="211">
        <f>IFERROR(__xludf.DUMMYFUNCTION("""COMPUTED_VALUE"""),87.0)</f>
        <v>87</v>
      </c>
      <c r="W189" s="211">
        <f>IFERROR(__xludf.DUMMYFUNCTION("""COMPUTED_VALUE"""),9.0)</f>
        <v>9</v>
      </c>
      <c r="X189" s="211">
        <f>IFERROR(__xludf.DUMMYFUNCTION("""COMPUTED_VALUE"""),5.0)</f>
        <v>5</v>
      </c>
      <c r="Y189" s="211">
        <f>IFERROR(__xludf.DUMMYFUNCTION("""COMPUTED_VALUE"""),1.0)</f>
        <v>1</v>
      </c>
      <c r="Z189" s="211">
        <f>IFERROR(__xludf.DUMMYFUNCTION("""COMPUTED_VALUE"""),1086.0)</f>
        <v>1086</v>
      </c>
    </row>
    <row r="190">
      <c r="A190" s="210">
        <f>IFERROR(__xludf.DUMMYFUNCTION("""COMPUTED_VALUE"""),44089.0)</f>
        <v>44089</v>
      </c>
      <c r="B190" s="211">
        <f>IFERROR(__xludf.DUMMYFUNCTION("""COMPUTED_VALUE"""),142.0)</f>
        <v>142</v>
      </c>
      <c r="C190" s="211">
        <f>IFERROR(__xludf.DUMMYFUNCTION("""COMPUTED_VALUE"""),100.0)</f>
        <v>100</v>
      </c>
      <c r="D190" s="211">
        <f>IFERROR(__xludf.DUMMYFUNCTION("""COMPUTED_VALUE"""),32972.0)</f>
        <v>32972</v>
      </c>
      <c r="E190" s="211">
        <f>IFERROR(__xludf.DUMMYFUNCTION("""COMPUTED_VALUE"""),8374.0)</f>
        <v>8374</v>
      </c>
      <c r="F190" s="153">
        <f>IFERROR(__xludf.DUMMYFUNCTION("""COMPUTED_VALUE"""),618225.0)</f>
        <v>618225</v>
      </c>
      <c r="G190" s="153">
        <f>IFERROR(__xludf.DUMMYFUNCTION("""COMPUTED_VALUE"""),8516.0)</f>
        <v>8516</v>
      </c>
      <c r="H190" s="153">
        <f>IFERROR(__xludf.DUMMYFUNCTION("""COMPUTED_VALUE"""),651197.0)</f>
        <v>651197</v>
      </c>
      <c r="I190" s="211">
        <f>IFERROR(__xludf.DUMMYFUNCTION("""COMPUTED_VALUE"""),117.0)</f>
        <v>117</v>
      </c>
      <c r="J190" s="211">
        <f>IFERROR(__xludf.DUMMYFUNCTION("""COMPUTED_VALUE"""),88.0)</f>
        <v>88</v>
      </c>
      <c r="K190" s="211">
        <f>IFERROR(__xludf.DUMMYFUNCTION("""COMPUTED_VALUE"""),23159.0)</f>
        <v>23159</v>
      </c>
      <c r="L190" s="211">
        <f>IFERROR(__xludf.DUMMYFUNCTION("""COMPUTED_VALUE"""),2067.0)</f>
        <v>2067</v>
      </c>
      <c r="M190" s="211">
        <f>IFERROR(__xludf.DUMMYFUNCTION("""COMPUTED_VALUE"""),288661.0)</f>
        <v>288661</v>
      </c>
      <c r="N190" s="211">
        <f>IFERROR(__xludf.DUMMYFUNCTION("""COMPUTED_VALUE"""),311820.0)</f>
        <v>311820</v>
      </c>
      <c r="O190" s="211">
        <f>IFERROR(__xludf.DUMMYFUNCTION("""COMPUTED_VALUE"""),5.0)</f>
        <v>5</v>
      </c>
      <c r="P190" s="211">
        <f>IFERROR(__xludf.DUMMYFUNCTION("""COMPUTED_VALUE"""),2670.0)</f>
        <v>2670</v>
      </c>
      <c r="Q190" s="211">
        <f>IFERROR(__xludf.DUMMYFUNCTION("""COMPUTED_VALUE"""),2.0)</f>
        <v>2</v>
      </c>
      <c r="R190" s="211">
        <f>IFERROR(__xludf.DUMMYFUNCTION("""COMPUTED_VALUE"""),2236.0)</f>
        <v>2236</v>
      </c>
      <c r="S190" s="211">
        <f>IFERROR(__xludf.DUMMYFUNCTION("""COMPUTED_VALUE"""),1.0)</f>
        <v>1</v>
      </c>
      <c r="T190" s="211">
        <f>IFERROR(__xludf.DUMMYFUNCTION("""COMPUTED_VALUE"""),345.0)</f>
        <v>345</v>
      </c>
      <c r="U190" s="211">
        <f>IFERROR(__xludf.DUMMYFUNCTION("""COMPUTED_VALUE"""),89.0)</f>
        <v>89</v>
      </c>
      <c r="V190" s="211">
        <f>IFERROR(__xludf.DUMMYFUNCTION("""COMPUTED_VALUE"""),88.0)</f>
        <v>88</v>
      </c>
      <c r="W190" s="211">
        <f>IFERROR(__xludf.DUMMYFUNCTION("""COMPUTED_VALUE"""),9.0)</f>
        <v>9</v>
      </c>
      <c r="X190" s="211">
        <f>IFERROR(__xludf.DUMMYFUNCTION("""COMPUTED_VALUE"""),5.0)</f>
        <v>5</v>
      </c>
      <c r="Y190" s="211">
        <f>IFERROR(__xludf.DUMMYFUNCTION("""COMPUTED_VALUE"""),2.0)</f>
        <v>2</v>
      </c>
      <c r="Z190" s="211">
        <f>IFERROR(__xludf.DUMMYFUNCTION("""COMPUTED_VALUE"""),1088.0)</f>
        <v>1088</v>
      </c>
    </row>
    <row r="191">
      <c r="A191" s="210">
        <f>IFERROR(__xludf.DUMMYFUNCTION("""COMPUTED_VALUE"""),44090.0)</f>
        <v>44090</v>
      </c>
      <c r="B191" s="211">
        <f>IFERROR(__xludf.DUMMYFUNCTION("""COMPUTED_VALUE"""),155.0)</f>
        <v>155</v>
      </c>
      <c r="C191" s="211">
        <f>IFERROR(__xludf.DUMMYFUNCTION("""COMPUTED_VALUE"""),133.0)</f>
        <v>133</v>
      </c>
      <c r="D191" s="211">
        <f>IFERROR(__xludf.DUMMYFUNCTION("""COMPUTED_VALUE"""),33127.0)</f>
        <v>33127</v>
      </c>
      <c r="E191" s="211">
        <f>IFERROR(__xludf.DUMMYFUNCTION("""COMPUTED_VALUE"""),9575.0)</f>
        <v>9575</v>
      </c>
      <c r="F191" s="153">
        <f>IFERROR(__xludf.DUMMYFUNCTION("""COMPUTED_VALUE"""),627800.0)</f>
        <v>627800</v>
      </c>
      <c r="G191" s="153">
        <f>IFERROR(__xludf.DUMMYFUNCTION("""COMPUTED_VALUE"""),9730.0)</f>
        <v>9730</v>
      </c>
      <c r="H191" s="153">
        <f>IFERROR(__xludf.DUMMYFUNCTION("""COMPUTED_VALUE"""),660927.0)</f>
        <v>660927</v>
      </c>
      <c r="I191" s="211">
        <f>IFERROR(__xludf.DUMMYFUNCTION("""COMPUTED_VALUE"""),117.0)</f>
        <v>117</v>
      </c>
      <c r="J191" s="211">
        <f>IFERROR(__xludf.DUMMYFUNCTION("""COMPUTED_VALUE"""),109.0)</f>
        <v>109</v>
      </c>
      <c r="K191" s="211">
        <f>IFERROR(__xludf.DUMMYFUNCTION("""COMPUTED_VALUE"""),23276.0)</f>
        <v>23276</v>
      </c>
      <c r="L191" s="211">
        <f>IFERROR(__xludf.DUMMYFUNCTION("""COMPUTED_VALUE"""),1843.0)</f>
        <v>1843</v>
      </c>
      <c r="M191" s="211">
        <f>IFERROR(__xludf.DUMMYFUNCTION("""COMPUTED_VALUE"""),290504.0)</f>
        <v>290504</v>
      </c>
      <c r="N191" s="211">
        <f>IFERROR(__xludf.DUMMYFUNCTION("""COMPUTED_VALUE"""),313780.0)</f>
        <v>313780</v>
      </c>
      <c r="O191" s="211">
        <f>IFERROR(__xludf.DUMMYFUNCTION("""COMPUTED_VALUE"""),7.0)</f>
        <v>7</v>
      </c>
      <c r="P191" s="211">
        <f>IFERROR(__xludf.DUMMYFUNCTION("""COMPUTED_VALUE"""),2677.0)</f>
        <v>2677</v>
      </c>
      <c r="Q191" s="211">
        <f>IFERROR(__xludf.DUMMYFUNCTION("""COMPUTED_VALUE"""),7.0)</f>
        <v>7</v>
      </c>
      <c r="R191" s="211">
        <f>IFERROR(__xludf.DUMMYFUNCTION("""COMPUTED_VALUE"""),2243.0)</f>
        <v>2243</v>
      </c>
      <c r="S191" s="211">
        <f>IFERROR(__xludf.DUMMYFUNCTION("""COMPUTED_VALUE"""),2.0)</f>
        <v>2</v>
      </c>
      <c r="T191" s="211">
        <f>IFERROR(__xludf.DUMMYFUNCTION("""COMPUTED_VALUE"""),347.0)</f>
        <v>347</v>
      </c>
      <c r="U191" s="211">
        <f>IFERROR(__xludf.DUMMYFUNCTION("""COMPUTED_VALUE"""),87.0)</f>
        <v>87</v>
      </c>
      <c r="V191" s="211">
        <f>IFERROR(__xludf.DUMMYFUNCTION("""COMPUTED_VALUE"""),88.0)</f>
        <v>88</v>
      </c>
      <c r="W191" s="211">
        <f>IFERROR(__xludf.DUMMYFUNCTION("""COMPUTED_VALUE"""),7.0)</f>
        <v>7</v>
      </c>
      <c r="X191" s="211">
        <f>IFERROR(__xludf.DUMMYFUNCTION("""COMPUTED_VALUE"""),6.0)</f>
        <v>6</v>
      </c>
      <c r="Y191" s="211">
        <f>IFERROR(__xludf.DUMMYFUNCTION("""COMPUTED_VALUE"""),5.0)</f>
        <v>5</v>
      </c>
      <c r="Z191" s="211">
        <f>IFERROR(__xludf.DUMMYFUNCTION("""COMPUTED_VALUE"""),1093.0)</f>
        <v>1093</v>
      </c>
    </row>
    <row r="192">
      <c r="A192" s="210">
        <f>IFERROR(__xludf.DUMMYFUNCTION("""COMPUTED_VALUE"""),44091.0)</f>
        <v>44091</v>
      </c>
      <c r="B192" s="211">
        <f>IFERROR(__xludf.DUMMYFUNCTION("""COMPUTED_VALUE"""),136.0)</f>
        <v>136</v>
      </c>
      <c r="C192" s="211">
        <f>IFERROR(__xludf.DUMMYFUNCTION("""COMPUTED_VALUE"""),144.0)</f>
        <v>144</v>
      </c>
      <c r="D192" s="211">
        <f>IFERROR(__xludf.DUMMYFUNCTION("""COMPUTED_VALUE"""),33263.0)</f>
        <v>33263</v>
      </c>
      <c r="E192" s="211">
        <f>IFERROR(__xludf.DUMMYFUNCTION("""COMPUTED_VALUE"""),9258.0)</f>
        <v>9258</v>
      </c>
      <c r="F192" s="153">
        <f>IFERROR(__xludf.DUMMYFUNCTION("""COMPUTED_VALUE"""),637058.0)</f>
        <v>637058</v>
      </c>
      <c r="G192" s="153">
        <f>IFERROR(__xludf.DUMMYFUNCTION("""COMPUTED_VALUE"""),9394.0)</f>
        <v>9394</v>
      </c>
      <c r="H192" s="153">
        <f>IFERROR(__xludf.DUMMYFUNCTION("""COMPUTED_VALUE"""),670321.0)</f>
        <v>670321</v>
      </c>
      <c r="I192" s="211">
        <f>IFERROR(__xludf.DUMMYFUNCTION("""COMPUTED_VALUE"""),155.0)</f>
        <v>155</v>
      </c>
      <c r="J192" s="211">
        <f>IFERROR(__xludf.DUMMYFUNCTION("""COMPUTED_VALUE"""),130.0)</f>
        <v>130</v>
      </c>
      <c r="K192" s="211">
        <f>IFERROR(__xludf.DUMMYFUNCTION("""COMPUTED_VALUE"""),23431.0)</f>
        <v>23431</v>
      </c>
      <c r="L192" s="211">
        <f>IFERROR(__xludf.DUMMYFUNCTION("""COMPUTED_VALUE"""),1925.0)</f>
        <v>1925</v>
      </c>
      <c r="M192" s="211">
        <f>IFERROR(__xludf.DUMMYFUNCTION("""COMPUTED_VALUE"""),292429.0)</f>
        <v>292429</v>
      </c>
      <c r="N192" s="211">
        <f>IFERROR(__xludf.DUMMYFUNCTION("""COMPUTED_VALUE"""),315860.0)</f>
        <v>315860</v>
      </c>
      <c r="O192" s="211">
        <f>IFERROR(__xludf.DUMMYFUNCTION("""COMPUTED_VALUE"""),7.0)</f>
        <v>7</v>
      </c>
      <c r="P192" s="211">
        <f>IFERROR(__xludf.DUMMYFUNCTION("""COMPUTED_VALUE"""),2684.0)</f>
        <v>2684</v>
      </c>
      <c r="Q192" s="211">
        <f>IFERROR(__xludf.DUMMYFUNCTION("""COMPUTED_VALUE"""),14.0)</f>
        <v>14</v>
      </c>
      <c r="R192" s="211">
        <f>IFERROR(__xludf.DUMMYFUNCTION("""COMPUTED_VALUE"""),2257.0)</f>
        <v>2257</v>
      </c>
      <c r="S192" s="211">
        <f>IFERROR(__xludf.DUMMYFUNCTION("""COMPUTED_VALUE"""),0.0)</f>
        <v>0</v>
      </c>
      <c r="T192" s="211">
        <f>IFERROR(__xludf.DUMMYFUNCTION("""COMPUTED_VALUE"""),347.0)</f>
        <v>347</v>
      </c>
      <c r="U192" s="211">
        <f>IFERROR(__xludf.DUMMYFUNCTION("""COMPUTED_VALUE"""),80.0)</f>
        <v>80</v>
      </c>
      <c r="V192" s="211">
        <f>IFERROR(__xludf.DUMMYFUNCTION("""COMPUTED_VALUE"""),85.0)</f>
        <v>85</v>
      </c>
      <c r="W192" s="211">
        <f>IFERROR(__xludf.DUMMYFUNCTION("""COMPUTED_VALUE"""),8.0)</f>
        <v>8</v>
      </c>
      <c r="X192" s="211">
        <f>IFERROR(__xludf.DUMMYFUNCTION("""COMPUTED_VALUE"""),3.0)</f>
        <v>3</v>
      </c>
      <c r="Y192" s="211">
        <f>IFERROR(__xludf.DUMMYFUNCTION("""COMPUTED_VALUE"""),0.0)</f>
        <v>0</v>
      </c>
      <c r="Z192" s="211">
        <f>IFERROR(__xludf.DUMMYFUNCTION("""COMPUTED_VALUE"""),1093.0)</f>
        <v>1093</v>
      </c>
    </row>
    <row r="193">
      <c r="A193" s="210">
        <f>IFERROR(__xludf.DUMMYFUNCTION("""COMPUTED_VALUE"""),44092.0)</f>
        <v>44092</v>
      </c>
      <c r="B193" s="211">
        <f>IFERROR(__xludf.DUMMYFUNCTION("""COMPUTED_VALUE"""),201.0)</f>
        <v>201</v>
      </c>
      <c r="C193" s="211">
        <f>IFERROR(__xludf.DUMMYFUNCTION("""COMPUTED_VALUE"""),164.0)</f>
        <v>164</v>
      </c>
      <c r="D193" s="211">
        <f>IFERROR(__xludf.DUMMYFUNCTION("""COMPUTED_VALUE"""),33464.0)</f>
        <v>33464</v>
      </c>
      <c r="E193" s="211">
        <f>IFERROR(__xludf.DUMMYFUNCTION("""COMPUTED_VALUE"""),10008.0)</f>
        <v>10008</v>
      </c>
      <c r="F193" s="153">
        <f>IFERROR(__xludf.DUMMYFUNCTION("""COMPUTED_VALUE"""),647066.0)</f>
        <v>647066</v>
      </c>
      <c r="G193" s="153">
        <f>IFERROR(__xludf.DUMMYFUNCTION("""COMPUTED_VALUE"""),10209.0)</f>
        <v>10209</v>
      </c>
      <c r="H193" s="153">
        <f>IFERROR(__xludf.DUMMYFUNCTION("""COMPUTED_VALUE"""),680530.0)</f>
        <v>680530</v>
      </c>
      <c r="I193" s="211">
        <f>IFERROR(__xludf.DUMMYFUNCTION("""COMPUTED_VALUE"""),129.0)</f>
        <v>129</v>
      </c>
      <c r="J193" s="211">
        <f>IFERROR(__xludf.DUMMYFUNCTION("""COMPUTED_VALUE"""),134.0)</f>
        <v>134</v>
      </c>
      <c r="K193" s="211">
        <f>IFERROR(__xludf.DUMMYFUNCTION("""COMPUTED_VALUE"""),23560.0)</f>
        <v>23560</v>
      </c>
      <c r="L193" s="211">
        <f>IFERROR(__xludf.DUMMYFUNCTION("""COMPUTED_VALUE"""),1960.0)</f>
        <v>1960</v>
      </c>
      <c r="M193" s="211">
        <f>IFERROR(__xludf.DUMMYFUNCTION("""COMPUTED_VALUE"""),294389.0)</f>
        <v>294389</v>
      </c>
      <c r="N193" s="211">
        <f>IFERROR(__xludf.DUMMYFUNCTION("""COMPUTED_VALUE"""),317949.0)</f>
        <v>317949</v>
      </c>
      <c r="O193" s="211">
        <f>IFERROR(__xludf.DUMMYFUNCTION("""COMPUTED_VALUE"""),6.0)</f>
        <v>6</v>
      </c>
      <c r="P193" s="211">
        <f>IFERROR(__xludf.DUMMYFUNCTION("""COMPUTED_VALUE"""),2690.0)</f>
        <v>2690</v>
      </c>
      <c r="Q193" s="211">
        <f>IFERROR(__xludf.DUMMYFUNCTION("""COMPUTED_VALUE"""),7.0)</f>
        <v>7</v>
      </c>
      <c r="R193" s="211">
        <f>IFERROR(__xludf.DUMMYFUNCTION("""COMPUTED_VALUE"""),2264.0)</f>
        <v>2264</v>
      </c>
      <c r="S193" s="211">
        <f>IFERROR(__xludf.DUMMYFUNCTION("""COMPUTED_VALUE"""),1.0)</f>
        <v>1</v>
      </c>
      <c r="T193" s="211">
        <f>IFERROR(__xludf.DUMMYFUNCTION("""COMPUTED_VALUE"""),348.0)</f>
        <v>348</v>
      </c>
      <c r="U193" s="211">
        <f>IFERROR(__xludf.DUMMYFUNCTION("""COMPUTED_VALUE"""),78.0)</f>
        <v>78</v>
      </c>
      <c r="V193" s="211">
        <f>IFERROR(__xludf.DUMMYFUNCTION("""COMPUTED_VALUE"""),82.0)</f>
        <v>82</v>
      </c>
      <c r="W193" s="211">
        <f>IFERROR(__xludf.DUMMYFUNCTION("""COMPUTED_VALUE"""),11.0)</f>
        <v>11</v>
      </c>
      <c r="X193" s="211">
        <f>IFERROR(__xludf.DUMMYFUNCTION("""COMPUTED_VALUE"""),5.0)</f>
        <v>5</v>
      </c>
      <c r="Y193" s="211">
        <f>IFERROR(__xludf.DUMMYFUNCTION("""COMPUTED_VALUE"""),2.0)</f>
        <v>2</v>
      </c>
      <c r="Z193" s="211">
        <f>IFERROR(__xludf.DUMMYFUNCTION("""COMPUTED_VALUE"""),1095.0)</f>
        <v>1095</v>
      </c>
    </row>
    <row r="194">
      <c r="A194" s="210">
        <f>IFERROR(__xludf.DUMMYFUNCTION("""COMPUTED_VALUE"""),44093.0)</f>
        <v>44093</v>
      </c>
      <c r="B194" s="211">
        <f>IFERROR(__xludf.DUMMYFUNCTION("""COMPUTED_VALUE"""),163.0)</f>
        <v>163</v>
      </c>
      <c r="C194" s="211">
        <f>IFERROR(__xludf.DUMMYFUNCTION("""COMPUTED_VALUE"""),167.0)</f>
        <v>167</v>
      </c>
      <c r="D194" s="211">
        <f>IFERROR(__xludf.DUMMYFUNCTION("""COMPUTED_VALUE"""),33627.0)</f>
        <v>33627</v>
      </c>
      <c r="E194" s="211">
        <f>IFERROR(__xludf.DUMMYFUNCTION("""COMPUTED_VALUE"""),8389.0)</f>
        <v>8389</v>
      </c>
      <c r="F194" s="153">
        <f>IFERROR(__xludf.DUMMYFUNCTION("""COMPUTED_VALUE"""),655455.0)</f>
        <v>655455</v>
      </c>
      <c r="G194" s="153">
        <f>IFERROR(__xludf.DUMMYFUNCTION("""COMPUTED_VALUE"""),8552.0)</f>
        <v>8552</v>
      </c>
      <c r="H194" s="153">
        <f>IFERROR(__xludf.DUMMYFUNCTION("""COMPUTED_VALUE"""),689082.0)</f>
        <v>689082</v>
      </c>
      <c r="I194" s="211">
        <f>IFERROR(__xludf.DUMMYFUNCTION("""COMPUTED_VALUE"""),108.0)</f>
        <v>108</v>
      </c>
      <c r="J194" s="211">
        <f>IFERROR(__xludf.DUMMYFUNCTION("""COMPUTED_VALUE"""),131.0)</f>
        <v>131</v>
      </c>
      <c r="K194" s="211">
        <f>IFERROR(__xludf.DUMMYFUNCTION("""COMPUTED_VALUE"""),23668.0)</f>
        <v>23668</v>
      </c>
      <c r="L194" s="211">
        <f>IFERROR(__xludf.DUMMYFUNCTION("""COMPUTED_VALUE"""),1750.0)</f>
        <v>1750</v>
      </c>
      <c r="M194" s="211">
        <f>IFERROR(__xludf.DUMMYFUNCTION("""COMPUTED_VALUE"""),296139.0)</f>
        <v>296139</v>
      </c>
      <c r="N194" s="211">
        <f>IFERROR(__xludf.DUMMYFUNCTION("""COMPUTED_VALUE"""),319807.0)</f>
        <v>319807</v>
      </c>
      <c r="O194" s="211">
        <f>IFERROR(__xludf.DUMMYFUNCTION("""COMPUTED_VALUE"""),7.0)</f>
        <v>7</v>
      </c>
      <c r="P194" s="211">
        <f>IFERROR(__xludf.DUMMYFUNCTION("""COMPUTED_VALUE"""),2697.0)</f>
        <v>2697</v>
      </c>
      <c r="Q194" s="211">
        <f>IFERROR(__xludf.DUMMYFUNCTION("""COMPUTED_VALUE"""),3.0)</f>
        <v>3</v>
      </c>
      <c r="R194" s="211">
        <f>IFERROR(__xludf.DUMMYFUNCTION("""COMPUTED_VALUE"""),2267.0)</f>
        <v>2267</v>
      </c>
      <c r="S194" s="211">
        <f>IFERROR(__xludf.DUMMYFUNCTION("""COMPUTED_VALUE"""),0.0)</f>
        <v>0</v>
      </c>
      <c r="T194" s="211">
        <f>IFERROR(__xludf.DUMMYFUNCTION("""COMPUTED_VALUE"""),348.0)</f>
        <v>348</v>
      </c>
      <c r="U194" s="211">
        <f>IFERROR(__xludf.DUMMYFUNCTION("""COMPUTED_VALUE"""),82.0)</f>
        <v>82</v>
      </c>
      <c r="V194" s="211">
        <f>IFERROR(__xludf.DUMMYFUNCTION("""COMPUTED_VALUE"""),80.0)</f>
        <v>80</v>
      </c>
      <c r="W194" s="211">
        <f>IFERROR(__xludf.DUMMYFUNCTION("""COMPUTED_VALUE"""),10.0)</f>
        <v>10</v>
      </c>
      <c r="X194" s="211">
        <f>IFERROR(__xludf.DUMMYFUNCTION("""COMPUTED_VALUE"""),5.0)</f>
        <v>5</v>
      </c>
      <c r="Y194" s="211">
        <f>IFERROR(__xludf.DUMMYFUNCTION("""COMPUTED_VALUE"""),4.0)</f>
        <v>4</v>
      </c>
      <c r="Z194" s="211">
        <f>IFERROR(__xludf.DUMMYFUNCTION("""COMPUTED_VALUE"""),1099.0)</f>
        <v>1099</v>
      </c>
    </row>
    <row r="195">
      <c r="A195" s="210">
        <f>IFERROR(__xludf.DUMMYFUNCTION("""COMPUTED_VALUE"""),44094.0)</f>
        <v>44094</v>
      </c>
      <c r="B195" s="211">
        <f>IFERROR(__xludf.DUMMYFUNCTION("""COMPUTED_VALUE"""),81.0)</f>
        <v>81</v>
      </c>
      <c r="C195" s="211">
        <f>IFERROR(__xludf.DUMMYFUNCTION("""COMPUTED_VALUE"""),148.0)</f>
        <v>148</v>
      </c>
      <c r="D195" s="211">
        <f>IFERROR(__xludf.DUMMYFUNCTION("""COMPUTED_VALUE"""),33708.0)</f>
        <v>33708</v>
      </c>
      <c r="E195" s="211">
        <f>IFERROR(__xludf.DUMMYFUNCTION("""COMPUTED_VALUE"""),3800.0)</f>
        <v>3800</v>
      </c>
      <c r="F195" s="153">
        <f>IFERROR(__xludf.DUMMYFUNCTION("""COMPUTED_VALUE"""),659255.0)</f>
        <v>659255</v>
      </c>
      <c r="G195" s="153">
        <f>IFERROR(__xludf.DUMMYFUNCTION("""COMPUTED_VALUE"""),3881.0)</f>
        <v>3881</v>
      </c>
      <c r="H195" s="153">
        <f>IFERROR(__xludf.DUMMYFUNCTION("""COMPUTED_VALUE"""),692963.0)</f>
        <v>692963</v>
      </c>
      <c r="I195" s="211">
        <f>IFERROR(__xludf.DUMMYFUNCTION("""COMPUTED_VALUE"""),54.0)</f>
        <v>54</v>
      </c>
      <c r="J195" s="211">
        <f>IFERROR(__xludf.DUMMYFUNCTION("""COMPUTED_VALUE"""),97.0)</f>
        <v>97</v>
      </c>
      <c r="K195" s="211">
        <f>IFERROR(__xludf.DUMMYFUNCTION("""COMPUTED_VALUE"""),23722.0)</f>
        <v>23722</v>
      </c>
      <c r="L195" s="211">
        <f>IFERROR(__xludf.DUMMYFUNCTION("""COMPUTED_VALUE"""),1417.0)</f>
        <v>1417</v>
      </c>
      <c r="M195" s="211">
        <f>IFERROR(__xludf.DUMMYFUNCTION("""COMPUTED_VALUE"""),297556.0)</f>
        <v>297556</v>
      </c>
      <c r="N195" s="211">
        <f>IFERROR(__xludf.DUMMYFUNCTION("""COMPUTED_VALUE"""),321278.0)</f>
        <v>321278</v>
      </c>
      <c r="O195" s="211">
        <f>IFERROR(__xludf.DUMMYFUNCTION("""COMPUTED_VALUE"""),6.0)</f>
        <v>6</v>
      </c>
      <c r="P195" s="211">
        <f>IFERROR(__xludf.DUMMYFUNCTION("""COMPUTED_VALUE"""),2703.0)</f>
        <v>2703</v>
      </c>
      <c r="Q195" s="211">
        <f>IFERROR(__xludf.DUMMYFUNCTION("""COMPUTED_VALUE"""),5.0)</f>
        <v>5</v>
      </c>
      <c r="R195" s="211">
        <f>IFERROR(__xludf.DUMMYFUNCTION("""COMPUTED_VALUE"""),2272.0)</f>
        <v>2272</v>
      </c>
      <c r="S195" s="211">
        <f>IFERROR(__xludf.DUMMYFUNCTION("""COMPUTED_VALUE"""),2.0)</f>
        <v>2</v>
      </c>
      <c r="T195" s="211">
        <f>IFERROR(__xludf.DUMMYFUNCTION("""COMPUTED_VALUE"""),350.0)</f>
        <v>350</v>
      </c>
      <c r="U195" s="211">
        <f>IFERROR(__xludf.DUMMYFUNCTION("""COMPUTED_VALUE"""),81.0)</f>
        <v>81</v>
      </c>
      <c r="V195" s="211">
        <f>IFERROR(__xludf.DUMMYFUNCTION("""COMPUTED_VALUE"""),80.0)</f>
        <v>80</v>
      </c>
      <c r="W195" s="211">
        <f>IFERROR(__xludf.DUMMYFUNCTION("""COMPUTED_VALUE"""),10.0)</f>
        <v>10</v>
      </c>
      <c r="X195" s="211">
        <f>IFERROR(__xludf.DUMMYFUNCTION("""COMPUTED_VALUE"""),7.0)</f>
        <v>7</v>
      </c>
      <c r="Y195" s="211">
        <f>IFERROR(__xludf.DUMMYFUNCTION("""COMPUTED_VALUE"""),4.0)</f>
        <v>4</v>
      </c>
      <c r="Z195" s="211">
        <f>IFERROR(__xludf.DUMMYFUNCTION("""COMPUTED_VALUE"""),1103.0)</f>
        <v>1103</v>
      </c>
    </row>
    <row r="196">
      <c r="A196" s="210">
        <f>IFERROR(__xludf.DUMMYFUNCTION("""COMPUTED_VALUE"""),44095.0)</f>
        <v>44095</v>
      </c>
      <c r="B196" s="211">
        <f>IFERROR(__xludf.DUMMYFUNCTION("""COMPUTED_VALUE"""),125.0)</f>
        <v>125</v>
      </c>
      <c r="C196" s="211">
        <f>IFERROR(__xludf.DUMMYFUNCTION("""COMPUTED_VALUE"""),123.0)</f>
        <v>123</v>
      </c>
      <c r="D196" s="211">
        <f>IFERROR(__xludf.DUMMYFUNCTION("""COMPUTED_VALUE"""),33833.0)</f>
        <v>33833</v>
      </c>
      <c r="E196" s="211">
        <f>IFERROR(__xludf.DUMMYFUNCTION("""COMPUTED_VALUE"""),7058.0)</f>
        <v>7058</v>
      </c>
      <c r="F196" s="153">
        <f>IFERROR(__xludf.DUMMYFUNCTION("""COMPUTED_VALUE"""),666313.0)</f>
        <v>666313</v>
      </c>
      <c r="G196" s="153">
        <f>IFERROR(__xludf.DUMMYFUNCTION("""COMPUTED_VALUE"""),7183.0)</f>
        <v>7183</v>
      </c>
      <c r="H196" s="153">
        <f>IFERROR(__xludf.DUMMYFUNCTION("""COMPUTED_VALUE"""),700146.0)</f>
        <v>700146</v>
      </c>
      <c r="I196" s="211">
        <f>IFERROR(__xludf.DUMMYFUNCTION("""COMPUTED_VALUE"""),97.0)</f>
        <v>97</v>
      </c>
      <c r="J196" s="211">
        <f>IFERROR(__xludf.DUMMYFUNCTION("""COMPUTED_VALUE"""),86.0)</f>
        <v>86</v>
      </c>
      <c r="K196" s="211">
        <f>IFERROR(__xludf.DUMMYFUNCTION("""COMPUTED_VALUE"""),23819.0)</f>
        <v>23819</v>
      </c>
      <c r="L196" s="211">
        <f>IFERROR(__xludf.DUMMYFUNCTION("""COMPUTED_VALUE"""),2437.0)</f>
        <v>2437</v>
      </c>
      <c r="M196" s="211">
        <f>IFERROR(__xludf.DUMMYFUNCTION("""COMPUTED_VALUE"""),299993.0)</f>
        <v>299993</v>
      </c>
      <c r="N196" s="211">
        <f>IFERROR(__xludf.DUMMYFUNCTION("""COMPUTED_VALUE"""),323812.0)</f>
        <v>323812</v>
      </c>
      <c r="O196" s="211">
        <f>IFERROR(__xludf.DUMMYFUNCTION("""COMPUTED_VALUE"""),11.0)</f>
        <v>11</v>
      </c>
      <c r="P196" s="211">
        <f>IFERROR(__xludf.DUMMYFUNCTION("""COMPUTED_VALUE"""),2714.0)</f>
        <v>2714</v>
      </c>
      <c r="Q196" s="211">
        <f>IFERROR(__xludf.DUMMYFUNCTION("""COMPUTED_VALUE"""),3.0)</f>
        <v>3</v>
      </c>
      <c r="R196" s="211">
        <f>IFERROR(__xludf.DUMMYFUNCTION("""COMPUTED_VALUE"""),2275.0)</f>
        <v>2275</v>
      </c>
      <c r="S196" s="211">
        <f>IFERROR(__xludf.DUMMYFUNCTION("""COMPUTED_VALUE"""),2.0)</f>
        <v>2</v>
      </c>
      <c r="T196" s="211">
        <f>IFERROR(__xludf.DUMMYFUNCTION("""COMPUTED_VALUE"""),352.0)</f>
        <v>352</v>
      </c>
      <c r="U196" s="211">
        <f>IFERROR(__xludf.DUMMYFUNCTION("""COMPUTED_VALUE"""),87.0)</f>
        <v>87</v>
      </c>
      <c r="V196" s="211">
        <f>IFERROR(__xludf.DUMMYFUNCTION("""COMPUTED_VALUE"""),83.0)</f>
        <v>83</v>
      </c>
      <c r="W196" s="211">
        <f>IFERROR(__xludf.DUMMYFUNCTION("""COMPUTED_VALUE"""),9.0)</f>
        <v>9</v>
      </c>
      <c r="X196" s="211">
        <f>IFERROR(__xludf.DUMMYFUNCTION("""COMPUTED_VALUE"""),5.0)</f>
        <v>5</v>
      </c>
      <c r="Y196" s="211">
        <f>IFERROR(__xludf.DUMMYFUNCTION("""COMPUTED_VALUE"""),2.0)</f>
        <v>2</v>
      </c>
      <c r="Z196" s="211">
        <f>IFERROR(__xludf.DUMMYFUNCTION("""COMPUTED_VALUE"""),1105.0)</f>
        <v>1105</v>
      </c>
    </row>
    <row r="197">
      <c r="A197" s="210">
        <f>IFERROR(__xludf.DUMMYFUNCTION("""COMPUTED_VALUE"""),44096.0)</f>
        <v>44096</v>
      </c>
      <c r="B197" s="211">
        <f>IFERROR(__xludf.DUMMYFUNCTION("""COMPUTED_VALUE"""),168.0)</f>
        <v>168</v>
      </c>
      <c r="C197" s="211">
        <f>IFERROR(__xludf.DUMMYFUNCTION("""COMPUTED_VALUE"""),125.0)</f>
        <v>125</v>
      </c>
      <c r="D197" s="211">
        <f>IFERROR(__xludf.DUMMYFUNCTION("""COMPUTED_VALUE"""),34001.0)</f>
        <v>34001</v>
      </c>
      <c r="E197" s="211">
        <f>IFERROR(__xludf.DUMMYFUNCTION("""COMPUTED_VALUE"""),9069.0)</f>
        <v>9069</v>
      </c>
      <c r="F197" s="153">
        <f>IFERROR(__xludf.DUMMYFUNCTION("""COMPUTED_VALUE"""),675382.0)</f>
        <v>675382</v>
      </c>
      <c r="G197" s="153">
        <f>IFERROR(__xludf.DUMMYFUNCTION("""COMPUTED_VALUE"""),9237.0)</f>
        <v>9237</v>
      </c>
      <c r="H197" s="153">
        <f>IFERROR(__xludf.DUMMYFUNCTION("""COMPUTED_VALUE"""),709383.0)</f>
        <v>709383</v>
      </c>
      <c r="I197" s="211">
        <f>IFERROR(__xludf.DUMMYFUNCTION("""COMPUTED_VALUE"""),110.0)</f>
        <v>110</v>
      </c>
      <c r="J197" s="211">
        <f>IFERROR(__xludf.DUMMYFUNCTION("""COMPUTED_VALUE"""),87.0)</f>
        <v>87</v>
      </c>
      <c r="K197" s="211">
        <f>IFERROR(__xludf.DUMMYFUNCTION("""COMPUTED_VALUE"""),23929.0)</f>
        <v>23929</v>
      </c>
      <c r="L197" s="211">
        <f>IFERROR(__xludf.DUMMYFUNCTION("""COMPUTED_VALUE"""),2065.0)</f>
        <v>2065</v>
      </c>
      <c r="M197" s="211">
        <f>IFERROR(__xludf.DUMMYFUNCTION("""COMPUTED_VALUE"""),302058.0)</f>
        <v>302058</v>
      </c>
      <c r="N197" s="211">
        <f>IFERROR(__xludf.DUMMYFUNCTION("""COMPUTED_VALUE"""),325987.0)</f>
        <v>325987</v>
      </c>
      <c r="O197" s="211">
        <f>IFERROR(__xludf.DUMMYFUNCTION("""COMPUTED_VALUE"""),11.0)</f>
        <v>11</v>
      </c>
      <c r="P197" s="211">
        <f>IFERROR(__xludf.DUMMYFUNCTION("""COMPUTED_VALUE"""),2725.0)</f>
        <v>2725</v>
      </c>
      <c r="Q197" s="211">
        <f>IFERROR(__xludf.DUMMYFUNCTION("""COMPUTED_VALUE"""),3.0)</f>
        <v>3</v>
      </c>
      <c r="R197" s="211">
        <f>IFERROR(__xludf.DUMMYFUNCTION("""COMPUTED_VALUE"""),2278.0)</f>
        <v>2278</v>
      </c>
      <c r="S197" s="211">
        <f>IFERROR(__xludf.DUMMYFUNCTION("""COMPUTED_VALUE"""),1.0)</f>
        <v>1</v>
      </c>
      <c r="T197" s="211">
        <f>IFERROR(__xludf.DUMMYFUNCTION("""COMPUTED_VALUE"""),353.0)</f>
        <v>353</v>
      </c>
      <c r="U197" s="211">
        <f>IFERROR(__xludf.DUMMYFUNCTION("""COMPUTED_VALUE"""),94.0)</f>
        <v>94</v>
      </c>
      <c r="V197" s="211">
        <f>IFERROR(__xludf.DUMMYFUNCTION("""COMPUTED_VALUE"""),87.0)</f>
        <v>87</v>
      </c>
      <c r="W197" s="211">
        <f>IFERROR(__xludf.DUMMYFUNCTION("""COMPUTED_VALUE"""),8.0)</f>
        <v>8</v>
      </c>
      <c r="X197" s="211">
        <f>IFERROR(__xludf.DUMMYFUNCTION("""COMPUTED_VALUE"""),4.0)</f>
        <v>4</v>
      </c>
      <c r="Y197" s="211">
        <f>IFERROR(__xludf.DUMMYFUNCTION("""COMPUTED_VALUE"""),1.0)</f>
        <v>1</v>
      </c>
      <c r="Z197" s="211">
        <f>IFERROR(__xludf.DUMMYFUNCTION("""COMPUTED_VALUE"""),1106.0)</f>
        <v>1106</v>
      </c>
    </row>
    <row r="198">
      <c r="A198" s="210">
        <f>IFERROR(__xludf.DUMMYFUNCTION("""COMPUTED_VALUE"""),44097.0)</f>
        <v>44097</v>
      </c>
      <c r="B198" s="211">
        <f>IFERROR(__xludf.DUMMYFUNCTION("""COMPUTED_VALUE"""),164.0)</f>
        <v>164</v>
      </c>
      <c r="C198" s="211">
        <f>IFERROR(__xludf.DUMMYFUNCTION("""COMPUTED_VALUE"""),152.0)</f>
        <v>152</v>
      </c>
      <c r="D198" s="211">
        <f>IFERROR(__xludf.DUMMYFUNCTION("""COMPUTED_VALUE"""),34165.0)</f>
        <v>34165</v>
      </c>
      <c r="E198" s="211">
        <f>IFERROR(__xludf.DUMMYFUNCTION("""COMPUTED_VALUE"""),10226.0)</f>
        <v>10226</v>
      </c>
      <c r="F198" s="153">
        <f>IFERROR(__xludf.DUMMYFUNCTION("""COMPUTED_VALUE"""),685608.0)</f>
        <v>685608</v>
      </c>
      <c r="G198" s="153">
        <f>IFERROR(__xludf.DUMMYFUNCTION("""COMPUTED_VALUE"""),10390.0)</f>
        <v>10390</v>
      </c>
      <c r="H198" s="153">
        <f>IFERROR(__xludf.DUMMYFUNCTION("""COMPUTED_VALUE"""),719773.0)</f>
        <v>719773</v>
      </c>
      <c r="I198" s="211">
        <f>IFERROR(__xludf.DUMMYFUNCTION("""COMPUTED_VALUE"""),133.0)</f>
        <v>133</v>
      </c>
      <c r="J198" s="211">
        <f>IFERROR(__xludf.DUMMYFUNCTION("""COMPUTED_VALUE"""),113.0)</f>
        <v>113</v>
      </c>
      <c r="K198" s="211">
        <f>IFERROR(__xludf.DUMMYFUNCTION("""COMPUTED_VALUE"""),24062.0)</f>
        <v>24062</v>
      </c>
      <c r="L198" s="211">
        <f>IFERROR(__xludf.DUMMYFUNCTION("""COMPUTED_VALUE"""),2128.0)</f>
        <v>2128</v>
      </c>
      <c r="M198" s="211">
        <f>IFERROR(__xludf.DUMMYFUNCTION("""COMPUTED_VALUE"""),304186.0)</f>
        <v>304186</v>
      </c>
      <c r="N198" s="211">
        <f>IFERROR(__xludf.DUMMYFUNCTION("""COMPUTED_VALUE"""),328248.0)</f>
        <v>328248</v>
      </c>
      <c r="O198" s="211"/>
      <c r="P198" s="211"/>
      <c r="Q198" s="211"/>
      <c r="R198" s="211"/>
      <c r="S198" s="211"/>
      <c r="T198" s="211"/>
      <c r="U198" s="211"/>
      <c r="V198" s="211"/>
      <c r="W198" s="211"/>
      <c r="X198" s="211"/>
      <c r="Y198" s="211">
        <f>IFERROR(__xludf.DUMMYFUNCTION("""COMPUTED_VALUE"""),0.0)</f>
        <v>0</v>
      </c>
      <c r="Z198" s="211">
        <f>IFERROR(__xludf.DUMMYFUNCTION("""COMPUTED_VALUE"""),1106.0)</f>
        <v>1106</v>
      </c>
    </row>
    <row r="199">
      <c r="A199" s="210">
        <f>IFERROR(__xludf.DUMMYFUNCTION("""COMPUTED_VALUE"""),44098.0)</f>
        <v>44098</v>
      </c>
      <c r="B199" s="211">
        <f>IFERROR(__xludf.DUMMYFUNCTION("""COMPUTED_VALUE"""),134.0)</f>
        <v>134</v>
      </c>
      <c r="C199" s="211">
        <f>IFERROR(__xludf.DUMMYFUNCTION("""COMPUTED_VALUE"""),155.0)</f>
        <v>155</v>
      </c>
      <c r="D199" s="211">
        <f>IFERROR(__xludf.DUMMYFUNCTION("""COMPUTED_VALUE"""),34299.0)</f>
        <v>34299</v>
      </c>
      <c r="E199" s="211">
        <f>IFERROR(__xludf.DUMMYFUNCTION("""COMPUTED_VALUE"""),7562.0)</f>
        <v>7562</v>
      </c>
      <c r="F199" s="153">
        <f>IFERROR(__xludf.DUMMYFUNCTION("""COMPUTED_VALUE"""),693170.0)</f>
        <v>693170</v>
      </c>
      <c r="G199" s="153">
        <f>IFERROR(__xludf.DUMMYFUNCTION("""COMPUTED_VALUE"""),7696.0)</f>
        <v>7696</v>
      </c>
      <c r="H199" s="153">
        <f>IFERROR(__xludf.DUMMYFUNCTION("""COMPUTED_VALUE"""),727469.0)</f>
        <v>727469</v>
      </c>
      <c r="I199" s="211">
        <f>IFERROR(__xludf.DUMMYFUNCTION("""COMPUTED_VALUE"""),119.0)</f>
        <v>119</v>
      </c>
      <c r="J199" s="211">
        <f>IFERROR(__xludf.DUMMYFUNCTION("""COMPUTED_VALUE"""),121.0)</f>
        <v>121</v>
      </c>
      <c r="K199" s="211">
        <f>IFERROR(__xludf.DUMMYFUNCTION("""COMPUTED_VALUE"""),24181.0)</f>
        <v>24181</v>
      </c>
      <c r="L199" s="211">
        <f>IFERROR(__xludf.DUMMYFUNCTION("""COMPUTED_VALUE"""),1667.0)</f>
        <v>1667</v>
      </c>
      <c r="M199" s="211">
        <f>IFERROR(__xludf.DUMMYFUNCTION("""COMPUTED_VALUE"""),305853.0)</f>
        <v>305853</v>
      </c>
      <c r="N199" s="211">
        <f>IFERROR(__xludf.DUMMYFUNCTION("""COMPUTED_VALUE"""),330034.0)</f>
        <v>330034</v>
      </c>
      <c r="O199" s="211"/>
      <c r="P199" s="211"/>
      <c r="Q199" s="211"/>
      <c r="R199" s="211"/>
      <c r="S199" s="211"/>
      <c r="T199" s="211"/>
      <c r="U199" s="211"/>
      <c r="V199" s="211"/>
      <c r="W199" s="211"/>
      <c r="X199" s="211"/>
      <c r="Y199" s="211">
        <f>IFERROR(__xludf.DUMMYFUNCTION("""COMPUTED_VALUE"""),1.0)</f>
        <v>1</v>
      </c>
      <c r="Z199" s="211">
        <f>IFERROR(__xludf.DUMMYFUNCTION("""COMPUTED_VALUE"""),1107.0)</f>
        <v>1107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2" t="s">
        <v>470</v>
      </c>
      <c r="B1" s="213" t="s">
        <v>210</v>
      </c>
      <c r="C1" s="151" t="s">
        <v>75</v>
      </c>
    </row>
    <row r="2" ht="14.25" customHeight="1">
      <c r="A2" s="214" t="str">
        <f>'Cases by ZCTA'!A2</f>
        <v>02802</v>
      </c>
      <c r="B2" s="215">
        <f>'Cases by ZCTA'!B2</f>
        <v>9</v>
      </c>
      <c r="C2" s="215">
        <f>'Cases by ZCTA'!C2</f>
        <v>1341</v>
      </c>
    </row>
    <row r="3" ht="14.25" customHeight="1">
      <c r="A3" s="214" t="str">
        <f>'Cases by ZCTA'!A3</f>
        <v>02804</v>
      </c>
      <c r="B3" s="215">
        <f>'Cases by ZCTA'!B3</f>
        <v>0</v>
      </c>
      <c r="C3" s="215">
        <f>'Cases by ZCTA'!C3</f>
        <v>0</v>
      </c>
    </row>
    <row r="4" ht="14.25" customHeight="1">
      <c r="A4" s="214" t="str">
        <f>'Cases by ZCTA'!A4</f>
        <v>02806</v>
      </c>
      <c r="B4" s="215">
        <f>'Cases by ZCTA'!B4</f>
        <v>82</v>
      </c>
      <c r="C4" s="215">
        <f>'Cases by ZCTA'!C4</f>
        <v>506</v>
      </c>
    </row>
    <row r="5" ht="14.25" customHeight="1">
      <c r="A5" s="214" t="str">
        <f>'Cases by ZCTA'!A5</f>
        <v>02807</v>
      </c>
      <c r="B5" s="215">
        <f>'Cases by ZCTA'!B5</f>
        <v>6</v>
      </c>
      <c r="C5" s="215">
        <f>'Cases by ZCTA'!C5</f>
        <v>726</v>
      </c>
    </row>
    <row r="6" ht="14.25" customHeight="1">
      <c r="A6" s="214" t="str">
        <f>'Cases by ZCTA'!A6</f>
        <v>02808</v>
      </c>
      <c r="B6" s="215">
        <f>'Cases by ZCTA'!B6</f>
        <v>17</v>
      </c>
      <c r="C6" s="215">
        <f>'Cases by ZCTA'!C6</f>
        <v>663</v>
      </c>
    </row>
    <row r="7" ht="14.25" customHeight="1">
      <c r="A7" s="214" t="str">
        <f>'Cases by ZCTA'!A7</f>
        <v>02809</v>
      </c>
      <c r="B7" s="215">
        <f>'Cases by ZCTA'!B7</f>
        <v>209</v>
      </c>
      <c r="C7" s="215">
        <f>'Cases by ZCTA'!C7</f>
        <v>939</v>
      </c>
    </row>
    <row r="8" ht="14.25" customHeight="1">
      <c r="A8" s="214" t="str">
        <f>'Cases by ZCTA'!A8</f>
        <v>02812</v>
      </c>
      <c r="B8" s="215">
        <f>'Cases by ZCTA'!B8</f>
        <v>10</v>
      </c>
      <c r="C8" s="215">
        <f>'Cases by ZCTA'!C8</f>
        <v>828</v>
      </c>
    </row>
    <row r="9" ht="14.25" customHeight="1">
      <c r="A9" s="214" t="str">
        <f>'Cases by ZCTA'!A9</f>
        <v>02813</v>
      </c>
      <c r="B9" s="215">
        <f>'Cases by ZCTA'!B9</f>
        <v>37</v>
      </c>
      <c r="C9" s="215">
        <f>'Cases by ZCTA'!C9</f>
        <v>476</v>
      </c>
    </row>
    <row r="10" ht="14.25" customHeight="1">
      <c r="A10" s="214" t="str">
        <f>'Cases by ZCTA'!A10</f>
        <v>02814</v>
      </c>
      <c r="B10" s="215">
        <f>'Cases by ZCTA'!B10</f>
        <v>55</v>
      </c>
      <c r="C10" s="215">
        <f>'Cases by ZCTA'!C10</f>
        <v>717</v>
      </c>
    </row>
    <row r="11" ht="14.25" customHeight="1">
      <c r="A11" s="214" t="str">
        <f>'Cases by ZCTA'!A11</f>
        <v>02815</v>
      </c>
      <c r="B11" s="215">
        <f>'Cases by ZCTA'!B11</f>
        <v>0</v>
      </c>
      <c r="C11" s="215">
        <f>'Cases by ZCTA'!C11</f>
        <v>0</v>
      </c>
    </row>
    <row r="12" ht="14.25" customHeight="1">
      <c r="A12" s="214" t="str">
        <f>'Cases by ZCTA'!A12</f>
        <v>02816</v>
      </c>
      <c r="B12" s="215">
        <f>'Cases by ZCTA'!B12</f>
        <v>304</v>
      </c>
      <c r="C12" s="215">
        <f>'Cases by ZCTA'!C12</f>
        <v>926</v>
      </c>
    </row>
    <row r="13" ht="14.25" customHeight="1">
      <c r="A13" s="214" t="str">
        <f>'Cases by ZCTA'!A13</f>
        <v>02817</v>
      </c>
      <c r="B13" s="215">
        <f>'Cases by ZCTA'!B13</f>
        <v>32</v>
      </c>
      <c r="C13" s="215">
        <f>'Cases by ZCTA'!C13</f>
        <v>530</v>
      </c>
    </row>
    <row r="14" ht="14.25" customHeight="1">
      <c r="A14" s="214" t="str">
        <f>'Cases by ZCTA'!A14</f>
        <v>02818</v>
      </c>
      <c r="B14" s="215">
        <f>'Cases by ZCTA'!B14</f>
        <v>142</v>
      </c>
      <c r="C14" s="215">
        <f>'Cases by ZCTA'!C14</f>
        <v>781</v>
      </c>
    </row>
    <row r="15" ht="14.25" customHeight="1">
      <c r="A15" s="214" t="str">
        <f>'Cases by ZCTA'!A15</f>
        <v>02822</v>
      </c>
      <c r="B15" s="215">
        <f>'Cases by ZCTA'!B15</f>
        <v>49</v>
      </c>
      <c r="C15" s="215">
        <f>'Cases by ZCTA'!C15</f>
        <v>745</v>
      </c>
    </row>
    <row r="16" ht="14.25" customHeight="1">
      <c r="A16" s="214" t="str">
        <f>'Cases by ZCTA'!A16</f>
        <v>02825</v>
      </c>
      <c r="B16" s="215">
        <f>'Cases by ZCTA'!B16</f>
        <v>35</v>
      </c>
      <c r="C16" s="215">
        <f>'Cases by ZCTA'!C16</f>
        <v>636</v>
      </c>
    </row>
    <row r="17" ht="14.25" customHeight="1">
      <c r="A17" s="214" t="str">
        <f>'Cases by ZCTA'!A17</f>
        <v>02826</v>
      </c>
      <c r="B17" s="215">
        <f>'Cases by ZCTA'!B17</f>
        <v>0</v>
      </c>
      <c r="C17" s="215">
        <f>'Cases by ZCTA'!C17</f>
        <v>0</v>
      </c>
    </row>
    <row r="18" ht="14.25" customHeight="1">
      <c r="A18" s="214" t="str">
        <f>'Cases by ZCTA'!A18</f>
        <v>02827</v>
      </c>
      <c r="B18" s="215">
        <f>'Cases by ZCTA'!B18</f>
        <v>19</v>
      </c>
      <c r="C18" s="215">
        <f>'Cases by ZCTA'!C18</f>
        <v>922</v>
      </c>
    </row>
    <row r="19" ht="14.25" customHeight="1">
      <c r="A19" s="214" t="str">
        <f>'Cases by ZCTA'!A19</f>
        <v>02828</v>
      </c>
      <c r="B19" s="215">
        <f>'Cases by ZCTA'!B19</f>
        <v>235</v>
      </c>
      <c r="C19" s="215">
        <f>'Cases by ZCTA'!C19</f>
        <v>2989</v>
      </c>
    </row>
    <row r="20" ht="14.25" customHeight="1">
      <c r="A20" s="214" t="str">
        <f>'Cases by ZCTA'!A20</f>
        <v>02830</v>
      </c>
      <c r="B20" s="215">
        <f>'Cases by ZCTA'!B20</f>
        <v>35</v>
      </c>
      <c r="C20" s="215">
        <f>'Cases by ZCTA'!C20</f>
        <v>590</v>
      </c>
    </row>
    <row r="21" ht="14.25" customHeight="1">
      <c r="A21" s="214" t="str">
        <f>'Cases by ZCTA'!A21</f>
        <v>02831</v>
      </c>
      <c r="B21" s="215">
        <f>'Cases by ZCTA'!B21</f>
        <v>39</v>
      </c>
      <c r="C21" s="215">
        <f>'Cases by ZCTA'!C21</f>
        <v>1114</v>
      </c>
    </row>
    <row r="22" ht="14.25" customHeight="1">
      <c r="A22" s="214" t="str">
        <f>'Cases by ZCTA'!A22</f>
        <v>02832</v>
      </c>
      <c r="B22" s="215">
        <f>'Cases by ZCTA'!B22</f>
        <v>19</v>
      </c>
      <c r="C22" s="215">
        <f>'Cases by ZCTA'!C22</f>
        <v>440</v>
      </c>
    </row>
    <row r="23" ht="14.25" customHeight="1">
      <c r="A23" s="214" t="str">
        <f>'Cases by ZCTA'!A23</f>
        <v>02833</v>
      </c>
      <c r="B23" s="215">
        <f>'Cases by ZCTA'!B23</f>
        <v>0</v>
      </c>
      <c r="C23" s="215">
        <f>'Cases by ZCTA'!C23</f>
        <v>0</v>
      </c>
    </row>
    <row r="24" ht="14.25" customHeight="1">
      <c r="A24" s="214" t="str">
        <f>'Cases by ZCTA'!A24</f>
        <v>02835</v>
      </c>
      <c r="B24" s="215">
        <f>'Cases by ZCTA'!B24</f>
        <v>29</v>
      </c>
      <c r="C24" s="215">
        <f>'Cases by ZCTA'!C24</f>
        <v>528</v>
      </c>
    </row>
    <row r="25" ht="14.25" customHeight="1">
      <c r="A25" s="214" t="str">
        <f>'Cases by ZCTA'!A25</f>
        <v>02836</v>
      </c>
      <c r="B25" s="215">
        <f>'Cases by ZCTA'!B25</f>
        <v>0</v>
      </c>
      <c r="C25" s="215">
        <f>'Cases by ZCTA'!C25</f>
        <v>0</v>
      </c>
    </row>
    <row r="26" ht="14.25" customHeight="1">
      <c r="A26" s="214" t="str">
        <f>'Cases by ZCTA'!A26</f>
        <v>02837</v>
      </c>
      <c r="B26" s="215">
        <f>'Cases by ZCTA'!B26</f>
        <v>14</v>
      </c>
      <c r="C26" s="215">
        <f>'Cases by ZCTA'!C26</f>
        <v>399</v>
      </c>
    </row>
    <row r="27" ht="14.25" customHeight="1">
      <c r="A27" s="214" t="str">
        <f>'Cases by ZCTA'!A27</f>
        <v>02838</v>
      </c>
      <c r="B27" s="215">
        <f>'Cases by ZCTA'!B27</f>
        <v>126</v>
      </c>
      <c r="C27" s="215">
        <f>'Cases by ZCTA'!C27</f>
        <v>3581</v>
      </c>
    </row>
    <row r="28" ht="14.25" customHeight="1">
      <c r="A28" s="214" t="str">
        <f>'Cases by ZCTA'!A28</f>
        <v>02839</v>
      </c>
      <c r="B28" s="215">
        <f>'Cases by ZCTA'!B28</f>
        <v>14</v>
      </c>
      <c r="C28" s="215">
        <f>'Cases by ZCTA'!C28</f>
        <v>679</v>
      </c>
    </row>
    <row r="29" ht="14.25" customHeight="1">
      <c r="A29" s="214" t="str">
        <f>'Cases by ZCTA'!A29</f>
        <v>02840</v>
      </c>
      <c r="B29" s="215">
        <f>'Cases by ZCTA'!B29</f>
        <v>157</v>
      </c>
      <c r="C29" s="215">
        <f>'Cases by ZCTA'!C29</f>
        <v>676</v>
      </c>
    </row>
    <row r="30" ht="14.25" customHeight="1">
      <c r="A30" s="214" t="str">
        <f>'Cases by ZCTA'!A30</f>
        <v>02841</v>
      </c>
      <c r="B30" s="215">
        <f>'Cases by ZCTA'!B30</f>
        <v>10</v>
      </c>
      <c r="C30" s="215">
        <f>'Cases by ZCTA'!C30</f>
        <v>613</v>
      </c>
    </row>
    <row r="31" ht="14.25" customHeight="1">
      <c r="A31" s="214" t="str">
        <f>'Cases by ZCTA'!A31</f>
        <v>02842</v>
      </c>
      <c r="B31" s="215">
        <f>'Cases by ZCTA'!B31</f>
        <v>90</v>
      </c>
      <c r="C31" s="215">
        <f>'Cases by ZCTA'!C31</f>
        <v>563</v>
      </c>
    </row>
    <row r="32" ht="14.25" customHeight="1">
      <c r="A32" s="214" t="str">
        <f>'Cases by ZCTA'!A32</f>
        <v>02852</v>
      </c>
      <c r="B32" s="215">
        <f>'Cases by ZCTA'!B32</f>
        <v>288</v>
      </c>
      <c r="C32" s="215">
        <f>'Cases by ZCTA'!C32</f>
        <v>1307</v>
      </c>
    </row>
    <row r="33" ht="14.25" customHeight="1">
      <c r="A33" s="214" t="str">
        <f>'Cases by ZCTA'!A33</f>
        <v>02857</v>
      </c>
      <c r="B33" s="215">
        <f>'Cases by ZCTA'!B33</f>
        <v>57</v>
      </c>
      <c r="C33" s="215">
        <f>'Cases by ZCTA'!C33</f>
        <v>653</v>
      </c>
    </row>
    <row r="34" ht="14.25" customHeight="1">
      <c r="A34" s="214" t="str">
        <f>'Cases by ZCTA'!A34</f>
        <v>02858</v>
      </c>
      <c r="B34" s="215">
        <f>'Cases by ZCTA'!B34</f>
        <v>0</v>
      </c>
      <c r="C34" s="215">
        <f>'Cases by ZCTA'!C34</f>
        <v>0</v>
      </c>
    </row>
    <row r="35" ht="14.25" customHeight="1">
      <c r="A35" s="214" t="str">
        <f>'Cases by ZCTA'!A35</f>
        <v>02859</v>
      </c>
      <c r="B35" s="215">
        <f>'Cases by ZCTA'!B35</f>
        <v>98</v>
      </c>
      <c r="C35" s="215">
        <f>'Cases by ZCTA'!C35</f>
        <v>1356</v>
      </c>
    </row>
    <row r="36" ht="14.25" customHeight="1">
      <c r="A36" s="214" t="str">
        <f>'Cases by ZCTA'!A36</f>
        <v>02860</v>
      </c>
      <c r="B36" s="215">
        <f>'Cases by ZCTA'!B36</f>
        <v>1742</v>
      </c>
      <c r="C36" s="215">
        <f>'Cases by ZCTA'!C36</f>
        <v>3696</v>
      </c>
    </row>
    <row r="37" ht="14.25" customHeight="1">
      <c r="A37" s="214" t="str">
        <f>'Cases by ZCTA'!A37</f>
        <v>02861</v>
      </c>
      <c r="B37" s="215">
        <f>'Cases by ZCTA'!B37</f>
        <v>573</v>
      </c>
      <c r="C37" s="215">
        <f>'Cases by ZCTA'!C37</f>
        <v>2288</v>
      </c>
    </row>
    <row r="38" ht="14.25" customHeight="1">
      <c r="A38" s="214" t="str">
        <f>'Cases by ZCTA'!A38</f>
        <v>02863</v>
      </c>
      <c r="B38" s="215">
        <f>'Cases by ZCTA'!B38</f>
        <v>1246</v>
      </c>
      <c r="C38" s="215">
        <f>'Cases by ZCTA'!C38</f>
        <v>6441</v>
      </c>
    </row>
    <row r="39" ht="14.25" customHeight="1">
      <c r="A39" s="214" t="str">
        <f>'Cases by ZCTA'!A39</f>
        <v>02864</v>
      </c>
      <c r="B39" s="215">
        <f>'Cases by ZCTA'!B39</f>
        <v>480</v>
      </c>
      <c r="C39" s="215">
        <f>'Cases by ZCTA'!C39</f>
        <v>1386</v>
      </c>
    </row>
    <row r="40" ht="14.25" customHeight="1">
      <c r="A40" s="214" t="str">
        <f>'Cases by ZCTA'!A40</f>
        <v>02865</v>
      </c>
      <c r="B40" s="215">
        <f>'Cases by ZCTA'!B40</f>
        <v>220</v>
      </c>
      <c r="C40" s="215">
        <f>'Cases by ZCTA'!C40</f>
        <v>1261</v>
      </c>
    </row>
    <row r="41" ht="14.25" customHeight="1">
      <c r="A41" s="214" t="str">
        <f>'Cases by ZCTA'!A41</f>
        <v>02871</v>
      </c>
      <c r="B41" s="215">
        <f>'Cases by ZCTA'!B41</f>
        <v>82</v>
      </c>
      <c r="C41" s="215">
        <f>'Cases by ZCTA'!C41</f>
        <v>478</v>
      </c>
    </row>
    <row r="42" ht="14.25" customHeight="1">
      <c r="A42" s="214" t="str">
        <f>'Cases by ZCTA'!A42</f>
        <v>02872</v>
      </c>
      <c r="B42" s="215">
        <f>'Cases by ZCTA'!B42</f>
        <v>0</v>
      </c>
      <c r="C42" s="215">
        <f>'Cases by ZCTA'!C42</f>
        <v>0</v>
      </c>
    </row>
    <row r="43" ht="14.25" customHeight="1">
      <c r="A43" s="214" t="str">
        <f>'Cases by ZCTA'!A43</f>
        <v>02873</v>
      </c>
      <c r="B43" s="215">
        <f>'Cases by ZCTA'!B43</f>
        <v>0</v>
      </c>
      <c r="C43" s="215">
        <f>'Cases by ZCTA'!C43</f>
        <v>0</v>
      </c>
    </row>
    <row r="44" ht="14.25" customHeight="1">
      <c r="A44" s="214" t="str">
        <f>'Cases by ZCTA'!A44</f>
        <v>02874</v>
      </c>
      <c r="B44" s="215">
        <f>'Cases by ZCTA'!B44</f>
        <v>44</v>
      </c>
      <c r="C44" s="215">
        <f>'Cases by ZCTA'!C44</f>
        <v>738</v>
      </c>
    </row>
    <row r="45" ht="14.25" customHeight="1">
      <c r="A45" s="214" t="str">
        <f>'Cases by ZCTA'!A45</f>
        <v>02875</v>
      </c>
      <c r="B45" s="215">
        <f>'Cases by ZCTA'!B45</f>
        <v>0</v>
      </c>
      <c r="C45" s="215">
        <f>'Cases by ZCTA'!C45</f>
        <v>0</v>
      </c>
    </row>
    <row r="46" ht="14.25" customHeight="1">
      <c r="A46" s="214" t="str">
        <f>'Cases by ZCTA'!A46</f>
        <v>02876</v>
      </c>
      <c r="B46" s="215">
        <f>'Cases by ZCTA'!B46</f>
        <v>7</v>
      </c>
      <c r="C46" s="215">
        <f>'Cases by ZCTA'!C46</f>
        <v>2405</v>
      </c>
    </row>
    <row r="47" ht="14.25" customHeight="1">
      <c r="A47" s="214" t="str">
        <f>'Cases by ZCTA'!A47</f>
        <v>02878</v>
      </c>
      <c r="B47" s="215">
        <f>'Cases by ZCTA'!B47</f>
        <v>126</v>
      </c>
      <c r="C47" s="215">
        <f>'Cases by ZCTA'!C47</f>
        <v>797</v>
      </c>
    </row>
    <row r="48" ht="14.25" customHeight="1">
      <c r="A48" s="214" t="str">
        <f>'Cases by ZCTA'!A48</f>
        <v>02879</v>
      </c>
      <c r="B48" s="215">
        <f>'Cases by ZCTA'!B48</f>
        <v>148</v>
      </c>
      <c r="C48" s="215">
        <f>'Cases by ZCTA'!C48</f>
        <v>721</v>
      </c>
    </row>
    <row r="49" ht="14.25" customHeight="1">
      <c r="A49" s="214" t="str">
        <f>'Cases by ZCTA'!A49</f>
        <v>02881</v>
      </c>
      <c r="B49" s="215">
        <f>'Cases by ZCTA'!B49</f>
        <v>15</v>
      </c>
      <c r="C49" s="215">
        <f>'Cases by ZCTA'!C49</f>
        <v>191</v>
      </c>
    </row>
    <row r="50" ht="14.25" customHeight="1">
      <c r="A50" s="214" t="str">
        <f>'Cases by ZCTA'!A50</f>
        <v>02882</v>
      </c>
      <c r="B50" s="215">
        <f>'Cases by ZCTA'!B50</f>
        <v>111</v>
      </c>
      <c r="C50" s="215">
        <f>'Cases by ZCTA'!C50</f>
        <v>796</v>
      </c>
    </row>
    <row r="51" ht="14.25" customHeight="1">
      <c r="A51" s="214" t="str">
        <f>'Cases by ZCTA'!A51</f>
        <v>02885</v>
      </c>
      <c r="B51" s="215">
        <f>'Cases by ZCTA'!B51</f>
        <v>108</v>
      </c>
      <c r="C51" s="215">
        <f>'Cases by ZCTA'!C51</f>
        <v>1032</v>
      </c>
    </row>
    <row r="52" ht="14.25" customHeight="1">
      <c r="A52" s="214" t="str">
        <f>'Cases by ZCTA'!A52</f>
        <v>02886</v>
      </c>
      <c r="B52" s="215">
        <f>'Cases by ZCTA'!B52</f>
        <v>287</v>
      </c>
      <c r="C52" s="215">
        <f>'Cases by ZCTA'!C52</f>
        <v>989</v>
      </c>
    </row>
    <row r="53" ht="14.25" customHeight="1">
      <c r="A53" s="214" t="str">
        <f>'Cases by ZCTA'!A53</f>
        <v>02888</v>
      </c>
      <c r="B53" s="215">
        <f>'Cases by ZCTA'!B53</f>
        <v>212</v>
      </c>
      <c r="C53" s="215">
        <f>'Cases by ZCTA'!C53</f>
        <v>1106</v>
      </c>
    </row>
    <row r="54" ht="14.25" customHeight="1">
      <c r="A54" s="214" t="str">
        <f>'Cases by ZCTA'!A54</f>
        <v>02889</v>
      </c>
      <c r="B54" s="215">
        <f>'Cases by ZCTA'!B54</f>
        <v>409</v>
      </c>
      <c r="C54" s="215">
        <f>'Cases by ZCTA'!C54</f>
        <v>1496</v>
      </c>
    </row>
    <row r="55" ht="14.25" customHeight="1">
      <c r="A55" s="214" t="str">
        <f>'Cases by ZCTA'!A55</f>
        <v>02891</v>
      </c>
      <c r="B55" s="215">
        <f>'Cases by ZCTA'!B55</f>
        <v>92</v>
      </c>
      <c r="C55" s="215">
        <f>'Cases by ZCTA'!C55</f>
        <v>436</v>
      </c>
    </row>
    <row r="56" ht="14.25" customHeight="1">
      <c r="A56" s="214" t="str">
        <f>'Cases by ZCTA'!A56</f>
        <v>02892</v>
      </c>
      <c r="B56" s="215">
        <f>'Cases by ZCTA'!B56</f>
        <v>40</v>
      </c>
      <c r="C56" s="215">
        <f>'Cases by ZCTA'!C56</f>
        <v>771</v>
      </c>
    </row>
    <row r="57" ht="14.25" customHeight="1">
      <c r="A57" s="214" t="str">
        <f>'Cases by ZCTA'!A57</f>
        <v>02893</v>
      </c>
      <c r="B57" s="215">
        <f>'Cases by ZCTA'!B57</f>
        <v>429</v>
      </c>
      <c r="C57" s="215">
        <f>'Cases by ZCTA'!C57</f>
        <v>1472</v>
      </c>
    </row>
    <row r="58" ht="14.25" customHeight="1">
      <c r="A58" s="214" t="str">
        <f>'Cases by ZCTA'!A58</f>
        <v>02894</v>
      </c>
      <c r="B58" s="215">
        <f>'Cases by ZCTA'!B58</f>
        <v>0</v>
      </c>
      <c r="C58" s="215">
        <f>'Cases by ZCTA'!C58</f>
        <v>0</v>
      </c>
    </row>
    <row r="59" ht="14.25" customHeight="1">
      <c r="A59" s="214" t="str">
        <f>'Cases by ZCTA'!A59</f>
        <v>02895</v>
      </c>
      <c r="B59" s="215">
        <f>'Cases by ZCTA'!B59</f>
        <v>857</v>
      </c>
      <c r="C59" s="215">
        <f>'Cases by ZCTA'!C59</f>
        <v>2063</v>
      </c>
    </row>
    <row r="60" ht="14.25" customHeight="1">
      <c r="A60" s="214" t="str">
        <f>'Cases by ZCTA'!A60</f>
        <v>02896</v>
      </c>
      <c r="B60" s="215">
        <f>'Cases by ZCTA'!B60</f>
        <v>158</v>
      </c>
      <c r="C60" s="215">
        <f>'Cases by ZCTA'!C60</f>
        <v>1310</v>
      </c>
    </row>
    <row r="61" ht="14.25" customHeight="1">
      <c r="A61" s="214" t="str">
        <f>'Cases by ZCTA'!A61</f>
        <v>02898</v>
      </c>
      <c r="B61" s="215">
        <f>'Cases by ZCTA'!B61</f>
        <v>19</v>
      </c>
      <c r="C61" s="215">
        <f>'Cases by ZCTA'!C61</f>
        <v>1156</v>
      </c>
    </row>
    <row r="62" ht="14.25" customHeight="1">
      <c r="A62" s="214" t="str">
        <f>'Cases by ZCTA'!A62</f>
        <v>02903</v>
      </c>
      <c r="B62" s="215">
        <f>'Cases by ZCTA'!B62</f>
        <v>245</v>
      </c>
      <c r="C62" s="215">
        <f>'Cases by ZCTA'!C62</f>
        <v>2324</v>
      </c>
    </row>
    <row r="63" ht="14.25" customHeight="1">
      <c r="A63" s="214" t="str">
        <f>'Cases by ZCTA'!A63</f>
        <v>02904</v>
      </c>
      <c r="B63" s="215">
        <f>'Cases by ZCTA'!B63</f>
        <v>1176</v>
      </c>
      <c r="C63" s="215">
        <f>'Cases by ZCTA'!C63</f>
        <v>3853</v>
      </c>
    </row>
    <row r="64" ht="14.25" customHeight="1">
      <c r="A64" s="214" t="str">
        <f>'Cases by ZCTA'!A64</f>
        <v>02905</v>
      </c>
      <c r="B64" s="215">
        <f>'Cases by ZCTA'!B64</f>
        <v>866</v>
      </c>
      <c r="C64" s="215">
        <f>'Cases by ZCTA'!C64</f>
        <v>3398</v>
      </c>
    </row>
    <row r="65" ht="14.25" customHeight="1">
      <c r="A65" s="214" t="str">
        <f>'Cases by ZCTA'!A65</f>
        <v>02906</v>
      </c>
      <c r="B65" s="215">
        <f>'Cases by ZCTA'!B65</f>
        <v>414</v>
      </c>
      <c r="C65" s="215">
        <f>'Cases by ZCTA'!C65</f>
        <v>1468</v>
      </c>
    </row>
    <row r="66" ht="14.25" customHeight="1">
      <c r="A66" s="214" t="str">
        <f>'Cases by ZCTA'!A66</f>
        <v>02907</v>
      </c>
      <c r="B66" s="215">
        <f>'Cases by ZCTA'!B66</f>
        <v>1822</v>
      </c>
      <c r="C66" s="215">
        <f>'Cases by ZCTA'!C66</f>
        <v>5919</v>
      </c>
    </row>
    <row r="67" ht="14.25" customHeight="1">
      <c r="A67" s="214" t="str">
        <f>'Cases by ZCTA'!A67</f>
        <v>02908</v>
      </c>
      <c r="B67" s="215">
        <f>'Cases by ZCTA'!B67</f>
        <v>1881</v>
      </c>
      <c r="C67" s="215">
        <f>'Cases by ZCTA'!C67</f>
        <v>5009</v>
      </c>
    </row>
    <row r="68" ht="14.25" customHeight="1">
      <c r="A68" s="214" t="str">
        <f>'Cases by ZCTA'!A68</f>
        <v>02909</v>
      </c>
      <c r="B68" s="215">
        <f>'Cases by ZCTA'!B68</f>
        <v>2525</v>
      </c>
      <c r="C68" s="215">
        <f>'Cases by ZCTA'!C68</f>
        <v>6224</v>
      </c>
    </row>
    <row r="69" ht="14.25" customHeight="1">
      <c r="A69" s="214" t="str">
        <f>'Cases by ZCTA'!A69</f>
        <v>02910</v>
      </c>
      <c r="B69" s="215">
        <f>'Cases by ZCTA'!B69</f>
        <v>403</v>
      </c>
      <c r="C69" s="215">
        <f>'Cases by ZCTA'!C69</f>
        <v>1820</v>
      </c>
    </row>
    <row r="70" ht="14.25" customHeight="1">
      <c r="A70" s="214" t="str">
        <f>'Cases by ZCTA'!A70</f>
        <v>02911</v>
      </c>
      <c r="B70" s="215">
        <f>'Cases by ZCTA'!B70</f>
        <v>304</v>
      </c>
      <c r="C70" s="215">
        <f>'Cases by ZCTA'!C70</f>
        <v>1916</v>
      </c>
    </row>
    <row r="71" ht="14.25" customHeight="1">
      <c r="A71" s="214" t="str">
        <f>'Cases by ZCTA'!A71</f>
        <v>02912</v>
      </c>
      <c r="B71" s="215">
        <f>'Cases by ZCTA'!B71</f>
        <v>0</v>
      </c>
      <c r="C71" s="215">
        <f>'Cases by ZCTA'!C71</f>
        <v>0</v>
      </c>
    </row>
    <row r="72" ht="14.25" customHeight="1">
      <c r="A72" s="214" t="str">
        <f>'Cases by ZCTA'!A72</f>
        <v>02914</v>
      </c>
      <c r="B72" s="215">
        <f>'Cases by ZCTA'!B72</f>
        <v>535</v>
      </c>
      <c r="C72" s="215">
        <f>'Cases by ZCTA'!C72</f>
        <v>2476</v>
      </c>
    </row>
    <row r="73" ht="14.25" customHeight="1">
      <c r="A73" s="214" t="str">
        <f>'Cases by ZCTA'!A73</f>
        <v>02915</v>
      </c>
      <c r="B73" s="215">
        <f>'Cases by ZCTA'!B73</f>
        <v>264</v>
      </c>
      <c r="C73" s="215">
        <f>'Cases by ZCTA'!C73</f>
        <v>1586</v>
      </c>
    </row>
    <row r="74" ht="14.25" customHeight="1">
      <c r="A74" s="214" t="str">
        <f>'Cases by ZCTA'!A74</f>
        <v>02916</v>
      </c>
      <c r="B74" s="215">
        <f>'Cases by ZCTA'!B74</f>
        <v>99</v>
      </c>
      <c r="C74" s="215">
        <f>'Cases by ZCTA'!C74</f>
        <v>1091</v>
      </c>
    </row>
    <row r="75" ht="14.25" customHeight="1">
      <c r="A75" s="214" t="str">
        <f>'Cases by ZCTA'!A75</f>
        <v>02917</v>
      </c>
      <c r="B75" s="215">
        <f>'Cases by ZCTA'!B75</f>
        <v>137</v>
      </c>
      <c r="C75" s="215">
        <f>'Cases by ZCTA'!C75</f>
        <v>993</v>
      </c>
    </row>
    <row r="76" ht="14.25" customHeight="1">
      <c r="A76" s="214" t="str">
        <f>'Cases by ZCTA'!A76</f>
        <v>02919</v>
      </c>
      <c r="B76" s="215">
        <f>'Cases by ZCTA'!B76</f>
        <v>639</v>
      </c>
      <c r="C76" s="215">
        <f>'Cases by ZCTA'!C76</f>
        <v>2184</v>
      </c>
    </row>
    <row r="77" ht="14.25" customHeight="1">
      <c r="A77" s="214" t="str">
        <f>'Cases by ZCTA'!A77</f>
        <v>02920</v>
      </c>
      <c r="B77" s="215">
        <f>'Cases by ZCTA'!B77</f>
        <v>798</v>
      </c>
      <c r="C77" s="215">
        <f>'Cases by ZCTA'!C77</f>
        <v>2145</v>
      </c>
    </row>
    <row r="78" ht="14.25" customHeight="1">
      <c r="A78" s="214" t="str">
        <f>'Cases by ZCTA'!A78</f>
        <v>02921</v>
      </c>
      <c r="B78" s="215">
        <f>'Cases by ZCTA'!B78</f>
        <v>142</v>
      </c>
      <c r="C78" s="215">
        <f>'Cases by ZCTA'!C78</f>
        <v>1144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9" t="s">
        <v>0</v>
      </c>
      <c r="B1" s="216" t="s">
        <v>1</v>
      </c>
      <c r="C1" s="216" t="s">
        <v>2</v>
      </c>
      <c r="D1" s="216" t="s">
        <v>3</v>
      </c>
      <c r="E1" s="216" t="s">
        <v>4</v>
      </c>
      <c r="F1" s="217" t="s">
        <v>5</v>
      </c>
      <c r="G1" s="217" t="s">
        <v>6</v>
      </c>
      <c r="H1" s="217" t="s">
        <v>7</v>
      </c>
      <c r="I1" s="218" t="s">
        <v>8</v>
      </c>
      <c r="J1" s="219" t="s">
        <v>9</v>
      </c>
      <c r="K1" s="218" t="s">
        <v>10</v>
      </c>
      <c r="L1" s="218" t="s">
        <v>11</v>
      </c>
      <c r="M1" s="218" t="s">
        <v>12</v>
      </c>
      <c r="N1" s="218" t="s">
        <v>13</v>
      </c>
      <c r="O1" s="220" t="s">
        <v>14</v>
      </c>
      <c r="P1" s="220" t="s">
        <v>15</v>
      </c>
      <c r="Q1" s="220" t="s">
        <v>16</v>
      </c>
      <c r="R1" s="220" t="s">
        <v>17</v>
      </c>
      <c r="S1" s="220" t="s">
        <v>18</v>
      </c>
      <c r="T1" s="220" t="s">
        <v>19</v>
      </c>
      <c r="U1" s="220" t="s">
        <v>20</v>
      </c>
      <c r="V1" s="220" t="s">
        <v>21</v>
      </c>
      <c r="W1" s="220" t="s">
        <v>22</v>
      </c>
      <c r="X1" s="220" t="s">
        <v>23</v>
      </c>
      <c r="Y1" s="221" t="s">
        <v>24</v>
      </c>
      <c r="Z1" s="221" t="s">
        <v>25</v>
      </c>
      <c r="AA1" s="222" t="s">
        <v>471</v>
      </c>
      <c r="AB1" s="222" t="s">
        <v>472</v>
      </c>
      <c r="AC1" s="222" t="s">
        <v>473</v>
      </c>
      <c r="AD1" s="222" t="s">
        <v>474</v>
      </c>
    </row>
    <row r="2">
      <c r="A2" s="223">
        <f>Summary!B1</f>
        <v>44099</v>
      </c>
      <c r="B2" s="224">
        <f>Summary!B2</f>
        <v>134</v>
      </c>
      <c r="C2" s="225">
        <f>Summary!B3</f>
        <v>155</v>
      </c>
      <c r="D2" s="225">
        <f>Summary!B4</f>
        <v>34299</v>
      </c>
      <c r="E2" s="225">
        <f>Summary!B5</f>
        <v>7562</v>
      </c>
      <c r="F2" s="225">
        <f>Summary!B6</f>
        <v>693170</v>
      </c>
      <c r="G2" s="225">
        <f>Summary!B7</f>
        <v>7696</v>
      </c>
      <c r="H2" s="225">
        <f>Summary!B8</f>
        <v>727469</v>
      </c>
      <c r="I2" s="225">
        <f>Summary!B9</f>
        <v>119</v>
      </c>
      <c r="J2" s="225">
        <f>Summary!B10</f>
        <v>121</v>
      </c>
      <c r="K2" s="225">
        <f>Summary!B11</f>
        <v>24181</v>
      </c>
      <c r="L2" s="225">
        <f>Summary!B12</f>
        <v>1667</v>
      </c>
      <c r="M2" s="225">
        <f>Summary!B13</f>
        <v>305853</v>
      </c>
      <c r="N2" s="225">
        <f>Summary!B14</f>
        <v>330034</v>
      </c>
      <c r="O2" s="225">
        <f>Summary!B15</f>
        <v>11</v>
      </c>
      <c r="P2" s="225">
        <f>Summary!B16</f>
        <v>2725</v>
      </c>
      <c r="Q2" s="225">
        <f>Summary!B17</f>
        <v>3</v>
      </c>
      <c r="R2" s="225">
        <f>Summary!B18</f>
        <v>2278</v>
      </c>
      <c r="S2" s="225">
        <f>Summary!B19</f>
        <v>1</v>
      </c>
      <c r="T2" s="225">
        <f>Summary!B20</f>
        <v>353</v>
      </c>
      <c r="U2" s="225">
        <f>Summary!B21</f>
        <v>94</v>
      </c>
      <c r="V2" s="225">
        <f>Summary!B22</f>
        <v>87</v>
      </c>
      <c r="W2" s="225">
        <f>Summary!B23</f>
        <v>8</v>
      </c>
      <c r="X2" s="225">
        <f>Summary!B24</f>
        <v>4</v>
      </c>
      <c r="Y2" s="225">
        <f>Summary!B25</f>
        <v>1</v>
      </c>
      <c r="Z2" s="225">
        <f>Summary!B26</f>
        <v>1107</v>
      </c>
      <c r="AA2" s="226">
        <f>I2+E2</f>
        <v>7681</v>
      </c>
      <c r="AB2" s="226">
        <f>K2+F2</f>
        <v>717351</v>
      </c>
      <c r="AC2" s="227">
        <f>K2/H2</f>
        <v>0.03323990438</v>
      </c>
      <c r="AD2" s="227">
        <f>I2/G2</f>
        <v>0.01546257796</v>
      </c>
    </row>
    <row r="3">
      <c r="A3" s="228"/>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row>
    <row r="4">
      <c r="A4" s="228"/>
      <c r="B4" s="228"/>
      <c r="C4" s="228"/>
      <c r="D4" s="228"/>
      <c r="E4" s="228"/>
      <c r="F4" s="228"/>
      <c r="G4" s="228"/>
      <c r="H4" s="228"/>
      <c r="I4" s="228"/>
      <c r="J4" s="228"/>
      <c r="K4" s="228"/>
      <c r="L4" s="228"/>
      <c r="M4" s="228"/>
      <c r="N4" s="228"/>
      <c r="O4" s="228"/>
      <c r="P4" s="228"/>
      <c r="Q4" s="228"/>
      <c r="R4" s="228"/>
      <c r="S4" s="228"/>
      <c r="T4" s="228"/>
      <c r="U4" s="228"/>
      <c r="V4" s="228"/>
      <c r="W4" s="228"/>
      <c r="X4" s="228"/>
      <c r="Y4" s="228"/>
      <c r="Z4" s="228"/>
      <c r="AA4" s="228"/>
      <c r="AB4" s="228"/>
      <c r="AC4" s="228"/>
      <c r="AD4" s="228"/>
    </row>
    <row r="5">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row>
    <row r="6">
      <c r="A6" s="228"/>
      <c r="B6" s="228"/>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row>
    <row r="7">
      <c r="A7" s="228"/>
      <c r="B7" s="228"/>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row>
    <row r="8">
      <c r="A8" s="228"/>
      <c r="B8" s="228"/>
      <c r="C8" s="228"/>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28"/>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row>
    <row r="10">
      <c r="A10" s="228"/>
      <c r="B10" s="228"/>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8"/>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row>
    <row r="13">
      <c r="A13" s="228"/>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row>
    <row r="14">
      <c r="A14" s="228"/>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row>
    <row r="15">
      <c r="A15" s="228"/>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row>
    <row r="16">
      <c r="A16" s="228"/>
      <c r="B16" s="228"/>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row>
    <row r="17">
      <c r="A17" s="228"/>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c r="A18" s="228"/>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c r="A19" s="228"/>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8"/>
    </row>
    <row r="20">
      <c r="A20" s="228"/>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c r="A21" s="228"/>
      <c r="B21" s="228"/>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row>
    <row r="22">
      <c r="A22" s="228"/>
      <c r="B22" s="228"/>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row>
    <row r="23">
      <c r="A23" s="228"/>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row>
    <row r="24">
      <c r="A24" s="228"/>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row>
    <row r="25">
      <c r="A25" s="228"/>
      <c r="B25" s="228"/>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row>
    <row r="26">
      <c r="A26" s="228"/>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row>
    <row r="27">
      <c r="A27" s="228"/>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row>
    <row r="28">
      <c r="A28" s="228"/>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row>
    <row r="29">
      <c r="A29" s="228"/>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row>
    <row r="30">
      <c r="A30" s="228"/>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row>
    <row r="31">
      <c r="A31" s="228"/>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c r="A32" s="228"/>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c r="A33" s="228"/>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c r="A34" s="228"/>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c r="A35" s="228"/>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c r="A36" s="228"/>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c r="A37" s="228"/>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c r="A38" s="228"/>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c r="A39" s="228"/>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c r="A40" s="228"/>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c r="A41" s="228"/>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c r="A42" s="228"/>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c r="A43" s="228"/>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c r="A44" s="228"/>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c r="A45" s="228"/>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c r="A46" s="228"/>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c r="A47" s="228"/>
      <c r="B47" s="228"/>
      <c r="C47" s="228"/>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c r="A48" s="228"/>
      <c r="B48" s="228"/>
      <c r="C48" s="228"/>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c r="A49" s="228"/>
      <c r="B49" s="228"/>
      <c r="C49" s="228"/>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c r="A50" s="228"/>
      <c r="B50" s="228"/>
      <c r="C50" s="228"/>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c r="A51" s="228"/>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c r="A52" s="228"/>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c r="A53" s="228"/>
      <c r="B53" s="228"/>
      <c r="C53" s="228"/>
      <c r="D53" s="228"/>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c r="A54" s="228"/>
      <c r="B54" s="228"/>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c r="A55" s="228"/>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c r="A56" s="228"/>
      <c r="B56" s="228"/>
      <c r="C56" s="228"/>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c r="A57" s="228"/>
      <c r="B57" s="228"/>
      <c r="C57" s="228"/>
      <c r="D57" s="228"/>
      <c r="E57" s="228"/>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row>
    <row r="58">
      <c r="A58" s="228"/>
      <c r="B58" s="228"/>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28"/>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28"/>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28"/>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28"/>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28"/>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28"/>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28"/>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28"/>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28"/>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28"/>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28"/>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28"/>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28"/>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28"/>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28"/>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28"/>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28"/>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28"/>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28"/>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28"/>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28"/>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28"/>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28"/>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28"/>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28"/>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28"/>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28"/>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28"/>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28"/>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28"/>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28"/>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28"/>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28"/>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28"/>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28"/>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28"/>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28"/>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28"/>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28"/>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28"/>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28"/>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28"/>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28"/>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28"/>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28"/>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28"/>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28"/>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28"/>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28"/>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28"/>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28"/>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28"/>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28"/>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28"/>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28"/>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28"/>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28"/>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28"/>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28"/>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28"/>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28"/>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28"/>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28"/>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28"/>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28"/>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28"/>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28"/>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28"/>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28"/>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28"/>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28"/>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28"/>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28"/>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28"/>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28"/>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28"/>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28"/>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28"/>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28"/>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28"/>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28"/>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28"/>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28"/>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28"/>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28"/>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28"/>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28"/>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28"/>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28"/>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28"/>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28"/>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28"/>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28"/>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28"/>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28"/>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28"/>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28"/>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28"/>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28"/>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28"/>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28"/>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28"/>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28"/>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28"/>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28"/>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28"/>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28"/>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28"/>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28"/>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28"/>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28"/>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28"/>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28"/>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28"/>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28"/>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28"/>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28"/>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28"/>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28"/>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28"/>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28"/>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28"/>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28"/>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28"/>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28"/>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28"/>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28"/>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28"/>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28"/>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28"/>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28"/>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28"/>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28"/>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28"/>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28"/>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28"/>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28"/>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28"/>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28"/>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row r="910">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c r="AA910" s="228"/>
      <c r="AB910" s="228"/>
      <c r="AC910" s="228"/>
      <c r="AD910" s="228"/>
    </row>
    <row r="91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c r="AA911" s="228"/>
      <c r="AB911" s="228"/>
      <c r="AC911" s="228"/>
      <c r="AD911" s="228"/>
    </row>
    <row r="912">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c r="AA912" s="228"/>
      <c r="AB912" s="228"/>
      <c r="AC912" s="228"/>
      <c r="AD912" s="228"/>
    </row>
    <row r="913">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c r="AA913" s="228"/>
      <c r="AB913" s="228"/>
      <c r="AC913" s="228"/>
      <c r="AD913" s="228"/>
    </row>
    <row r="914">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c r="AA914" s="228"/>
      <c r="AB914" s="228"/>
      <c r="AC914" s="228"/>
      <c r="AD914" s="228"/>
    </row>
    <row r="915">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c r="AA915" s="228"/>
      <c r="AB915" s="228"/>
      <c r="AC915" s="228"/>
      <c r="AD915" s="228"/>
    </row>
    <row r="916">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c r="AA916" s="228"/>
      <c r="AB916" s="228"/>
      <c r="AC916" s="228"/>
      <c r="AD916" s="228"/>
    </row>
    <row r="917">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c r="AA917" s="228"/>
      <c r="AB917" s="228"/>
      <c r="AC917" s="228"/>
      <c r="AD917" s="228"/>
    </row>
    <row r="918">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c r="AA918" s="228"/>
      <c r="AB918" s="228"/>
      <c r="AC918" s="228"/>
      <c r="AD918" s="228"/>
    </row>
    <row r="919">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c r="AA919" s="228"/>
      <c r="AB919" s="228"/>
      <c r="AC919" s="228"/>
      <c r="AD919" s="228"/>
    </row>
    <row r="920">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c r="AA920" s="228"/>
      <c r="AB920" s="228"/>
      <c r="AC920" s="228"/>
      <c r="AD920" s="228"/>
    </row>
    <row r="92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c r="AA921" s="228"/>
      <c r="AB921" s="228"/>
      <c r="AC921" s="228"/>
      <c r="AD921" s="228"/>
    </row>
    <row r="922">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c r="AA922" s="228"/>
      <c r="AB922" s="228"/>
      <c r="AC922" s="228"/>
      <c r="AD922" s="228"/>
    </row>
    <row r="923">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c r="AA923" s="228"/>
      <c r="AB923" s="228"/>
      <c r="AC923" s="228"/>
      <c r="AD923" s="228"/>
    </row>
    <row r="924">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c r="AA924" s="228"/>
      <c r="AB924" s="228"/>
      <c r="AC924" s="228"/>
      <c r="AD924" s="228"/>
    </row>
    <row r="925">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c r="AA925" s="228"/>
      <c r="AB925" s="228"/>
      <c r="AC925" s="228"/>
      <c r="AD925" s="228"/>
    </row>
    <row r="926">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c r="AA926" s="228"/>
      <c r="AB926" s="228"/>
      <c r="AC926" s="228"/>
      <c r="AD926" s="228"/>
    </row>
    <row r="927">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c r="AA927" s="228"/>
      <c r="AB927" s="228"/>
      <c r="AC927" s="228"/>
      <c r="AD927" s="228"/>
    </row>
    <row r="928">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c r="AA928" s="228"/>
      <c r="AB928" s="228"/>
      <c r="AC928" s="228"/>
      <c r="AD928" s="228"/>
    </row>
    <row r="929">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c r="AA929" s="228"/>
      <c r="AB929" s="228"/>
      <c r="AC929" s="228"/>
      <c r="AD929" s="228"/>
    </row>
    <row r="930">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c r="AA930" s="228"/>
      <c r="AB930" s="228"/>
      <c r="AC930" s="228"/>
      <c r="AD930" s="228"/>
    </row>
    <row r="93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c r="AA931" s="228"/>
      <c r="AB931" s="228"/>
      <c r="AC931" s="228"/>
      <c r="AD931" s="228"/>
    </row>
    <row r="932">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c r="AA932" s="228"/>
      <c r="AB932" s="228"/>
      <c r="AC932" s="228"/>
      <c r="AD932" s="228"/>
    </row>
    <row r="933">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c r="AA933" s="228"/>
      <c r="AB933" s="228"/>
      <c r="AC933" s="228"/>
      <c r="AD933" s="228"/>
    </row>
    <row r="934">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c r="AA934" s="228"/>
      <c r="AB934" s="228"/>
      <c r="AC934" s="228"/>
      <c r="AD934" s="228"/>
    </row>
    <row r="935">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c r="AA935" s="228"/>
      <c r="AB935" s="228"/>
      <c r="AC935" s="228"/>
      <c r="AD935" s="228"/>
    </row>
    <row r="936">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c r="AA936" s="228"/>
      <c r="AB936" s="228"/>
      <c r="AC936" s="228"/>
      <c r="AD936" s="228"/>
    </row>
    <row r="937">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c r="AA937" s="228"/>
      <c r="AB937" s="228"/>
      <c r="AC937" s="228"/>
      <c r="AD937" s="228"/>
    </row>
    <row r="938">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c r="AA938" s="228"/>
      <c r="AB938" s="228"/>
      <c r="AC938" s="228"/>
      <c r="AD938" s="228"/>
    </row>
    <row r="939">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c r="AA939" s="228"/>
      <c r="AB939" s="228"/>
      <c r="AC939" s="228"/>
      <c r="AD939" s="228"/>
    </row>
    <row r="940">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c r="AA940" s="228"/>
      <c r="AB940" s="228"/>
      <c r="AC940" s="228"/>
      <c r="AD940" s="228"/>
    </row>
    <row r="94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c r="AA941" s="228"/>
      <c r="AB941" s="228"/>
      <c r="AC941" s="228"/>
      <c r="AD941" s="228"/>
    </row>
    <row r="942">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c r="AA942" s="228"/>
      <c r="AB942" s="228"/>
      <c r="AC942" s="228"/>
      <c r="AD942" s="228"/>
    </row>
    <row r="943">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c r="AA943" s="228"/>
      <c r="AB943" s="228"/>
      <c r="AC943" s="228"/>
      <c r="AD943" s="228"/>
    </row>
    <row r="944">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c r="AA944" s="228"/>
      <c r="AB944" s="228"/>
      <c r="AC944" s="228"/>
      <c r="AD944" s="228"/>
    </row>
    <row r="945">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c r="AA945" s="228"/>
      <c r="AB945" s="228"/>
      <c r="AC945" s="228"/>
      <c r="AD945" s="228"/>
    </row>
    <row r="946">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c r="AA946" s="228"/>
      <c r="AB946" s="228"/>
      <c r="AC946" s="228"/>
      <c r="AD946" s="228"/>
    </row>
    <row r="947">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c r="AA947" s="228"/>
      <c r="AB947" s="228"/>
      <c r="AC947" s="228"/>
      <c r="AD947" s="228"/>
    </row>
    <row r="948">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c r="AA948" s="228"/>
      <c r="AB948" s="228"/>
      <c r="AC948" s="228"/>
      <c r="AD948" s="228"/>
    </row>
    <row r="949">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c r="AA949" s="228"/>
      <c r="AB949" s="228"/>
      <c r="AC949" s="228"/>
      <c r="AD949" s="228"/>
    </row>
    <row r="950">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c r="AA950" s="228"/>
      <c r="AB950" s="228"/>
      <c r="AC950" s="228"/>
      <c r="AD950" s="228"/>
    </row>
    <row r="95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c r="AA951" s="228"/>
      <c r="AB951" s="228"/>
      <c r="AC951" s="228"/>
      <c r="AD951" s="228"/>
    </row>
    <row r="952">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c r="AA952" s="228"/>
      <c r="AB952" s="228"/>
      <c r="AC952" s="228"/>
      <c r="AD952" s="228"/>
    </row>
    <row r="953">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c r="AA953" s="228"/>
      <c r="AB953" s="228"/>
      <c r="AC953" s="228"/>
      <c r="AD953" s="228"/>
    </row>
    <row r="954">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c r="AA954" s="228"/>
      <c r="AB954" s="228"/>
      <c r="AC954" s="228"/>
      <c r="AD954" s="228"/>
    </row>
    <row r="955">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c r="AA955" s="228"/>
      <c r="AB955" s="228"/>
      <c r="AC955" s="228"/>
      <c r="AD955" s="228"/>
    </row>
    <row r="956">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c r="AA956" s="228"/>
      <c r="AB956" s="228"/>
      <c r="AC956" s="228"/>
      <c r="AD956" s="228"/>
    </row>
    <row r="957">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c r="AA957" s="228"/>
      <c r="AB957" s="228"/>
      <c r="AC957" s="228"/>
      <c r="AD957" s="228"/>
    </row>
    <row r="958">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c r="AA958" s="228"/>
      <c r="AB958" s="228"/>
      <c r="AC958" s="228"/>
      <c r="AD958" s="228"/>
    </row>
    <row r="959">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c r="AA959" s="228"/>
      <c r="AB959" s="228"/>
      <c r="AC959" s="228"/>
      <c r="AD959" s="228"/>
    </row>
    <row r="960">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c r="AA960" s="228"/>
      <c r="AB960" s="228"/>
      <c r="AC960" s="228"/>
      <c r="AD960" s="228"/>
    </row>
    <row r="96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c r="AA961" s="228"/>
      <c r="AB961" s="228"/>
      <c r="AC961" s="228"/>
      <c r="AD961" s="228"/>
    </row>
    <row r="962">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c r="AA962" s="228"/>
      <c r="AB962" s="228"/>
      <c r="AC962" s="228"/>
      <c r="AD962" s="228"/>
    </row>
    <row r="963">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c r="AA963" s="228"/>
      <c r="AB963" s="228"/>
      <c r="AC963" s="228"/>
      <c r="AD963" s="228"/>
    </row>
    <row r="964">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c r="AA964" s="228"/>
      <c r="AB964" s="228"/>
      <c r="AC964" s="228"/>
      <c r="AD964" s="228"/>
    </row>
    <row r="965">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c r="AA965" s="228"/>
      <c r="AB965" s="228"/>
      <c r="AC965" s="228"/>
      <c r="AD965" s="228"/>
    </row>
    <row r="966">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c r="AA966" s="228"/>
      <c r="AB966" s="228"/>
      <c r="AC966" s="228"/>
      <c r="AD966" s="228"/>
    </row>
    <row r="967">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c r="AA967" s="228"/>
      <c r="AB967" s="228"/>
      <c r="AC967" s="228"/>
      <c r="AD967" s="228"/>
    </row>
    <row r="968">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c r="AA968" s="228"/>
      <c r="AB968" s="228"/>
      <c r="AC968" s="228"/>
      <c r="AD968" s="228"/>
    </row>
    <row r="969">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c r="AA969" s="228"/>
      <c r="AB969" s="228"/>
      <c r="AC969" s="228"/>
      <c r="AD969" s="228"/>
    </row>
    <row r="970">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c r="AA970" s="228"/>
      <c r="AB970" s="228"/>
      <c r="AC970" s="228"/>
      <c r="AD970" s="228"/>
    </row>
    <row r="97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c r="AA971" s="228"/>
      <c r="AB971" s="228"/>
      <c r="AC971" s="228"/>
      <c r="AD971" s="228"/>
    </row>
    <row r="972">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c r="AA972" s="228"/>
      <c r="AB972" s="228"/>
      <c r="AC972" s="228"/>
      <c r="AD972" s="228"/>
    </row>
    <row r="973">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c r="AA973" s="228"/>
      <c r="AB973" s="228"/>
      <c r="AC973" s="228"/>
      <c r="AD973" s="228"/>
    </row>
    <row r="974">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c r="AA974" s="228"/>
      <c r="AB974" s="228"/>
      <c r="AC974" s="228"/>
      <c r="AD974" s="228"/>
    </row>
    <row r="975">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c r="AA975" s="228"/>
      <c r="AB975" s="228"/>
      <c r="AC975" s="228"/>
      <c r="AD975" s="228"/>
    </row>
    <row r="976">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c r="AA976" s="228"/>
      <c r="AB976" s="228"/>
      <c r="AC976" s="228"/>
      <c r="AD976" s="228"/>
    </row>
    <row r="977">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c r="AA977" s="228"/>
      <c r="AB977" s="228"/>
      <c r="AC977" s="228"/>
      <c r="AD977" s="228"/>
    </row>
    <row r="978">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c r="AA978" s="228"/>
      <c r="AB978" s="228"/>
      <c r="AC978" s="228"/>
      <c r="AD978" s="228"/>
    </row>
    <row r="979">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c r="AA979" s="228"/>
      <c r="AB979" s="228"/>
      <c r="AC979" s="228"/>
      <c r="AD979" s="228"/>
    </row>
    <row r="980">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c r="AA980" s="228"/>
      <c r="AB980" s="228"/>
      <c r="AC980" s="228"/>
      <c r="AD980" s="228"/>
    </row>
    <row r="98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c r="AA981" s="228"/>
      <c r="AB981" s="228"/>
      <c r="AC981" s="228"/>
      <c r="AD981" s="228"/>
    </row>
    <row r="982">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c r="AA982" s="228"/>
      <c r="AB982" s="228"/>
      <c r="AC982" s="228"/>
      <c r="AD982" s="228"/>
    </row>
    <row r="983">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c r="AA983" s="228"/>
      <c r="AB983" s="228"/>
      <c r="AC983" s="228"/>
      <c r="AD983" s="228"/>
    </row>
    <row r="984">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c r="AA984" s="228"/>
      <c r="AB984" s="228"/>
      <c r="AC984" s="228"/>
      <c r="AD984" s="228"/>
    </row>
    <row r="985">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c r="AA985" s="228"/>
      <c r="AB985" s="228"/>
      <c r="AC985" s="228"/>
      <c r="AD985" s="228"/>
    </row>
    <row r="986">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c r="AA986" s="228"/>
      <c r="AB986" s="228"/>
      <c r="AC986" s="228"/>
      <c r="AD986" s="228"/>
    </row>
    <row r="987">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c r="AA987" s="228"/>
      <c r="AB987" s="228"/>
      <c r="AC987" s="228"/>
      <c r="AD987" s="228"/>
    </row>
    <row r="988">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c r="AA988" s="228"/>
      <c r="AB988" s="228"/>
      <c r="AC988" s="228"/>
      <c r="AD988" s="228"/>
    </row>
    <row r="989">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c r="AA989" s="228"/>
      <c r="AB989" s="228"/>
      <c r="AC989" s="228"/>
      <c r="AD989" s="228"/>
    </row>
    <row r="990">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c r="AA990" s="228"/>
      <c r="AB990" s="228"/>
      <c r="AC990" s="228"/>
      <c r="AD990" s="228"/>
    </row>
    <row r="99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c r="AA991" s="228"/>
      <c r="AB991" s="228"/>
      <c r="AC991" s="228"/>
      <c r="AD991" s="228"/>
    </row>
    <row r="992">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c r="AA992" s="228"/>
      <c r="AB992" s="228"/>
      <c r="AC992" s="228"/>
      <c r="AD992" s="228"/>
    </row>
    <row r="993">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c r="AA993" s="228"/>
      <c r="AB993" s="228"/>
      <c r="AC993" s="228"/>
      <c r="AD993" s="228"/>
    </row>
    <row r="994">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c r="AA994" s="228"/>
      <c r="AB994" s="228"/>
      <c r="AC994" s="228"/>
      <c r="AD994" s="228"/>
    </row>
    <row r="995">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c r="AA995" s="228"/>
      <c r="AB995" s="228"/>
      <c r="AC995" s="228"/>
      <c r="AD995" s="228"/>
    </row>
    <row r="996">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c r="AA996" s="228"/>
      <c r="AB996" s="228"/>
      <c r="AC996" s="228"/>
      <c r="AD996" s="228"/>
    </row>
    <row r="997">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c r="AA997" s="228"/>
      <c r="AB997" s="228"/>
      <c r="AC997" s="228"/>
      <c r="AD997" s="228"/>
    </row>
    <row r="998">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c r="AA998" s="228"/>
      <c r="AB998" s="228"/>
      <c r="AC998" s="228"/>
      <c r="AD998" s="228"/>
    </row>
    <row r="999">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c r="AA999" s="228"/>
      <c r="AB999" s="228"/>
      <c r="AC999" s="228"/>
      <c r="AD999" s="228"/>
    </row>
    <row r="1000">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c r="AA1000" s="228"/>
      <c r="AB1000" s="228"/>
      <c r="AC1000" s="228"/>
      <c r="AD1000" s="2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t="str">
        <f t="shared" ref="A1:O1" si="1">'Municipality Case Trends'!A5</f>
        <v>#REF!</v>
      </c>
      <c r="B1" s="211" t="str">
        <f t="shared" si="1"/>
        <v>#REF!</v>
      </c>
      <c r="C1" s="211" t="str">
        <f t="shared" si="1"/>
        <v>#REF!</v>
      </c>
      <c r="D1" s="211" t="str">
        <f t="shared" si="1"/>
        <v>#REF!</v>
      </c>
      <c r="E1" s="211" t="str">
        <f t="shared" si="1"/>
        <v>#REF!</v>
      </c>
      <c r="F1" s="211" t="str">
        <f t="shared" si="1"/>
        <v>#REF!</v>
      </c>
      <c r="G1" s="211" t="str">
        <f t="shared" si="1"/>
        <v>#REF!</v>
      </c>
      <c r="H1" s="211" t="str">
        <f t="shared" si="1"/>
        <v>#REF!</v>
      </c>
      <c r="I1" s="211" t="str">
        <f t="shared" si="1"/>
        <v>#REF!</v>
      </c>
      <c r="J1" s="211" t="str">
        <f t="shared" si="1"/>
        <v>#REF!</v>
      </c>
      <c r="K1" s="211" t="str">
        <f t="shared" si="1"/>
        <v>#REF!</v>
      </c>
      <c r="L1" s="211" t="str">
        <f t="shared" si="1"/>
        <v>#REF!</v>
      </c>
      <c r="M1" s="211" t="str">
        <f t="shared" si="1"/>
        <v>#REF!</v>
      </c>
      <c r="N1" s="211" t="str">
        <f t="shared" si="1"/>
        <v>#REF!</v>
      </c>
      <c r="O1" s="211" t="str">
        <f t="shared" si="1"/>
        <v>#REF!</v>
      </c>
      <c r="P1" s="211" t="str">
        <f t="shared" ref="P1:Z1" si="2">#REF!</f>
        <v>#REF!</v>
      </c>
      <c r="Q1" s="211" t="str">
        <f t="shared" si="2"/>
        <v>#REF!</v>
      </c>
      <c r="R1" s="211" t="str">
        <f t="shared" si="2"/>
        <v>#REF!</v>
      </c>
      <c r="S1" s="211" t="str">
        <f t="shared" si="2"/>
        <v>#REF!</v>
      </c>
      <c r="T1" s="211" t="str">
        <f t="shared" si="2"/>
        <v>#REF!</v>
      </c>
      <c r="U1" s="211" t="str">
        <f t="shared" si="2"/>
        <v>#REF!</v>
      </c>
      <c r="V1" s="211" t="str">
        <f t="shared" si="2"/>
        <v>#REF!</v>
      </c>
      <c r="W1" s="211" t="str">
        <f t="shared" si="2"/>
        <v>#REF!</v>
      </c>
      <c r="X1" s="211" t="str">
        <f t="shared" si="2"/>
        <v>#REF!</v>
      </c>
      <c r="Y1" s="211" t="str">
        <f t="shared" si="2"/>
        <v>#REF!</v>
      </c>
      <c r="Z1" s="211" t="str">
        <f t="shared" si="2"/>
        <v>#REF!</v>
      </c>
    </row>
    <row r="2">
      <c r="A2" s="211" t="str">
        <f t="shared" ref="A2:O2" si="3">'Municipality Case Trends'!A6</f>
        <v>#REF!</v>
      </c>
      <c r="B2" s="211" t="str">
        <f t="shared" si="3"/>
        <v>#REF!</v>
      </c>
      <c r="C2" s="211" t="str">
        <f t="shared" si="3"/>
        <v>#REF!</v>
      </c>
      <c r="D2" s="211" t="str">
        <f t="shared" si="3"/>
        <v>#REF!</v>
      </c>
      <c r="E2" s="211" t="str">
        <f t="shared" si="3"/>
        <v>#REF!</v>
      </c>
      <c r="F2" s="211" t="str">
        <f t="shared" si="3"/>
        <v>#REF!</v>
      </c>
      <c r="G2" s="211" t="str">
        <f t="shared" si="3"/>
        <v>#REF!</v>
      </c>
      <c r="H2" s="211" t="str">
        <f t="shared" si="3"/>
        <v>#REF!</v>
      </c>
      <c r="I2" s="211" t="str">
        <f t="shared" si="3"/>
        <v>#REF!</v>
      </c>
      <c r="J2" s="211" t="str">
        <f t="shared" si="3"/>
        <v>#REF!</v>
      </c>
      <c r="K2" s="211" t="str">
        <f t="shared" si="3"/>
        <v>#REF!</v>
      </c>
      <c r="L2" s="211" t="str">
        <f t="shared" si="3"/>
        <v>#REF!</v>
      </c>
      <c r="M2" s="211" t="str">
        <f t="shared" si="3"/>
        <v>#REF!</v>
      </c>
      <c r="N2" s="211" t="str">
        <f t="shared" si="3"/>
        <v>#REF!</v>
      </c>
      <c r="O2" s="211" t="str">
        <f t="shared" si="3"/>
        <v>#REF!</v>
      </c>
      <c r="P2" s="211" t="str">
        <f t="shared" ref="P2:X2" si="4">#REF!</f>
        <v>#REF!</v>
      </c>
      <c r="Q2" s="211" t="str">
        <f t="shared" si="4"/>
        <v>#REF!</v>
      </c>
      <c r="R2" s="211" t="str">
        <f t="shared" si="4"/>
        <v>#REF!</v>
      </c>
      <c r="S2" s="211" t="str">
        <f t="shared" si="4"/>
        <v>#REF!</v>
      </c>
      <c r="T2" s="211" t="str">
        <f t="shared" si="4"/>
        <v>#REF!</v>
      </c>
      <c r="U2" s="211" t="str">
        <f t="shared" si="4"/>
        <v>#REF!</v>
      </c>
      <c r="V2" s="211" t="str">
        <f t="shared" si="4"/>
        <v>#REF!</v>
      </c>
      <c r="W2" s="211" t="str">
        <f t="shared" si="4"/>
        <v>#REF!</v>
      </c>
      <c r="X2" s="211" t="str">
        <f t="shared" si="4"/>
        <v>#REF!</v>
      </c>
    </row>
    <row r="3">
      <c r="A3" s="211" t="str">
        <f t="shared" ref="A3:O3" si="5">'Municipality Case Trends'!A7</f>
        <v>#REF!</v>
      </c>
      <c r="B3" s="211" t="str">
        <f t="shared" si="5"/>
        <v>#REF!</v>
      </c>
      <c r="C3" s="211" t="str">
        <f t="shared" si="5"/>
        <v>#REF!</v>
      </c>
      <c r="D3" s="211" t="str">
        <f t="shared" si="5"/>
        <v>#REF!</v>
      </c>
      <c r="E3" s="211" t="str">
        <f t="shared" si="5"/>
        <v>#REF!</v>
      </c>
      <c r="F3" s="211" t="str">
        <f t="shared" si="5"/>
        <v>#REF!</v>
      </c>
      <c r="G3" s="211" t="str">
        <f t="shared" si="5"/>
        <v>#REF!</v>
      </c>
      <c r="H3" s="211" t="str">
        <f t="shared" si="5"/>
        <v>#REF!</v>
      </c>
      <c r="I3" s="211" t="str">
        <f t="shared" si="5"/>
        <v>#REF!</v>
      </c>
      <c r="J3" s="211" t="str">
        <f t="shared" si="5"/>
        <v>#REF!</v>
      </c>
      <c r="K3" s="211" t="str">
        <f t="shared" si="5"/>
        <v>#REF!</v>
      </c>
      <c r="L3" s="211" t="str">
        <f t="shared" si="5"/>
        <v>#REF!</v>
      </c>
      <c r="M3" s="211" t="str">
        <f t="shared" si="5"/>
        <v>#REF!</v>
      </c>
      <c r="N3" s="211" t="str">
        <f t="shared" si="5"/>
        <v>#REF!</v>
      </c>
      <c r="O3" s="211" t="str">
        <f t="shared" si="5"/>
        <v>#REF!</v>
      </c>
      <c r="P3" s="211" t="str">
        <f t="shared" ref="P3:X3" si="6">#REF!</f>
        <v>#REF!</v>
      </c>
      <c r="Q3" s="211" t="str">
        <f t="shared" si="6"/>
        <v>#REF!</v>
      </c>
      <c r="R3" s="211" t="str">
        <f t="shared" si="6"/>
        <v>#REF!</v>
      </c>
      <c r="S3" s="211" t="str">
        <f t="shared" si="6"/>
        <v>#REF!</v>
      </c>
      <c r="T3" s="211" t="str">
        <f t="shared" si="6"/>
        <v>#REF!</v>
      </c>
      <c r="U3" s="211" t="str">
        <f t="shared" si="6"/>
        <v>#REF!</v>
      </c>
      <c r="V3" s="211" t="str">
        <f t="shared" si="6"/>
        <v>#REF!</v>
      </c>
      <c r="W3" s="211" t="str">
        <f t="shared" si="6"/>
        <v>#REF!</v>
      </c>
      <c r="X3" s="211" t="str">
        <f t="shared" si="6"/>
        <v>#REF!</v>
      </c>
    </row>
    <row r="4">
      <c r="A4" s="211" t="str">
        <f t="shared" ref="A4:O4" si="7">'Municipality Case Trends'!A8</f>
        <v>#REF!</v>
      </c>
      <c r="B4" s="211" t="str">
        <f t="shared" si="7"/>
        <v>#REF!</v>
      </c>
      <c r="C4" s="211" t="str">
        <f t="shared" si="7"/>
        <v>#REF!</v>
      </c>
      <c r="D4" s="211" t="str">
        <f t="shared" si="7"/>
        <v>#REF!</v>
      </c>
      <c r="E4" s="211" t="str">
        <f t="shared" si="7"/>
        <v>#REF!</v>
      </c>
      <c r="F4" s="211" t="str">
        <f t="shared" si="7"/>
        <v>#REF!</v>
      </c>
      <c r="G4" s="211" t="str">
        <f t="shared" si="7"/>
        <v>#REF!</v>
      </c>
      <c r="H4" s="211" t="str">
        <f t="shared" si="7"/>
        <v>#REF!</v>
      </c>
      <c r="I4" s="211" t="str">
        <f t="shared" si="7"/>
        <v>#REF!</v>
      </c>
      <c r="J4" s="211" t="str">
        <f t="shared" si="7"/>
        <v>#REF!</v>
      </c>
      <c r="K4" s="211" t="str">
        <f t="shared" si="7"/>
        <v>#REF!</v>
      </c>
      <c r="L4" s="211" t="str">
        <f t="shared" si="7"/>
        <v>#REF!</v>
      </c>
      <c r="M4" s="211" t="str">
        <f t="shared" si="7"/>
        <v>#REF!</v>
      </c>
      <c r="N4" s="211" t="str">
        <f t="shared" si="7"/>
        <v>#REF!</v>
      </c>
      <c r="O4" s="211" t="str">
        <f t="shared" si="7"/>
        <v>#REF!</v>
      </c>
      <c r="P4" s="211" t="str">
        <f t="shared" ref="P4:X4" si="8">#REF!</f>
        <v>#REF!</v>
      </c>
      <c r="Q4" s="211" t="str">
        <f t="shared" si="8"/>
        <v>#REF!</v>
      </c>
      <c r="R4" s="211" t="str">
        <f t="shared" si="8"/>
        <v>#REF!</v>
      </c>
      <c r="S4" s="211" t="str">
        <f t="shared" si="8"/>
        <v>#REF!</v>
      </c>
      <c r="T4" s="211" t="str">
        <f t="shared" si="8"/>
        <v>#REF!</v>
      </c>
      <c r="U4" s="211" t="str">
        <f t="shared" si="8"/>
        <v>#REF!</v>
      </c>
      <c r="V4" s="211" t="str">
        <f t="shared" si="8"/>
        <v>#REF!</v>
      </c>
      <c r="W4" s="211" t="str">
        <f t="shared" si="8"/>
        <v>#REF!</v>
      </c>
      <c r="X4" s="211" t="str">
        <f t="shared" si="8"/>
        <v>#REF!</v>
      </c>
    </row>
    <row r="5">
      <c r="A5" s="211" t="str">
        <f t="shared" ref="A5:O5" si="9">'Municipality Case Trends'!A9</f>
        <v>#REF!</v>
      </c>
      <c r="B5" s="211" t="str">
        <f t="shared" si="9"/>
        <v>#REF!</v>
      </c>
      <c r="C5" s="211" t="str">
        <f t="shared" si="9"/>
        <v>#REF!</v>
      </c>
      <c r="D5" s="211" t="str">
        <f t="shared" si="9"/>
        <v>#REF!</v>
      </c>
      <c r="E5" s="211" t="str">
        <f t="shared" si="9"/>
        <v>#REF!</v>
      </c>
      <c r="F5" s="211" t="str">
        <f t="shared" si="9"/>
        <v>#REF!</v>
      </c>
      <c r="G5" s="211" t="str">
        <f t="shared" si="9"/>
        <v>#REF!</v>
      </c>
      <c r="H5" s="211" t="str">
        <f t="shared" si="9"/>
        <v>#REF!</v>
      </c>
      <c r="I5" s="211" t="str">
        <f t="shared" si="9"/>
        <v>#REF!</v>
      </c>
      <c r="J5" s="211" t="str">
        <f t="shared" si="9"/>
        <v>#REF!</v>
      </c>
      <c r="K5" s="211" t="str">
        <f t="shared" si="9"/>
        <v>#REF!</v>
      </c>
      <c r="L5" s="211" t="str">
        <f t="shared" si="9"/>
        <v>#REF!</v>
      </c>
      <c r="M5" s="211" t="str">
        <f t="shared" si="9"/>
        <v>#REF!</v>
      </c>
      <c r="N5" s="211" t="str">
        <f t="shared" si="9"/>
        <v>#REF!</v>
      </c>
      <c r="O5" s="211" t="str">
        <f t="shared" si="9"/>
        <v>#REF!</v>
      </c>
      <c r="P5" s="211" t="str">
        <f t="shared" ref="P5:X5" si="10">#REF!</f>
        <v>#REF!</v>
      </c>
      <c r="Q5" s="211" t="str">
        <f t="shared" si="10"/>
        <v>#REF!</v>
      </c>
      <c r="R5" s="211" t="str">
        <f t="shared" si="10"/>
        <v>#REF!</v>
      </c>
      <c r="S5" s="211" t="str">
        <f t="shared" si="10"/>
        <v>#REF!</v>
      </c>
      <c r="T5" s="211" t="str">
        <f t="shared" si="10"/>
        <v>#REF!</v>
      </c>
      <c r="U5" s="211" t="str">
        <f t="shared" si="10"/>
        <v>#REF!</v>
      </c>
      <c r="V5" s="211" t="str">
        <f t="shared" si="10"/>
        <v>#REF!</v>
      </c>
      <c r="W5" s="211" t="str">
        <f t="shared" si="10"/>
        <v>#REF!</v>
      </c>
      <c r="X5" s="211" t="str">
        <f t="shared" si="10"/>
        <v>#REF!</v>
      </c>
    </row>
    <row r="6">
      <c r="A6" s="211" t="str">
        <f t="shared" ref="A6:O6" si="11">'Municipality Case Trends'!A10</f>
        <v>#REF!</v>
      </c>
      <c r="B6" s="211" t="str">
        <f t="shared" si="11"/>
        <v>#REF!</v>
      </c>
      <c r="C6" s="211" t="str">
        <f t="shared" si="11"/>
        <v>#REF!</v>
      </c>
      <c r="D6" s="211" t="str">
        <f t="shared" si="11"/>
        <v>#REF!</v>
      </c>
      <c r="E6" s="211" t="str">
        <f t="shared" si="11"/>
        <v>#REF!</v>
      </c>
      <c r="F6" s="211" t="str">
        <f t="shared" si="11"/>
        <v>#REF!</v>
      </c>
      <c r="G6" s="211" t="str">
        <f t="shared" si="11"/>
        <v>#REF!</v>
      </c>
      <c r="H6" s="211" t="str">
        <f t="shared" si="11"/>
        <v>#REF!</v>
      </c>
      <c r="I6" s="211" t="str">
        <f t="shared" si="11"/>
        <v>#REF!</v>
      </c>
      <c r="J6" s="211" t="str">
        <f t="shared" si="11"/>
        <v>#REF!</v>
      </c>
      <c r="K6" s="211" t="str">
        <f t="shared" si="11"/>
        <v>#REF!</v>
      </c>
      <c r="L6" s="211" t="str">
        <f t="shared" si="11"/>
        <v>#REF!</v>
      </c>
      <c r="M6" s="211" t="str">
        <f t="shared" si="11"/>
        <v>#REF!</v>
      </c>
      <c r="N6" s="211" t="str">
        <f t="shared" si="11"/>
        <v>#REF!</v>
      </c>
      <c r="O6" s="211" t="str">
        <f t="shared" si="11"/>
        <v>#REF!</v>
      </c>
      <c r="P6" s="211" t="str">
        <f t="shared" ref="P6:X6" si="12">#REF!</f>
        <v>#REF!</v>
      </c>
      <c r="Q6" s="211" t="str">
        <f t="shared" si="12"/>
        <v>#REF!</v>
      </c>
      <c r="R6" s="211" t="str">
        <f t="shared" si="12"/>
        <v>#REF!</v>
      </c>
      <c r="S6" s="211" t="str">
        <f t="shared" si="12"/>
        <v>#REF!</v>
      </c>
      <c r="T6" s="211" t="str">
        <f t="shared" si="12"/>
        <v>#REF!</v>
      </c>
      <c r="U6" s="211" t="str">
        <f t="shared" si="12"/>
        <v>#REF!</v>
      </c>
      <c r="V6" s="211" t="str">
        <f t="shared" si="12"/>
        <v>#REF!</v>
      </c>
      <c r="W6" s="211" t="str">
        <f t="shared" si="12"/>
        <v>#REF!</v>
      </c>
      <c r="X6" s="211" t="str">
        <f t="shared" si="12"/>
        <v>#REF!</v>
      </c>
    </row>
    <row r="7">
      <c r="A7" s="211" t="str">
        <f t="shared" ref="A7:O7" si="13">'Municipality Case Trends'!A11</f>
        <v>#REF!</v>
      </c>
      <c r="B7" s="211" t="str">
        <f t="shared" si="13"/>
        <v>#REF!</v>
      </c>
      <c r="C7" s="211" t="str">
        <f t="shared" si="13"/>
        <v>#REF!</v>
      </c>
      <c r="D7" s="211" t="str">
        <f t="shared" si="13"/>
        <v>#REF!</v>
      </c>
      <c r="E7" s="211" t="str">
        <f t="shared" si="13"/>
        <v>#REF!</v>
      </c>
      <c r="F7" s="211" t="str">
        <f t="shared" si="13"/>
        <v>#REF!</v>
      </c>
      <c r="G7" s="211" t="str">
        <f t="shared" si="13"/>
        <v>#REF!</v>
      </c>
      <c r="H7" s="211" t="str">
        <f t="shared" si="13"/>
        <v>#REF!</v>
      </c>
      <c r="I7" s="211" t="str">
        <f t="shared" si="13"/>
        <v>#REF!</v>
      </c>
      <c r="J7" s="211" t="str">
        <f t="shared" si="13"/>
        <v>#REF!</v>
      </c>
      <c r="K7" s="211" t="str">
        <f t="shared" si="13"/>
        <v>#REF!</v>
      </c>
      <c r="L7" s="211" t="str">
        <f t="shared" si="13"/>
        <v>#REF!</v>
      </c>
      <c r="M7" s="211" t="str">
        <f t="shared" si="13"/>
        <v>#REF!</v>
      </c>
      <c r="N7" s="211" t="str">
        <f t="shared" si="13"/>
        <v>#REF!</v>
      </c>
      <c r="O7" s="211" t="str">
        <f t="shared" si="13"/>
        <v>#REF!</v>
      </c>
      <c r="P7" s="211" t="str">
        <f t="shared" ref="P7:X7" si="14">#REF!</f>
        <v>#REF!</v>
      </c>
      <c r="Q7" s="211" t="str">
        <f t="shared" si="14"/>
        <v>#REF!</v>
      </c>
      <c r="R7" s="211" t="str">
        <f t="shared" si="14"/>
        <v>#REF!</v>
      </c>
      <c r="S7" s="211" t="str">
        <f t="shared" si="14"/>
        <v>#REF!</v>
      </c>
      <c r="T7" s="211" t="str">
        <f t="shared" si="14"/>
        <v>#REF!</v>
      </c>
      <c r="U7" s="211" t="str">
        <f t="shared" si="14"/>
        <v>#REF!</v>
      </c>
      <c r="V7" s="211" t="str">
        <f t="shared" si="14"/>
        <v>#REF!</v>
      </c>
      <c r="W7" s="211" t="str">
        <f t="shared" si="14"/>
        <v>#REF!</v>
      </c>
      <c r="X7" s="211" t="str">
        <f t="shared" si="14"/>
        <v>#REF!</v>
      </c>
    </row>
    <row r="8">
      <c r="A8" s="211" t="str">
        <f t="shared" ref="A8:O8" si="15">'Municipality Case Trends'!A12</f>
        <v>#REF!</v>
      </c>
      <c r="B8" s="211" t="str">
        <f t="shared" si="15"/>
        <v>#REF!</v>
      </c>
      <c r="C8" s="211" t="str">
        <f t="shared" si="15"/>
        <v>#REF!</v>
      </c>
      <c r="D8" s="211" t="str">
        <f t="shared" si="15"/>
        <v>#REF!</v>
      </c>
      <c r="E8" s="211" t="str">
        <f t="shared" si="15"/>
        <v>#REF!</v>
      </c>
      <c r="F8" s="211" t="str">
        <f t="shared" si="15"/>
        <v>#REF!</v>
      </c>
      <c r="G8" s="211" t="str">
        <f t="shared" si="15"/>
        <v>#REF!</v>
      </c>
      <c r="H8" s="211" t="str">
        <f t="shared" si="15"/>
        <v>#REF!</v>
      </c>
      <c r="I8" s="211" t="str">
        <f t="shared" si="15"/>
        <v>#REF!</v>
      </c>
      <c r="J8" s="211" t="str">
        <f t="shared" si="15"/>
        <v>#REF!</v>
      </c>
      <c r="K8" s="211" t="str">
        <f t="shared" si="15"/>
        <v>#REF!</v>
      </c>
      <c r="L8" s="211" t="str">
        <f t="shared" si="15"/>
        <v>#REF!</v>
      </c>
      <c r="M8" s="211" t="str">
        <f t="shared" si="15"/>
        <v>#REF!</v>
      </c>
      <c r="N8" s="211" t="str">
        <f t="shared" si="15"/>
        <v>#REF!</v>
      </c>
      <c r="O8" s="211" t="str">
        <f t="shared" si="15"/>
        <v>#REF!</v>
      </c>
      <c r="P8" s="211" t="str">
        <f t="shared" ref="P8:X8" si="16">#REF!</f>
        <v>#REF!</v>
      </c>
      <c r="Q8" s="211" t="str">
        <f t="shared" si="16"/>
        <v>#REF!</v>
      </c>
      <c r="R8" s="211" t="str">
        <f t="shared" si="16"/>
        <v>#REF!</v>
      </c>
      <c r="S8" s="211" t="str">
        <f t="shared" si="16"/>
        <v>#REF!</v>
      </c>
      <c r="T8" s="211" t="str">
        <f t="shared" si="16"/>
        <v>#REF!</v>
      </c>
      <c r="U8" s="211" t="str">
        <f t="shared" si="16"/>
        <v>#REF!</v>
      </c>
      <c r="V8" s="211" t="str">
        <f t="shared" si="16"/>
        <v>#REF!</v>
      </c>
      <c r="W8" s="211" t="str">
        <f t="shared" si="16"/>
        <v>#REF!</v>
      </c>
      <c r="X8" s="211" t="str">
        <f t="shared" si="16"/>
        <v>#REF!</v>
      </c>
    </row>
    <row r="9">
      <c r="A9" s="211" t="str">
        <f t="shared" ref="A9:O9" si="17">'Municipality Case Trends'!A13</f>
        <v>#REF!</v>
      </c>
      <c r="B9" s="211" t="str">
        <f t="shared" si="17"/>
        <v>#REF!</v>
      </c>
      <c r="C9" s="211" t="str">
        <f t="shared" si="17"/>
        <v>#REF!</v>
      </c>
      <c r="D9" s="211" t="str">
        <f t="shared" si="17"/>
        <v>#REF!</v>
      </c>
      <c r="E9" s="211" t="str">
        <f t="shared" si="17"/>
        <v>#REF!</v>
      </c>
      <c r="F9" s="211" t="str">
        <f t="shared" si="17"/>
        <v>#REF!</v>
      </c>
      <c r="G9" s="211" t="str">
        <f t="shared" si="17"/>
        <v>#REF!</v>
      </c>
      <c r="H9" s="211" t="str">
        <f t="shared" si="17"/>
        <v>#REF!</v>
      </c>
      <c r="I9" s="211" t="str">
        <f t="shared" si="17"/>
        <v>#REF!</v>
      </c>
      <c r="J9" s="211" t="str">
        <f t="shared" si="17"/>
        <v>#REF!</v>
      </c>
      <c r="K9" s="211" t="str">
        <f t="shared" si="17"/>
        <v>#REF!</v>
      </c>
      <c r="L9" s="211" t="str">
        <f t="shared" si="17"/>
        <v>#REF!</v>
      </c>
      <c r="M9" s="211" t="str">
        <f t="shared" si="17"/>
        <v>#REF!</v>
      </c>
      <c r="N9" s="211" t="str">
        <f t="shared" si="17"/>
        <v>#REF!</v>
      </c>
      <c r="O9" s="211" t="str">
        <f t="shared" si="17"/>
        <v>#REF!</v>
      </c>
      <c r="P9" s="211" t="str">
        <f t="shared" ref="P9:X9" si="18">#REF!</f>
        <v>#REF!</v>
      </c>
      <c r="Q9" s="211" t="str">
        <f t="shared" si="18"/>
        <v>#REF!</v>
      </c>
      <c r="R9" s="211" t="str">
        <f t="shared" si="18"/>
        <v>#REF!</v>
      </c>
      <c r="S9" s="211" t="str">
        <f t="shared" si="18"/>
        <v>#REF!</v>
      </c>
      <c r="T9" s="211" t="str">
        <f t="shared" si="18"/>
        <v>#REF!</v>
      </c>
      <c r="U9" s="211" t="str">
        <f t="shared" si="18"/>
        <v>#REF!</v>
      </c>
      <c r="V9" s="211" t="str">
        <f t="shared" si="18"/>
        <v>#REF!</v>
      </c>
      <c r="W9" s="211" t="str">
        <f t="shared" si="18"/>
        <v>#REF!</v>
      </c>
      <c r="X9" s="211" t="str">
        <f t="shared" si="18"/>
        <v>#REF!</v>
      </c>
    </row>
    <row r="10">
      <c r="A10" s="211" t="str">
        <f t="shared" ref="A10:O10" si="19">'Municipality Case Trends'!A14</f>
        <v>#REF!</v>
      </c>
      <c r="B10" s="211" t="str">
        <f t="shared" si="19"/>
        <v>#REF!</v>
      </c>
      <c r="C10" s="211" t="str">
        <f t="shared" si="19"/>
        <v>#REF!</v>
      </c>
      <c r="D10" s="211" t="str">
        <f t="shared" si="19"/>
        <v>#REF!</v>
      </c>
      <c r="E10" s="211" t="str">
        <f t="shared" si="19"/>
        <v>#REF!</v>
      </c>
      <c r="F10" s="211" t="str">
        <f t="shared" si="19"/>
        <v>#REF!</v>
      </c>
      <c r="G10" s="211" t="str">
        <f t="shared" si="19"/>
        <v>#REF!</v>
      </c>
      <c r="H10" s="211" t="str">
        <f t="shared" si="19"/>
        <v>#REF!</v>
      </c>
      <c r="I10" s="211" t="str">
        <f t="shared" si="19"/>
        <v>#REF!</v>
      </c>
      <c r="J10" s="211" t="str">
        <f t="shared" si="19"/>
        <v>#REF!</v>
      </c>
      <c r="K10" s="211" t="str">
        <f t="shared" si="19"/>
        <v>#REF!</v>
      </c>
      <c r="L10" s="211" t="str">
        <f t="shared" si="19"/>
        <v>#REF!</v>
      </c>
      <c r="M10" s="211" t="str">
        <f t="shared" si="19"/>
        <v>#REF!</v>
      </c>
      <c r="N10" s="211" t="str">
        <f t="shared" si="19"/>
        <v>#REF!</v>
      </c>
      <c r="O10" s="211" t="str">
        <f t="shared" si="19"/>
        <v>#REF!</v>
      </c>
      <c r="P10" s="211" t="str">
        <f t="shared" ref="P10:X10" si="20">#REF!</f>
        <v>#REF!</v>
      </c>
      <c r="Q10" s="211" t="str">
        <f t="shared" si="20"/>
        <v>#REF!</v>
      </c>
      <c r="R10" s="211" t="str">
        <f t="shared" si="20"/>
        <v>#REF!</v>
      </c>
      <c r="S10" s="211" t="str">
        <f t="shared" si="20"/>
        <v>#REF!</v>
      </c>
      <c r="T10" s="211" t="str">
        <f t="shared" si="20"/>
        <v>#REF!</v>
      </c>
      <c r="U10" s="211" t="str">
        <f t="shared" si="20"/>
        <v>#REF!</v>
      </c>
      <c r="V10" s="211" t="str">
        <f t="shared" si="20"/>
        <v>#REF!</v>
      </c>
      <c r="W10" s="211" t="str">
        <f t="shared" si="20"/>
        <v>#REF!</v>
      </c>
      <c r="X10" s="211" t="str">
        <f t="shared" si="20"/>
        <v>#REF!</v>
      </c>
    </row>
    <row r="11">
      <c r="A11" s="211" t="str">
        <f t="shared" ref="A11:O11" si="21">'Municipality Case Trends'!A15</f>
        <v>#REF!</v>
      </c>
      <c r="B11" s="211" t="str">
        <f t="shared" si="21"/>
        <v>#REF!</v>
      </c>
      <c r="C11" s="211" t="str">
        <f t="shared" si="21"/>
        <v>#REF!</v>
      </c>
      <c r="D11" s="211" t="str">
        <f t="shared" si="21"/>
        <v>#REF!</v>
      </c>
      <c r="E11" s="211" t="str">
        <f t="shared" si="21"/>
        <v>#REF!</v>
      </c>
      <c r="F11" s="211" t="str">
        <f t="shared" si="21"/>
        <v>#REF!</v>
      </c>
      <c r="G11" s="211" t="str">
        <f t="shared" si="21"/>
        <v>#REF!</v>
      </c>
      <c r="H11" s="211" t="str">
        <f t="shared" si="21"/>
        <v>#REF!</v>
      </c>
      <c r="I11" s="211" t="str">
        <f t="shared" si="21"/>
        <v>#REF!</v>
      </c>
      <c r="J11" s="211" t="str">
        <f t="shared" si="21"/>
        <v>#REF!</v>
      </c>
      <c r="K11" s="211" t="str">
        <f t="shared" si="21"/>
        <v>#REF!</v>
      </c>
      <c r="L11" s="211" t="str">
        <f t="shared" si="21"/>
        <v>#REF!</v>
      </c>
      <c r="M11" s="211" t="str">
        <f t="shared" si="21"/>
        <v>#REF!</v>
      </c>
      <c r="N11" s="211" t="str">
        <f t="shared" si="21"/>
        <v>#REF!</v>
      </c>
      <c r="O11" s="211" t="str">
        <f t="shared" si="21"/>
        <v>#REF!</v>
      </c>
      <c r="P11" s="211" t="str">
        <f t="shared" ref="P11:X11" si="22">#REF!</f>
        <v>#REF!</v>
      </c>
      <c r="Q11" s="211" t="str">
        <f t="shared" si="22"/>
        <v>#REF!</v>
      </c>
      <c r="R11" s="211" t="str">
        <f t="shared" si="22"/>
        <v>#REF!</v>
      </c>
      <c r="S11" s="211" t="str">
        <f t="shared" si="22"/>
        <v>#REF!</v>
      </c>
      <c r="T11" s="211" t="str">
        <f t="shared" si="22"/>
        <v>#REF!</v>
      </c>
      <c r="U11" s="211" t="str">
        <f t="shared" si="22"/>
        <v>#REF!</v>
      </c>
      <c r="V11" s="211" t="str">
        <f t="shared" si="22"/>
        <v>#REF!</v>
      </c>
      <c r="W11" s="211" t="str">
        <f t="shared" si="22"/>
        <v>#REF!</v>
      </c>
      <c r="X11" s="211" t="str">
        <f t="shared" si="22"/>
        <v>#REF!</v>
      </c>
    </row>
    <row r="12">
      <c r="A12" s="211" t="str">
        <f t="shared" ref="A12:O12" si="23">'Municipality Case Trends'!A16</f>
        <v>#REF!</v>
      </c>
      <c r="B12" s="211" t="str">
        <f t="shared" si="23"/>
        <v>#REF!</v>
      </c>
      <c r="C12" s="211" t="str">
        <f t="shared" si="23"/>
        <v>#REF!</v>
      </c>
      <c r="D12" s="211" t="str">
        <f t="shared" si="23"/>
        <v>#REF!</v>
      </c>
      <c r="E12" s="211" t="str">
        <f t="shared" si="23"/>
        <v>#REF!</v>
      </c>
      <c r="F12" s="211" t="str">
        <f t="shared" si="23"/>
        <v>#REF!</v>
      </c>
      <c r="G12" s="211" t="str">
        <f t="shared" si="23"/>
        <v>#REF!</v>
      </c>
      <c r="H12" s="211" t="str">
        <f t="shared" si="23"/>
        <v>#REF!</v>
      </c>
      <c r="I12" s="211" t="str">
        <f t="shared" si="23"/>
        <v>#REF!</v>
      </c>
      <c r="J12" s="211" t="str">
        <f t="shared" si="23"/>
        <v>#REF!</v>
      </c>
      <c r="K12" s="211" t="str">
        <f t="shared" si="23"/>
        <v>#REF!</v>
      </c>
      <c r="L12" s="211" t="str">
        <f t="shared" si="23"/>
        <v>#REF!</v>
      </c>
      <c r="M12" s="211" t="str">
        <f t="shared" si="23"/>
        <v>#REF!</v>
      </c>
      <c r="N12" s="211" t="str">
        <f t="shared" si="23"/>
        <v>#REF!</v>
      </c>
      <c r="O12" s="211" t="str">
        <f t="shared" si="23"/>
        <v>#REF!</v>
      </c>
      <c r="P12" s="211" t="str">
        <f t="shared" ref="P12:X12" si="24">#REF!</f>
        <v>#REF!</v>
      </c>
      <c r="Q12" s="211" t="str">
        <f t="shared" si="24"/>
        <v>#REF!</v>
      </c>
      <c r="R12" s="211" t="str">
        <f t="shared" si="24"/>
        <v>#REF!</v>
      </c>
      <c r="S12" s="211" t="str">
        <f t="shared" si="24"/>
        <v>#REF!</v>
      </c>
      <c r="T12" s="211" t="str">
        <f t="shared" si="24"/>
        <v>#REF!</v>
      </c>
      <c r="U12" s="211" t="str">
        <f t="shared" si="24"/>
        <v>#REF!</v>
      </c>
      <c r="V12" s="211" t="str">
        <f t="shared" si="24"/>
        <v>#REF!</v>
      </c>
      <c r="W12" s="211" t="str">
        <f t="shared" si="24"/>
        <v>#REF!</v>
      </c>
      <c r="X12" s="211" t="str">
        <f t="shared" si="24"/>
        <v>#REF!</v>
      </c>
    </row>
    <row r="13">
      <c r="A13" s="211" t="str">
        <f t="shared" ref="A13:O13" si="25">'Municipality Case Trends'!A17</f>
        <v>#REF!</v>
      </c>
      <c r="B13" s="211" t="str">
        <f t="shared" si="25"/>
        <v>#REF!</v>
      </c>
      <c r="C13" s="211" t="str">
        <f t="shared" si="25"/>
        <v>#REF!</v>
      </c>
      <c r="D13" s="211" t="str">
        <f t="shared" si="25"/>
        <v>#REF!</v>
      </c>
      <c r="E13" s="211" t="str">
        <f t="shared" si="25"/>
        <v>#REF!</v>
      </c>
      <c r="F13" s="211" t="str">
        <f t="shared" si="25"/>
        <v>#REF!</v>
      </c>
      <c r="G13" s="211" t="str">
        <f t="shared" si="25"/>
        <v>#REF!</v>
      </c>
      <c r="H13" s="211" t="str">
        <f t="shared" si="25"/>
        <v>#REF!</v>
      </c>
      <c r="I13" s="211" t="str">
        <f t="shared" si="25"/>
        <v>#REF!</v>
      </c>
      <c r="J13" s="211" t="str">
        <f t="shared" si="25"/>
        <v>#REF!</v>
      </c>
      <c r="K13" s="211" t="str">
        <f t="shared" si="25"/>
        <v>#REF!</v>
      </c>
      <c r="L13" s="211" t="str">
        <f t="shared" si="25"/>
        <v>#REF!</v>
      </c>
      <c r="M13" s="211" t="str">
        <f t="shared" si="25"/>
        <v>#REF!</v>
      </c>
      <c r="N13" s="211" t="str">
        <f t="shared" si="25"/>
        <v>#REF!</v>
      </c>
      <c r="O13" s="211" t="str">
        <f t="shared" si="25"/>
        <v>#REF!</v>
      </c>
      <c r="P13" s="211" t="str">
        <f t="shared" ref="P13:X13" si="26">#REF!</f>
        <v>#REF!</v>
      </c>
      <c r="Q13" s="211" t="str">
        <f t="shared" si="26"/>
        <v>#REF!</v>
      </c>
      <c r="R13" s="211" t="str">
        <f t="shared" si="26"/>
        <v>#REF!</v>
      </c>
      <c r="S13" s="211" t="str">
        <f t="shared" si="26"/>
        <v>#REF!</v>
      </c>
      <c r="T13" s="211" t="str">
        <f t="shared" si="26"/>
        <v>#REF!</v>
      </c>
      <c r="U13" s="211" t="str">
        <f t="shared" si="26"/>
        <v>#REF!</v>
      </c>
      <c r="V13" s="211" t="str">
        <f t="shared" si="26"/>
        <v>#REF!</v>
      </c>
      <c r="W13" s="211" t="str">
        <f t="shared" si="26"/>
        <v>#REF!</v>
      </c>
      <c r="X13" s="211" t="str">
        <f t="shared" si="26"/>
        <v>#REF!</v>
      </c>
    </row>
    <row r="14">
      <c r="A14" s="211" t="str">
        <f t="shared" ref="A14:O14" si="27">'Municipality Case Trends'!A18</f>
        <v>#REF!</v>
      </c>
      <c r="B14" s="211" t="str">
        <f t="shared" si="27"/>
        <v>#REF!</v>
      </c>
      <c r="C14" s="211" t="str">
        <f t="shared" si="27"/>
        <v>#REF!</v>
      </c>
      <c r="D14" s="211" t="str">
        <f t="shared" si="27"/>
        <v>#REF!</v>
      </c>
      <c r="E14" s="211" t="str">
        <f t="shared" si="27"/>
        <v>#REF!</v>
      </c>
      <c r="F14" s="211" t="str">
        <f t="shared" si="27"/>
        <v>#REF!</v>
      </c>
      <c r="G14" s="211" t="str">
        <f t="shared" si="27"/>
        <v>#REF!</v>
      </c>
      <c r="H14" s="211" t="str">
        <f t="shared" si="27"/>
        <v>#REF!</v>
      </c>
      <c r="I14" s="211" t="str">
        <f t="shared" si="27"/>
        <v>#REF!</v>
      </c>
      <c r="J14" s="211" t="str">
        <f t="shared" si="27"/>
        <v>#REF!</v>
      </c>
      <c r="K14" s="211" t="str">
        <f t="shared" si="27"/>
        <v>#REF!</v>
      </c>
      <c r="L14" s="211" t="str">
        <f t="shared" si="27"/>
        <v>#REF!</v>
      </c>
      <c r="M14" s="211" t="str">
        <f t="shared" si="27"/>
        <v>#REF!</v>
      </c>
      <c r="N14" s="211" t="str">
        <f t="shared" si="27"/>
        <v>#REF!</v>
      </c>
      <c r="O14" s="211" t="str">
        <f t="shared" si="27"/>
        <v>#REF!</v>
      </c>
      <c r="P14" s="211" t="str">
        <f t="shared" ref="P14:X14" si="28">#REF!</f>
        <v>#REF!</v>
      </c>
      <c r="Q14" s="211" t="str">
        <f t="shared" si="28"/>
        <v>#REF!</v>
      </c>
      <c r="R14" s="211" t="str">
        <f t="shared" si="28"/>
        <v>#REF!</v>
      </c>
      <c r="S14" s="211" t="str">
        <f t="shared" si="28"/>
        <v>#REF!</v>
      </c>
      <c r="T14" s="211" t="str">
        <f t="shared" si="28"/>
        <v>#REF!</v>
      </c>
      <c r="U14" s="211" t="str">
        <f t="shared" si="28"/>
        <v>#REF!</v>
      </c>
      <c r="V14" s="211" t="str">
        <f t="shared" si="28"/>
        <v>#REF!</v>
      </c>
      <c r="W14" s="211" t="str">
        <f t="shared" si="28"/>
        <v>#REF!</v>
      </c>
      <c r="X14" s="211" t="str">
        <f t="shared" si="28"/>
        <v>#REF!</v>
      </c>
    </row>
    <row r="15">
      <c r="A15" s="211" t="str">
        <f t="shared" ref="A15:O15" si="29">'Municipality Case Trends'!A19</f>
        <v>#REF!</v>
      </c>
      <c r="B15" s="211" t="str">
        <f t="shared" si="29"/>
        <v>#REF!</v>
      </c>
      <c r="C15" s="211" t="str">
        <f t="shared" si="29"/>
        <v>#REF!</v>
      </c>
      <c r="D15" s="211" t="str">
        <f t="shared" si="29"/>
        <v>#REF!</v>
      </c>
      <c r="E15" s="211" t="str">
        <f t="shared" si="29"/>
        <v>#REF!</v>
      </c>
      <c r="F15" s="211" t="str">
        <f t="shared" si="29"/>
        <v>#REF!</v>
      </c>
      <c r="G15" s="211" t="str">
        <f t="shared" si="29"/>
        <v>#REF!</v>
      </c>
      <c r="H15" s="211" t="str">
        <f t="shared" si="29"/>
        <v>#REF!</v>
      </c>
      <c r="I15" s="211" t="str">
        <f t="shared" si="29"/>
        <v>#REF!</v>
      </c>
      <c r="J15" s="211" t="str">
        <f t="shared" si="29"/>
        <v>#REF!</v>
      </c>
      <c r="K15" s="211" t="str">
        <f t="shared" si="29"/>
        <v>#REF!</v>
      </c>
      <c r="L15" s="211" t="str">
        <f t="shared" si="29"/>
        <v>#REF!</v>
      </c>
      <c r="M15" s="211" t="str">
        <f t="shared" si="29"/>
        <v>#REF!</v>
      </c>
      <c r="N15" s="211" t="str">
        <f t="shared" si="29"/>
        <v>#REF!</v>
      </c>
      <c r="O15" s="211" t="str">
        <f t="shared" si="29"/>
        <v>#REF!</v>
      </c>
      <c r="P15" s="211" t="str">
        <f t="shared" ref="P15:X15" si="30">#REF!</f>
        <v>#REF!</v>
      </c>
      <c r="Q15" s="211" t="str">
        <f t="shared" si="30"/>
        <v>#REF!</v>
      </c>
      <c r="R15" s="211" t="str">
        <f t="shared" si="30"/>
        <v>#REF!</v>
      </c>
      <c r="S15" s="211" t="str">
        <f t="shared" si="30"/>
        <v>#REF!</v>
      </c>
      <c r="T15" s="211" t="str">
        <f t="shared" si="30"/>
        <v>#REF!</v>
      </c>
      <c r="U15" s="211" t="str">
        <f t="shared" si="30"/>
        <v>#REF!</v>
      </c>
      <c r="V15" s="211" t="str">
        <f t="shared" si="30"/>
        <v>#REF!</v>
      </c>
      <c r="W15" s="211" t="str">
        <f t="shared" si="30"/>
        <v>#REF!</v>
      </c>
      <c r="X15" s="211" t="str">
        <f t="shared" si="30"/>
        <v>#REF!</v>
      </c>
    </row>
    <row r="16">
      <c r="A16" s="211" t="str">
        <f t="shared" ref="A16:O16" si="31">'Municipality Case Trends'!A20</f>
        <v>#REF!</v>
      </c>
      <c r="B16" s="211" t="str">
        <f t="shared" si="31"/>
        <v>#REF!</v>
      </c>
      <c r="C16" s="211" t="str">
        <f t="shared" si="31"/>
        <v>#REF!</v>
      </c>
      <c r="D16" s="211" t="str">
        <f t="shared" si="31"/>
        <v>#REF!</v>
      </c>
      <c r="E16" s="211" t="str">
        <f t="shared" si="31"/>
        <v>#REF!</v>
      </c>
      <c r="F16" s="211" t="str">
        <f t="shared" si="31"/>
        <v>#REF!</v>
      </c>
      <c r="G16" s="211" t="str">
        <f t="shared" si="31"/>
        <v>#REF!</v>
      </c>
      <c r="H16" s="211" t="str">
        <f t="shared" si="31"/>
        <v>#REF!</v>
      </c>
      <c r="I16" s="211" t="str">
        <f t="shared" si="31"/>
        <v>#REF!</v>
      </c>
      <c r="J16" s="211" t="str">
        <f t="shared" si="31"/>
        <v>#REF!</v>
      </c>
      <c r="K16" s="211" t="str">
        <f t="shared" si="31"/>
        <v>#REF!</v>
      </c>
      <c r="L16" s="211" t="str">
        <f t="shared" si="31"/>
        <v>#REF!</v>
      </c>
      <c r="M16" s="211" t="str">
        <f t="shared" si="31"/>
        <v>#REF!</v>
      </c>
      <c r="N16" s="211" t="str">
        <f t="shared" si="31"/>
        <v>#REF!</v>
      </c>
      <c r="O16" s="211" t="str">
        <f t="shared" si="31"/>
        <v>#REF!</v>
      </c>
      <c r="P16" s="211" t="str">
        <f t="shared" ref="P16:X16" si="32">#REF!</f>
        <v>#REF!</v>
      </c>
      <c r="Q16" s="211" t="str">
        <f t="shared" si="32"/>
        <v>#REF!</v>
      </c>
      <c r="R16" s="211" t="str">
        <f t="shared" si="32"/>
        <v>#REF!</v>
      </c>
      <c r="S16" s="211" t="str">
        <f t="shared" si="32"/>
        <v>#REF!</v>
      </c>
      <c r="T16" s="211" t="str">
        <f t="shared" si="32"/>
        <v>#REF!</v>
      </c>
      <c r="U16" s="211" t="str">
        <f t="shared" si="32"/>
        <v>#REF!</v>
      </c>
      <c r="V16" s="211" t="str">
        <f t="shared" si="32"/>
        <v>#REF!</v>
      </c>
      <c r="W16" s="211" t="str">
        <f t="shared" si="32"/>
        <v>#REF!</v>
      </c>
      <c r="X16" s="211" t="str">
        <f t="shared" si="32"/>
        <v>#REF!</v>
      </c>
    </row>
    <row r="17">
      <c r="A17" s="211" t="str">
        <f t="shared" ref="A17:O17" si="33">'Municipality Case Trends'!A21</f>
        <v>#REF!</v>
      </c>
      <c r="B17" s="211" t="str">
        <f t="shared" si="33"/>
        <v>#REF!</v>
      </c>
      <c r="C17" s="211" t="str">
        <f t="shared" si="33"/>
        <v>#REF!</v>
      </c>
      <c r="D17" s="211" t="str">
        <f t="shared" si="33"/>
        <v>#REF!</v>
      </c>
      <c r="E17" s="211" t="str">
        <f t="shared" si="33"/>
        <v>#REF!</v>
      </c>
      <c r="F17" s="211" t="str">
        <f t="shared" si="33"/>
        <v>#REF!</v>
      </c>
      <c r="G17" s="211" t="str">
        <f t="shared" si="33"/>
        <v>#REF!</v>
      </c>
      <c r="H17" s="211" t="str">
        <f t="shared" si="33"/>
        <v>#REF!</v>
      </c>
      <c r="I17" s="211" t="str">
        <f t="shared" si="33"/>
        <v>#REF!</v>
      </c>
      <c r="J17" s="211" t="str">
        <f t="shared" si="33"/>
        <v>#REF!</v>
      </c>
      <c r="K17" s="211" t="str">
        <f t="shared" si="33"/>
        <v>#REF!</v>
      </c>
      <c r="L17" s="211" t="str">
        <f t="shared" si="33"/>
        <v>#REF!</v>
      </c>
      <c r="M17" s="211" t="str">
        <f t="shared" si="33"/>
        <v>#REF!</v>
      </c>
      <c r="N17" s="211" t="str">
        <f t="shared" si="33"/>
        <v>#REF!</v>
      </c>
      <c r="O17" s="211" t="str">
        <f t="shared" si="33"/>
        <v>#REF!</v>
      </c>
      <c r="P17" s="211" t="str">
        <f t="shared" ref="P17:X17" si="34">#REF!</f>
        <v>#REF!</v>
      </c>
      <c r="Q17" s="211" t="str">
        <f t="shared" si="34"/>
        <v>#REF!</v>
      </c>
      <c r="R17" s="211" t="str">
        <f t="shared" si="34"/>
        <v>#REF!</v>
      </c>
      <c r="S17" s="211" t="str">
        <f t="shared" si="34"/>
        <v>#REF!</v>
      </c>
      <c r="T17" s="211" t="str">
        <f t="shared" si="34"/>
        <v>#REF!</v>
      </c>
      <c r="U17" s="211" t="str">
        <f t="shared" si="34"/>
        <v>#REF!</v>
      </c>
      <c r="V17" s="211" t="str">
        <f t="shared" si="34"/>
        <v>#REF!</v>
      </c>
      <c r="W17" s="211" t="str">
        <f t="shared" si="34"/>
        <v>#REF!</v>
      </c>
      <c r="X17" s="211" t="str">
        <f t="shared" si="34"/>
        <v>#REF!</v>
      </c>
    </row>
    <row r="18">
      <c r="A18" s="211" t="str">
        <f t="shared" ref="A18:O18" si="35">'Municipality Case Trends'!A22</f>
        <v>#REF!</v>
      </c>
      <c r="B18" s="211" t="str">
        <f t="shared" si="35"/>
        <v>#REF!</v>
      </c>
      <c r="C18" s="211" t="str">
        <f t="shared" si="35"/>
        <v>#REF!</v>
      </c>
      <c r="D18" s="211" t="str">
        <f t="shared" si="35"/>
        <v>#REF!</v>
      </c>
      <c r="E18" s="211" t="str">
        <f t="shared" si="35"/>
        <v>#REF!</v>
      </c>
      <c r="F18" s="211" t="str">
        <f t="shared" si="35"/>
        <v>#REF!</v>
      </c>
      <c r="G18" s="211" t="str">
        <f t="shared" si="35"/>
        <v>#REF!</v>
      </c>
      <c r="H18" s="211" t="str">
        <f t="shared" si="35"/>
        <v>#REF!</v>
      </c>
      <c r="I18" s="211" t="str">
        <f t="shared" si="35"/>
        <v>#REF!</v>
      </c>
      <c r="J18" s="211" t="str">
        <f t="shared" si="35"/>
        <v>#REF!</v>
      </c>
      <c r="K18" s="211" t="str">
        <f t="shared" si="35"/>
        <v>#REF!</v>
      </c>
      <c r="L18" s="211" t="str">
        <f t="shared" si="35"/>
        <v>#REF!</v>
      </c>
      <c r="M18" s="211" t="str">
        <f t="shared" si="35"/>
        <v>#REF!</v>
      </c>
      <c r="N18" s="211" t="str">
        <f t="shared" si="35"/>
        <v>#REF!</v>
      </c>
      <c r="O18" s="211" t="str">
        <f t="shared" si="35"/>
        <v>#REF!</v>
      </c>
      <c r="P18" s="211" t="str">
        <f t="shared" ref="P18:X18" si="36">#REF!</f>
        <v>#REF!</v>
      </c>
      <c r="Q18" s="211" t="str">
        <f t="shared" si="36"/>
        <v>#REF!</v>
      </c>
      <c r="R18" s="211" t="str">
        <f t="shared" si="36"/>
        <v>#REF!</v>
      </c>
      <c r="S18" s="211" t="str">
        <f t="shared" si="36"/>
        <v>#REF!</v>
      </c>
      <c r="T18" s="211" t="str">
        <f t="shared" si="36"/>
        <v>#REF!</v>
      </c>
      <c r="U18" s="211" t="str">
        <f t="shared" si="36"/>
        <v>#REF!</v>
      </c>
      <c r="V18" s="211" t="str">
        <f t="shared" si="36"/>
        <v>#REF!</v>
      </c>
      <c r="W18" s="211" t="str">
        <f t="shared" si="36"/>
        <v>#REF!</v>
      </c>
      <c r="X18" s="211" t="str">
        <f t="shared" si="36"/>
        <v>#REF!</v>
      </c>
    </row>
    <row r="19">
      <c r="A19" s="211" t="str">
        <f t="shared" ref="A19:O19" si="37">'Municipality Case Trends'!A23</f>
        <v>#REF!</v>
      </c>
      <c r="B19" s="211" t="str">
        <f t="shared" si="37"/>
        <v>#REF!</v>
      </c>
      <c r="C19" s="211" t="str">
        <f t="shared" si="37"/>
        <v>#REF!</v>
      </c>
      <c r="D19" s="211" t="str">
        <f t="shared" si="37"/>
        <v>#REF!</v>
      </c>
      <c r="E19" s="211" t="str">
        <f t="shared" si="37"/>
        <v>#REF!</v>
      </c>
      <c r="F19" s="211" t="str">
        <f t="shared" si="37"/>
        <v>#REF!</v>
      </c>
      <c r="G19" s="211" t="str">
        <f t="shared" si="37"/>
        <v>#REF!</v>
      </c>
      <c r="H19" s="211" t="str">
        <f t="shared" si="37"/>
        <v>#REF!</v>
      </c>
      <c r="I19" s="211" t="str">
        <f t="shared" si="37"/>
        <v>#REF!</v>
      </c>
      <c r="J19" s="211" t="str">
        <f t="shared" si="37"/>
        <v>#REF!</v>
      </c>
      <c r="K19" s="211" t="str">
        <f t="shared" si="37"/>
        <v>#REF!</v>
      </c>
      <c r="L19" s="211" t="str">
        <f t="shared" si="37"/>
        <v>#REF!</v>
      </c>
      <c r="M19" s="211" t="str">
        <f t="shared" si="37"/>
        <v>#REF!</v>
      </c>
      <c r="N19" s="211" t="str">
        <f t="shared" si="37"/>
        <v>#REF!</v>
      </c>
      <c r="O19" s="211" t="str">
        <f t="shared" si="37"/>
        <v>#REF!</v>
      </c>
      <c r="P19" s="211" t="str">
        <f t="shared" ref="P19:X19" si="38">#REF!</f>
        <v>#REF!</v>
      </c>
      <c r="Q19" s="211" t="str">
        <f t="shared" si="38"/>
        <v>#REF!</v>
      </c>
      <c r="R19" s="211" t="str">
        <f t="shared" si="38"/>
        <v>#REF!</v>
      </c>
      <c r="S19" s="211" t="str">
        <f t="shared" si="38"/>
        <v>#REF!</v>
      </c>
      <c r="T19" s="211" t="str">
        <f t="shared" si="38"/>
        <v>#REF!</v>
      </c>
      <c r="U19" s="211" t="str">
        <f t="shared" si="38"/>
        <v>#REF!</v>
      </c>
      <c r="V19" s="211" t="str">
        <f t="shared" si="38"/>
        <v>#REF!</v>
      </c>
      <c r="W19" s="211" t="str">
        <f t="shared" si="38"/>
        <v>#REF!</v>
      </c>
      <c r="X19" s="211" t="str">
        <f t="shared" si="38"/>
        <v>#REF!</v>
      </c>
    </row>
    <row r="20">
      <c r="A20" s="211" t="str">
        <f t="shared" ref="A20:O20" si="39">'Municipality Case Trends'!A24</f>
        <v>#REF!</v>
      </c>
      <c r="B20" s="211" t="str">
        <f t="shared" si="39"/>
        <v>#REF!</v>
      </c>
      <c r="C20" s="211" t="str">
        <f t="shared" si="39"/>
        <v>#REF!</v>
      </c>
      <c r="D20" s="211" t="str">
        <f t="shared" si="39"/>
        <v>#REF!</v>
      </c>
      <c r="E20" s="211" t="str">
        <f t="shared" si="39"/>
        <v>#REF!</v>
      </c>
      <c r="F20" s="211" t="str">
        <f t="shared" si="39"/>
        <v>#REF!</v>
      </c>
      <c r="G20" s="211" t="str">
        <f t="shared" si="39"/>
        <v>#REF!</v>
      </c>
      <c r="H20" s="211" t="str">
        <f t="shared" si="39"/>
        <v>#REF!</v>
      </c>
      <c r="I20" s="211" t="str">
        <f t="shared" si="39"/>
        <v>#REF!</v>
      </c>
      <c r="J20" s="211" t="str">
        <f t="shared" si="39"/>
        <v>#REF!</v>
      </c>
      <c r="K20" s="211" t="str">
        <f t="shared" si="39"/>
        <v>#REF!</v>
      </c>
      <c r="L20" s="211" t="str">
        <f t="shared" si="39"/>
        <v>#REF!</v>
      </c>
      <c r="M20" s="211" t="str">
        <f t="shared" si="39"/>
        <v>#REF!</v>
      </c>
      <c r="N20" s="211" t="str">
        <f t="shared" si="39"/>
        <v>#REF!</v>
      </c>
      <c r="O20" s="211" t="str">
        <f t="shared" si="39"/>
        <v>#REF!</v>
      </c>
      <c r="P20" s="211" t="str">
        <f t="shared" ref="P20:X20" si="40">#REF!</f>
        <v>#REF!</v>
      </c>
      <c r="Q20" s="211" t="str">
        <f t="shared" si="40"/>
        <v>#REF!</v>
      </c>
      <c r="R20" s="211" t="str">
        <f t="shared" si="40"/>
        <v>#REF!</v>
      </c>
      <c r="S20" s="211" t="str">
        <f t="shared" si="40"/>
        <v>#REF!</v>
      </c>
      <c r="T20" s="211" t="str">
        <f t="shared" si="40"/>
        <v>#REF!</v>
      </c>
      <c r="U20" s="211" t="str">
        <f t="shared" si="40"/>
        <v>#REF!</v>
      </c>
      <c r="V20" s="211" t="str">
        <f t="shared" si="40"/>
        <v>#REF!</v>
      </c>
      <c r="W20" s="211" t="str">
        <f t="shared" si="40"/>
        <v>#REF!</v>
      </c>
      <c r="X20" s="211" t="str">
        <f t="shared" si="40"/>
        <v>#REF!</v>
      </c>
    </row>
    <row r="21">
      <c r="A21" s="211" t="str">
        <f t="shared" ref="A21:O21" si="41">'Municipality Case Trends'!A25</f>
        <v>#REF!</v>
      </c>
      <c r="B21" s="211" t="str">
        <f t="shared" si="41"/>
        <v>#REF!</v>
      </c>
      <c r="C21" s="211" t="str">
        <f t="shared" si="41"/>
        <v>#REF!</v>
      </c>
      <c r="D21" s="211" t="str">
        <f t="shared" si="41"/>
        <v>#REF!</v>
      </c>
      <c r="E21" s="211" t="str">
        <f t="shared" si="41"/>
        <v>#REF!</v>
      </c>
      <c r="F21" s="211" t="str">
        <f t="shared" si="41"/>
        <v>#REF!</v>
      </c>
      <c r="G21" s="211" t="str">
        <f t="shared" si="41"/>
        <v>#REF!</v>
      </c>
      <c r="H21" s="211" t="str">
        <f t="shared" si="41"/>
        <v>#REF!</v>
      </c>
      <c r="I21" s="211" t="str">
        <f t="shared" si="41"/>
        <v>#REF!</v>
      </c>
      <c r="J21" s="211" t="str">
        <f t="shared" si="41"/>
        <v>#REF!</v>
      </c>
      <c r="K21" s="211" t="str">
        <f t="shared" si="41"/>
        <v>#REF!</v>
      </c>
      <c r="L21" s="211" t="str">
        <f t="shared" si="41"/>
        <v>#REF!</v>
      </c>
      <c r="M21" s="211" t="str">
        <f t="shared" si="41"/>
        <v>#REF!</v>
      </c>
      <c r="N21" s="211" t="str">
        <f t="shared" si="41"/>
        <v>#REF!</v>
      </c>
      <c r="O21" s="211" t="str">
        <f t="shared" si="41"/>
        <v>#REF!</v>
      </c>
      <c r="P21" s="211" t="str">
        <f t="shared" ref="P21:X21" si="42">#REF!</f>
        <v>#REF!</v>
      </c>
      <c r="Q21" s="211" t="str">
        <f t="shared" si="42"/>
        <v>#REF!</v>
      </c>
      <c r="R21" s="211" t="str">
        <f t="shared" si="42"/>
        <v>#REF!</v>
      </c>
      <c r="S21" s="211" t="str">
        <f t="shared" si="42"/>
        <v>#REF!</v>
      </c>
      <c r="T21" s="211" t="str">
        <f t="shared" si="42"/>
        <v>#REF!</v>
      </c>
      <c r="U21" s="211" t="str">
        <f t="shared" si="42"/>
        <v>#REF!</v>
      </c>
      <c r="V21" s="211" t="str">
        <f t="shared" si="42"/>
        <v>#REF!</v>
      </c>
      <c r="W21" s="211" t="str">
        <f t="shared" si="42"/>
        <v>#REF!</v>
      </c>
      <c r="X21" s="211" t="str">
        <f t="shared" si="42"/>
        <v>#REF!</v>
      </c>
    </row>
    <row r="22">
      <c r="A22" s="211" t="str">
        <f t="shared" ref="A22:O22" si="43">'Municipality Case Trends'!A26</f>
        <v>#REF!</v>
      </c>
      <c r="B22" s="211" t="str">
        <f t="shared" si="43"/>
        <v>#REF!</v>
      </c>
      <c r="C22" s="211" t="str">
        <f t="shared" si="43"/>
        <v>#REF!</v>
      </c>
      <c r="D22" s="211" t="str">
        <f t="shared" si="43"/>
        <v>#REF!</v>
      </c>
      <c r="E22" s="211" t="str">
        <f t="shared" si="43"/>
        <v>#REF!</v>
      </c>
      <c r="F22" s="211" t="str">
        <f t="shared" si="43"/>
        <v>#REF!</v>
      </c>
      <c r="G22" s="211" t="str">
        <f t="shared" si="43"/>
        <v>#REF!</v>
      </c>
      <c r="H22" s="211" t="str">
        <f t="shared" si="43"/>
        <v>#REF!</v>
      </c>
      <c r="I22" s="211" t="str">
        <f t="shared" si="43"/>
        <v>#REF!</v>
      </c>
      <c r="J22" s="211" t="str">
        <f t="shared" si="43"/>
        <v>#REF!</v>
      </c>
      <c r="K22" s="211" t="str">
        <f t="shared" si="43"/>
        <v>#REF!</v>
      </c>
      <c r="L22" s="211" t="str">
        <f t="shared" si="43"/>
        <v>#REF!</v>
      </c>
      <c r="M22" s="211" t="str">
        <f t="shared" si="43"/>
        <v>#REF!</v>
      </c>
      <c r="N22" s="211" t="str">
        <f t="shared" si="43"/>
        <v>#REF!</v>
      </c>
      <c r="O22" s="211" t="str">
        <f t="shared" si="43"/>
        <v>#REF!</v>
      </c>
      <c r="P22" s="211" t="str">
        <f t="shared" ref="P22:X22" si="44">#REF!</f>
        <v>#REF!</v>
      </c>
      <c r="Q22" s="211" t="str">
        <f t="shared" si="44"/>
        <v>#REF!</v>
      </c>
      <c r="R22" s="211" t="str">
        <f t="shared" si="44"/>
        <v>#REF!</v>
      </c>
      <c r="S22" s="211" t="str">
        <f t="shared" si="44"/>
        <v>#REF!</v>
      </c>
      <c r="T22" s="211" t="str">
        <f t="shared" si="44"/>
        <v>#REF!</v>
      </c>
      <c r="U22" s="211" t="str">
        <f t="shared" si="44"/>
        <v>#REF!</v>
      </c>
      <c r="V22" s="211" t="str">
        <f t="shared" si="44"/>
        <v>#REF!</v>
      </c>
      <c r="W22" s="211" t="str">
        <f t="shared" si="44"/>
        <v>#REF!</v>
      </c>
      <c r="X22" s="211" t="str">
        <f t="shared" si="44"/>
        <v>#REF!</v>
      </c>
    </row>
    <row r="23">
      <c r="A23" s="211" t="str">
        <f t="shared" ref="A23:O23" si="45">'Municipality Case Trends'!A27</f>
        <v>#REF!</v>
      </c>
      <c r="B23" s="211" t="str">
        <f t="shared" si="45"/>
        <v>#REF!</v>
      </c>
      <c r="C23" s="211" t="str">
        <f t="shared" si="45"/>
        <v>#REF!</v>
      </c>
      <c r="D23" s="211" t="str">
        <f t="shared" si="45"/>
        <v>#REF!</v>
      </c>
      <c r="E23" s="211" t="str">
        <f t="shared" si="45"/>
        <v>#REF!</v>
      </c>
      <c r="F23" s="211" t="str">
        <f t="shared" si="45"/>
        <v>#REF!</v>
      </c>
      <c r="G23" s="211" t="str">
        <f t="shared" si="45"/>
        <v>#REF!</v>
      </c>
      <c r="H23" s="211" t="str">
        <f t="shared" si="45"/>
        <v>#REF!</v>
      </c>
      <c r="I23" s="211" t="str">
        <f t="shared" si="45"/>
        <v>#REF!</v>
      </c>
      <c r="J23" s="211" t="str">
        <f t="shared" si="45"/>
        <v>#REF!</v>
      </c>
      <c r="K23" s="211" t="str">
        <f t="shared" si="45"/>
        <v>#REF!</v>
      </c>
      <c r="L23" s="211" t="str">
        <f t="shared" si="45"/>
        <v>#REF!</v>
      </c>
      <c r="M23" s="211" t="str">
        <f t="shared" si="45"/>
        <v>#REF!</v>
      </c>
      <c r="N23" s="211" t="str">
        <f t="shared" si="45"/>
        <v>#REF!</v>
      </c>
      <c r="O23" s="211" t="str">
        <f t="shared" si="45"/>
        <v>#REF!</v>
      </c>
      <c r="P23" s="211" t="str">
        <f t="shared" ref="P23:X23" si="46">#REF!</f>
        <v>#REF!</v>
      </c>
      <c r="Q23" s="211" t="str">
        <f t="shared" si="46"/>
        <v>#REF!</v>
      </c>
      <c r="R23" s="211" t="str">
        <f t="shared" si="46"/>
        <v>#REF!</v>
      </c>
      <c r="S23" s="211" t="str">
        <f t="shared" si="46"/>
        <v>#REF!</v>
      </c>
      <c r="T23" s="211" t="str">
        <f t="shared" si="46"/>
        <v>#REF!</v>
      </c>
      <c r="U23" s="211" t="str">
        <f t="shared" si="46"/>
        <v>#REF!</v>
      </c>
      <c r="V23" s="211" t="str">
        <f t="shared" si="46"/>
        <v>#REF!</v>
      </c>
      <c r="W23" s="211" t="str">
        <f t="shared" si="46"/>
        <v>#REF!</v>
      </c>
      <c r="X23" s="211" t="str">
        <f t="shared" si="46"/>
        <v>#REF!</v>
      </c>
    </row>
    <row r="24">
      <c r="A24" s="211" t="str">
        <f t="shared" ref="A24:O24" si="47">'Municipality Case Trends'!A28</f>
        <v>#REF!</v>
      </c>
      <c r="B24" s="211" t="str">
        <f t="shared" si="47"/>
        <v>#REF!</v>
      </c>
      <c r="C24" s="211" t="str">
        <f t="shared" si="47"/>
        <v>#REF!</v>
      </c>
      <c r="D24" s="211" t="str">
        <f t="shared" si="47"/>
        <v>#REF!</v>
      </c>
      <c r="E24" s="211" t="str">
        <f t="shared" si="47"/>
        <v>#REF!</v>
      </c>
      <c r="F24" s="211" t="str">
        <f t="shared" si="47"/>
        <v>#REF!</v>
      </c>
      <c r="G24" s="211" t="str">
        <f t="shared" si="47"/>
        <v>#REF!</v>
      </c>
      <c r="H24" s="211" t="str">
        <f t="shared" si="47"/>
        <v>#REF!</v>
      </c>
      <c r="I24" s="211" t="str">
        <f t="shared" si="47"/>
        <v>#REF!</v>
      </c>
      <c r="J24" s="211" t="str">
        <f t="shared" si="47"/>
        <v>#REF!</v>
      </c>
      <c r="K24" s="211" t="str">
        <f t="shared" si="47"/>
        <v>#REF!</v>
      </c>
      <c r="L24" s="211" t="str">
        <f t="shared" si="47"/>
        <v>#REF!</v>
      </c>
      <c r="M24" s="211" t="str">
        <f t="shared" si="47"/>
        <v>#REF!</v>
      </c>
      <c r="N24" s="211" t="str">
        <f t="shared" si="47"/>
        <v>#REF!</v>
      </c>
      <c r="O24" s="211" t="str">
        <f t="shared" si="47"/>
        <v>#REF!</v>
      </c>
      <c r="P24" s="211" t="str">
        <f t="shared" ref="P24:X24" si="48">#REF!</f>
        <v>#REF!</v>
      </c>
      <c r="Q24" s="211" t="str">
        <f t="shared" si="48"/>
        <v>#REF!</v>
      </c>
      <c r="R24" s="211" t="str">
        <f t="shared" si="48"/>
        <v>#REF!</v>
      </c>
      <c r="S24" s="211" t="str">
        <f t="shared" si="48"/>
        <v>#REF!</v>
      </c>
      <c r="T24" s="211" t="str">
        <f t="shared" si="48"/>
        <v>#REF!</v>
      </c>
      <c r="U24" s="211" t="str">
        <f t="shared" si="48"/>
        <v>#REF!</v>
      </c>
      <c r="V24" s="211" t="str">
        <f t="shared" si="48"/>
        <v>#REF!</v>
      </c>
      <c r="W24" s="211" t="str">
        <f t="shared" si="48"/>
        <v>#REF!</v>
      </c>
      <c r="X24" s="211" t="str">
        <f t="shared" si="48"/>
        <v>#REF!</v>
      </c>
    </row>
    <row r="25">
      <c r="A25" s="211" t="str">
        <f t="shared" ref="A25:O25" si="49">'Municipality Case Trends'!A29</f>
        <v>#REF!</v>
      </c>
      <c r="B25" s="211" t="str">
        <f t="shared" si="49"/>
        <v>#REF!</v>
      </c>
      <c r="C25" s="211" t="str">
        <f t="shared" si="49"/>
        <v>#REF!</v>
      </c>
      <c r="D25" s="211" t="str">
        <f t="shared" si="49"/>
        <v>#REF!</v>
      </c>
      <c r="E25" s="211" t="str">
        <f t="shared" si="49"/>
        <v>#REF!</v>
      </c>
      <c r="F25" s="211" t="str">
        <f t="shared" si="49"/>
        <v>#REF!</v>
      </c>
      <c r="G25" s="211" t="str">
        <f t="shared" si="49"/>
        <v>#REF!</v>
      </c>
      <c r="H25" s="211" t="str">
        <f t="shared" si="49"/>
        <v>#REF!</v>
      </c>
      <c r="I25" s="211" t="str">
        <f t="shared" si="49"/>
        <v>#REF!</v>
      </c>
      <c r="J25" s="211" t="str">
        <f t="shared" si="49"/>
        <v>#REF!</v>
      </c>
      <c r="K25" s="211" t="str">
        <f t="shared" si="49"/>
        <v>#REF!</v>
      </c>
      <c r="L25" s="211" t="str">
        <f t="shared" si="49"/>
        <v>#REF!</v>
      </c>
      <c r="M25" s="211" t="str">
        <f t="shared" si="49"/>
        <v>#REF!</v>
      </c>
      <c r="N25" s="211" t="str">
        <f t="shared" si="49"/>
        <v>#REF!</v>
      </c>
      <c r="O25" s="211" t="str">
        <f t="shared" si="49"/>
        <v>#REF!</v>
      </c>
      <c r="P25" s="211" t="str">
        <f t="shared" ref="P25:X25" si="50">#REF!</f>
        <v>#REF!</v>
      </c>
      <c r="Q25" s="211" t="str">
        <f t="shared" si="50"/>
        <v>#REF!</v>
      </c>
      <c r="R25" s="211" t="str">
        <f t="shared" si="50"/>
        <v>#REF!</v>
      </c>
      <c r="S25" s="211" t="str">
        <f t="shared" si="50"/>
        <v>#REF!</v>
      </c>
      <c r="T25" s="211" t="str">
        <f t="shared" si="50"/>
        <v>#REF!</v>
      </c>
      <c r="U25" s="211" t="str">
        <f t="shared" si="50"/>
        <v>#REF!</v>
      </c>
      <c r="V25" s="211" t="str">
        <f t="shared" si="50"/>
        <v>#REF!</v>
      </c>
      <c r="W25" s="211" t="str">
        <f t="shared" si="50"/>
        <v>#REF!</v>
      </c>
      <c r="X25" s="211" t="str">
        <f t="shared" si="50"/>
        <v>#REF!</v>
      </c>
    </row>
    <row r="26">
      <c r="A26" s="211" t="str">
        <f t="shared" ref="A26:O26" si="51">'Municipality Case Trends'!A30</f>
        <v>#REF!</v>
      </c>
      <c r="B26" s="211" t="str">
        <f t="shared" si="51"/>
        <v>#REF!</v>
      </c>
      <c r="C26" s="211" t="str">
        <f t="shared" si="51"/>
        <v>#REF!</v>
      </c>
      <c r="D26" s="211" t="str">
        <f t="shared" si="51"/>
        <v>#REF!</v>
      </c>
      <c r="E26" s="211" t="str">
        <f t="shared" si="51"/>
        <v>#REF!</v>
      </c>
      <c r="F26" s="211" t="str">
        <f t="shared" si="51"/>
        <v>#REF!</v>
      </c>
      <c r="G26" s="211" t="str">
        <f t="shared" si="51"/>
        <v>#REF!</v>
      </c>
      <c r="H26" s="211" t="str">
        <f t="shared" si="51"/>
        <v>#REF!</v>
      </c>
      <c r="I26" s="211" t="str">
        <f t="shared" si="51"/>
        <v>#REF!</v>
      </c>
      <c r="J26" s="211" t="str">
        <f t="shared" si="51"/>
        <v>#REF!</v>
      </c>
      <c r="K26" s="211" t="str">
        <f t="shared" si="51"/>
        <v>#REF!</v>
      </c>
      <c r="L26" s="211" t="str">
        <f t="shared" si="51"/>
        <v>#REF!</v>
      </c>
      <c r="M26" s="211" t="str">
        <f t="shared" si="51"/>
        <v>#REF!</v>
      </c>
      <c r="N26" s="211" t="str">
        <f t="shared" si="51"/>
        <v>#REF!</v>
      </c>
      <c r="O26" s="211" t="str">
        <f t="shared" si="51"/>
        <v>#REF!</v>
      </c>
      <c r="P26" s="211" t="str">
        <f t="shared" ref="P26:X26" si="52">#REF!</f>
        <v>#REF!</v>
      </c>
      <c r="Q26" s="211" t="str">
        <f t="shared" si="52"/>
        <v>#REF!</v>
      </c>
      <c r="R26" s="211" t="str">
        <f t="shared" si="52"/>
        <v>#REF!</v>
      </c>
      <c r="S26" s="211" t="str">
        <f t="shared" si="52"/>
        <v>#REF!</v>
      </c>
      <c r="T26" s="211" t="str">
        <f t="shared" si="52"/>
        <v>#REF!</v>
      </c>
      <c r="U26" s="211" t="str">
        <f t="shared" si="52"/>
        <v>#REF!</v>
      </c>
      <c r="V26" s="211" t="str">
        <f t="shared" si="52"/>
        <v>#REF!</v>
      </c>
      <c r="W26" s="211" t="str">
        <f t="shared" si="52"/>
        <v>#REF!</v>
      </c>
      <c r="X26" s="211" t="str">
        <f t="shared" si="52"/>
        <v>#REF!</v>
      </c>
    </row>
    <row r="27">
      <c r="A27" s="211" t="str">
        <f t="shared" ref="A27:O27" si="53">'Municipality Case Trends'!A31</f>
        <v>#REF!</v>
      </c>
      <c r="B27" s="211" t="str">
        <f t="shared" si="53"/>
        <v>#REF!</v>
      </c>
      <c r="C27" s="211" t="str">
        <f t="shared" si="53"/>
        <v>#REF!</v>
      </c>
      <c r="D27" s="211" t="str">
        <f t="shared" si="53"/>
        <v>#REF!</v>
      </c>
      <c r="E27" s="211" t="str">
        <f t="shared" si="53"/>
        <v>#REF!</v>
      </c>
      <c r="F27" s="211" t="str">
        <f t="shared" si="53"/>
        <v>#REF!</v>
      </c>
      <c r="G27" s="211" t="str">
        <f t="shared" si="53"/>
        <v>#REF!</v>
      </c>
      <c r="H27" s="211" t="str">
        <f t="shared" si="53"/>
        <v>#REF!</v>
      </c>
      <c r="I27" s="211" t="str">
        <f t="shared" si="53"/>
        <v>#REF!</v>
      </c>
      <c r="J27" s="211" t="str">
        <f t="shared" si="53"/>
        <v>#REF!</v>
      </c>
      <c r="K27" s="211" t="str">
        <f t="shared" si="53"/>
        <v>#REF!</v>
      </c>
      <c r="L27" s="211" t="str">
        <f t="shared" si="53"/>
        <v>#REF!</v>
      </c>
      <c r="M27" s="211" t="str">
        <f t="shared" si="53"/>
        <v>#REF!</v>
      </c>
      <c r="N27" s="211" t="str">
        <f t="shared" si="53"/>
        <v>#REF!</v>
      </c>
      <c r="O27" s="211" t="str">
        <f t="shared" si="53"/>
        <v>#REF!</v>
      </c>
      <c r="P27" s="211" t="str">
        <f t="shared" ref="P27:X27" si="54">#REF!</f>
        <v>#REF!</v>
      </c>
      <c r="Q27" s="211" t="str">
        <f t="shared" si="54"/>
        <v>#REF!</v>
      </c>
      <c r="R27" s="211" t="str">
        <f t="shared" si="54"/>
        <v>#REF!</v>
      </c>
      <c r="S27" s="211" t="str">
        <f t="shared" si="54"/>
        <v>#REF!</v>
      </c>
      <c r="T27" s="211" t="str">
        <f t="shared" si="54"/>
        <v>#REF!</v>
      </c>
      <c r="U27" s="211" t="str">
        <f t="shared" si="54"/>
        <v>#REF!</v>
      </c>
      <c r="V27" s="211" t="str">
        <f t="shared" si="54"/>
        <v>#REF!</v>
      </c>
      <c r="W27" s="211" t="str">
        <f t="shared" si="54"/>
        <v>#REF!</v>
      </c>
      <c r="X27" s="211" t="str">
        <f t="shared" si="54"/>
        <v>#REF!</v>
      </c>
    </row>
    <row r="28">
      <c r="A28" s="211" t="str">
        <f t="shared" ref="A28:O28" si="55">'Municipality Case Trends'!A32</f>
        <v>#REF!</v>
      </c>
      <c r="B28" s="211" t="str">
        <f t="shared" si="55"/>
        <v>#REF!</v>
      </c>
      <c r="C28" s="211" t="str">
        <f t="shared" si="55"/>
        <v>#REF!</v>
      </c>
      <c r="D28" s="211" t="str">
        <f t="shared" si="55"/>
        <v>#REF!</v>
      </c>
      <c r="E28" s="211" t="str">
        <f t="shared" si="55"/>
        <v>#REF!</v>
      </c>
      <c r="F28" s="211" t="str">
        <f t="shared" si="55"/>
        <v>#REF!</v>
      </c>
      <c r="G28" s="211" t="str">
        <f t="shared" si="55"/>
        <v>#REF!</v>
      </c>
      <c r="H28" s="211" t="str">
        <f t="shared" si="55"/>
        <v>#REF!</v>
      </c>
      <c r="I28" s="211" t="str">
        <f t="shared" si="55"/>
        <v>#REF!</v>
      </c>
      <c r="J28" s="211" t="str">
        <f t="shared" si="55"/>
        <v>#REF!</v>
      </c>
      <c r="K28" s="211" t="str">
        <f t="shared" si="55"/>
        <v>#REF!</v>
      </c>
      <c r="L28" s="211" t="str">
        <f t="shared" si="55"/>
        <v>#REF!</v>
      </c>
      <c r="M28" s="211" t="str">
        <f t="shared" si="55"/>
        <v>#REF!</v>
      </c>
      <c r="N28" s="211" t="str">
        <f t="shared" si="55"/>
        <v>#REF!</v>
      </c>
      <c r="O28" s="211" t="str">
        <f t="shared" si="55"/>
        <v>#REF!</v>
      </c>
      <c r="P28" s="211" t="str">
        <f t="shared" ref="P28:X28" si="56">#REF!</f>
        <v>#REF!</v>
      </c>
      <c r="Q28" s="211" t="str">
        <f t="shared" si="56"/>
        <v>#REF!</v>
      </c>
      <c r="R28" s="211" t="str">
        <f t="shared" si="56"/>
        <v>#REF!</v>
      </c>
      <c r="S28" s="211" t="str">
        <f t="shared" si="56"/>
        <v>#REF!</v>
      </c>
      <c r="T28" s="211" t="str">
        <f t="shared" si="56"/>
        <v>#REF!</v>
      </c>
      <c r="U28" s="211" t="str">
        <f t="shared" si="56"/>
        <v>#REF!</v>
      </c>
      <c r="V28" s="211" t="str">
        <f t="shared" si="56"/>
        <v>#REF!</v>
      </c>
      <c r="W28" s="211" t="str">
        <f t="shared" si="56"/>
        <v>#REF!</v>
      </c>
      <c r="X28" s="211" t="str">
        <f t="shared" si="56"/>
        <v>#REF!</v>
      </c>
    </row>
    <row r="29">
      <c r="A29" s="211" t="str">
        <f t="shared" ref="A29:O29" si="57">'Municipality Case Trends'!A33</f>
        <v>#REF!</v>
      </c>
      <c r="B29" s="211" t="str">
        <f t="shared" si="57"/>
        <v>#REF!</v>
      </c>
      <c r="C29" s="211" t="str">
        <f t="shared" si="57"/>
        <v>#REF!</v>
      </c>
      <c r="D29" s="211" t="str">
        <f t="shared" si="57"/>
        <v>#REF!</v>
      </c>
      <c r="E29" s="211" t="str">
        <f t="shared" si="57"/>
        <v>#REF!</v>
      </c>
      <c r="F29" s="211" t="str">
        <f t="shared" si="57"/>
        <v>#REF!</v>
      </c>
      <c r="G29" s="211" t="str">
        <f t="shared" si="57"/>
        <v>#REF!</v>
      </c>
      <c r="H29" s="211" t="str">
        <f t="shared" si="57"/>
        <v>#REF!</v>
      </c>
      <c r="I29" s="211" t="str">
        <f t="shared" si="57"/>
        <v>#REF!</v>
      </c>
      <c r="J29" s="211" t="str">
        <f t="shared" si="57"/>
        <v>#REF!</v>
      </c>
      <c r="K29" s="211" t="str">
        <f t="shared" si="57"/>
        <v>#REF!</v>
      </c>
      <c r="L29" s="211" t="str">
        <f t="shared" si="57"/>
        <v>#REF!</v>
      </c>
      <c r="M29" s="211" t="str">
        <f t="shared" si="57"/>
        <v>#REF!</v>
      </c>
      <c r="N29" s="211" t="str">
        <f t="shared" si="57"/>
        <v>#REF!</v>
      </c>
      <c r="O29" s="211" t="str">
        <f t="shared" si="57"/>
        <v>#REF!</v>
      </c>
      <c r="P29" s="211" t="str">
        <f t="shared" ref="P29:X29" si="58">#REF!</f>
        <v>#REF!</v>
      </c>
      <c r="Q29" s="211" t="str">
        <f t="shared" si="58"/>
        <v>#REF!</v>
      </c>
      <c r="R29" s="211" t="str">
        <f t="shared" si="58"/>
        <v>#REF!</v>
      </c>
      <c r="S29" s="211" t="str">
        <f t="shared" si="58"/>
        <v>#REF!</v>
      </c>
      <c r="T29" s="211" t="str">
        <f t="shared" si="58"/>
        <v>#REF!</v>
      </c>
      <c r="U29" s="211" t="str">
        <f t="shared" si="58"/>
        <v>#REF!</v>
      </c>
      <c r="V29" s="211" t="str">
        <f t="shared" si="58"/>
        <v>#REF!</v>
      </c>
      <c r="W29" s="211" t="str">
        <f t="shared" si="58"/>
        <v>#REF!</v>
      </c>
      <c r="X29" s="211" t="str">
        <f t="shared" si="58"/>
        <v>#REF!</v>
      </c>
    </row>
    <row r="30">
      <c r="A30" s="211" t="str">
        <f t="shared" ref="A30:O30" si="59">'Municipality Case Trends'!A34</f>
        <v>#REF!</v>
      </c>
      <c r="B30" s="211" t="str">
        <f t="shared" si="59"/>
        <v>#REF!</v>
      </c>
      <c r="C30" s="211" t="str">
        <f t="shared" si="59"/>
        <v>#REF!</v>
      </c>
      <c r="D30" s="211" t="str">
        <f t="shared" si="59"/>
        <v>#REF!</v>
      </c>
      <c r="E30" s="211" t="str">
        <f t="shared" si="59"/>
        <v>#REF!</v>
      </c>
      <c r="F30" s="211" t="str">
        <f t="shared" si="59"/>
        <v>#REF!</v>
      </c>
      <c r="G30" s="211" t="str">
        <f t="shared" si="59"/>
        <v>#REF!</v>
      </c>
      <c r="H30" s="211" t="str">
        <f t="shared" si="59"/>
        <v>#REF!</v>
      </c>
      <c r="I30" s="211" t="str">
        <f t="shared" si="59"/>
        <v>#REF!</v>
      </c>
      <c r="J30" s="211" t="str">
        <f t="shared" si="59"/>
        <v>#REF!</v>
      </c>
      <c r="K30" s="211" t="str">
        <f t="shared" si="59"/>
        <v>#REF!</v>
      </c>
      <c r="L30" s="211" t="str">
        <f t="shared" si="59"/>
        <v>#REF!</v>
      </c>
      <c r="M30" s="211" t="str">
        <f t="shared" si="59"/>
        <v>#REF!</v>
      </c>
      <c r="N30" s="211" t="str">
        <f t="shared" si="59"/>
        <v>#REF!</v>
      </c>
      <c r="O30" s="211" t="str">
        <f t="shared" si="59"/>
        <v>#REF!</v>
      </c>
      <c r="P30" s="211" t="str">
        <f t="shared" ref="P30:X30" si="60">#REF!</f>
        <v>#REF!</v>
      </c>
      <c r="Q30" s="211" t="str">
        <f t="shared" si="60"/>
        <v>#REF!</v>
      </c>
      <c r="R30" s="211" t="str">
        <f t="shared" si="60"/>
        <v>#REF!</v>
      </c>
      <c r="S30" s="211" t="str">
        <f t="shared" si="60"/>
        <v>#REF!</v>
      </c>
      <c r="T30" s="211" t="str">
        <f t="shared" si="60"/>
        <v>#REF!</v>
      </c>
      <c r="U30" s="211" t="str">
        <f t="shared" si="60"/>
        <v>#REF!</v>
      </c>
      <c r="V30" s="211" t="str">
        <f t="shared" si="60"/>
        <v>#REF!</v>
      </c>
      <c r="W30" s="211" t="str">
        <f t="shared" si="60"/>
        <v>#REF!</v>
      </c>
      <c r="X30" s="211" t="str">
        <f t="shared" si="60"/>
        <v>#REF!</v>
      </c>
    </row>
    <row r="31">
      <c r="A31" s="211" t="str">
        <f t="shared" ref="A31:O31" si="61">'Municipality Case Trends'!A35</f>
        <v>#REF!</v>
      </c>
      <c r="B31" s="211" t="str">
        <f t="shared" si="61"/>
        <v>#REF!</v>
      </c>
      <c r="C31" s="211" t="str">
        <f t="shared" si="61"/>
        <v>#REF!</v>
      </c>
      <c r="D31" s="211" t="str">
        <f t="shared" si="61"/>
        <v>#REF!</v>
      </c>
      <c r="E31" s="211" t="str">
        <f t="shared" si="61"/>
        <v>#REF!</v>
      </c>
      <c r="F31" s="211" t="str">
        <f t="shared" si="61"/>
        <v>#REF!</v>
      </c>
      <c r="G31" s="211" t="str">
        <f t="shared" si="61"/>
        <v>#REF!</v>
      </c>
      <c r="H31" s="211" t="str">
        <f t="shared" si="61"/>
        <v>#REF!</v>
      </c>
      <c r="I31" s="211" t="str">
        <f t="shared" si="61"/>
        <v>#REF!</v>
      </c>
      <c r="J31" s="211" t="str">
        <f t="shared" si="61"/>
        <v>#REF!</v>
      </c>
      <c r="K31" s="211" t="str">
        <f t="shared" si="61"/>
        <v>#REF!</v>
      </c>
      <c r="L31" s="211" t="str">
        <f t="shared" si="61"/>
        <v>#REF!</v>
      </c>
      <c r="M31" s="211" t="str">
        <f t="shared" si="61"/>
        <v>#REF!</v>
      </c>
      <c r="N31" s="211" t="str">
        <f t="shared" si="61"/>
        <v>#REF!</v>
      </c>
      <c r="O31" s="211" t="str">
        <f t="shared" si="61"/>
        <v>#REF!</v>
      </c>
      <c r="P31" s="211" t="str">
        <f t="shared" ref="P31:X31" si="62">#REF!</f>
        <v>#REF!</v>
      </c>
      <c r="Q31" s="211" t="str">
        <f t="shared" si="62"/>
        <v>#REF!</v>
      </c>
      <c r="R31" s="211" t="str">
        <f t="shared" si="62"/>
        <v>#REF!</v>
      </c>
      <c r="S31" s="211" t="str">
        <f t="shared" si="62"/>
        <v>#REF!</v>
      </c>
      <c r="T31" s="211" t="str">
        <f t="shared" si="62"/>
        <v>#REF!</v>
      </c>
      <c r="U31" s="211" t="str">
        <f t="shared" si="62"/>
        <v>#REF!</v>
      </c>
      <c r="V31" s="211" t="str">
        <f t="shared" si="62"/>
        <v>#REF!</v>
      </c>
      <c r="W31" s="211" t="str">
        <f t="shared" si="62"/>
        <v>#REF!</v>
      </c>
      <c r="X31" s="211" t="str">
        <f t="shared" si="62"/>
        <v>#REF!</v>
      </c>
    </row>
    <row r="32">
      <c r="A32" s="211" t="str">
        <f t="shared" ref="A32:O32" si="63">'Municipality Case Trends'!A36</f>
        <v>#REF!</v>
      </c>
      <c r="B32" s="211" t="str">
        <f t="shared" si="63"/>
        <v>#REF!</v>
      </c>
      <c r="C32" s="211" t="str">
        <f t="shared" si="63"/>
        <v>#REF!</v>
      </c>
      <c r="D32" s="211" t="str">
        <f t="shared" si="63"/>
        <v>#REF!</v>
      </c>
      <c r="E32" s="211" t="str">
        <f t="shared" si="63"/>
        <v>#REF!</v>
      </c>
      <c r="F32" s="211" t="str">
        <f t="shared" si="63"/>
        <v>#REF!</v>
      </c>
      <c r="G32" s="211" t="str">
        <f t="shared" si="63"/>
        <v>#REF!</v>
      </c>
      <c r="H32" s="211" t="str">
        <f t="shared" si="63"/>
        <v>#REF!</v>
      </c>
      <c r="I32" s="211" t="str">
        <f t="shared" si="63"/>
        <v>#REF!</v>
      </c>
      <c r="J32" s="211" t="str">
        <f t="shared" si="63"/>
        <v>#REF!</v>
      </c>
      <c r="K32" s="211" t="str">
        <f t="shared" si="63"/>
        <v>#REF!</v>
      </c>
      <c r="L32" s="211" t="str">
        <f t="shared" si="63"/>
        <v>#REF!</v>
      </c>
      <c r="M32" s="211" t="str">
        <f t="shared" si="63"/>
        <v>#REF!</v>
      </c>
      <c r="N32" s="211" t="str">
        <f t="shared" si="63"/>
        <v>#REF!</v>
      </c>
      <c r="O32" s="211" t="str">
        <f t="shared" si="63"/>
        <v>#REF!</v>
      </c>
      <c r="P32" s="211" t="str">
        <f t="shared" ref="P32:X32" si="64">#REF!</f>
        <v>#REF!</v>
      </c>
      <c r="Q32" s="211" t="str">
        <f t="shared" si="64"/>
        <v>#REF!</v>
      </c>
      <c r="R32" s="211" t="str">
        <f t="shared" si="64"/>
        <v>#REF!</v>
      </c>
      <c r="S32" s="211" t="str">
        <f t="shared" si="64"/>
        <v>#REF!</v>
      </c>
      <c r="T32" s="211" t="str">
        <f t="shared" si="64"/>
        <v>#REF!</v>
      </c>
      <c r="U32" s="211" t="str">
        <f t="shared" si="64"/>
        <v>#REF!</v>
      </c>
      <c r="V32" s="211" t="str">
        <f t="shared" si="64"/>
        <v>#REF!</v>
      </c>
      <c r="W32" s="211" t="str">
        <f t="shared" si="64"/>
        <v>#REF!</v>
      </c>
      <c r="X32" s="211" t="str">
        <f t="shared" si="64"/>
        <v>#REF!</v>
      </c>
    </row>
    <row r="33">
      <c r="A33" s="211" t="str">
        <f t="shared" ref="A33:O33" si="65">'Municipality Case Trends'!A37</f>
        <v>#REF!</v>
      </c>
      <c r="B33" s="211" t="str">
        <f t="shared" si="65"/>
        <v>#REF!</v>
      </c>
      <c r="C33" s="211" t="str">
        <f t="shared" si="65"/>
        <v>#REF!</v>
      </c>
      <c r="D33" s="211" t="str">
        <f t="shared" si="65"/>
        <v>#REF!</v>
      </c>
      <c r="E33" s="211" t="str">
        <f t="shared" si="65"/>
        <v>#REF!</v>
      </c>
      <c r="F33" s="211" t="str">
        <f t="shared" si="65"/>
        <v>#REF!</v>
      </c>
      <c r="G33" s="211" t="str">
        <f t="shared" si="65"/>
        <v>#REF!</v>
      </c>
      <c r="H33" s="211" t="str">
        <f t="shared" si="65"/>
        <v>#REF!</v>
      </c>
      <c r="I33" s="211" t="str">
        <f t="shared" si="65"/>
        <v>#REF!</v>
      </c>
      <c r="J33" s="211" t="str">
        <f t="shared" si="65"/>
        <v>#REF!</v>
      </c>
      <c r="K33" s="211" t="str">
        <f t="shared" si="65"/>
        <v>#REF!</v>
      </c>
      <c r="L33" s="211" t="str">
        <f t="shared" si="65"/>
        <v>#REF!</v>
      </c>
      <c r="M33" s="211" t="str">
        <f t="shared" si="65"/>
        <v>#REF!</v>
      </c>
      <c r="N33" s="211" t="str">
        <f t="shared" si="65"/>
        <v>#REF!</v>
      </c>
      <c r="O33" s="211" t="str">
        <f t="shared" si="65"/>
        <v>#REF!</v>
      </c>
      <c r="P33" s="211" t="str">
        <f t="shared" ref="P33:X33" si="66">#REF!</f>
        <v>#REF!</v>
      </c>
      <c r="Q33" s="211" t="str">
        <f t="shared" si="66"/>
        <v>#REF!</v>
      </c>
      <c r="R33" s="211" t="str">
        <f t="shared" si="66"/>
        <v>#REF!</v>
      </c>
      <c r="S33" s="211" t="str">
        <f t="shared" si="66"/>
        <v>#REF!</v>
      </c>
      <c r="T33" s="211" t="str">
        <f t="shared" si="66"/>
        <v>#REF!</v>
      </c>
      <c r="U33" s="211" t="str">
        <f t="shared" si="66"/>
        <v>#REF!</v>
      </c>
      <c r="V33" s="211" t="str">
        <f t="shared" si="66"/>
        <v>#REF!</v>
      </c>
      <c r="W33" s="211" t="str">
        <f t="shared" si="66"/>
        <v>#REF!</v>
      </c>
      <c r="X33" s="211" t="str">
        <f t="shared" si="66"/>
        <v>#REF!</v>
      </c>
    </row>
    <row r="34">
      <c r="A34" s="211" t="str">
        <f t="shared" ref="A34:O34" si="67">'Municipality Case Trends'!A38</f>
        <v>#REF!</v>
      </c>
      <c r="B34" s="211" t="str">
        <f t="shared" si="67"/>
        <v>#REF!</v>
      </c>
      <c r="C34" s="211" t="str">
        <f t="shared" si="67"/>
        <v>#REF!</v>
      </c>
      <c r="D34" s="211" t="str">
        <f t="shared" si="67"/>
        <v>#REF!</v>
      </c>
      <c r="E34" s="211" t="str">
        <f t="shared" si="67"/>
        <v>#REF!</v>
      </c>
      <c r="F34" s="211" t="str">
        <f t="shared" si="67"/>
        <v>#REF!</v>
      </c>
      <c r="G34" s="211" t="str">
        <f t="shared" si="67"/>
        <v>#REF!</v>
      </c>
      <c r="H34" s="211" t="str">
        <f t="shared" si="67"/>
        <v>#REF!</v>
      </c>
      <c r="I34" s="211" t="str">
        <f t="shared" si="67"/>
        <v>#REF!</v>
      </c>
      <c r="J34" s="211" t="str">
        <f t="shared" si="67"/>
        <v>#REF!</v>
      </c>
      <c r="K34" s="211" t="str">
        <f t="shared" si="67"/>
        <v>#REF!</v>
      </c>
      <c r="L34" s="211" t="str">
        <f t="shared" si="67"/>
        <v>#REF!</v>
      </c>
      <c r="M34" s="211" t="str">
        <f t="shared" si="67"/>
        <v>#REF!</v>
      </c>
      <c r="N34" s="211" t="str">
        <f t="shared" si="67"/>
        <v>#REF!</v>
      </c>
      <c r="O34" s="211" t="str">
        <f t="shared" si="67"/>
        <v>#REF!</v>
      </c>
      <c r="P34" s="211" t="str">
        <f t="shared" ref="P34:X34" si="68">#REF!</f>
        <v>#REF!</v>
      </c>
      <c r="Q34" s="211" t="str">
        <f t="shared" si="68"/>
        <v>#REF!</v>
      </c>
      <c r="R34" s="211" t="str">
        <f t="shared" si="68"/>
        <v>#REF!</v>
      </c>
      <c r="S34" s="211" t="str">
        <f t="shared" si="68"/>
        <v>#REF!</v>
      </c>
      <c r="T34" s="211" t="str">
        <f t="shared" si="68"/>
        <v>#REF!</v>
      </c>
      <c r="U34" s="211" t="str">
        <f t="shared" si="68"/>
        <v>#REF!</v>
      </c>
      <c r="V34" s="211" t="str">
        <f t="shared" si="68"/>
        <v>#REF!</v>
      </c>
      <c r="W34" s="211" t="str">
        <f t="shared" si="68"/>
        <v>#REF!</v>
      </c>
      <c r="X34" s="211" t="str">
        <f t="shared" si="68"/>
        <v>#REF!</v>
      </c>
    </row>
    <row r="35">
      <c r="A35" s="211" t="str">
        <f t="shared" ref="A35:O35" si="69">'Municipality Case Trends'!A39</f>
        <v>#REF!</v>
      </c>
      <c r="B35" s="211" t="str">
        <f t="shared" si="69"/>
        <v>#REF!</v>
      </c>
      <c r="C35" s="211" t="str">
        <f t="shared" si="69"/>
        <v>#REF!</v>
      </c>
      <c r="D35" s="211" t="str">
        <f t="shared" si="69"/>
        <v>#REF!</v>
      </c>
      <c r="E35" s="211" t="str">
        <f t="shared" si="69"/>
        <v>#REF!</v>
      </c>
      <c r="F35" s="211" t="str">
        <f t="shared" si="69"/>
        <v>#REF!</v>
      </c>
      <c r="G35" s="211" t="str">
        <f t="shared" si="69"/>
        <v>#REF!</v>
      </c>
      <c r="H35" s="211" t="str">
        <f t="shared" si="69"/>
        <v>#REF!</v>
      </c>
      <c r="I35" s="211" t="str">
        <f t="shared" si="69"/>
        <v>#REF!</v>
      </c>
      <c r="J35" s="211" t="str">
        <f t="shared" si="69"/>
        <v>#REF!</v>
      </c>
      <c r="K35" s="211" t="str">
        <f t="shared" si="69"/>
        <v>#REF!</v>
      </c>
      <c r="L35" s="211" t="str">
        <f t="shared" si="69"/>
        <v>#REF!</v>
      </c>
      <c r="M35" s="211" t="str">
        <f t="shared" si="69"/>
        <v>#REF!</v>
      </c>
      <c r="N35" s="211" t="str">
        <f t="shared" si="69"/>
        <v>#REF!</v>
      </c>
      <c r="O35" s="211" t="str">
        <f t="shared" si="69"/>
        <v>#REF!</v>
      </c>
      <c r="P35" s="211" t="str">
        <f t="shared" ref="P35:X35" si="70">#REF!</f>
        <v>#REF!</v>
      </c>
      <c r="Q35" s="211" t="str">
        <f t="shared" si="70"/>
        <v>#REF!</v>
      </c>
      <c r="R35" s="211" t="str">
        <f t="shared" si="70"/>
        <v>#REF!</v>
      </c>
      <c r="S35" s="211" t="str">
        <f t="shared" si="70"/>
        <v>#REF!</v>
      </c>
      <c r="T35" s="211" t="str">
        <f t="shared" si="70"/>
        <v>#REF!</v>
      </c>
      <c r="U35" s="211" t="str">
        <f t="shared" si="70"/>
        <v>#REF!</v>
      </c>
      <c r="V35" s="211" t="str">
        <f t="shared" si="70"/>
        <v>#REF!</v>
      </c>
      <c r="W35" s="211" t="str">
        <f t="shared" si="70"/>
        <v>#REF!</v>
      </c>
      <c r="X35" s="211" t="str">
        <f t="shared" si="70"/>
        <v>#REF!</v>
      </c>
    </row>
    <row r="36">
      <c r="A36" s="211" t="str">
        <f t="shared" ref="A36:O36" si="71">'Municipality Case Trends'!A40</f>
        <v>#REF!</v>
      </c>
      <c r="B36" s="211" t="str">
        <f t="shared" si="71"/>
        <v>#REF!</v>
      </c>
      <c r="C36" s="211" t="str">
        <f t="shared" si="71"/>
        <v>#REF!</v>
      </c>
      <c r="D36" s="211" t="str">
        <f t="shared" si="71"/>
        <v>#REF!</v>
      </c>
      <c r="E36" s="211" t="str">
        <f t="shared" si="71"/>
        <v>#REF!</v>
      </c>
      <c r="F36" s="211" t="str">
        <f t="shared" si="71"/>
        <v>#REF!</v>
      </c>
      <c r="G36" s="211" t="str">
        <f t="shared" si="71"/>
        <v>#REF!</v>
      </c>
      <c r="H36" s="211" t="str">
        <f t="shared" si="71"/>
        <v>#REF!</v>
      </c>
      <c r="I36" s="211" t="str">
        <f t="shared" si="71"/>
        <v>#REF!</v>
      </c>
      <c r="J36" s="211" t="str">
        <f t="shared" si="71"/>
        <v>#REF!</v>
      </c>
      <c r="K36" s="211" t="str">
        <f t="shared" si="71"/>
        <v>#REF!</v>
      </c>
      <c r="L36" s="211" t="str">
        <f t="shared" si="71"/>
        <v>#REF!</v>
      </c>
      <c r="M36" s="211" t="str">
        <f t="shared" si="71"/>
        <v>#REF!</v>
      </c>
      <c r="N36" s="211" t="str">
        <f t="shared" si="71"/>
        <v>#REF!</v>
      </c>
      <c r="O36" s="211" t="str">
        <f t="shared" si="71"/>
        <v>#REF!</v>
      </c>
      <c r="P36" s="211" t="str">
        <f t="shared" ref="P36:X36" si="72">#REF!</f>
        <v>#REF!</v>
      </c>
      <c r="Q36" s="211" t="str">
        <f t="shared" si="72"/>
        <v>#REF!</v>
      </c>
      <c r="R36" s="211" t="str">
        <f t="shared" si="72"/>
        <v>#REF!</v>
      </c>
      <c r="S36" s="211" t="str">
        <f t="shared" si="72"/>
        <v>#REF!</v>
      </c>
      <c r="T36" s="211" t="str">
        <f t="shared" si="72"/>
        <v>#REF!</v>
      </c>
      <c r="U36" s="211" t="str">
        <f t="shared" si="72"/>
        <v>#REF!</v>
      </c>
      <c r="V36" s="211" t="str">
        <f t="shared" si="72"/>
        <v>#REF!</v>
      </c>
      <c r="W36" s="211" t="str">
        <f t="shared" si="72"/>
        <v>#REF!</v>
      </c>
      <c r="X36" s="211" t="str">
        <f t="shared" si="72"/>
        <v>#REF!</v>
      </c>
    </row>
    <row r="37">
      <c r="A37" s="211" t="str">
        <f t="shared" ref="A37:O37" si="73">'Municipality Case Trends'!A41</f>
        <v>#REF!</v>
      </c>
      <c r="B37" s="211" t="str">
        <f t="shared" si="73"/>
        <v>#REF!</v>
      </c>
      <c r="C37" s="211" t="str">
        <f t="shared" si="73"/>
        <v>#REF!</v>
      </c>
      <c r="D37" s="211" t="str">
        <f t="shared" si="73"/>
        <v>#REF!</v>
      </c>
      <c r="E37" s="211" t="str">
        <f t="shared" si="73"/>
        <v>#REF!</v>
      </c>
      <c r="F37" s="211" t="str">
        <f t="shared" si="73"/>
        <v>#REF!</v>
      </c>
      <c r="G37" s="211" t="str">
        <f t="shared" si="73"/>
        <v>#REF!</v>
      </c>
      <c r="H37" s="211" t="str">
        <f t="shared" si="73"/>
        <v>#REF!</v>
      </c>
      <c r="I37" s="211" t="str">
        <f t="shared" si="73"/>
        <v>#REF!</v>
      </c>
      <c r="J37" s="211" t="str">
        <f t="shared" si="73"/>
        <v>#REF!</v>
      </c>
      <c r="K37" s="211" t="str">
        <f t="shared" si="73"/>
        <v>#REF!</v>
      </c>
      <c r="L37" s="211" t="str">
        <f t="shared" si="73"/>
        <v>#REF!</v>
      </c>
      <c r="M37" s="211" t="str">
        <f t="shared" si="73"/>
        <v>#REF!</v>
      </c>
      <c r="N37" s="211" t="str">
        <f t="shared" si="73"/>
        <v>#REF!</v>
      </c>
      <c r="O37" s="211" t="str">
        <f t="shared" si="73"/>
        <v>#REF!</v>
      </c>
      <c r="P37" s="211" t="str">
        <f t="shared" ref="P37:X37" si="74">#REF!</f>
        <v>#REF!</v>
      </c>
      <c r="Q37" s="211" t="str">
        <f t="shared" si="74"/>
        <v>#REF!</v>
      </c>
      <c r="R37" s="211" t="str">
        <f t="shared" si="74"/>
        <v>#REF!</v>
      </c>
      <c r="S37" s="211" t="str">
        <f t="shared" si="74"/>
        <v>#REF!</v>
      </c>
      <c r="T37" s="211" t="str">
        <f t="shared" si="74"/>
        <v>#REF!</v>
      </c>
      <c r="U37" s="211" t="str">
        <f t="shared" si="74"/>
        <v>#REF!</v>
      </c>
      <c r="V37" s="211" t="str">
        <f t="shared" si="74"/>
        <v>#REF!</v>
      </c>
      <c r="W37" s="211" t="str">
        <f t="shared" si="74"/>
        <v>#REF!</v>
      </c>
      <c r="X37" s="211" t="str">
        <f t="shared" si="74"/>
        <v>#REF!</v>
      </c>
    </row>
    <row r="38">
      <c r="A38" s="211" t="str">
        <f t="shared" ref="A38:O38" si="75">'Municipality Case Trends'!A42</f>
        <v>#REF!</v>
      </c>
      <c r="B38" s="211" t="str">
        <f t="shared" si="75"/>
        <v>#REF!</v>
      </c>
      <c r="C38" s="211" t="str">
        <f t="shared" si="75"/>
        <v>#REF!</v>
      </c>
      <c r="D38" s="211" t="str">
        <f t="shared" si="75"/>
        <v>#REF!</v>
      </c>
      <c r="E38" s="211" t="str">
        <f t="shared" si="75"/>
        <v>#REF!</v>
      </c>
      <c r="F38" s="211" t="str">
        <f t="shared" si="75"/>
        <v>#REF!</v>
      </c>
      <c r="G38" s="211" t="str">
        <f t="shared" si="75"/>
        <v>#REF!</v>
      </c>
      <c r="H38" s="211" t="str">
        <f t="shared" si="75"/>
        <v>#REF!</v>
      </c>
      <c r="I38" s="211" t="str">
        <f t="shared" si="75"/>
        <v>#REF!</v>
      </c>
      <c r="J38" s="211" t="str">
        <f t="shared" si="75"/>
        <v>#REF!</v>
      </c>
      <c r="K38" s="211" t="str">
        <f t="shared" si="75"/>
        <v>#REF!</v>
      </c>
      <c r="L38" s="211" t="str">
        <f t="shared" si="75"/>
        <v>#REF!</v>
      </c>
      <c r="M38" s="211" t="str">
        <f t="shared" si="75"/>
        <v>#REF!</v>
      </c>
      <c r="N38" s="211" t="str">
        <f t="shared" si="75"/>
        <v>#REF!</v>
      </c>
      <c r="O38" s="211" t="str">
        <f t="shared" si="75"/>
        <v>#REF!</v>
      </c>
      <c r="P38" s="211" t="str">
        <f t="shared" ref="P38:X38" si="76">#REF!</f>
        <v>#REF!</v>
      </c>
      <c r="Q38" s="211" t="str">
        <f t="shared" si="76"/>
        <v>#REF!</v>
      </c>
      <c r="R38" s="211" t="str">
        <f t="shared" si="76"/>
        <v>#REF!</v>
      </c>
      <c r="S38" s="211" t="str">
        <f t="shared" si="76"/>
        <v>#REF!</v>
      </c>
      <c r="T38" s="211" t="str">
        <f t="shared" si="76"/>
        <v>#REF!</v>
      </c>
      <c r="U38" s="211" t="str">
        <f t="shared" si="76"/>
        <v>#REF!</v>
      </c>
      <c r="V38" s="211" t="str">
        <f t="shared" si="76"/>
        <v>#REF!</v>
      </c>
      <c r="W38" s="211" t="str">
        <f t="shared" si="76"/>
        <v>#REF!</v>
      </c>
      <c r="X38" s="211" t="str">
        <f t="shared" si="76"/>
        <v>#REF!</v>
      </c>
    </row>
    <row r="39">
      <c r="A39" s="211" t="str">
        <f t="shared" ref="A39:O39" si="77">'Municipality Case Trends'!A43</f>
        <v>#REF!</v>
      </c>
      <c r="B39" s="211" t="str">
        <f t="shared" si="77"/>
        <v>#REF!</v>
      </c>
      <c r="C39" s="211" t="str">
        <f t="shared" si="77"/>
        <v>#REF!</v>
      </c>
      <c r="D39" s="211" t="str">
        <f t="shared" si="77"/>
        <v>#REF!</v>
      </c>
      <c r="E39" s="211" t="str">
        <f t="shared" si="77"/>
        <v>#REF!</v>
      </c>
      <c r="F39" s="211" t="str">
        <f t="shared" si="77"/>
        <v>#REF!</v>
      </c>
      <c r="G39" s="211" t="str">
        <f t="shared" si="77"/>
        <v>#REF!</v>
      </c>
      <c r="H39" s="211" t="str">
        <f t="shared" si="77"/>
        <v>#REF!</v>
      </c>
      <c r="I39" s="211" t="str">
        <f t="shared" si="77"/>
        <v>#REF!</v>
      </c>
      <c r="J39" s="211" t="str">
        <f t="shared" si="77"/>
        <v>#REF!</v>
      </c>
      <c r="K39" s="211" t="str">
        <f t="shared" si="77"/>
        <v>#REF!</v>
      </c>
      <c r="L39" s="211" t="str">
        <f t="shared" si="77"/>
        <v>#REF!</v>
      </c>
      <c r="M39" s="211" t="str">
        <f t="shared" si="77"/>
        <v>#REF!</v>
      </c>
      <c r="N39" s="211" t="str">
        <f t="shared" si="77"/>
        <v>#REF!</v>
      </c>
      <c r="O39" s="211" t="str">
        <f t="shared" si="77"/>
        <v>#REF!</v>
      </c>
      <c r="P39" s="211" t="str">
        <f t="shared" ref="P39:X39" si="78">#REF!</f>
        <v>#REF!</v>
      </c>
      <c r="Q39" s="211" t="str">
        <f t="shared" si="78"/>
        <v>#REF!</v>
      </c>
      <c r="R39" s="211" t="str">
        <f t="shared" si="78"/>
        <v>#REF!</v>
      </c>
      <c r="S39" s="211" t="str">
        <f t="shared" si="78"/>
        <v>#REF!</v>
      </c>
      <c r="T39" s="211" t="str">
        <f t="shared" si="78"/>
        <v>#REF!</v>
      </c>
      <c r="U39" s="211" t="str">
        <f t="shared" si="78"/>
        <v>#REF!</v>
      </c>
      <c r="V39" s="211" t="str">
        <f t="shared" si="78"/>
        <v>#REF!</v>
      </c>
      <c r="W39" s="211" t="str">
        <f t="shared" si="78"/>
        <v>#REF!</v>
      </c>
      <c r="X39" s="211" t="str">
        <f t="shared" si="78"/>
        <v>#REF!</v>
      </c>
    </row>
    <row r="40">
      <c r="A40" s="211" t="str">
        <f t="shared" ref="A40:O40" si="79">'Municipality Case Trends'!A44</f>
        <v>#REF!</v>
      </c>
      <c r="B40" s="211" t="str">
        <f t="shared" si="79"/>
        <v>#REF!</v>
      </c>
      <c r="C40" s="211" t="str">
        <f t="shared" si="79"/>
        <v>#REF!</v>
      </c>
      <c r="D40" s="211" t="str">
        <f t="shared" si="79"/>
        <v>#REF!</v>
      </c>
      <c r="E40" s="211" t="str">
        <f t="shared" si="79"/>
        <v>#REF!</v>
      </c>
      <c r="F40" s="211" t="str">
        <f t="shared" si="79"/>
        <v>#REF!</v>
      </c>
      <c r="G40" s="211" t="str">
        <f t="shared" si="79"/>
        <v>#REF!</v>
      </c>
      <c r="H40" s="211" t="str">
        <f t="shared" si="79"/>
        <v>#REF!</v>
      </c>
      <c r="I40" s="211" t="str">
        <f t="shared" si="79"/>
        <v>#REF!</v>
      </c>
      <c r="J40" s="211" t="str">
        <f t="shared" si="79"/>
        <v>#REF!</v>
      </c>
      <c r="K40" s="211" t="str">
        <f t="shared" si="79"/>
        <v>#REF!</v>
      </c>
      <c r="L40" s="211" t="str">
        <f t="shared" si="79"/>
        <v>#REF!</v>
      </c>
      <c r="M40" s="211" t="str">
        <f t="shared" si="79"/>
        <v>#REF!</v>
      </c>
      <c r="N40" s="211" t="str">
        <f t="shared" si="79"/>
        <v>#REF!</v>
      </c>
      <c r="O40" s="211" t="str">
        <f t="shared" si="79"/>
        <v>#REF!</v>
      </c>
      <c r="P40" s="211" t="str">
        <f t="shared" ref="P40:X40" si="80">#REF!</f>
        <v>#REF!</v>
      </c>
      <c r="Q40" s="211" t="str">
        <f t="shared" si="80"/>
        <v>#REF!</v>
      </c>
      <c r="R40" s="211" t="str">
        <f t="shared" si="80"/>
        <v>#REF!</v>
      </c>
      <c r="S40" s="211" t="str">
        <f t="shared" si="80"/>
        <v>#REF!</v>
      </c>
      <c r="T40" s="211" t="str">
        <f t="shared" si="80"/>
        <v>#REF!</v>
      </c>
      <c r="U40" s="211" t="str">
        <f t="shared" si="80"/>
        <v>#REF!</v>
      </c>
      <c r="V40" s="211" t="str">
        <f t="shared" si="80"/>
        <v>#REF!</v>
      </c>
      <c r="W40" s="211" t="str">
        <f t="shared" si="80"/>
        <v>#REF!</v>
      </c>
      <c r="X40" s="211" t="str">
        <f t="shared" si="80"/>
        <v>#REF!</v>
      </c>
    </row>
    <row r="41">
      <c r="A41" s="211" t="str">
        <f t="shared" ref="A41:O41" si="81">'Municipality Case Trends'!A45</f>
        <v>#REF!</v>
      </c>
      <c r="B41" s="211" t="str">
        <f t="shared" si="81"/>
        <v>#REF!</v>
      </c>
      <c r="C41" s="211" t="str">
        <f t="shared" si="81"/>
        <v>#REF!</v>
      </c>
      <c r="D41" s="211" t="str">
        <f t="shared" si="81"/>
        <v>#REF!</v>
      </c>
      <c r="E41" s="211" t="str">
        <f t="shared" si="81"/>
        <v>#REF!</v>
      </c>
      <c r="F41" s="211" t="str">
        <f t="shared" si="81"/>
        <v>#REF!</v>
      </c>
      <c r="G41" s="211" t="str">
        <f t="shared" si="81"/>
        <v>#REF!</v>
      </c>
      <c r="H41" s="211" t="str">
        <f t="shared" si="81"/>
        <v>#REF!</v>
      </c>
      <c r="I41" s="211" t="str">
        <f t="shared" si="81"/>
        <v>#REF!</v>
      </c>
      <c r="J41" s="211" t="str">
        <f t="shared" si="81"/>
        <v>#REF!</v>
      </c>
      <c r="K41" s="211" t="str">
        <f t="shared" si="81"/>
        <v>#REF!</v>
      </c>
      <c r="L41" s="211" t="str">
        <f t="shared" si="81"/>
        <v>#REF!</v>
      </c>
      <c r="M41" s="211" t="str">
        <f t="shared" si="81"/>
        <v>#REF!</v>
      </c>
      <c r="N41" s="211" t="str">
        <f t="shared" si="81"/>
        <v>#REF!</v>
      </c>
      <c r="O41" s="211" t="str">
        <f t="shared" si="81"/>
        <v>#REF!</v>
      </c>
      <c r="P41" s="211" t="str">
        <f t="shared" ref="P41:X41" si="82">#REF!</f>
        <v>#REF!</v>
      </c>
      <c r="Q41" s="211" t="str">
        <f t="shared" si="82"/>
        <v>#REF!</v>
      </c>
      <c r="R41" s="211" t="str">
        <f t="shared" si="82"/>
        <v>#REF!</v>
      </c>
      <c r="S41" s="211" t="str">
        <f t="shared" si="82"/>
        <v>#REF!</v>
      </c>
      <c r="T41" s="211" t="str">
        <f t="shared" si="82"/>
        <v>#REF!</v>
      </c>
      <c r="U41" s="211" t="str">
        <f t="shared" si="82"/>
        <v>#REF!</v>
      </c>
      <c r="V41" s="211" t="str">
        <f t="shared" si="82"/>
        <v>#REF!</v>
      </c>
      <c r="W41" s="211" t="str">
        <f t="shared" si="82"/>
        <v>#REF!</v>
      </c>
      <c r="X41" s="211" t="str">
        <f t="shared" si="82"/>
        <v>#REF!</v>
      </c>
    </row>
    <row r="42">
      <c r="A42" s="211" t="str">
        <f t="shared" ref="A42:O42" si="83">'Municipality Case Trends'!A46</f>
        <v>#REF!</v>
      </c>
      <c r="B42" s="211" t="str">
        <f t="shared" si="83"/>
        <v>#REF!</v>
      </c>
      <c r="C42" s="211" t="str">
        <f t="shared" si="83"/>
        <v>#REF!</v>
      </c>
      <c r="D42" s="211" t="str">
        <f t="shared" si="83"/>
        <v>#REF!</v>
      </c>
      <c r="E42" s="211" t="str">
        <f t="shared" si="83"/>
        <v>#REF!</v>
      </c>
      <c r="F42" s="211" t="str">
        <f t="shared" si="83"/>
        <v>#REF!</v>
      </c>
      <c r="G42" s="211" t="str">
        <f t="shared" si="83"/>
        <v>#REF!</v>
      </c>
      <c r="H42" s="211" t="str">
        <f t="shared" si="83"/>
        <v>#REF!</v>
      </c>
      <c r="I42" s="211" t="str">
        <f t="shared" si="83"/>
        <v>#REF!</v>
      </c>
      <c r="J42" s="211" t="str">
        <f t="shared" si="83"/>
        <v>#REF!</v>
      </c>
      <c r="K42" s="211" t="str">
        <f t="shared" si="83"/>
        <v>#REF!</v>
      </c>
      <c r="L42" s="211" t="str">
        <f t="shared" si="83"/>
        <v>#REF!</v>
      </c>
      <c r="M42" s="211" t="str">
        <f t="shared" si="83"/>
        <v>#REF!</v>
      </c>
      <c r="N42" s="211" t="str">
        <f t="shared" si="83"/>
        <v>#REF!</v>
      </c>
      <c r="O42" s="211" t="str">
        <f t="shared" si="83"/>
        <v>#REF!</v>
      </c>
      <c r="P42" s="211" t="str">
        <f t="shared" ref="P42:X42" si="84">#REF!</f>
        <v>#REF!</v>
      </c>
      <c r="Q42" s="211" t="str">
        <f t="shared" si="84"/>
        <v>#REF!</v>
      </c>
      <c r="R42" s="211" t="str">
        <f t="shared" si="84"/>
        <v>#REF!</v>
      </c>
      <c r="S42" s="211" t="str">
        <f t="shared" si="84"/>
        <v>#REF!</v>
      </c>
      <c r="T42" s="211" t="str">
        <f t="shared" si="84"/>
        <v>#REF!</v>
      </c>
      <c r="U42" s="211" t="str">
        <f t="shared" si="84"/>
        <v>#REF!</v>
      </c>
      <c r="V42" s="211" t="str">
        <f t="shared" si="84"/>
        <v>#REF!</v>
      </c>
      <c r="W42" s="211" t="str">
        <f t="shared" si="84"/>
        <v>#REF!</v>
      </c>
      <c r="X42" s="211" t="str">
        <f t="shared" si="84"/>
        <v>#REF!</v>
      </c>
    </row>
    <row r="43">
      <c r="A43" s="211" t="str">
        <f>#REF!</f>
        <v>#REF!</v>
      </c>
    </row>
    <row r="44">
      <c r="A44" s="211" t="str">
        <f>'Municipality Case Trends'!A4</f>
        <v>#REF!</v>
      </c>
    </row>
    <row r="45">
      <c r="A45" s="211" t="str">
        <f t="shared" ref="A45:A57" si="85">#REF!</f>
        <v>#REF!</v>
      </c>
    </row>
    <row r="46">
      <c r="A46" s="211" t="str">
        <f t="shared" si="85"/>
        <v>#REF!</v>
      </c>
    </row>
    <row r="47">
      <c r="A47" s="211" t="str">
        <f t="shared" si="85"/>
        <v>#REF!</v>
      </c>
    </row>
    <row r="48">
      <c r="A48" s="211" t="str">
        <f t="shared" si="85"/>
        <v>#REF!</v>
      </c>
    </row>
    <row r="49">
      <c r="A49" s="211" t="str">
        <f t="shared" si="85"/>
        <v>#REF!</v>
      </c>
    </row>
    <row r="50">
      <c r="A50" s="211" t="str">
        <f t="shared" si="85"/>
        <v>#REF!</v>
      </c>
    </row>
    <row r="51">
      <c r="A51" s="211" t="str">
        <f t="shared" si="85"/>
        <v>#REF!</v>
      </c>
    </row>
    <row r="52">
      <c r="A52" s="211" t="str">
        <f t="shared" si="85"/>
        <v>#REF!</v>
      </c>
    </row>
    <row r="53">
      <c r="A53" s="211" t="str">
        <f t="shared" si="85"/>
        <v>#REF!</v>
      </c>
    </row>
    <row r="54">
      <c r="A54" s="211" t="str">
        <f t="shared" si="85"/>
        <v>#REF!</v>
      </c>
    </row>
    <row r="55">
      <c r="A55" s="211" t="str">
        <f t="shared" si="85"/>
        <v>#REF!</v>
      </c>
    </row>
    <row r="56">
      <c r="A56" s="211" t="str">
        <f t="shared" si="85"/>
        <v>#REF!</v>
      </c>
    </row>
    <row r="57">
      <c r="A57" s="211"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1947.0</v>
      </c>
      <c r="N28" s="22">
        <v>2095.0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2119.0</v>
      </c>
      <c r="N29" s="22">
        <v>2295.0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175.0</v>
      </c>
      <c r="M30" s="22">
        <v>2294.0</v>
      </c>
      <c r="N30" s="22">
        <v>2511.0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2496.0</v>
      </c>
      <c r="N31" s="22">
        <v>2744.0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2737.0</v>
      </c>
      <c r="N32" s="22">
        <v>3049.0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3049.0</v>
      </c>
      <c r="N33" s="22">
        <v>3466.0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3233.0</v>
      </c>
      <c r="N34" s="22">
        <v>3728.0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297.0</v>
      </c>
      <c r="M35" s="22">
        <v>3530.0</v>
      </c>
      <c r="N35" s="22">
        <v>4098.0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4170.0</v>
      </c>
      <c r="N36" s="22">
        <v>4838.0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4606.0</v>
      </c>
      <c r="N37" s="22">
        <v>5336.0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712.0</v>
      </c>
      <c r="M38" s="22">
        <v>5318.0</v>
      </c>
      <c r="N38" s="22">
        <v>6148.0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618.0</v>
      </c>
      <c r="M39" s="22">
        <v>5936.0</v>
      </c>
      <c r="N39" s="22">
        <v>6904.0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1067.0</v>
      </c>
      <c r="M40" s="22">
        <v>7003.0</v>
      </c>
      <c r="N40" s="22">
        <v>8153.0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1358.0</v>
      </c>
      <c r="L41" s="22">
        <v>1552.0</v>
      </c>
      <c r="M41" s="22">
        <v>8555.0</v>
      </c>
      <c r="N41" s="22">
        <v>9913.0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1619.0</v>
      </c>
      <c r="L42" s="22">
        <v>1481.0</v>
      </c>
      <c r="M42" s="22">
        <v>10036.0</v>
      </c>
      <c r="N42" s="22">
        <v>11655.0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1890.0</v>
      </c>
      <c r="L43" s="22">
        <v>1559.0</v>
      </c>
      <c r="M43" s="22">
        <v>11595.0</v>
      </c>
      <c r="N43" s="22">
        <v>13485.0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2167.0</v>
      </c>
      <c r="L44" s="22">
        <v>1355.0</v>
      </c>
      <c r="M44" s="22">
        <v>12950.0</v>
      </c>
      <c r="N44" s="22">
        <v>15117.0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2568.0</v>
      </c>
      <c r="L45" s="22">
        <v>2371.0</v>
      </c>
      <c r="M45" s="22">
        <v>15321.0</v>
      </c>
      <c r="N45" s="22">
        <v>17889.0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279.0</v>
      </c>
      <c r="J46" s="22">
        <v>319.0</v>
      </c>
      <c r="K46" s="22">
        <v>2847.0</v>
      </c>
      <c r="L46" s="22">
        <v>1720.0</v>
      </c>
      <c r="M46" s="22">
        <v>17041.0</v>
      </c>
      <c r="N46" s="22">
        <v>19888.0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321.0</v>
      </c>
      <c r="K47" s="22">
        <v>3131.0</v>
      </c>
      <c r="L47" s="22">
        <v>1435.0</v>
      </c>
      <c r="M47" s="22">
        <v>18476.0</v>
      </c>
      <c r="N47" s="22">
        <v>21607.0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838.0</v>
      </c>
      <c r="M48" s="22">
        <v>19314.0</v>
      </c>
      <c r="N48" s="22">
        <v>22632.0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20842.0</v>
      </c>
      <c r="N49" s="22">
        <v>24422.0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1553.0</v>
      </c>
      <c r="M50" s="22">
        <v>22395.0</v>
      </c>
      <c r="N50" s="22">
        <v>26281.0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386.0</v>
      </c>
      <c r="J51" s="22">
        <v>318.0</v>
      </c>
      <c r="K51" s="22">
        <v>4272.0</v>
      </c>
      <c r="L51" s="22">
        <v>2077.0</v>
      </c>
      <c r="M51" s="22">
        <v>24472.0</v>
      </c>
      <c r="N51" s="22">
        <v>28744.0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327.0</v>
      </c>
      <c r="K52" s="22">
        <v>4562.0</v>
      </c>
      <c r="L52" s="22">
        <v>1446.0</v>
      </c>
      <c r="M52" s="22">
        <v>25918.0</v>
      </c>
      <c r="N52" s="22">
        <v>30480.0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1325.0</v>
      </c>
      <c r="M53" s="22">
        <v>27243.0</v>
      </c>
      <c r="N53" s="22">
        <v>32089.0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5182.0</v>
      </c>
      <c r="L54" s="22">
        <v>1741.0</v>
      </c>
      <c r="M54" s="22">
        <v>28984.0</v>
      </c>
      <c r="N54" s="22">
        <v>34166.0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378.0</v>
      </c>
      <c r="J55" s="22">
        <v>333.0</v>
      </c>
      <c r="K55" s="22">
        <v>5560.0</v>
      </c>
      <c r="L55" s="22">
        <v>1573.0</v>
      </c>
      <c r="M55" s="22">
        <v>30557.0</v>
      </c>
      <c r="N55" s="22">
        <v>36117.0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366.0</v>
      </c>
      <c r="K56" s="22">
        <v>5944.0</v>
      </c>
      <c r="L56" s="22">
        <v>1705.0</v>
      </c>
      <c r="M56" s="22">
        <v>32262.0</v>
      </c>
      <c r="N56" s="22">
        <v>38206.0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6323.0</v>
      </c>
      <c r="L57" s="22">
        <v>1915.0</v>
      </c>
      <c r="M57" s="22">
        <v>34177.0</v>
      </c>
      <c r="N57" s="22">
        <v>40500.0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6735.0</v>
      </c>
      <c r="L58" s="22">
        <v>1857.0</v>
      </c>
      <c r="M58" s="22">
        <v>36034.0</v>
      </c>
      <c r="N58" s="22">
        <v>42769.0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408.0</v>
      </c>
      <c r="J59" s="22">
        <v>400.0</v>
      </c>
      <c r="K59" s="22">
        <v>7143.0</v>
      </c>
      <c r="L59" s="22">
        <v>2627.0</v>
      </c>
      <c r="M59" s="22">
        <v>38661.0</v>
      </c>
      <c r="N59" s="22">
        <v>45804.0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7443.0</v>
      </c>
      <c r="L60" s="22">
        <v>1769.0</v>
      </c>
      <c r="M60" s="22">
        <v>40430.0</v>
      </c>
      <c r="N60" s="22">
        <v>47873.0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7717.0</v>
      </c>
      <c r="L61" s="22">
        <v>1877.0</v>
      </c>
      <c r="M61" s="22">
        <v>42307.0</v>
      </c>
      <c r="N61" s="22">
        <v>50024.0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7923.0</v>
      </c>
      <c r="L62" s="22">
        <v>1162.0</v>
      </c>
      <c r="M62" s="22">
        <v>43469.0</v>
      </c>
      <c r="N62" s="22">
        <v>51392.0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8254.0</v>
      </c>
      <c r="L63" s="22">
        <v>1763.0</v>
      </c>
      <c r="M63" s="22">
        <v>45232.0</v>
      </c>
      <c r="N63" s="22">
        <v>53486.0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8625.0</v>
      </c>
      <c r="L64" s="22">
        <v>2425.0</v>
      </c>
      <c r="M64" s="22">
        <v>47657.0</v>
      </c>
      <c r="N64" s="22">
        <v>56282.0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8975.0</v>
      </c>
      <c r="L65" s="22">
        <v>1937.0</v>
      </c>
      <c r="M65" s="22">
        <v>49594.0</v>
      </c>
      <c r="N65" s="22">
        <v>58569.0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9300.0</v>
      </c>
      <c r="L66" s="22">
        <v>2188.0</v>
      </c>
      <c r="M66" s="22">
        <v>51782.0</v>
      </c>
      <c r="N66" s="22">
        <v>61082.0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9492.0</v>
      </c>
      <c r="L67" s="22">
        <v>1278.0</v>
      </c>
      <c r="M67" s="22">
        <v>53060.0</v>
      </c>
      <c r="N67" s="22">
        <v>62552.0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9675.0</v>
      </c>
      <c r="L68" s="22">
        <v>1592.0</v>
      </c>
      <c r="M68" s="22">
        <v>54652.0</v>
      </c>
      <c r="N68" s="22">
        <v>64327.0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9965.0</v>
      </c>
      <c r="L69" s="22">
        <v>1567.0</v>
      </c>
      <c r="M69" s="22">
        <v>56219.0</v>
      </c>
      <c r="N69" s="22">
        <v>66184.0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10264.0</v>
      </c>
      <c r="L70" s="22">
        <v>1965.0</v>
      </c>
      <c r="M70" s="22">
        <v>58184.0</v>
      </c>
      <c r="N70" s="22">
        <v>68448.0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10604.0</v>
      </c>
      <c r="L71" s="22">
        <v>1916.0</v>
      </c>
      <c r="M71" s="22">
        <v>60100.0</v>
      </c>
      <c r="N71" s="22">
        <v>70704.0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10873.0</v>
      </c>
      <c r="L72" s="22">
        <v>1969.0</v>
      </c>
      <c r="M72" s="22">
        <v>62069.0</v>
      </c>
      <c r="N72" s="22">
        <v>72942.0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11103.0</v>
      </c>
      <c r="L73" s="22">
        <v>1738.0</v>
      </c>
      <c r="M73" s="22">
        <v>63807.0</v>
      </c>
      <c r="N73" s="22">
        <v>74910.0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11393.0</v>
      </c>
      <c r="L74" s="22">
        <v>2259.0</v>
      </c>
      <c r="M74" s="22">
        <v>66066.0</v>
      </c>
      <c r="N74" s="22">
        <v>77459.0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11582.0</v>
      </c>
      <c r="L75" s="22">
        <v>1523.0</v>
      </c>
      <c r="M75" s="22">
        <v>67589.0</v>
      </c>
      <c r="N75" s="22">
        <v>79171.0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11756.0</v>
      </c>
      <c r="L76" s="22">
        <v>1301.0</v>
      </c>
      <c r="M76" s="22">
        <v>68890.0</v>
      </c>
      <c r="N76" s="22">
        <v>80646.0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11980.0</v>
      </c>
      <c r="L77" s="22">
        <v>1708.0</v>
      </c>
      <c r="M77" s="22">
        <v>70598.0</v>
      </c>
      <c r="N77" s="22">
        <v>82578.0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12179.0</v>
      </c>
      <c r="L78" s="22">
        <v>2006.0</v>
      </c>
      <c r="M78" s="22">
        <v>72604.0</v>
      </c>
      <c r="N78" s="22">
        <v>84783.0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12409.0</v>
      </c>
      <c r="L79" s="22">
        <v>2019.0</v>
      </c>
      <c r="M79" s="22">
        <v>74623.0</v>
      </c>
      <c r="N79" s="22">
        <v>87032.0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233.0</v>
      </c>
      <c r="J80" s="22">
        <v>221.0</v>
      </c>
      <c r="K80" s="22">
        <v>12642.0</v>
      </c>
      <c r="L80" s="22">
        <v>1811.0</v>
      </c>
      <c r="M80" s="22">
        <v>76434.0</v>
      </c>
      <c r="N80" s="22">
        <v>89076.0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249.0</v>
      </c>
      <c r="J81" s="22">
        <v>237.0</v>
      </c>
      <c r="K81" s="22">
        <v>12891.0</v>
      </c>
      <c r="L81" s="22">
        <v>1963.0</v>
      </c>
      <c r="M81" s="22">
        <v>78397.0</v>
      </c>
      <c r="N81" s="22">
        <v>91288.0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203.0</v>
      </c>
      <c r="K82" s="22">
        <v>13017.0</v>
      </c>
      <c r="L82" s="22">
        <v>1558.0</v>
      </c>
      <c r="M82" s="22">
        <v>79955.0</v>
      </c>
      <c r="N82" s="22">
        <v>92972.0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136.0</v>
      </c>
      <c r="J83" s="22">
        <v>170.0</v>
      </c>
      <c r="K83" s="22">
        <v>13153.0</v>
      </c>
      <c r="L83" s="22">
        <v>1369.0</v>
      </c>
      <c r="M83" s="22">
        <v>81324.0</v>
      </c>
      <c r="N83" s="22">
        <v>94477.0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13368.0</v>
      </c>
      <c r="L84" s="22">
        <v>1928.0</v>
      </c>
      <c r="M84" s="22">
        <v>83252.0</v>
      </c>
      <c r="N84" s="22">
        <v>96620.0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185.0</v>
      </c>
      <c r="J85" s="22">
        <v>179.0</v>
      </c>
      <c r="K85" s="22">
        <v>13553.0</v>
      </c>
      <c r="L85" s="22">
        <v>1516.0</v>
      </c>
      <c r="M85" s="22">
        <v>84768.0</v>
      </c>
      <c r="N85" s="22">
        <v>98321.0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167.0</v>
      </c>
      <c r="J86" s="22">
        <v>189.0</v>
      </c>
      <c r="K86" s="22">
        <v>13720.0</v>
      </c>
      <c r="L86" s="22">
        <v>1940.0</v>
      </c>
      <c r="M86" s="22">
        <v>86708.0</v>
      </c>
      <c r="N86" s="22">
        <v>100428.0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13926.0</v>
      </c>
      <c r="L87" s="22">
        <v>1610.0</v>
      </c>
      <c r="M87" s="22">
        <v>88318.0</v>
      </c>
      <c r="N87" s="22">
        <v>102244.0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160.0</v>
      </c>
      <c r="K88" s="22">
        <v>14034.0</v>
      </c>
      <c r="L88" s="22">
        <v>1272.0</v>
      </c>
      <c r="M88" s="22">
        <v>89590.0</v>
      </c>
      <c r="N88" s="22">
        <v>103624.0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14116.0</v>
      </c>
      <c r="L89" s="22">
        <v>773.0</v>
      </c>
      <c r="M89" s="22">
        <v>90363.0</v>
      </c>
      <c r="N89" s="22">
        <v>104479.0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14192.0</v>
      </c>
      <c r="L90" s="22">
        <v>762.0</v>
      </c>
      <c r="M90" s="22">
        <v>91125.0</v>
      </c>
      <c r="N90" s="22">
        <v>105317.0</v>
      </c>
      <c r="O90" s="23">
        <v>13.0</v>
      </c>
      <c r="P90" s="23">
        <v>1670.0</v>
      </c>
      <c r="Q90" s="23">
        <v>14.0</v>
      </c>
      <c r="R90" s="23">
        <v>1197.0</v>
      </c>
      <c r="S90" s="23">
        <v>0.0</v>
      </c>
      <c r="T90" s="22">
        <v>235.0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14349.0</v>
      </c>
      <c r="L91" s="22">
        <v>1781.0</v>
      </c>
      <c r="M91" s="22">
        <v>92906.0</v>
      </c>
      <c r="N91" s="22">
        <v>107255.0</v>
      </c>
      <c r="O91" s="23">
        <v>24.0</v>
      </c>
      <c r="P91" s="23">
        <v>1694.0</v>
      </c>
      <c r="Q91" s="23">
        <v>22.0</v>
      </c>
      <c r="R91" s="23">
        <v>1219.0</v>
      </c>
      <c r="S91" s="23">
        <v>5.0</v>
      </c>
      <c r="T91" s="22">
        <v>240.0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14481.0</v>
      </c>
      <c r="L92" s="22">
        <v>1134.0</v>
      </c>
      <c r="M92" s="22">
        <v>94040.0</v>
      </c>
      <c r="N92" s="22">
        <v>108521.0</v>
      </c>
      <c r="O92" s="23">
        <v>20.0</v>
      </c>
      <c r="P92" s="23">
        <v>1714.0</v>
      </c>
      <c r="Q92" s="23">
        <v>18.0</v>
      </c>
      <c r="R92" s="23">
        <v>1237.0</v>
      </c>
      <c r="S92" s="23">
        <v>3.0</v>
      </c>
      <c r="T92" s="22">
        <v>243.0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14611.0</v>
      </c>
      <c r="L93" s="22">
        <v>1119.0</v>
      </c>
      <c r="M93" s="22">
        <v>95159.0</v>
      </c>
      <c r="N93" s="22">
        <v>109770.0</v>
      </c>
      <c r="O93" s="23">
        <v>17.0</v>
      </c>
      <c r="P93" s="23">
        <v>1731.0</v>
      </c>
      <c r="Q93" s="23">
        <v>29.0</v>
      </c>
      <c r="R93" s="23">
        <v>1266.0</v>
      </c>
      <c r="S93" s="23">
        <v>4.0</v>
      </c>
      <c r="T93" s="22">
        <v>247.0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14784.0</v>
      </c>
      <c r="L94" s="22">
        <v>1571.0</v>
      </c>
      <c r="M94" s="22">
        <v>96730.0</v>
      </c>
      <c r="N94" s="22">
        <v>111514.0</v>
      </c>
      <c r="O94" s="23">
        <v>19.0</v>
      </c>
      <c r="P94" s="23">
        <v>1750.0</v>
      </c>
      <c r="Q94" s="23">
        <v>27.0</v>
      </c>
      <c r="R94" s="23">
        <v>1293.0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14893.0</v>
      </c>
      <c r="L95" s="22">
        <v>1820.0</v>
      </c>
      <c r="M95" s="22">
        <v>98550.0</v>
      </c>
      <c r="N95" s="22">
        <v>113443.0</v>
      </c>
      <c r="O95" s="23">
        <v>15.0</v>
      </c>
      <c r="P95" s="23">
        <v>1765.0</v>
      </c>
      <c r="Q95" s="23">
        <v>19.0</v>
      </c>
      <c r="R95" s="23">
        <v>1312.0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14971.0</v>
      </c>
      <c r="L96" s="22">
        <v>857.0</v>
      </c>
      <c r="M96" s="22">
        <v>99407.0</v>
      </c>
      <c r="N96" s="22">
        <v>114378.0</v>
      </c>
      <c r="O96" s="23">
        <v>11.0</v>
      </c>
      <c r="P96" s="23">
        <v>1776.0</v>
      </c>
      <c r="Q96" s="23">
        <v>10.0</v>
      </c>
      <c r="R96" s="23">
        <v>1322.0</v>
      </c>
      <c r="S96" s="23">
        <v>0.0</v>
      </c>
      <c r="T96" s="22">
        <v>257.0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94.0</v>
      </c>
      <c r="J97" s="22">
        <v>94.0</v>
      </c>
      <c r="K97" s="22">
        <v>15065.0</v>
      </c>
      <c r="L97" s="22">
        <v>1384.0</v>
      </c>
      <c r="M97" s="22">
        <v>100791.0</v>
      </c>
      <c r="N97" s="22">
        <v>115856.0</v>
      </c>
      <c r="O97" s="26">
        <v>8.0</v>
      </c>
      <c r="P97" s="26">
        <v>1784.0</v>
      </c>
      <c r="Q97" s="26">
        <v>14.0</v>
      </c>
      <c r="R97" s="26">
        <v>1336.0</v>
      </c>
      <c r="S97" s="26">
        <v>1.0</v>
      </c>
      <c r="T97" s="26">
        <v>258.0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15163.0</v>
      </c>
      <c r="L98" s="22">
        <v>1449.0</v>
      </c>
      <c r="M98" s="22">
        <v>102240.0</v>
      </c>
      <c r="N98" s="22">
        <v>117403.0</v>
      </c>
      <c r="O98" s="26">
        <v>8.0</v>
      </c>
      <c r="P98" s="26">
        <v>1792.0</v>
      </c>
      <c r="Q98" s="26">
        <v>9.0</v>
      </c>
      <c r="R98" s="26">
        <v>1345.0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15262.0</v>
      </c>
      <c r="L99" s="22">
        <v>1661.0</v>
      </c>
      <c r="M99" s="22">
        <v>103901.0</v>
      </c>
      <c r="N99" s="22">
        <v>119163.0</v>
      </c>
      <c r="O99" s="26">
        <v>14.0</v>
      </c>
      <c r="P99" s="26">
        <v>1806.0</v>
      </c>
      <c r="Q99" s="26">
        <v>18.0</v>
      </c>
      <c r="R99" s="26">
        <v>1363.0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15369.0</v>
      </c>
      <c r="L100" s="22">
        <v>2039.0</v>
      </c>
      <c r="M100" s="22">
        <v>105940.0</v>
      </c>
      <c r="N100" s="22">
        <v>121309.0</v>
      </c>
      <c r="O100" s="26">
        <v>7.0</v>
      </c>
      <c r="P100" s="26">
        <v>1813.0</v>
      </c>
      <c r="Q100" s="26">
        <v>25.0</v>
      </c>
      <c r="R100" s="26">
        <v>1388.0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15468.0</v>
      </c>
      <c r="L101" s="22">
        <v>1577.0</v>
      </c>
      <c r="M101" s="22">
        <v>107517.0</v>
      </c>
      <c r="N101" s="22">
        <v>122985.0</v>
      </c>
      <c r="O101" s="26">
        <v>15.0</v>
      </c>
      <c r="P101" s="26">
        <v>1828.0</v>
      </c>
      <c r="Q101" s="26">
        <v>13.0</v>
      </c>
      <c r="R101" s="26">
        <v>1401.0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15535.0</v>
      </c>
      <c r="L102" s="22">
        <v>1136.0</v>
      </c>
      <c r="M102" s="22">
        <v>108653.0</v>
      </c>
      <c r="N102" s="22">
        <v>124188.0</v>
      </c>
      <c r="O102" s="26">
        <v>10.0</v>
      </c>
      <c r="P102" s="26">
        <v>1838.0</v>
      </c>
      <c r="Q102" s="26">
        <v>7.0</v>
      </c>
      <c r="R102" s="26">
        <v>1408.0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15586.0</v>
      </c>
      <c r="L103" s="22">
        <v>782.0</v>
      </c>
      <c r="M103" s="22">
        <v>109435.0</v>
      </c>
      <c r="N103" s="22">
        <v>125021.0</v>
      </c>
      <c r="O103" s="26">
        <v>11.0</v>
      </c>
      <c r="P103" s="26">
        <v>1849.0</v>
      </c>
      <c r="Q103" s="26">
        <v>7.0</v>
      </c>
      <c r="R103" s="26">
        <v>1415.0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15631.0</v>
      </c>
      <c r="L104" s="29">
        <v>962.0</v>
      </c>
      <c r="M104" s="29">
        <v>110397.0</v>
      </c>
      <c r="N104" s="29">
        <v>126028.0</v>
      </c>
      <c r="O104" s="29">
        <v>15.0</v>
      </c>
      <c r="P104" s="31">
        <v>1864.0</v>
      </c>
      <c r="Q104" s="31">
        <v>12.0</v>
      </c>
      <c r="R104" s="31">
        <v>1427.0</v>
      </c>
      <c r="S104" s="31">
        <v>2.0</v>
      </c>
      <c r="T104" s="31">
        <v>281.0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15695.0</v>
      </c>
      <c r="L105" s="29">
        <v>1258.0</v>
      </c>
      <c r="M105" s="29">
        <v>111655.0</v>
      </c>
      <c r="N105" s="29">
        <v>127350.0</v>
      </c>
      <c r="O105" s="29">
        <v>10.0</v>
      </c>
      <c r="P105" s="31">
        <v>1874.0</v>
      </c>
      <c r="Q105" s="31">
        <v>18.0</v>
      </c>
      <c r="R105" s="31">
        <v>1445.0</v>
      </c>
      <c r="S105" s="31">
        <v>0.0</v>
      </c>
      <c r="T105" s="31">
        <v>281.0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15796.0</v>
      </c>
      <c r="L106" s="29">
        <v>1467.0</v>
      </c>
      <c r="M106" s="29">
        <v>113122.0</v>
      </c>
      <c r="N106" s="29">
        <v>128918.0</v>
      </c>
      <c r="O106" s="29">
        <v>13.0</v>
      </c>
      <c r="P106" s="31">
        <v>1887.0</v>
      </c>
      <c r="Q106" s="31">
        <v>12.0</v>
      </c>
      <c r="R106" s="31">
        <v>1457.0</v>
      </c>
      <c r="S106" s="31">
        <v>2.0</v>
      </c>
      <c r="T106" s="31">
        <v>283.0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15884.0</v>
      </c>
      <c r="L107" s="29">
        <v>1534.0</v>
      </c>
      <c r="M107" s="29">
        <v>114656.0</v>
      </c>
      <c r="N107" s="29">
        <v>130540.0</v>
      </c>
      <c r="O107" s="29">
        <v>7.0</v>
      </c>
      <c r="P107" s="31">
        <v>1894.0</v>
      </c>
      <c r="Q107" s="31">
        <v>15.0</v>
      </c>
      <c r="R107" s="31">
        <v>1472.0</v>
      </c>
      <c r="S107" s="31">
        <v>1.0</v>
      </c>
      <c r="T107" s="31">
        <v>284.0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15962.0</v>
      </c>
      <c r="L108" s="29">
        <v>2184.0</v>
      </c>
      <c r="M108" s="29">
        <v>116840.0</v>
      </c>
      <c r="N108" s="29">
        <v>132802.0</v>
      </c>
      <c r="O108" s="29">
        <v>9.0</v>
      </c>
      <c r="P108" s="31">
        <v>1903.0</v>
      </c>
      <c r="Q108" s="31">
        <v>15.0</v>
      </c>
      <c r="R108" s="31">
        <v>1487.0</v>
      </c>
      <c r="S108" s="31">
        <v>1.0</v>
      </c>
      <c r="T108" s="31">
        <v>285.0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16011.0</v>
      </c>
      <c r="L109" s="29">
        <v>1373.0</v>
      </c>
      <c r="M109" s="29">
        <v>118213.0</v>
      </c>
      <c r="N109" s="29">
        <v>134224.0</v>
      </c>
      <c r="O109" s="29">
        <v>6.0</v>
      </c>
      <c r="P109" s="31">
        <v>1909.0</v>
      </c>
      <c r="Q109" s="31">
        <v>4.0</v>
      </c>
      <c r="R109" s="31">
        <v>1491.0</v>
      </c>
      <c r="S109" s="31">
        <v>0.0</v>
      </c>
      <c r="T109" s="31">
        <v>285.0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16044.0</v>
      </c>
      <c r="L110" s="29">
        <v>968.0</v>
      </c>
      <c r="M110" s="29">
        <v>119181.0</v>
      </c>
      <c r="N110" s="29">
        <v>135225.0</v>
      </c>
      <c r="O110" s="29">
        <v>7.0</v>
      </c>
      <c r="P110" s="31">
        <v>1916.0</v>
      </c>
      <c r="Q110" s="31">
        <v>8.0</v>
      </c>
      <c r="R110" s="31">
        <v>1499.0</v>
      </c>
      <c r="S110" s="31">
        <v>1.0</v>
      </c>
      <c r="T110" s="31">
        <v>286.0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16119.0</v>
      </c>
      <c r="L111" s="29">
        <v>1791.0</v>
      </c>
      <c r="M111" s="29">
        <v>120972.0</v>
      </c>
      <c r="N111" s="29">
        <v>137091.0</v>
      </c>
      <c r="O111" s="29">
        <v>14.0</v>
      </c>
      <c r="P111" s="31">
        <v>1930.0</v>
      </c>
      <c r="Q111" s="31">
        <v>14.0</v>
      </c>
      <c r="R111" s="31">
        <v>1513.0</v>
      </c>
      <c r="S111" s="31">
        <v>0.0</v>
      </c>
      <c r="T111" s="31">
        <v>286.0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16169.0</v>
      </c>
      <c r="L112" s="29">
        <v>1578.0</v>
      </c>
      <c r="M112" s="29">
        <v>122550.0</v>
      </c>
      <c r="N112" s="29">
        <v>138719.0</v>
      </c>
      <c r="O112" s="29">
        <v>10.0</v>
      </c>
      <c r="P112" s="31">
        <v>1940.0</v>
      </c>
      <c r="Q112" s="31">
        <v>9.0</v>
      </c>
      <c r="R112" s="31">
        <v>1522.0</v>
      </c>
      <c r="S112" s="31">
        <v>1.0</v>
      </c>
      <c r="T112" s="31">
        <v>287.0</v>
      </c>
      <c r="U112" s="31">
        <v>131.0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16219.0</v>
      </c>
      <c r="L113" s="29">
        <v>1319.0</v>
      </c>
      <c r="M113" s="29">
        <v>123869.0</v>
      </c>
      <c r="N113" s="29">
        <v>140088.0</v>
      </c>
      <c r="O113" s="29">
        <v>15.0</v>
      </c>
      <c r="P113" s="31">
        <v>1955.0</v>
      </c>
      <c r="Q113" s="31">
        <v>20.0</v>
      </c>
      <c r="R113" s="31">
        <v>1542.0</v>
      </c>
      <c r="S113" s="31">
        <v>4.0</v>
      </c>
      <c r="T113" s="31">
        <v>291.0</v>
      </c>
      <c r="U113" s="31">
        <v>122.0</v>
      </c>
      <c r="V113" s="31">
        <v>128.0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16289.0</v>
      </c>
      <c r="L114" s="29">
        <v>1314.0</v>
      </c>
      <c r="M114" s="29">
        <v>125183.0</v>
      </c>
      <c r="N114" s="29">
        <v>141472.0</v>
      </c>
      <c r="O114" s="29">
        <v>9.0</v>
      </c>
      <c r="P114" s="31">
        <v>1964.0</v>
      </c>
      <c r="Q114" s="31">
        <v>13.0</v>
      </c>
      <c r="R114" s="31">
        <v>1555.0</v>
      </c>
      <c r="S114" s="31">
        <v>1.0</v>
      </c>
      <c r="T114" s="31">
        <v>292.0</v>
      </c>
      <c r="U114" s="31">
        <v>117.0</v>
      </c>
      <c r="V114" s="31">
        <v>123.0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16348.0</v>
      </c>
      <c r="L115" s="29">
        <v>1372.0</v>
      </c>
      <c r="M115" s="29">
        <v>126555.0</v>
      </c>
      <c r="N115" s="29">
        <v>142903.0</v>
      </c>
      <c r="O115" s="29">
        <v>12.0</v>
      </c>
      <c r="P115" s="31">
        <v>1976.0</v>
      </c>
      <c r="Q115" s="31">
        <v>11.0</v>
      </c>
      <c r="R115" s="31">
        <v>1566.0</v>
      </c>
      <c r="S115" s="31">
        <v>1.0</v>
      </c>
      <c r="T115" s="31">
        <v>293.0</v>
      </c>
      <c r="U115" s="31">
        <v>117.0</v>
      </c>
      <c r="V115" s="31">
        <v>119.0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16384.0</v>
      </c>
      <c r="L116" s="29">
        <v>813.0</v>
      </c>
      <c r="M116" s="29">
        <v>127368.0</v>
      </c>
      <c r="N116" s="29">
        <v>143752.0</v>
      </c>
      <c r="O116" s="29">
        <v>9.0</v>
      </c>
      <c r="P116" s="31">
        <v>1985.0</v>
      </c>
      <c r="Q116" s="31">
        <v>12.0</v>
      </c>
      <c r="R116" s="31">
        <v>1578.0</v>
      </c>
      <c r="S116" s="31">
        <v>0.0</v>
      </c>
      <c r="T116" s="31">
        <v>293.0</v>
      </c>
      <c r="U116" s="31">
        <v>114.0</v>
      </c>
      <c r="V116" s="31">
        <v>116.0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16413.0</v>
      </c>
      <c r="L117" s="29">
        <v>692.0</v>
      </c>
      <c r="M117" s="29">
        <v>128060.0</v>
      </c>
      <c r="N117" s="29">
        <v>144473.0</v>
      </c>
      <c r="O117" s="29">
        <v>8.0</v>
      </c>
      <c r="P117" s="31">
        <v>1993.0</v>
      </c>
      <c r="Q117" s="31">
        <v>5.0</v>
      </c>
      <c r="R117" s="31">
        <v>1583.0</v>
      </c>
      <c r="S117" s="31">
        <v>0.0</v>
      </c>
      <c r="T117" s="31">
        <v>293.0</v>
      </c>
      <c r="U117" s="31">
        <v>117.0</v>
      </c>
      <c r="V117" s="31">
        <v>116.0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16478.0</v>
      </c>
      <c r="L118" s="29">
        <v>1708.0</v>
      </c>
      <c r="M118" s="29">
        <v>129768.0</v>
      </c>
      <c r="N118" s="29">
        <v>146246.0</v>
      </c>
      <c r="O118" s="29">
        <v>12.0</v>
      </c>
      <c r="P118" s="31">
        <v>2005.0</v>
      </c>
      <c r="Q118" s="31">
        <v>16.0</v>
      </c>
      <c r="R118" s="31">
        <v>1599.0</v>
      </c>
      <c r="S118" s="31">
        <v>0.0</v>
      </c>
      <c r="T118" s="31">
        <v>293.0</v>
      </c>
      <c r="U118" s="31">
        <v>113.0</v>
      </c>
      <c r="V118" s="31">
        <v>115.0</v>
      </c>
      <c r="W118" s="31">
        <v>19.0</v>
      </c>
      <c r="X118" s="31">
        <v>18.0</v>
      </c>
      <c r="Y118" s="31">
        <v>1.0</v>
      </c>
      <c r="Z118" s="28">
        <v>942.0</v>
      </c>
    </row>
    <row r="119" ht="14.25" customHeight="1">
      <c r="A119" s="27">
        <v>44005.0</v>
      </c>
      <c r="B119" s="28">
        <v>163.0</v>
      </c>
      <c r="C119" s="28">
        <v>113.0</v>
      </c>
      <c r="D119" s="28">
        <v>23986.0</v>
      </c>
      <c r="E119" s="29">
        <v>3831.0</v>
      </c>
      <c r="F119" s="30">
        <v>213892.0</v>
      </c>
      <c r="G119" s="30">
        <v>3994.0</v>
      </c>
      <c r="H119" s="30">
        <v>237878.0</v>
      </c>
      <c r="I119" s="29">
        <v>81.0</v>
      </c>
      <c r="J119" s="29">
        <v>58.0</v>
      </c>
      <c r="K119" s="29">
        <v>16559.0</v>
      </c>
      <c r="L119" s="29">
        <v>1781.0</v>
      </c>
      <c r="M119" s="29">
        <v>131549.0</v>
      </c>
      <c r="N119" s="29">
        <v>148108.0</v>
      </c>
      <c r="O119" s="29">
        <v>3.0</v>
      </c>
      <c r="P119" s="31">
        <v>2008.0</v>
      </c>
      <c r="Q119" s="31">
        <v>13.0</v>
      </c>
      <c r="R119" s="31">
        <v>1612.0</v>
      </c>
      <c r="S119" s="31">
        <v>3.0</v>
      </c>
      <c r="T119" s="31">
        <v>296.0</v>
      </c>
      <c r="U119" s="31">
        <v>100.0</v>
      </c>
      <c r="V119" s="31">
        <v>110.0</v>
      </c>
      <c r="W119" s="31">
        <v>18.0</v>
      </c>
      <c r="X119" s="31">
        <v>18.0</v>
      </c>
      <c r="Y119" s="31">
        <v>7.0</v>
      </c>
      <c r="Z119" s="28">
        <v>949.0</v>
      </c>
    </row>
    <row r="120" ht="14.25" customHeight="1">
      <c r="A120" s="27">
        <v>44006.0</v>
      </c>
      <c r="B120" s="28">
        <v>120.0</v>
      </c>
      <c r="C120" s="28">
        <v>140.0</v>
      </c>
      <c r="D120" s="28">
        <v>24106.0</v>
      </c>
      <c r="E120" s="29">
        <v>3502.0</v>
      </c>
      <c r="F120" s="30">
        <v>217394.0</v>
      </c>
      <c r="G120" s="30">
        <v>3622.0</v>
      </c>
      <c r="H120" s="30">
        <v>241500.0</v>
      </c>
      <c r="I120" s="29">
        <v>44.0</v>
      </c>
      <c r="J120" s="29">
        <v>63.0</v>
      </c>
      <c r="K120" s="29">
        <v>16603.0</v>
      </c>
      <c r="L120" s="29">
        <v>1687.0</v>
      </c>
      <c r="M120" s="29">
        <v>133236.0</v>
      </c>
      <c r="N120" s="29">
        <v>149839.0</v>
      </c>
      <c r="O120" s="29">
        <v>9.0</v>
      </c>
      <c r="P120" s="31">
        <v>2017.0</v>
      </c>
      <c r="Q120" s="31">
        <v>10.0</v>
      </c>
      <c r="R120" s="31">
        <v>1622.0</v>
      </c>
      <c r="S120" s="31">
        <v>1.0</v>
      </c>
      <c r="T120" s="31">
        <v>297.0</v>
      </c>
      <c r="U120" s="31">
        <v>98.0</v>
      </c>
      <c r="V120" s="31">
        <v>104.0</v>
      </c>
      <c r="W120" s="31">
        <v>18.0</v>
      </c>
      <c r="X120" s="31">
        <v>18.0</v>
      </c>
      <c r="Y120" s="31">
        <v>5.0</v>
      </c>
      <c r="Z120" s="28">
        <v>954.0</v>
      </c>
    </row>
    <row r="121" ht="14.25" customHeight="1">
      <c r="A121" s="27">
        <v>44007.0</v>
      </c>
      <c r="B121" s="28">
        <v>103.0</v>
      </c>
      <c r="C121" s="28">
        <v>129.0</v>
      </c>
      <c r="D121" s="28">
        <v>24209.0</v>
      </c>
      <c r="E121" s="29">
        <v>2883.0</v>
      </c>
      <c r="F121" s="30">
        <v>220277.0</v>
      </c>
      <c r="G121" s="30">
        <v>2986.0</v>
      </c>
      <c r="H121" s="30">
        <v>244486.0</v>
      </c>
      <c r="I121" s="29">
        <v>50.0</v>
      </c>
      <c r="J121" s="29">
        <v>58.0</v>
      </c>
      <c r="K121" s="29">
        <v>16653.0</v>
      </c>
      <c r="L121" s="29">
        <v>1511.0</v>
      </c>
      <c r="M121" s="29">
        <v>134747.0</v>
      </c>
      <c r="N121" s="29">
        <v>151400.0</v>
      </c>
      <c r="O121" s="29">
        <v>6.0</v>
      </c>
      <c r="P121" s="31">
        <v>2023.0</v>
      </c>
      <c r="Q121" s="31">
        <v>14.0</v>
      </c>
      <c r="R121" s="31">
        <v>1636.0</v>
      </c>
      <c r="S121" s="31">
        <v>1.0</v>
      </c>
      <c r="T121" s="31">
        <v>298.0</v>
      </c>
      <c r="U121" s="31">
        <v>89.0</v>
      </c>
      <c r="V121" s="31">
        <v>96.0</v>
      </c>
      <c r="W121" s="31">
        <v>17.0</v>
      </c>
      <c r="X121" s="31">
        <v>17.0</v>
      </c>
      <c r="Y121" s="31">
        <v>1.0</v>
      </c>
      <c r="Z121" s="28">
        <v>955.0</v>
      </c>
    </row>
    <row r="122" ht="14.25" customHeight="1">
      <c r="A122" s="27">
        <v>44008.0</v>
      </c>
      <c r="B122" s="28">
        <v>94.0</v>
      </c>
      <c r="C122" s="28">
        <v>106.0</v>
      </c>
      <c r="D122" s="28">
        <v>24303.0</v>
      </c>
      <c r="E122" s="29">
        <v>2488.0</v>
      </c>
      <c r="F122" s="30">
        <v>222765.0</v>
      </c>
      <c r="G122" s="30">
        <v>2582.0</v>
      </c>
      <c r="H122" s="30">
        <v>247068.0</v>
      </c>
      <c r="I122" s="29">
        <v>61.0</v>
      </c>
      <c r="J122" s="29">
        <v>52.0</v>
      </c>
      <c r="K122" s="29">
        <v>16714.0</v>
      </c>
      <c r="L122" s="29">
        <v>1332.0</v>
      </c>
      <c r="M122" s="29">
        <v>136079.0</v>
      </c>
      <c r="N122" s="29">
        <v>152793.0</v>
      </c>
      <c r="O122" s="29">
        <v>2.0</v>
      </c>
      <c r="P122" s="31">
        <v>2025.0</v>
      </c>
      <c r="Q122" s="31">
        <v>10.0</v>
      </c>
      <c r="R122" s="31">
        <v>1646.0</v>
      </c>
      <c r="S122" s="31">
        <v>0.0</v>
      </c>
      <c r="T122" s="31">
        <v>298.0</v>
      </c>
      <c r="U122" s="31">
        <v>81.0</v>
      </c>
      <c r="V122" s="31">
        <v>89.0</v>
      </c>
      <c r="W122" s="31">
        <v>18.0</v>
      </c>
      <c r="X122" s="31">
        <v>18.0</v>
      </c>
      <c r="Y122" s="31">
        <v>1.0</v>
      </c>
      <c r="Z122" s="28">
        <v>956.0</v>
      </c>
    </row>
    <row r="123" ht="14.25" customHeight="1">
      <c r="A123" s="27">
        <v>44009.0</v>
      </c>
      <c r="B123" s="28">
        <v>84.0</v>
      </c>
      <c r="C123" s="28">
        <v>94.0</v>
      </c>
      <c r="D123" s="28">
        <v>24387.0</v>
      </c>
      <c r="E123" s="29">
        <v>3214.0</v>
      </c>
      <c r="F123" s="30">
        <v>225979.0</v>
      </c>
      <c r="G123" s="30">
        <v>3298.0</v>
      </c>
      <c r="H123" s="30">
        <v>250366.0</v>
      </c>
      <c r="I123" s="29">
        <v>37.0</v>
      </c>
      <c r="J123" s="29">
        <v>49.0</v>
      </c>
      <c r="K123" s="29">
        <v>16751.0</v>
      </c>
      <c r="L123" s="29">
        <v>1221.0</v>
      </c>
      <c r="M123" s="29">
        <v>137300.0</v>
      </c>
      <c r="N123" s="29">
        <v>154051.0</v>
      </c>
      <c r="O123" s="29">
        <v>5.0</v>
      </c>
      <c r="P123" s="31">
        <v>2030.0</v>
      </c>
      <c r="Q123" s="31">
        <v>3.0</v>
      </c>
      <c r="R123" s="31">
        <v>1649.0</v>
      </c>
      <c r="S123" s="31">
        <v>1.0</v>
      </c>
      <c r="T123" s="31">
        <v>299.0</v>
      </c>
      <c r="U123" s="31">
        <v>82.0</v>
      </c>
      <c r="V123" s="31">
        <v>84.0</v>
      </c>
      <c r="W123" s="31">
        <v>17.0</v>
      </c>
      <c r="X123" s="31">
        <v>17.0</v>
      </c>
      <c r="Y123" s="31">
        <v>5.0</v>
      </c>
      <c r="Z123" s="28">
        <v>961.0</v>
      </c>
    </row>
    <row r="124" ht="14.25" customHeight="1">
      <c r="A124" s="27">
        <v>44010.0</v>
      </c>
      <c r="B124" s="28">
        <v>39.0</v>
      </c>
      <c r="C124" s="28">
        <v>72.0</v>
      </c>
      <c r="D124" s="28">
        <v>24426.0</v>
      </c>
      <c r="E124" s="29">
        <v>1469.0</v>
      </c>
      <c r="F124" s="30">
        <v>227448.0</v>
      </c>
      <c r="G124" s="30">
        <v>1508.0</v>
      </c>
      <c r="H124" s="30">
        <v>251874.0</v>
      </c>
      <c r="I124" s="29">
        <v>17.0</v>
      </c>
      <c r="J124" s="29">
        <v>38.0</v>
      </c>
      <c r="K124" s="29">
        <v>16768.0</v>
      </c>
      <c r="L124" s="29">
        <v>596.0</v>
      </c>
      <c r="M124" s="29">
        <v>137896.0</v>
      </c>
      <c r="N124" s="29">
        <v>154664.0</v>
      </c>
      <c r="O124" s="29">
        <v>4.0</v>
      </c>
      <c r="P124" s="31">
        <v>2034.0</v>
      </c>
      <c r="Q124" s="31">
        <v>4.0</v>
      </c>
      <c r="R124" s="31">
        <v>1653.0</v>
      </c>
      <c r="S124" s="31">
        <v>4.0</v>
      </c>
      <c r="T124" s="31">
        <v>303.0</v>
      </c>
      <c r="U124" s="31">
        <v>78.0</v>
      </c>
      <c r="V124" s="31">
        <v>80.0</v>
      </c>
      <c r="W124" s="31">
        <v>15.0</v>
      </c>
      <c r="X124" s="31">
        <v>14.0</v>
      </c>
      <c r="Y124" s="31">
        <v>6.0</v>
      </c>
      <c r="Z124" s="28">
        <v>967.0</v>
      </c>
    </row>
    <row r="125" ht="14.25" customHeight="1">
      <c r="A125" s="27">
        <v>44011.0</v>
      </c>
      <c r="B125" s="28">
        <v>85.0</v>
      </c>
      <c r="C125" s="28">
        <v>69.0</v>
      </c>
      <c r="D125" s="28">
        <v>24511.0</v>
      </c>
      <c r="E125" s="29">
        <v>3697.0</v>
      </c>
      <c r="F125" s="30">
        <v>231145.0</v>
      </c>
      <c r="G125" s="30">
        <v>3782.0</v>
      </c>
      <c r="H125" s="30">
        <v>255656.0</v>
      </c>
      <c r="I125" s="29">
        <v>39.0</v>
      </c>
      <c r="J125" s="29">
        <v>31.0</v>
      </c>
      <c r="K125" s="29">
        <v>16807.0</v>
      </c>
      <c r="L125" s="29">
        <v>1354.0</v>
      </c>
      <c r="M125" s="29">
        <v>139250.0</v>
      </c>
      <c r="N125" s="29">
        <v>156057.0</v>
      </c>
      <c r="O125" s="29">
        <v>4.0</v>
      </c>
      <c r="P125" s="31">
        <v>2038.0</v>
      </c>
      <c r="Q125" s="31">
        <v>5.0</v>
      </c>
      <c r="R125" s="31">
        <v>1658.0</v>
      </c>
      <c r="S125" s="31">
        <v>0.0</v>
      </c>
      <c r="T125" s="31">
        <v>303.0</v>
      </c>
      <c r="U125" s="31">
        <v>77.0</v>
      </c>
      <c r="V125" s="31">
        <v>79.0</v>
      </c>
      <c r="W125" s="31">
        <v>14.0</v>
      </c>
      <c r="X125" s="31">
        <v>14.0</v>
      </c>
      <c r="Y125" s="31">
        <v>1.0</v>
      </c>
      <c r="Z125" s="28">
        <v>968.0</v>
      </c>
    </row>
    <row r="126" ht="14.25" customHeight="1">
      <c r="A126" s="27">
        <v>44012.0</v>
      </c>
      <c r="B126" s="28">
        <v>57.0</v>
      </c>
      <c r="C126" s="28">
        <v>60.0</v>
      </c>
      <c r="D126" s="28">
        <v>24568.0</v>
      </c>
      <c r="E126" s="29">
        <v>1956.0</v>
      </c>
      <c r="F126" s="30">
        <v>233101.0</v>
      </c>
      <c r="G126" s="30">
        <v>2013.0</v>
      </c>
      <c r="H126" s="30">
        <v>257669.0</v>
      </c>
      <c r="I126" s="29">
        <v>33.0</v>
      </c>
      <c r="J126" s="29">
        <v>30.0</v>
      </c>
      <c r="K126" s="29">
        <v>16840.0</v>
      </c>
      <c r="L126" s="29">
        <v>995.0</v>
      </c>
      <c r="M126" s="29">
        <v>140245.0</v>
      </c>
      <c r="N126" s="29">
        <v>157085.0</v>
      </c>
      <c r="O126" s="29">
        <v>1.0</v>
      </c>
      <c r="P126" s="31">
        <v>2039.0</v>
      </c>
      <c r="Q126" s="31">
        <v>5.0</v>
      </c>
      <c r="R126" s="31">
        <v>1663.0</v>
      </c>
      <c r="S126" s="31">
        <v>1.0</v>
      </c>
      <c r="T126" s="31">
        <v>304.0</v>
      </c>
      <c r="U126" s="31">
        <v>72.0</v>
      </c>
      <c r="V126" s="31">
        <v>76.0</v>
      </c>
      <c r="W126" s="31">
        <v>12.0</v>
      </c>
      <c r="X126" s="31">
        <v>11.0</v>
      </c>
      <c r="Y126" s="31">
        <v>4.0</v>
      </c>
      <c r="Z126" s="28">
        <v>972.0</v>
      </c>
    </row>
    <row r="127" ht="14.25" customHeight="1">
      <c r="A127" s="27">
        <v>44013.0</v>
      </c>
      <c r="B127" s="28">
        <v>144.0</v>
      </c>
      <c r="C127" s="28">
        <v>95.0</v>
      </c>
      <c r="D127" s="28">
        <v>24712.0</v>
      </c>
      <c r="E127" s="29">
        <v>4098.0</v>
      </c>
      <c r="F127" s="30">
        <v>237199.0</v>
      </c>
      <c r="G127" s="30">
        <v>4242.0</v>
      </c>
      <c r="H127" s="30">
        <v>261911.0</v>
      </c>
      <c r="I127" s="29">
        <v>78.0</v>
      </c>
      <c r="J127" s="29">
        <v>50.0</v>
      </c>
      <c r="K127" s="29">
        <v>16918.0</v>
      </c>
      <c r="L127" s="29">
        <v>1936.0</v>
      </c>
      <c r="M127" s="29">
        <v>142181.0</v>
      </c>
      <c r="N127" s="29">
        <v>159099.0</v>
      </c>
      <c r="O127" s="29">
        <v>7.0</v>
      </c>
      <c r="P127" s="31">
        <v>2046.0</v>
      </c>
      <c r="Q127" s="31">
        <v>9.0</v>
      </c>
      <c r="R127" s="31">
        <v>1672.0</v>
      </c>
      <c r="S127" s="31">
        <v>0.0</v>
      </c>
      <c r="T127" s="31">
        <v>304.0</v>
      </c>
      <c r="U127" s="31">
        <v>70.0</v>
      </c>
      <c r="V127" s="31">
        <v>73.0</v>
      </c>
      <c r="W127" s="31">
        <v>11.0</v>
      </c>
      <c r="X127" s="31">
        <v>11.0</v>
      </c>
      <c r="Y127" s="31">
        <v>1.0</v>
      </c>
      <c r="Z127" s="28">
        <v>973.0</v>
      </c>
    </row>
    <row r="128" ht="14.25" customHeight="1">
      <c r="A128" s="27">
        <v>44014.0</v>
      </c>
      <c r="B128" s="28">
        <v>103.0</v>
      </c>
      <c r="C128" s="28">
        <v>101.0</v>
      </c>
      <c r="D128" s="28">
        <v>24815.0</v>
      </c>
      <c r="E128" s="29">
        <v>2803.0</v>
      </c>
      <c r="F128" s="30">
        <v>240002.0</v>
      </c>
      <c r="G128" s="30">
        <v>2906.0</v>
      </c>
      <c r="H128" s="30">
        <v>264817.0</v>
      </c>
      <c r="I128" s="29">
        <v>59.0</v>
      </c>
      <c r="J128" s="29">
        <v>57.0</v>
      </c>
      <c r="K128" s="29">
        <v>16977.0</v>
      </c>
      <c r="L128" s="29">
        <v>1089.0</v>
      </c>
      <c r="M128" s="29">
        <v>143270.0</v>
      </c>
      <c r="N128" s="29">
        <v>160247.0</v>
      </c>
      <c r="O128" s="29">
        <v>5.0</v>
      </c>
      <c r="P128" s="31">
        <v>2051.0</v>
      </c>
      <c r="Q128" s="31">
        <v>5.0</v>
      </c>
      <c r="R128" s="31">
        <v>1677.0</v>
      </c>
      <c r="S128" s="31">
        <v>1.0</v>
      </c>
      <c r="T128" s="31">
        <v>305.0</v>
      </c>
      <c r="U128" s="31">
        <v>69.0</v>
      </c>
      <c r="V128" s="31">
        <v>70.0</v>
      </c>
      <c r="W128" s="31">
        <v>10.0</v>
      </c>
      <c r="X128" s="31">
        <v>10.0</v>
      </c>
      <c r="Y128" s="31">
        <v>2.0</v>
      </c>
      <c r="Z128" s="28">
        <v>975.0</v>
      </c>
    </row>
    <row r="129" ht="14.25" customHeight="1">
      <c r="A129" s="27">
        <v>44015.0</v>
      </c>
      <c r="B129" s="28">
        <v>50.0</v>
      </c>
      <c r="C129" s="28">
        <v>99.0</v>
      </c>
      <c r="D129" s="28">
        <v>24865.0</v>
      </c>
      <c r="E129" s="29">
        <v>2076.0</v>
      </c>
      <c r="F129" s="30">
        <v>242078.0</v>
      </c>
      <c r="G129" s="30">
        <v>2126.0</v>
      </c>
      <c r="H129" s="30">
        <v>266943.0</v>
      </c>
      <c r="I129" s="29">
        <v>25.0</v>
      </c>
      <c r="J129" s="29">
        <v>54.0</v>
      </c>
      <c r="K129" s="29">
        <v>17002.0</v>
      </c>
      <c r="L129" s="29">
        <v>778.0</v>
      </c>
      <c r="M129" s="29">
        <v>144048.0</v>
      </c>
      <c r="N129" s="29">
        <v>161050.0</v>
      </c>
      <c r="O129" s="29">
        <v>9.0</v>
      </c>
      <c r="P129" s="31">
        <v>2060.0</v>
      </c>
      <c r="Q129" s="31">
        <v>6.0</v>
      </c>
      <c r="R129" s="31">
        <v>1683.0</v>
      </c>
      <c r="S129" s="31">
        <v>0.0</v>
      </c>
      <c r="T129" s="31">
        <v>305.0</v>
      </c>
      <c r="U129" s="31">
        <v>72.0</v>
      </c>
      <c r="V129" s="31">
        <v>70.0</v>
      </c>
      <c r="W129" s="31">
        <v>9.0</v>
      </c>
      <c r="X129" s="31">
        <v>9.0</v>
      </c>
      <c r="Y129" s="31">
        <v>3.0</v>
      </c>
      <c r="Z129" s="28">
        <v>978.0</v>
      </c>
    </row>
    <row r="130" ht="14.25" customHeight="1">
      <c r="A130" s="27">
        <v>44016.0</v>
      </c>
      <c r="B130" s="28">
        <v>57.0</v>
      </c>
      <c r="C130" s="28">
        <v>70.0</v>
      </c>
      <c r="D130" s="28">
        <v>24922.0</v>
      </c>
      <c r="E130" s="29">
        <v>2345.0</v>
      </c>
      <c r="F130" s="30">
        <v>244423.0</v>
      </c>
      <c r="G130" s="30">
        <v>2402.0</v>
      </c>
      <c r="H130" s="30">
        <v>269345.0</v>
      </c>
      <c r="I130" s="29">
        <v>33.0</v>
      </c>
      <c r="J130" s="29">
        <v>39.0</v>
      </c>
      <c r="K130" s="29">
        <v>17035.0</v>
      </c>
      <c r="L130" s="29">
        <v>1010.0</v>
      </c>
      <c r="M130" s="29">
        <v>145058.0</v>
      </c>
      <c r="N130" s="29">
        <v>162093.0</v>
      </c>
      <c r="O130" s="29">
        <v>2.0</v>
      </c>
      <c r="P130" s="31">
        <v>2062.0</v>
      </c>
      <c r="Q130" s="31">
        <v>4.0</v>
      </c>
      <c r="R130" s="31">
        <v>1687.0</v>
      </c>
      <c r="S130" s="31">
        <v>1.0</v>
      </c>
      <c r="T130" s="31">
        <v>306.0</v>
      </c>
      <c r="U130" s="31">
        <v>69.0</v>
      </c>
      <c r="V130" s="31">
        <v>70.0</v>
      </c>
      <c r="W130" s="31">
        <v>10.0</v>
      </c>
      <c r="X130" s="31">
        <v>9.0</v>
      </c>
      <c r="Y130" s="31">
        <v>2.0</v>
      </c>
      <c r="Z130" s="28">
        <v>980.0</v>
      </c>
    </row>
    <row r="131" ht="14.25" customHeight="1">
      <c r="A131" s="27">
        <v>44017.0</v>
      </c>
      <c r="B131" s="28">
        <v>49.0</v>
      </c>
      <c r="C131" s="28">
        <v>52.0</v>
      </c>
      <c r="D131" s="28">
        <v>24971.0</v>
      </c>
      <c r="E131" s="29">
        <v>2932.0</v>
      </c>
      <c r="F131" s="30">
        <v>247355.0</v>
      </c>
      <c r="G131" s="30">
        <v>2981.0</v>
      </c>
      <c r="H131" s="30">
        <v>272326.0</v>
      </c>
      <c r="I131" s="29">
        <v>26.0</v>
      </c>
      <c r="J131" s="29">
        <v>28.0</v>
      </c>
      <c r="K131" s="29">
        <v>17061.0</v>
      </c>
      <c r="L131" s="29">
        <v>1446.0</v>
      </c>
      <c r="M131" s="29">
        <v>146504.0</v>
      </c>
      <c r="N131" s="29">
        <v>163565.0</v>
      </c>
      <c r="O131" s="29">
        <v>1.0</v>
      </c>
      <c r="P131" s="31">
        <v>2063.0</v>
      </c>
      <c r="Q131" s="31">
        <v>2.0</v>
      </c>
      <c r="R131" s="31">
        <v>1689.0</v>
      </c>
      <c r="S131" s="31">
        <v>1.0</v>
      </c>
      <c r="T131" s="31">
        <v>307.0</v>
      </c>
      <c r="U131" s="31">
        <v>67.0</v>
      </c>
      <c r="V131" s="31">
        <v>69.0</v>
      </c>
      <c r="W131" s="31">
        <v>8.0</v>
      </c>
      <c r="X131" s="31">
        <v>8.0</v>
      </c>
      <c r="Y131" s="31">
        <v>2.0</v>
      </c>
      <c r="Z131" s="28">
        <v>982.0</v>
      </c>
    </row>
    <row r="132" ht="14.25" customHeight="1">
      <c r="A132" s="27">
        <v>44018.0</v>
      </c>
      <c r="B132" s="28">
        <v>101.0</v>
      </c>
      <c r="C132" s="28">
        <v>69.0</v>
      </c>
      <c r="D132" s="28">
        <v>25072.0</v>
      </c>
      <c r="E132" s="29">
        <v>2811.0</v>
      </c>
      <c r="F132" s="30">
        <v>250166.0</v>
      </c>
      <c r="G132" s="30">
        <v>2912.0</v>
      </c>
      <c r="H132" s="30">
        <v>275238.0</v>
      </c>
      <c r="I132" s="29">
        <v>57.0</v>
      </c>
      <c r="J132" s="29">
        <v>39.0</v>
      </c>
      <c r="K132" s="29">
        <v>17118.0</v>
      </c>
      <c r="L132" s="29">
        <v>1552.0</v>
      </c>
      <c r="M132" s="29">
        <v>148056.0</v>
      </c>
      <c r="N132" s="29">
        <v>165174.0</v>
      </c>
      <c r="O132" s="29">
        <v>6.0</v>
      </c>
      <c r="P132" s="31">
        <v>2069.0</v>
      </c>
      <c r="Q132" s="31">
        <v>6.0</v>
      </c>
      <c r="R132" s="31">
        <v>1695.0</v>
      </c>
      <c r="S132" s="31">
        <v>0.0</v>
      </c>
      <c r="T132" s="31">
        <v>307.0</v>
      </c>
      <c r="U132" s="31">
        <v>67.0</v>
      </c>
      <c r="V132" s="31">
        <v>68.0</v>
      </c>
      <c r="W132" s="31">
        <v>9.0</v>
      </c>
      <c r="X132" s="31">
        <v>9.0</v>
      </c>
      <c r="Y132" s="31">
        <v>4.0</v>
      </c>
      <c r="Z132" s="28">
        <v>986.0</v>
      </c>
    </row>
    <row r="133" ht="14.25" customHeight="1">
      <c r="A133" s="27">
        <v>44019.0</v>
      </c>
      <c r="B133" s="28">
        <v>81.0</v>
      </c>
      <c r="C133" s="28">
        <v>77.0</v>
      </c>
      <c r="D133" s="28">
        <v>25153.0</v>
      </c>
      <c r="E133" s="29">
        <v>3457.0</v>
      </c>
      <c r="F133" s="30">
        <v>253623.0</v>
      </c>
      <c r="G133" s="30">
        <v>3538.0</v>
      </c>
      <c r="H133" s="30">
        <v>278776.0</v>
      </c>
      <c r="I133" s="29">
        <v>47.0</v>
      </c>
      <c r="J133" s="29">
        <v>43.0</v>
      </c>
      <c r="K133" s="29">
        <v>17165.0</v>
      </c>
      <c r="L133" s="29">
        <v>1534.0</v>
      </c>
      <c r="M133" s="29">
        <v>149590.0</v>
      </c>
      <c r="N133" s="29">
        <v>166755.0</v>
      </c>
      <c r="O133" s="29">
        <v>5.0</v>
      </c>
      <c r="P133" s="31">
        <v>2074.0</v>
      </c>
      <c r="Q133" s="31">
        <v>7.0</v>
      </c>
      <c r="R133" s="31">
        <v>1702.0</v>
      </c>
      <c r="S133" s="31">
        <v>0.0</v>
      </c>
      <c r="T133" s="31">
        <v>307.0</v>
      </c>
      <c r="U133" s="31">
        <v>65.0</v>
      </c>
      <c r="V133" s="31">
        <v>66.0</v>
      </c>
      <c r="W133" s="31">
        <v>8.0</v>
      </c>
      <c r="X133" s="31">
        <v>8.0</v>
      </c>
      <c r="Y133" s="31">
        <v>2.0</v>
      </c>
      <c r="Z133" s="28">
        <v>988.0</v>
      </c>
    </row>
    <row r="134" ht="14.25" customHeight="1">
      <c r="A134" s="27">
        <v>44020.0</v>
      </c>
      <c r="B134" s="28">
        <v>105.0</v>
      </c>
      <c r="C134" s="28">
        <v>96.0</v>
      </c>
      <c r="D134" s="28">
        <v>25258.0</v>
      </c>
      <c r="E134" s="29">
        <v>3403.0</v>
      </c>
      <c r="F134" s="30">
        <v>257026.0</v>
      </c>
      <c r="G134" s="30">
        <v>3508.0</v>
      </c>
      <c r="H134" s="30">
        <v>282284.0</v>
      </c>
      <c r="I134" s="29">
        <v>64.0</v>
      </c>
      <c r="J134" s="29">
        <v>56.0</v>
      </c>
      <c r="K134" s="29">
        <v>17229.0</v>
      </c>
      <c r="L134" s="29">
        <v>1425.0</v>
      </c>
      <c r="M134" s="29">
        <v>151015.0</v>
      </c>
      <c r="N134" s="29">
        <v>168244.0</v>
      </c>
      <c r="O134" s="29">
        <v>4.0</v>
      </c>
      <c r="P134" s="31">
        <v>2078.0</v>
      </c>
      <c r="Q134" s="31">
        <v>2.0</v>
      </c>
      <c r="R134" s="31">
        <v>1704.0</v>
      </c>
      <c r="S134" s="31">
        <v>0.0</v>
      </c>
      <c r="T134" s="31">
        <v>307.0</v>
      </c>
      <c r="U134" s="31">
        <v>67.0</v>
      </c>
      <c r="V134" s="31">
        <v>66.0</v>
      </c>
      <c r="W134" s="31">
        <v>9.0</v>
      </c>
      <c r="X134" s="31">
        <v>8.0</v>
      </c>
      <c r="Y134" s="31">
        <v>0.0</v>
      </c>
      <c r="Z134" s="28">
        <v>988.0</v>
      </c>
    </row>
    <row r="135" ht="14.25" customHeight="1">
      <c r="A135" s="27">
        <v>44021.0</v>
      </c>
      <c r="B135" s="28">
        <v>94.0</v>
      </c>
      <c r="C135" s="28">
        <v>93.0</v>
      </c>
      <c r="D135" s="28">
        <v>25352.0</v>
      </c>
      <c r="E135" s="29">
        <v>3712.0</v>
      </c>
      <c r="F135" s="30">
        <v>260738.0</v>
      </c>
      <c r="G135" s="30">
        <v>3806.0</v>
      </c>
      <c r="H135" s="30">
        <v>286090.0</v>
      </c>
      <c r="I135" s="29">
        <v>50.0</v>
      </c>
      <c r="J135" s="29">
        <v>54.0</v>
      </c>
      <c r="K135" s="29">
        <v>17279.0</v>
      </c>
      <c r="L135" s="29">
        <v>1630.0</v>
      </c>
      <c r="M135" s="29">
        <v>152645.0</v>
      </c>
      <c r="N135" s="29">
        <v>169924.0</v>
      </c>
      <c r="O135" s="29">
        <v>9.0</v>
      </c>
      <c r="P135" s="31">
        <v>2087.0</v>
      </c>
      <c r="Q135" s="31">
        <v>3.0</v>
      </c>
      <c r="R135" s="31">
        <v>1707.0</v>
      </c>
      <c r="S135" s="31">
        <v>0.0</v>
      </c>
      <c r="T135" s="31">
        <v>307.0</v>
      </c>
      <c r="U135" s="31">
        <v>73.0</v>
      </c>
      <c r="V135" s="31">
        <v>68.0</v>
      </c>
      <c r="W135" s="31">
        <v>9.0</v>
      </c>
      <c r="X135" s="31">
        <v>8.0</v>
      </c>
      <c r="Y135" s="31">
        <v>0.0</v>
      </c>
      <c r="Z135" s="28">
        <v>988.0</v>
      </c>
    </row>
    <row r="136" ht="14.25" customHeight="1">
      <c r="A136" s="27">
        <v>44022.0</v>
      </c>
      <c r="B136" s="28">
        <v>131.0</v>
      </c>
      <c r="C136" s="28">
        <v>110.0</v>
      </c>
      <c r="D136" s="28">
        <v>25483.0</v>
      </c>
      <c r="E136" s="29">
        <v>4431.0</v>
      </c>
      <c r="F136" s="30">
        <v>265169.0</v>
      </c>
      <c r="G136" s="30">
        <v>4562.0</v>
      </c>
      <c r="H136" s="30">
        <v>290652.0</v>
      </c>
      <c r="I136" s="29">
        <v>80.0</v>
      </c>
      <c r="J136" s="29">
        <v>65.0</v>
      </c>
      <c r="K136" s="29">
        <v>17359.0</v>
      </c>
      <c r="L136" s="29">
        <v>2078.0</v>
      </c>
      <c r="M136" s="29">
        <v>154723.0</v>
      </c>
      <c r="N136" s="29">
        <v>172082.0</v>
      </c>
      <c r="O136" s="29">
        <v>6.0</v>
      </c>
      <c r="P136" s="31">
        <v>2093.0</v>
      </c>
      <c r="Q136" s="31">
        <v>3.0</v>
      </c>
      <c r="R136" s="31">
        <v>1710.0</v>
      </c>
      <c r="S136" s="31">
        <v>2.0</v>
      </c>
      <c r="T136" s="31">
        <v>309.0</v>
      </c>
      <c r="U136" s="31">
        <v>74.0</v>
      </c>
      <c r="V136" s="31">
        <v>71.0</v>
      </c>
      <c r="W136" s="31">
        <v>7.0</v>
      </c>
      <c r="X136" s="31">
        <v>7.0</v>
      </c>
      <c r="Y136" s="31">
        <v>3.0</v>
      </c>
      <c r="Z136" s="28">
        <v>991.0</v>
      </c>
    </row>
    <row r="137" ht="14.25" customHeight="1">
      <c r="A137" s="27">
        <v>44023.0</v>
      </c>
      <c r="B137" s="28">
        <v>63.0</v>
      </c>
      <c r="C137" s="28">
        <v>96.0</v>
      </c>
      <c r="D137" s="28">
        <v>25546.0</v>
      </c>
      <c r="E137" s="29">
        <v>2932.0</v>
      </c>
      <c r="F137" s="30">
        <v>268101.0</v>
      </c>
      <c r="G137" s="30">
        <v>2995.0</v>
      </c>
      <c r="H137" s="30">
        <v>293647.0</v>
      </c>
      <c r="I137" s="29">
        <v>36.0</v>
      </c>
      <c r="J137" s="29">
        <v>55.0</v>
      </c>
      <c r="K137" s="29">
        <v>17395.0</v>
      </c>
      <c r="L137" s="29">
        <v>1316.0</v>
      </c>
      <c r="M137" s="29">
        <v>156039.0</v>
      </c>
      <c r="N137" s="29">
        <v>173434.0</v>
      </c>
      <c r="O137" s="29">
        <v>6.0</v>
      </c>
      <c r="P137" s="31">
        <v>2099.0</v>
      </c>
      <c r="Q137" s="31">
        <v>3.0</v>
      </c>
      <c r="R137" s="31">
        <v>1713.0</v>
      </c>
      <c r="S137" s="31">
        <v>1.0</v>
      </c>
      <c r="T137" s="31">
        <v>310.0</v>
      </c>
      <c r="U137" s="31">
        <v>76.0</v>
      </c>
      <c r="V137" s="31">
        <v>74.0</v>
      </c>
      <c r="W137" s="31">
        <v>6.0</v>
      </c>
      <c r="X137" s="31">
        <v>6.0</v>
      </c>
      <c r="Y137" s="31">
        <v>3.0</v>
      </c>
      <c r="Z137" s="28">
        <v>994.0</v>
      </c>
    </row>
    <row r="138" ht="14.25" customHeight="1">
      <c r="A138" s="27">
        <v>44024.0</v>
      </c>
      <c r="B138" s="28">
        <v>47.0</v>
      </c>
      <c r="C138" s="28">
        <v>80.0</v>
      </c>
      <c r="D138" s="28">
        <v>25593.0</v>
      </c>
      <c r="E138" s="29">
        <v>1836.0</v>
      </c>
      <c r="F138" s="30">
        <v>269937.0</v>
      </c>
      <c r="G138" s="30">
        <v>1883.0</v>
      </c>
      <c r="H138" s="30">
        <v>295530.0</v>
      </c>
      <c r="I138" s="29">
        <v>33.0</v>
      </c>
      <c r="J138" s="29">
        <v>50.0</v>
      </c>
      <c r="K138" s="29">
        <v>17428.0</v>
      </c>
      <c r="L138" s="29">
        <v>943.0</v>
      </c>
      <c r="M138" s="29">
        <v>156982.0</v>
      </c>
      <c r="N138" s="29">
        <v>174410.0</v>
      </c>
      <c r="O138" s="29">
        <v>1.0</v>
      </c>
      <c r="P138" s="31">
        <v>2100.0</v>
      </c>
      <c r="Q138" s="31">
        <v>3.0</v>
      </c>
      <c r="R138" s="31">
        <v>1716.0</v>
      </c>
      <c r="S138" s="31">
        <v>1.0</v>
      </c>
      <c r="T138" s="31">
        <v>311.0</v>
      </c>
      <c r="U138" s="31">
        <v>73.0</v>
      </c>
      <c r="V138" s="31">
        <v>74.0</v>
      </c>
      <c r="W138" s="31">
        <v>6.0</v>
      </c>
      <c r="X138" s="31">
        <v>5.0</v>
      </c>
      <c r="Y138" s="31">
        <v>3.0</v>
      </c>
      <c r="Z138" s="28">
        <v>997.0</v>
      </c>
    </row>
    <row r="139" ht="14.25" customHeight="1">
      <c r="A139" s="27">
        <v>44025.0</v>
      </c>
      <c r="B139" s="28">
        <v>84.0</v>
      </c>
      <c r="C139" s="28">
        <v>65.0</v>
      </c>
      <c r="D139" s="28">
        <v>25677.0</v>
      </c>
      <c r="E139" s="29">
        <v>3157.0</v>
      </c>
      <c r="F139" s="30">
        <v>273094.0</v>
      </c>
      <c r="G139" s="30">
        <v>3241.0</v>
      </c>
      <c r="H139" s="30">
        <v>298771.0</v>
      </c>
      <c r="I139" s="29">
        <v>61.0</v>
      </c>
      <c r="J139" s="29">
        <v>43.0</v>
      </c>
      <c r="K139" s="29">
        <v>17489.0</v>
      </c>
      <c r="L139" s="29">
        <v>1473.0</v>
      </c>
      <c r="M139" s="29">
        <v>158455.0</v>
      </c>
      <c r="N139" s="29">
        <v>175944.0</v>
      </c>
      <c r="O139" s="29">
        <v>8.0</v>
      </c>
      <c r="P139" s="31">
        <v>2108.0</v>
      </c>
      <c r="Q139" s="31">
        <v>10.0</v>
      </c>
      <c r="R139" s="31">
        <v>1726.0</v>
      </c>
      <c r="S139" s="31">
        <v>0.0</v>
      </c>
      <c r="T139" s="31">
        <v>311.0</v>
      </c>
      <c r="U139" s="31">
        <v>71.0</v>
      </c>
      <c r="V139" s="31">
        <v>73.0</v>
      </c>
      <c r="W139" s="31">
        <v>6.0</v>
      </c>
      <c r="X139" s="31">
        <v>5.0</v>
      </c>
      <c r="Y139" s="31">
        <v>1.0</v>
      </c>
      <c r="Z139" s="28">
        <v>998.0</v>
      </c>
    </row>
    <row r="140" ht="14.25" customHeight="1">
      <c r="A140" s="27">
        <v>44026.0</v>
      </c>
      <c r="B140" s="28">
        <v>73.0</v>
      </c>
      <c r="C140" s="28">
        <v>68.0</v>
      </c>
      <c r="D140" s="28">
        <v>25750.0</v>
      </c>
      <c r="E140" s="29">
        <v>3289.0</v>
      </c>
      <c r="F140" s="30">
        <v>276383.0</v>
      </c>
      <c r="G140" s="30">
        <v>3362.0</v>
      </c>
      <c r="H140" s="30">
        <v>302133.0</v>
      </c>
      <c r="I140" s="29">
        <v>43.0</v>
      </c>
      <c r="J140" s="29">
        <v>46.0</v>
      </c>
      <c r="K140" s="29">
        <v>17532.0</v>
      </c>
      <c r="L140" s="29">
        <v>1373.0</v>
      </c>
      <c r="M140" s="29">
        <v>159828.0</v>
      </c>
      <c r="N140" s="29">
        <v>177360.0</v>
      </c>
      <c r="O140" s="29">
        <v>7.0</v>
      </c>
      <c r="P140" s="31">
        <v>2115.0</v>
      </c>
      <c r="Q140" s="31">
        <v>4.0</v>
      </c>
      <c r="R140" s="31">
        <v>1730.0</v>
      </c>
      <c r="S140" s="31">
        <v>0.0</v>
      </c>
      <c r="T140" s="31">
        <v>311.0</v>
      </c>
      <c r="U140" s="31">
        <v>74.0</v>
      </c>
      <c r="V140" s="31">
        <v>73.0</v>
      </c>
      <c r="W140" s="31">
        <v>5.0</v>
      </c>
      <c r="X140" s="31">
        <v>5.0</v>
      </c>
      <c r="Y140" s="31">
        <v>1.0</v>
      </c>
      <c r="Z140" s="28">
        <v>999.0</v>
      </c>
    </row>
    <row r="141" ht="14.25" customHeight="1">
      <c r="A141" s="27">
        <v>44027.0</v>
      </c>
      <c r="B141" s="28">
        <v>130.0</v>
      </c>
      <c r="C141" s="28">
        <v>96.0</v>
      </c>
      <c r="D141" s="28">
        <v>25880.0</v>
      </c>
      <c r="E141" s="29">
        <v>4168.0</v>
      </c>
      <c r="F141" s="30">
        <v>280551.0</v>
      </c>
      <c r="G141" s="30">
        <v>4298.0</v>
      </c>
      <c r="H141" s="30">
        <v>306431.0</v>
      </c>
      <c r="I141" s="29">
        <v>99.0</v>
      </c>
      <c r="J141" s="29">
        <v>68.0</v>
      </c>
      <c r="K141" s="29">
        <v>17631.0</v>
      </c>
      <c r="L141" s="29">
        <v>1749.0</v>
      </c>
      <c r="M141" s="29">
        <v>161577.0</v>
      </c>
      <c r="N141" s="29">
        <v>179208.0</v>
      </c>
      <c r="O141" s="29">
        <v>5.0</v>
      </c>
      <c r="P141" s="31">
        <v>2120.0</v>
      </c>
      <c r="Q141" s="31">
        <v>7.0</v>
      </c>
      <c r="R141" s="31">
        <v>1737.0</v>
      </c>
      <c r="S141" s="31">
        <v>0.0</v>
      </c>
      <c r="T141" s="31">
        <v>311.0</v>
      </c>
      <c r="U141" s="31">
        <v>72.0</v>
      </c>
      <c r="V141" s="31">
        <v>72.0</v>
      </c>
      <c r="W141" s="31">
        <v>5.0</v>
      </c>
      <c r="X141" s="31">
        <v>4.0</v>
      </c>
      <c r="Y141" s="31">
        <v>0.0</v>
      </c>
      <c r="Z141" s="28">
        <v>999.0</v>
      </c>
    </row>
    <row r="142" ht="14.25" customHeight="1">
      <c r="A142" s="27">
        <v>44028.0</v>
      </c>
      <c r="B142" s="28">
        <v>102.0</v>
      </c>
      <c r="C142" s="28">
        <v>102.0</v>
      </c>
      <c r="D142" s="28">
        <v>25982.0</v>
      </c>
      <c r="E142" s="29">
        <v>3733.0</v>
      </c>
      <c r="F142" s="30">
        <v>284284.0</v>
      </c>
      <c r="G142" s="30">
        <v>3835.0</v>
      </c>
      <c r="H142" s="30">
        <v>310266.0</v>
      </c>
      <c r="I142" s="29">
        <v>76.0</v>
      </c>
      <c r="J142" s="29">
        <v>73.0</v>
      </c>
      <c r="K142" s="29">
        <v>17707.0</v>
      </c>
      <c r="L142" s="29">
        <v>1618.0</v>
      </c>
      <c r="M142" s="29">
        <v>163195.0</v>
      </c>
      <c r="N142" s="29">
        <v>180902.0</v>
      </c>
      <c r="O142" s="29">
        <v>6.0</v>
      </c>
      <c r="P142" s="31">
        <v>2126.0</v>
      </c>
      <c r="Q142" s="31">
        <v>9.0</v>
      </c>
      <c r="R142" s="31">
        <v>1746.0</v>
      </c>
      <c r="S142" s="31">
        <v>0.0</v>
      </c>
      <c r="T142" s="31">
        <v>311.0</v>
      </c>
      <c r="U142" s="31">
        <v>69.0</v>
      </c>
      <c r="V142" s="31">
        <v>72.0</v>
      </c>
      <c r="W142" s="31">
        <v>6.0</v>
      </c>
      <c r="X142" s="31">
        <v>5.0</v>
      </c>
      <c r="Y142" s="31">
        <v>1.0</v>
      </c>
      <c r="Z142" s="28">
        <v>1000.0</v>
      </c>
    </row>
    <row r="143" ht="14.25" customHeight="1">
      <c r="A143" s="27">
        <v>44029.0</v>
      </c>
      <c r="B143" s="28">
        <v>156.0</v>
      </c>
      <c r="C143" s="28">
        <v>129.0</v>
      </c>
      <c r="D143" s="28">
        <v>26138.0</v>
      </c>
      <c r="E143" s="29">
        <v>4235.0</v>
      </c>
      <c r="F143" s="30">
        <v>288519.0</v>
      </c>
      <c r="G143" s="30">
        <v>4391.0</v>
      </c>
      <c r="H143" s="30">
        <v>314657.0</v>
      </c>
      <c r="I143" s="29">
        <v>79.0</v>
      </c>
      <c r="J143" s="29">
        <v>85.0</v>
      </c>
      <c r="K143" s="29">
        <v>17786.0</v>
      </c>
      <c r="L143" s="29">
        <v>1849.0</v>
      </c>
      <c r="M143" s="29">
        <v>165044.0</v>
      </c>
      <c r="N143" s="29">
        <v>182830.0</v>
      </c>
      <c r="O143" s="29">
        <v>14.0</v>
      </c>
      <c r="P143" s="31">
        <v>2140.0</v>
      </c>
      <c r="Q143" s="31">
        <v>3.0</v>
      </c>
      <c r="R143" s="31">
        <v>1749.0</v>
      </c>
      <c r="S143" s="31">
        <v>1.0</v>
      </c>
      <c r="T143" s="31">
        <v>312.0</v>
      </c>
      <c r="U143" s="31">
        <v>79.0</v>
      </c>
      <c r="V143" s="31">
        <v>73.0</v>
      </c>
      <c r="W143" s="31">
        <v>5.0</v>
      </c>
      <c r="X143" s="31">
        <v>5.0</v>
      </c>
      <c r="Y143" s="31">
        <v>2.0</v>
      </c>
      <c r="Z143" s="28">
        <v>1002.0</v>
      </c>
    </row>
    <row r="144" ht="14.25" customHeight="1">
      <c r="A144" s="27">
        <v>44030.0</v>
      </c>
      <c r="B144" s="28">
        <v>85.0</v>
      </c>
      <c r="C144" s="28">
        <v>114.0</v>
      </c>
      <c r="D144" s="28">
        <v>26223.0</v>
      </c>
      <c r="E144" s="29">
        <v>3267.0</v>
      </c>
      <c r="F144" s="30">
        <v>291786.0</v>
      </c>
      <c r="G144" s="30">
        <v>3352.0</v>
      </c>
      <c r="H144" s="30">
        <v>318009.0</v>
      </c>
      <c r="I144" s="29">
        <v>70.0</v>
      </c>
      <c r="J144" s="29">
        <v>75.0</v>
      </c>
      <c r="K144" s="29">
        <v>17856.0</v>
      </c>
      <c r="L144" s="29">
        <v>1401.0</v>
      </c>
      <c r="M144" s="29">
        <v>166445.0</v>
      </c>
      <c r="N144" s="29">
        <v>184301.0</v>
      </c>
      <c r="O144" s="29">
        <v>5.0</v>
      </c>
      <c r="P144" s="31">
        <v>2145.0</v>
      </c>
      <c r="Q144" s="31">
        <v>9.0</v>
      </c>
      <c r="R144" s="31">
        <v>1758.0</v>
      </c>
      <c r="S144" s="31">
        <v>1.0</v>
      </c>
      <c r="T144" s="31">
        <v>313.0</v>
      </c>
      <c r="U144" s="31">
        <v>74.0</v>
      </c>
      <c r="V144" s="31">
        <v>74.0</v>
      </c>
      <c r="W144" s="31">
        <v>5.0</v>
      </c>
      <c r="X144" s="31">
        <v>4.0</v>
      </c>
      <c r="Y144" s="31">
        <v>4.0</v>
      </c>
      <c r="Z144" s="28">
        <v>1006.0</v>
      </c>
    </row>
    <row r="145" ht="14.25" customHeight="1">
      <c r="A145" s="27">
        <v>44031.0</v>
      </c>
      <c r="B145" s="28">
        <v>82.0</v>
      </c>
      <c r="C145" s="28">
        <v>108.0</v>
      </c>
      <c r="D145" s="28">
        <v>26305.0</v>
      </c>
      <c r="E145" s="29">
        <v>2693.0</v>
      </c>
      <c r="F145" s="30">
        <v>294479.0</v>
      </c>
      <c r="G145" s="30">
        <v>2775.0</v>
      </c>
      <c r="H145" s="30">
        <v>320784.0</v>
      </c>
      <c r="I145" s="29">
        <v>57.0</v>
      </c>
      <c r="J145" s="29">
        <v>69.0</v>
      </c>
      <c r="K145" s="29">
        <v>17913.0</v>
      </c>
      <c r="L145" s="29">
        <v>1149.0</v>
      </c>
      <c r="M145" s="29">
        <v>167594.0</v>
      </c>
      <c r="N145" s="29">
        <v>185507.0</v>
      </c>
      <c r="O145" s="29">
        <v>7.0</v>
      </c>
      <c r="P145" s="31">
        <v>2152.0</v>
      </c>
      <c r="Q145" s="31">
        <v>3.0</v>
      </c>
      <c r="R145" s="31">
        <v>1761.0</v>
      </c>
      <c r="S145" s="31">
        <v>0.0</v>
      </c>
      <c r="T145" s="31">
        <v>313.0</v>
      </c>
      <c r="U145" s="31">
        <v>78.0</v>
      </c>
      <c r="V145" s="31">
        <v>77.0</v>
      </c>
      <c r="W145" s="31">
        <v>6.0</v>
      </c>
      <c r="X145" s="31">
        <v>4.0</v>
      </c>
      <c r="Y145" s="31">
        <v>2.0</v>
      </c>
      <c r="Z145" s="28">
        <v>1008.0</v>
      </c>
    </row>
    <row r="146" ht="14.25" customHeight="1">
      <c r="A146" s="27">
        <v>44032.0</v>
      </c>
      <c r="B146" s="28">
        <v>71.0</v>
      </c>
      <c r="C146" s="28">
        <v>79.0</v>
      </c>
      <c r="D146" s="28">
        <v>26376.0</v>
      </c>
      <c r="E146" s="29">
        <v>2664.0</v>
      </c>
      <c r="F146" s="30">
        <v>297143.0</v>
      </c>
      <c r="G146" s="30">
        <v>2735.0</v>
      </c>
      <c r="H146" s="30">
        <v>323519.0</v>
      </c>
      <c r="I146" s="29">
        <v>68.0</v>
      </c>
      <c r="J146" s="29">
        <v>65.0</v>
      </c>
      <c r="K146" s="29">
        <v>17981.0</v>
      </c>
      <c r="L146" s="29">
        <v>1466.0</v>
      </c>
      <c r="M146" s="29">
        <v>169060.0</v>
      </c>
      <c r="N146" s="29">
        <v>187041.0</v>
      </c>
      <c r="O146" s="29">
        <v>9.0</v>
      </c>
      <c r="P146" s="31">
        <v>2161.0</v>
      </c>
      <c r="Q146" s="31">
        <v>7.0</v>
      </c>
      <c r="R146" s="31">
        <v>1768.0</v>
      </c>
      <c r="S146" s="31">
        <v>0.0</v>
      </c>
      <c r="T146" s="31">
        <v>313.0</v>
      </c>
      <c r="U146" s="31">
        <v>80.0</v>
      </c>
      <c r="V146" s="31">
        <v>77.0</v>
      </c>
      <c r="W146" s="31">
        <v>7.0</v>
      </c>
      <c r="X146" s="31">
        <v>5.0</v>
      </c>
      <c r="Y146" s="31">
        <v>2.0</v>
      </c>
      <c r="Z146" s="28">
        <v>1010.0</v>
      </c>
    </row>
    <row r="147" ht="14.25" customHeight="1">
      <c r="A147" s="27">
        <v>44033.0</v>
      </c>
      <c r="B147" s="28">
        <v>130.0</v>
      </c>
      <c r="C147" s="28">
        <v>94.0</v>
      </c>
      <c r="D147" s="28">
        <v>26506.0</v>
      </c>
      <c r="E147" s="29">
        <v>4298.0</v>
      </c>
      <c r="F147" s="30">
        <v>301441.0</v>
      </c>
      <c r="G147" s="30">
        <v>4428.0</v>
      </c>
      <c r="H147" s="30">
        <v>327947.0</v>
      </c>
      <c r="I147" s="29">
        <v>109.0</v>
      </c>
      <c r="J147" s="29">
        <v>78.0</v>
      </c>
      <c r="K147" s="29">
        <v>18090.0</v>
      </c>
      <c r="L147" s="29">
        <v>1918.0</v>
      </c>
      <c r="M147" s="29">
        <v>170978.0</v>
      </c>
      <c r="N147" s="29">
        <v>189068.0</v>
      </c>
      <c r="O147" s="29">
        <v>9.0</v>
      </c>
      <c r="P147" s="31">
        <v>2170.0</v>
      </c>
      <c r="Q147" s="31">
        <v>11.0</v>
      </c>
      <c r="R147" s="31">
        <v>1779.0</v>
      </c>
      <c r="S147" s="31">
        <v>0.0</v>
      </c>
      <c r="T147" s="31">
        <v>313.0</v>
      </c>
      <c r="U147" s="31">
        <v>78.0</v>
      </c>
      <c r="V147" s="31">
        <v>79.0</v>
      </c>
      <c r="W147" s="31">
        <v>9.0</v>
      </c>
      <c r="X147" s="31">
        <v>6.0</v>
      </c>
      <c r="Y147" s="31">
        <v>1.0</v>
      </c>
      <c r="Z147" s="28">
        <v>1011.0</v>
      </c>
    </row>
    <row r="148" ht="14.25" customHeight="1">
      <c r="A148" s="27">
        <v>44034.0</v>
      </c>
      <c r="B148" s="28">
        <v>130.0</v>
      </c>
      <c r="C148" s="28">
        <v>110.0</v>
      </c>
      <c r="D148" s="28">
        <v>26636.0</v>
      </c>
      <c r="E148" s="29">
        <v>3926.0</v>
      </c>
      <c r="F148" s="30">
        <v>305367.0</v>
      </c>
      <c r="G148" s="30">
        <v>4056.0</v>
      </c>
      <c r="H148" s="30">
        <v>332003.0</v>
      </c>
      <c r="I148" s="29">
        <v>86.0</v>
      </c>
      <c r="J148" s="29">
        <v>88.0</v>
      </c>
      <c r="K148" s="29">
        <v>18176.0</v>
      </c>
      <c r="L148" s="29">
        <v>1683.0</v>
      </c>
      <c r="M148" s="29">
        <v>172661.0</v>
      </c>
      <c r="N148" s="29">
        <v>190837.0</v>
      </c>
      <c r="O148" s="29">
        <v>11.0</v>
      </c>
      <c r="P148" s="31">
        <v>2181.0</v>
      </c>
      <c r="Q148" s="31">
        <v>11.0</v>
      </c>
      <c r="R148" s="31">
        <v>1790.0</v>
      </c>
      <c r="S148" s="31">
        <v>1.0</v>
      </c>
      <c r="T148" s="31">
        <v>314.0</v>
      </c>
      <c r="U148" s="31">
        <v>77.0</v>
      </c>
      <c r="V148" s="31">
        <v>78.0</v>
      </c>
      <c r="W148" s="31">
        <v>7.0</v>
      </c>
      <c r="X148" s="31">
        <v>6.0</v>
      </c>
      <c r="Y148" s="31">
        <v>1.0</v>
      </c>
      <c r="Z148" s="28">
        <v>1012.0</v>
      </c>
    </row>
    <row r="149" ht="14.25" customHeight="1">
      <c r="A149" s="27">
        <v>44035.0</v>
      </c>
      <c r="B149" s="28">
        <v>141.0</v>
      </c>
      <c r="C149" s="28">
        <v>134.0</v>
      </c>
      <c r="D149" s="28">
        <v>26777.0</v>
      </c>
      <c r="E149" s="29">
        <v>4376.0</v>
      </c>
      <c r="F149" s="30">
        <v>309743.0</v>
      </c>
      <c r="G149" s="30">
        <v>4517.0</v>
      </c>
      <c r="H149" s="30">
        <v>336520.0</v>
      </c>
      <c r="I149" s="29">
        <v>116.0</v>
      </c>
      <c r="J149" s="29">
        <v>104.0</v>
      </c>
      <c r="K149" s="29">
        <v>18292.0</v>
      </c>
      <c r="L149" s="29">
        <v>1969.0</v>
      </c>
      <c r="M149" s="29">
        <v>174630.0</v>
      </c>
      <c r="N149" s="29">
        <v>192922.0</v>
      </c>
      <c r="O149" s="29">
        <v>8.0</v>
      </c>
      <c r="P149" s="31">
        <v>2189.0</v>
      </c>
      <c r="Q149" s="31">
        <v>6.0</v>
      </c>
      <c r="R149" s="31">
        <v>1796.0</v>
      </c>
      <c r="S149" s="31">
        <v>0.0</v>
      </c>
      <c r="T149" s="31">
        <v>314.0</v>
      </c>
      <c r="U149" s="31">
        <v>79.0</v>
      </c>
      <c r="V149" s="31">
        <v>78.0</v>
      </c>
      <c r="W149" s="31">
        <v>8.0</v>
      </c>
      <c r="X149" s="31">
        <v>7.0</v>
      </c>
      <c r="Y149" s="31">
        <v>0.0</v>
      </c>
      <c r="Z149" s="28">
        <v>1012.0</v>
      </c>
    </row>
    <row r="150" ht="14.25" customHeight="1">
      <c r="A150" s="27">
        <v>44036.0</v>
      </c>
      <c r="B150" s="28">
        <v>172.0</v>
      </c>
      <c r="C150" s="28">
        <v>148.0</v>
      </c>
      <c r="D150" s="28">
        <v>26949.0</v>
      </c>
      <c r="E150" s="29">
        <v>5959.0</v>
      </c>
      <c r="F150" s="30">
        <v>315702.0</v>
      </c>
      <c r="G150" s="30">
        <v>6131.0</v>
      </c>
      <c r="H150" s="30">
        <v>342651.0</v>
      </c>
      <c r="I150" s="29">
        <v>119.0</v>
      </c>
      <c r="J150" s="29">
        <v>107.0</v>
      </c>
      <c r="K150" s="29">
        <v>18411.0</v>
      </c>
      <c r="L150" s="29">
        <v>2322.0</v>
      </c>
      <c r="M150" s="29">
        <v>176952.0</v>
      </c>
      <c r="N150" s="29">
        <v>195363.0</v>
      </c>
      <c r="O150" s="29">
        <v>14.0</v>
      </c>
      <c r="P150" s="31">
        <v>2203.0</v>
      </c>
      <c r="Q150" s="31">
        <v>14.0</v>
      </c>
      <c r="R150" s="31">
        <v>1810.0</v>
      </c>
      <c r="S150" s="31">
        <v>0.0</v>
      </c>
      <c r="T150" s="31">
        <v>314.0</v>
      </c>
      <c r="U150" s="31">
        <v>79.0</v>
      </c>
      <c r="V150" s="31">
        <v>78.0</v>
      </c>
      <c r="W150" s="31">
        <v>9.0</v>
      </c>
      <c r="X150" s="31">
        <v>7.0</v>
      </c>
      <c r="Y150" s="31">
        <v>0.0</v>
      </c>
      <c r="Z150" s="28">
        <v>1012.0</v>
      </c>
    </row>
    <row r="151" ht="14.25" customHeight="1">
      <c r="A151" s="27">
        <v>44037.0</v>
      </c>
      <c r="B151" s="28">
        <v>134.0</v>
      </c>
      <c r="C151" s="28">
        <v>149.0</v>
      </c>
      <c r="D151" s="28">
        <v>27083.0</v>
      </c>
      <c r="E151" s="29">
        <v>4398.0</v>
      </c>
      <c r="F151" s="30">
        <v>320100.0</v>
      </c>
      <c r="G151" s="30">
        <v>4532.0</v>
      </c>
      <c r="H151" s="30">
        <v>347183.0</v>
      </c>
      <c r="I151" s="29">
        <v>108.0</v>
      </c>
      <c r="J151" s="29">
        <v>114.0</v>
      </c>
      <c r="K151" s="29">
        <v>18519.0</v>
      </c>
      <c r="L151" s="29">
        <v>2100.0</v>
      </c>
      <c r="M151" s="29">
        <v>179052.0</v>
      </c>
      <c r="N151" s="29">
        <v>197571.0</v>
      </c>
      <c r="O151" s="29">
        <v>7.0</v>
      </c>
      <c r="P151" s="31">
        <v>2210.0</v>
      </c>
      <c r="Q151" s="31">
        <v>7.0</v>
      </c>
      <c r="R151" s="31">
        <v>1817.0</v>
      </c>
      <c r="S151" s="31">
        <v>0.0</v>
      </c>
      <c r="T151" s="31">
        <v>314.0</v>
      </c>
      <c r="U151" s="31">
        <v>79.0</v>
      </c>
      <c r="V151" s="31">
        <v>79.0</v>
      </c>
      <c r="W151" s="31">
        <v>10.0</v>
      </c>
      <c r="X151" s="31">
        <v>8.0</v>
      </c>
      <c r="Y151" s="31">
        <v>2.0</v>
      </c>
      <c r="Z151" s="28">
        <v>1014.0</v>
      </c>
    </row>
    <row r="152" ht="14.25" customHeight="1">
      <c r="A152" s="27">
        <v>44038.0</v>
      </c>
      <c r="B152" s="28">
        <v>62.0</v>
      </c>
      <c r="C152" s="28">
        <v>123.0</v>
      </c>
      <c r="D152" s="28">
        <v>27145.0</v>
      </c>
      <c r="E152" s="29">
        <v>3027.0</v>
      </c>
      <c r="F152" s="30">
        <v>323127.0</v>
      </c>
      <c r="G152" s="30">
        <v>3089.0</v>
      </c>
      <c r="H152" s="30">
        <v>350272.0</v>
      </c>
      <c r="I152" s="29">
        <v>54.0</v>
      </c>
      <c r="J152" s="29">
        <v>94.0</v>
      </c>
      <c r="K152" s="29">
        <v>18573.0</v>
      </c>
      <c r="L152" s="29">
        <v>1339.0</v>
      </c>
      <c r="M152" s="29">
        <v>180391.0</v>
      </c>
      <c r="N152" s="29">
        <v>198964.0</v>
      </c>
      <c r="O152" s="29">
        <v>8.0</v>
      </c>
      <c r="P152" s="31">
        <v>2218.0</v>
      </c>
      <c r="Q152" s="31">
        <v>9.0</v>
      </c>
      <c r="R152" s="31">
        <v>1826.0</v>
      </c>
      <c r="S152" s="31">
        <v>0.0</v>
      </c>
      <c r="T152" s="31">
        <v>314.0</v>
      </c>
      <c r="U152" s="31">
        <v>78.0</v>
      </c>
      <c r="V152" s="31">
        <v>79.0</v>
      </c>
      <c r="W152" s="31">
        <v>11.0</v>
      </c>
      <c r="X152" s="31">
        <v>7.0</v>
      </c>
      <c r="Y152" s="31">
        <v>1.0</v>
      </c>
      <c r="Z152" s="28">
        <v>1015.0</v>
      </c>
    </row>
    <row r="153" ht="14.25" customHeight="1">
      <c r="A153" s="27">
        <v>44039.0</v>
      </c>
      <c r="B153" s="28">
        <v>186.0</v>
      </c>
      <c r="C153" s="28">
        <v>127.0</v>
      </c>
      <c r="D153" s="28">
        <v>27331.0</v>
      </c>
      <c r="E153" s="29">
        <v>4163.0</v>
      </c>
      <c r="F153" s="30">
        <v>327290.0</v>
      </c>
      <c r="G153" s="30">
        <v>4349.0</v>
      </c>
      <c r="H153" s="30">
        <v>354621.0</v>
      </c>
      <c r="I153" s="29">
        <v>138.0</v>
      </c>
      <c r="J153" s="29">
        <v>100.0</v>
      </c>
      <c r="K153" s="29">
        <v>18711.0</v>
      </c>
      <c r="L153" s="29">
        <v>2333.0</v>
      </c>
      <c r="M153" s="29">
        <v>182724.0</v>
      </c>
      <c r="N153" s="29">
        <v>201435.0</v>
      </c>
      <c r="O153" s="29">
        <v>12.0</v>
      </c>
      <c r="P153" s="31">
        <v>2230.0</v>
      </c>
      <c r="Q153" s="31">
        <v>7.0</v>
      </c>
      <c r="R153" s="31">
        <v>1833.0</v>
      </c>
      <c r="S153" s="31">
        <v>0.0</v>
      </c>
      <c r="T153" s="31">
        <v>314.0</v>
      </c>
      <c r="U153" s="31">
        <v>83.0</v>
      </c>
      <c r="V153" s="31">
        <v>80.0</v>
      </c>
      <c r="W153" s="31">
        <v>13.0</v>
      </c>
      <c r="X153" s="31">
        <v>8.0</v>
      </c>
      <c r="Y153" s="31">
        <v>1.0</v>
      </c>
      <c r="Z153" s="28">
        <v>1016.0</v>
      </c>
    </row>
    <row r="154" ht="14.25" customHeight="1">
      <c r="A154" s="27">
        <v>44040.0</v>
      </c>
      <c r="B154" s="28">
        <v>105.0</v>
      </c>
      <c r="C154" s="28">
        <v>118.0</v>
      </c>
      <c r="D154" s="28">
        <v>27436.0</v>
      </c>
      <c r="E154" s="29">
        <v>3831.0</v>
      </c>
      <c r="F154" s="30">
        <v>331121.0</v>
      </c>
      <c r="G154" s="30">
        <v>3936.0</v>
      </c>
      <c r="H154" s="30">
        <v>358557.0</v>
      </c>
      <c r="I154" s="29">
        <v>94.0</v>
      </c>
      <c r="J154" s="29">
        <v>95.0</v>
      </c>
      <c r="K154" s="29">
        <v>18805.0</v>
      </c>
      <c r="L154" s="29">
        <v>1632.0</v>
      </c>
      <c r="M154" s="29">
        <v>184356.0</v>
      </c>
      <c r="N154" s="29">
        <v>203161.0</v>
      </c>
      <c r="O154" s="29">
        <v>5.0</v>
      </c>
      <c r="P154" s="31">
        <v>2235.0</v>
      </c>
      <c r="Q154" s="31">
        <v>5.0</v>
      </c>
      <c r="R154" s="31">
        <v>1838.0</v>
      </c>
      <c r="S154" s="31">
        <v>0.0</v>
      </c>
      <c r="T154" s="31">
        <v>314.0</v>
      </c>
      <c r="U154" s="31">
        <v>83.0</v>
      </c>
      <c r="V154" s="31">
        <v>81.0</v>
      </c>
      <c r="W154" s="31">
        <v>14.0</v>
      </c>
      <c r="X154" s="31">
        <v>7.0</v>
      </c>
      <c r="Y154" s="31">
        <v>1.0</v>
      </c>
      <c r="Z154" s="28">
        <v>1017.0</v>
      </c>
    </row>
    <row r="155" ht="14.25" customHeight="1">
      <c r="A155" s="27">
        <v>44041.0</v>
      </c>
      <c r="B155" s="28">
        <v>191.0</v>
      </c>
      <c r="C155" s="28">
        <v>161.0</v>
      </c>
      <c r="D155" s="28">
        <v>27627.0</v>
      </c>
      <c r="E155" s="29">
        <v>5123.0</v>
      </c>
      <c r="F155" s="30">
        <v>336244.0</v>
      </c>
      <c r="G155" s="30">
        <v>5314.0</v>
      </c>
      <c r="H155" s="30">
        <v>363871.0</v>
      </c>
      <c r="I155" s="29">
        <v>154.0</v>
      </c>
      <c r="J155" s="29">
        <v>129.0</v>
      </c>
      <c r="K155" s="29">
        <v>18959.0</v>
      </c>
      <c r="L155" s="29">
        <v>2324.0</v>
      </c>
      <c r="M155" s="29">
        <v>186680.0</v>
      </c>
      <c r="N155" s="29">
        <v>205639.0</v>
      </c>
      <c r="O155" s="29">
        <v>11.0</v>
      </c>
      <c r="P155" s="31">
        <v>2246.0</v>
      </c>
      <c r="Q155" s="31">
        <v>12.0</v>
      </c>
      <c r="R155" s="31">
        <v>1850.0</v>
      </c>
      <c r="S155" s="31">
        <v>0.0</v>
      </c>
      <c r="T155" s="31">
        <v>314.0</v>
      </c>
      <c r="U155" s="31">
        <v>82.0</v>
      </c>
      <c r="V155" s="31">
        <v>83.0</v>
      </c>
      <c r="W155" s="31">
        <v>15.0</v>
      </c>
      <c r="X155" s="31">
        <v>7.0</v>
      </c>
      <c r="Y155" s="31">
        <v>0.0</v>
      </c>
      <c r="Z155" s="28">
        <v>1017.0</v>
      </c>
    </row>
    <row r="156" ht="14.25" customHeight="1">
      <c r="A156" s="27">
        <v>44042.0</v>
      </c>
      <c r="B156" s="28">
        <v>121.0</v>
      </c>
      <c r="C156" s="28">
        <v>139.0</v>
      </c>
      <c r="D156" s="28">
        <v>27748.0</v>
      </c>
      <c r="E156" s="29">
        <v>4344.0</v>
      </c>
      <c r="F156" s="30">
        <v>340588.0</v>
      </c>
      <c r="G156" s="30">
        <v>4465.0</v>
      </c>
      <c r="H156" s="30">
        <v>368336.0</v>
      </c>
      <c r="I156" s="29">
        <v>97.0</v>
      </c>
      <c r="J156" s="29">
        <v>115.0</v>
      </c>
      <c r="K156" s="29">
        <v>19056.0</v>
      </c>
      <c r="L156" s="29">
        <v>1651.0</v>
      </c>
      <c r="M156" s="29">
        <v>188331.0</v>
      </c>
      <c r="N156" s="29">
        <v>207387.0</v>
      </c>
      <c r="O156" s="29">
        <v>6.0</v>
      </c>
      <c r="P156" s="31">
        <v>2252.0</v>
      </c>
      <c r="Q156" s="31">
        <v>2.0</v>
      </c>
      <c r="R156" s="31">
        <v>1852.0</v>
      </c>
      <c r="S156" s="31">
        <v>1.0</v>
      </c>
      <c r="T156" s="31">
        <v>315.0</v>
      </c>
      <c r="U156" s="31">
        <v>85.0</v>
      </c>
      <c r="V156" s="31">
        <v>83.0</v>
      </c>
      <c r="W156" s="31">
        <v>15.0</v>
      </c>
      <c r="X156" s="31">
        <v>6.0</v>
      </c>
      <c r="Y156" s="31">
        <v>1.0</v>
      </c>
      <c r="Z156" s="28">
        <v>1018.0</v>
      </c>
    </row>
    <row r="157" ht="14.25" customHeight="1">
      <c r="A157" s="27">
        <v>44043.0</v>
      </c>
      <c r="B157" s="28">
        <v>131.0</v>
      </c>
      <c r="C157" s="28">
        <v>148.0</v>
      </c>
      <c r="D157" s="28">
        <v>27879.0</v>
      </c>
      <c r="E157" s="29">
        <v>5508.0</v>
      </c>
      <c r="F157" s="30">
        <v>346096.0</v>
      </c>
      <c r="G157" s="30">
        <v>5639.0</v>
      </c>
      <c r="H157" s="30">
        <v>373975.0</v>
      </c>
      <c r="I157" s="29">
        <v>89.0</v>
      </c>
      <c r="J157" s="29">
        <v>113.0</v>
      </c>
      <c r="K157" s="29">
        <v>19145.0</v>
      </c>
      <c r="L157" s="29">
        <v>1856.0</v>
      </c>
      <c r="M157" s="29">
        <v>190187.0</v>
      </c>
      <c r="N157" s="29">
        <v>209332.0</v>
      </c>
      <c r="O157" s="29">
        <v>8.0</v>
      </c>
      <c r="P157" s="31">
        <v>2260.0</v>
      </c>
      <c r="Q157" s="31">
        <v>10.0</v>
      </c>
      <c r="R157" s="31">
        <v>1862.0</v>
      </c>
      <c r="S157" s="31">
        <v>0.0</v>
      </c>
      <c r="T157" s="31">
        <v>315.0</v>
      </c>
      <c r="U157" s="31">
        <v>83.0</v>
      </c>
      <c r="V157" s="31">
        <v>83.0</v>
      </c>
      <c r="W157" s="31">
        <v>15.0</v>
      </c>
      <c r="X157" s="31">
        <v>7.0</v>
      </c>
      <c r="Y157" s="31">
        <v>1.0</v>
      </c>
      <c r="Z157" s="28">
        <v>1019.0</v>
      </c>
    </row>
    <row r="158" ht="14.25" customHeight="1">
      <c r="A158" s="27">
        <v>44044.0</v>
      </c>
      <c r="B158" s="28">
        <v>108.0</v>
      </c>
      <c r="C158" s="28">
        <v>120.0</v>
      </c>
      <c r="D158" s="28">
        <v>27987.0</v>
      </c>
      <c r="E158" s="29">
        <v>4288.0</v>
      </c>
      <c r="F158" s="30">
        <v>350384.0</v>
      </c>
      <c r="G158" s="30">
        <v>4396.0</v>
      </c>
      <c r="H158" s="30">
        <v>378371.0</v>
      </c>
      <c r="I158" s="29">
        <v>88.0</v>
      </c>
      <c r="J158" s="29">
        <v>91.0</v>
      </c>
      <c r="K158" s="29">
        <v>19233.0</v>
      </c>
      <c r="L158" s="29">
        <v>1558.0</v>
      </c>
      <c r="M158" s="29">
        <v>191745.0</v>
      </c>
      <c r="N158" s="29">
        <v>210978.0</v>
      </c>
      <c r="O158" s="29">
        <v>7.0</v>
      </c>
      <c r="P158" s="31">
        <v>2267.0</v>
      </c>
      <c r="Q158" s="31">
        <v>2.0</v>
      </c>
      <c r="R158" s="31">
        <v>1864.0</v>
      </c>
      <c r="S158" s="31">
        <v>0.0</v>
      </c>
      <c r="T158" s="31">
        <v>315.0</v>
      </c>
      <c r="U158" s="31">
        <v>88.0</v>
      </c>
      <c r="V158" s="31">
        <v>85.0</v>
      </c>
      <c r="W158" s="31">
        <v>14.0</v>
      </c>
      <c r="X158" s="31">
        <v>7.0</v>
      </c>
      <c r="Y158" s="31">
        <v>1.0</v>
      </c>
      <c r="Z158" s="28">
        <v>1020.0</v>
      </c>
    </row>
    <row r="159" ht="14.25" customHeight="1">
      <c r="A159" s="27">
        <v>44045.0</v>
      </c>
      <c r="B159" s="28">
        <v>84.0</v>
      </c>
      <c r="C159" s="28">
        <v>108.0</v>
      </c>
      <c r="D159" s="28">
        <v>28071.0</v>
      </c>
      <c r="E159" s="29">
        <v>2802.0</v>
      </c>
      <c r="F159" s="30">
        <v>353186.0</v>
      </c>
      <c r="G159" s="30">
        <v>2886.0</v>
      </c>
      <c r="H159" s="30">
        <v>381257.0</v>
      </c>
      <c r="I159" s="29">
        <v>62.0</v>
      </c>
      <c r="J159" s="29">
        <v>80.0</v>
      </c>
      <c r="K159" s="29">
        <v>19295.0</v>
      </c>
      <c r="L159" s="29">
        <v>1275.0</v>
      </c>
      <c r="M159" s="29">
        <v>193020.0</v>
      </c>
      <c r="N159" s="29">
        <v>212315.0</v>
      </c>
      <c r="O159" s="29">
        <v>12.0</v>
      </c>
      <c r="P159" s="31">
        <v>2279.0</v>
      </c>
      <c r="Q159" s="31">
        <v>12.0</v>
      </c>
      <c r="R159" s="31">
        <v>1876.0</v>
      </c>
      <c r="S159" s="31">
        <v>2.0</v>
      </c>
      <c r="T159" s="31">
        <v>317.0</v>
      </c>
      <c r="U159" s="31">
        <v>86.0</v>
      </c>
      <c r="V159" s="31">
        <v>86.0</v>
      </c>
      <c r="W159" s="31">
        <v>14.0</v>
      </c>
      <c r="X159" s="31">
        <v>8.0</v>
      </c>
      <c r="Y159" s="31">
        <v>2.0</v>
      </c>
      <c r="Z159" s="28">
        <v>1022.0</v>
      </c>
    </row>
    <row r="160" ht="14.25" customHeight="1">
      <c r="A160" s="27">
        <v>44046.0</v>
      </c>
      <c r="B160" s="28">
        <v>187.0</v>
      </c>
      <c r="C160" s="28">
        <v>126.0</v>
      </c>
      <c r="D160" s="28">
        <v>28258.0</v>
      </c>
      <c r="E160" s="29">
        <v>5203.0</v>
      </c>
      <c r="F160" s="30">
        <v>358389.0</v>
      </c>
      <c r="G160" s="30">
        <v>5390.0</v>
      </c>
      <c r="H160" s="30">
        <v>386647.0</v>
      </c>
      <c r="I160" s="29">
        <v>150.0</v>
      </c>
      <c r="J160" s="29">
        <v>100.0</v>
      </c>
      <c r="K160" s="29">
        <v>19445.0</v>
      </c>
      <c r="L160" s="29">
        <v>2186.0</v>
      </c>
      <c r="M160" s="29">
        <v>195206.0</v>
      </c>
      <c r="N160" s="29">
        <v>214651.0</v>
      </c>
      <c r="O160" s="29">
        <v>13.0</v>
      </c>
      <c r="P160" s="31">
        <v>2292.0</v>
      </c>
      <c r="Q160" s="31">
        <v>12.0</v>
      </c>
      <c r="R160" s="31">
        <v>1888.0</v>
      </c>
      <c r="S160" s="31">
        <v>0.0</v>
      </c>
      <c r="T160" s="31">
        <v>317.0</v>
      </c>
      <c r="U160" s="31">
        <v>87.0</v>
      </c>
      <c r="V160" s="31">
        <v>87.0</v>
      </c>
      <c r="W160" s="31">
        <v>16.0</v>
      </c>
      <c r="X160" s="31">
        <v>7.0</v>
      </c>
      <c r="Y160" s="31">
        <v>1.0</v>
      </c>
      <c r="Z160" s="28">
        <v>1023.0</v>
      </c>
    </row>
    <row r="161" ht="14.25" customHeight="1">
      <c r="A161" s="27">
        <v>44047.0</v>
      </c>
      <c r="B161" s="28">
        <v>126.0</v>
      </c>
      <c r="C161" s="28">
        <v>132.0</v>
      </c>
      <c r="D161" s="28">
        <v>28384.0</v>
      </c>
      <c r="E161" s="29">
        <v>3687.0</v>
      </c>
      <c r="F161" s="30">
        <v>362076.0</v>
      </c>
      <c r="G161" s="30">
        <v>3813.0</v>
      </c>
      <c r="H161" s="30">
        <v>390460.0</v>
      </c>
      <c r="I161" s="29">
        <v>99.0</v>
      </c>
      <c r="J161" s="29">
        <v>104.0</v>
      </c>
      <c r="K161" s="29">
        <v>19544.0</v>
      </c>
      <c r="L161" s="29">
        <v>1770.0</v>
      </c>
      <c r="M161" s="29">
        <v>196976.0</v>
      </c>
      <c r="N161" s="29">
        <v>216520.0</v>
      </c>
      <c r="O161" s="29">
        <v>8.0</v>
      </c>
      <c r="P161" s="31">
        <v>2300.0</v>
      </c>
      <c r="Q161" s="31">
        <v>6.0</v>
      </c>
      <c r="R161" s="31">
        <v>1894.0</v>
      </c>
      <c r="S161" s="31">
        <v>1.0</v>
      </c>
      <c r="T161" s="31">
        <v>318.0</v>
      </c>
      <c r="U161" s="31">
        <v>88.0</v>
      </c>
      <c r="V161" s="31">
        <v>87.0</v>
      </c>
      <c r="W161" s="31">
        <v>12.0</v>
      </c>
      <c r="X161" s="31">
        <v>5.0</v>
      </c>
      <c r="Y161" s="31">
        <v>2.0</v>
      </c>
      <c r="Z161" s="28">
        <v>1025.0</v>
      </c>
    </row>
    <row r="162" ht="14.25" customHeight="1">
      <c r="A162" s="27">
        <v>44048.0</v>
      </c>
      <c r="B162" s="28">
        <v>148.0</v>
      </c>
      <c r="C162" s="28">
        <v>154.0</v>
      </c>
      <c r="D162" s="28">
        <v>28532.0</v>
      </c>
      <c r="E162" s="29">
        <v>5914.0</v>
      </c>
      <c r="F162" s="30">
        <v>367990.0</v>
      </c>
      <c r="G162" s="30">
        <v>6062.0</v>
      </c>
      <c r="H162" s="30">
        <v>396522.0</v>
      </c>
      <c r="I162" s="29">
        <v>118.0</v>
      </c>
      <c r="J162" s="29">
        <v>122.0</v>
      </c>
      <c r="K162" s="29">
        <v>19662.0</v>
      </c>
      <c r="L162" s="29">
        <v>2468.0</v>
      </c>
      <c r="M162" s="29">
        <v>199444.0</v>
      </c>
      <c r="N162" s="29">
        <v>219106.0</v>
      </c>
      <c r="O162" s="29">
        <v>12.0</v>
      </c>
      <c r="P162" s="31">
        <v>2312.0</v>
      </c>
      <c r="Q162" s="31">
        <v>10.0</v>
      </c>
      <c r="R162" s="31">
        <v>1904.0</v>
      </c>
      <c r="S162" s="31">
        <v>1.0</v>
      </c>
      <c r="T162" s="31">
        <v>319.0</v>
      </c>
      <c r="U162" s="31">
        <v>89.0</v>
      </c>
      <c r="V162" s="31">
        <v>88.0</v>
      </c>
      <c r="W162" s="31">
        <v>10.0</v>
      </c>
      <c r="X162" s="31">
        <v>5.0</v>
      </c>
      <c r="Y162" s="31">
        <v>2.0</v>
      </c>
      <c r="Z162" s="28">
        <v>1027.0</v>
      </c>
    </row>
    <row r="163" ht="14.25" customHeight="1">
      <c r="A163" s="27">
        <v>44049.0</v>
      </c>
      <c r="B163" s="28">
        <v>169.0</v>
      </c>
      <c r="C163" s="28">
        <v>148.0</v>
      </c>
      <c r="D163" s="28">
        <v>28701.0</v>
      </c>
      <c r="E163" s="29">
        <v>5533.0</v>
      </c>
      <c r="F163" s="30">
        <v>373523.0</v>
      </c>
      <c r="G163" s="30">
        <v>5702.0</v>
      </c>
      <c r="H163" s="30">
        <v>402224.0</v>
      </c>
      <c r="I163" s="29">
        <v>121.0</v>
      </c>
      <c r="J163" s="29">
        <v>113.0</v>
      </c>
      <c r="K163" s="29">
        <v>19783.0</v>
      </c>
      <c r="L163" s="29">
        <v>2422.0</v>
      </c>
      <c r="M163" s="29">
        <v>201866.0</v>
      </c>
      <c r="N163" s="29">
        <v>221649.0</v>
      </c>
      <c r="O163" s="29">
        <v>7.0</v>
      </c>
      <c r="P163" s="31">
        <v>2319.0</v>
      </c>
      <c r="Q163" s="31">
        <v>9.0</v>
      </c>
      <c r="R163" s="31">
        <v>1913.0</v>
      </c>
      <c r="S163" s="31">
        <v>0.0</v>
      </c>
      <c r="T163" s="31">
        <v>319.0</v>
      </c>
      <c r="U163" s="31">
        <v>87.0</v>
      </c>
      <c r="V163" s="31">
        <v>88.0</v>
      </c>
      <c r="W163" s="31">
        <v>9.0</v>
      </c>
      <c r="X163" s="31">
        <v>4.0</v>
      </c>
      <c r="Y163" s="31">
        <v>0.0</v>
      </c>
      <c r="Z163" s="28">
        <v>1027.0</v>
      </c>
    </row>
    <row r="164" ht="14.25" customHeight="1">
      <c r="A164" s="27">
        <v>44050.0</v>
      </c>
      <c r="B164" s="28">
        <v>122.0</v>
      </c>
      <c r="C164" s="28">
        <v>146.0</v>
      </c>
      <c r="D164" s="28">
        <v>28823.0</v>
      </c>
      <c r="E164" s="29">
        <v>4845.0</v>
      </c>
      <c r="F164" s="30">
        <v>378368.0</v>
      </c>
      <c r="G164" s="30">
        <v>4967.0</v>
      </c>
      <c r="H164" s="30">
        <v>407191.0</v>
      </c>
      <c r="I164" s="29">
        <v>87.0</v>
      </c>
      <c r="J164" s="29">
        <v>109.0</v>
      </c>
      <c r="K164" s="29">
        <v>19870.0</v>
      </c>
      <c r="L164" s="29">
        <v>2155.0</v>
      </c>
      <c r="M164" s="29">
        <v>204021.0</v>
      </c>
      <c r="N164" s="29">
        <v>223891.0</v>
      </c>
      <c r="O164" s="29">
        <v>13.0</v>
      </c>
      <c r="P164" s="31">
        <v>2332.0</v>
      </c>
      <c r="Q164" s="31">
        <v>10.0</v>
      </c>
      <c r="R164" s="31">
        <v>1923.0</v>
      </c>
      <c r="S164" s="31">
        <v>1.0</v>
      </c>
      <c r="T164" s="31">
        <v>320.0</v>
      </c>
      <c r="U164" s="31">
        <v>89.0</v>
      </c>
      <c r="V164" s="31">
        <v>88.0</v>
      </c>
      <c r="W164" s="31">
        <v>9.0</v>
      </c>
      <c r="X164" s="31">
        <v>3.0</v>
      </c>
      <c r="Y164" s="31">
        <v>2.0</v>
      </c>
      <c r="Z164" s="28">
        <v>1029.0</v>
      </c>
    </row>
    <row r="165" ht="14.25" customHeight="1">
      <c r="A165" s="27">
        <v>44051.0</v>
      </c>
      <c r="B165" s="28">
        <v>122.0</v>
      </c>
      <c r="C165" s="28">
        <v>138.0</v>
      </c>
      <c r="D165" s="28">
        <v>28945.0</v>
      </c>
      <c r="E165" s="29">
        <v>4105.0</v>
      </c>
      <c r="F165" s="30">
        <v>382473.0</v>
      </c>
      <c r="G165" s="30">
        <v>4227.0</v>
      </c>
      <c r="H165" s="30">
        <v>411418.0</v>
      </c>
      <c r="I165" s="29">
        <v>91.0</v>
      </c>
      <c r="J165" s="29">
        <v>100.0</v>
      </c>
      <c r="K165" s="29">
        <v>19961.0</v>
      </c>
      <c r="L165" s="29">
        <v>1781.0</v>
      </c>
      <c r="M165" s="29">
        <v>205802.0</v>
      </c>
      <c r="N165" s="29">
        <v>225763.0</v>
      </c>
      <c r="O165" s="29">
        <v>19.0</v>
      </c>
      <c r="P165" s="31">
        <v>2351.0</v>
      </c>
      <c r="Q165" s="31">
        <v>6.0</v>
      </c>
      <c r="R165" s="31">
        <v>1929.0</v>
      </c>
      <c r="S165" s="31">
        <v>1.0</v>
      </c>
      <c r="T165" s="31">
        <v>321.0</v>
      </c>
      <c r="U165" s="31">
        <v>101.0</v>
      </c>
      <c r="V165" s="31">
        <v>92.0</v>
      </c>
      <c r="W165" s="31">
        <v>8.0</v>
      </c>
      <c r="X165" s="31">
        <v>3.0</v>
      </c>
      <c r="Y165" s="31">
        <v>1.0</v>
      </c>
      <c r="Z165" s="28">
        <v>1030.0</v>
      </c>
    </row>
    <row r="166" ht="14.25" customHeight="1">
      <c r="A166" s="27">
        <v>44052.0</v>
      </c>
      <c r="B166" s="28">
        <v>42.0</v>
      </c>
      <c r="C166" s="28">
        <v>95.0</v>
      </c>
      <c r="D166" s="28">
        <v>28987.0</v>
      </c>
      <c r="E166" s="29">
        <v>1722.0</v>
      </c>
      <c r="F166" s="30">
        <v>384195.0</v>
      </c>
      <c r="G166" s="30">
        <v>1764.0</v>
      </c>
      <c r="H166" s="30">
        <v>413182.0</v>
      </c>
      <c r="I166" s="29">
        <v>35.0</v>
      </c>
      <c r="J166" s="29">
        <v>71.0</v>
      </c>
      <c r="K166" s="29">
        <v>19996.0</v>
      </c>
      <c r="L166" s="29">
        <v>1076.0</v>
      </c>
      <c r="M166" s="29">
        <v>206878.0</v>
      </c>
      <c r="N166" s="29">
        <v>226874.0</v>
      </c>
      <c r="O166" s="29">
        <v>8.0</v>
      </c>
      <c r="P166" s="31">
        <v>2359.0</v>
      </c>
      <c r="Q166" s="31">
        <v>10.0</v>
      </c>
      <c r="R166" s="31">
        <v>1939.0</v>
      </c>
      <c r="S166" s="31">
        <v>0.0</v>
      </c>
      <c r="T166" s="31">
        <v>321.0</v>
      </c>
      <c r="U166" s="31">
        <v>99.0</v>
      </c>
      <c r="V166" s="31">
        <v>96.0</v>
      </c>
      <c r="W166" s="31">
        <v>9.0</v>
      </c>
      <c r="X166" s="31">
        <v>4.0</v>
      </c>
      <c r="Y166" s="31">
        <v>0.0</v>
      </c>
      <c r="Z166" s="28">
        <v>1030.0</v>
      </c>
    </row>
    <row r="167" ht="14.25" customHeight="1">
      <c r="A167" s="27">
        <v>44053.0</v>
      </c>
      <c r="B167" s="28">
        <v>149.0</v>
      </c>
      <c r="C167" s="28">
        <v>104.0</v>
      </c>
      <c r="D167" s="28">
        <v>29136.0</v>
      </c>
      <c r="E167" s="29">
        <v>4577.0</v>
      </c>
      <c r="F167" s="30">
        <v>388772.0</v>
      </c>
      <c r="G167" s="30">
        <v>4726.0</v>
      </c>
      <c r="H167" s="30">
        <v>417908.0</v>
      </c>
      <c r="I167" s="29">
        <v>113.0</v>
      </c>
      <c r="J167" s="29">
        <v>80.0</v>
      </c>
      <c r="K167" s="29">
        <v>20109.0</v>
      </c>
      <c r="L167" s="29">
        <v>2028.0</v>
      </c>
      <c r="M167" s="29">
        <v>208906.0</v>
      </c>
      <c r="N167" s="29">
        <v>229015.0</v>
      </c>
      <c r="O167" s="29">
        <v>11.0</v>
      </c>
      <c r="P167" s="31">
        <v>2370.0</v>
      </c>
      <c r="Q167" s="31">
        <v>12.0</v>
      </c>
      <c r="R167" s="31">
        <v>1951.0</v>
      </c>
      <c r="S167" s="31">
        <v>0.0</v>
      </c>
      <c r="T167" s="31">
        <v>321.0</v>
      </c>
      <c r="U167" s="31">
        <v>98.0</v>
      </c>
      <c r="V167" s="31">
        <v>99.0</v>
      </c>
      <c r="W167" s="31">
        <v>9.0</v>
      </c>
      <c r="X167" s="31">
        <v>4.0</v>
      </c>
      <c r="Y167" s="31">
        <v>1.0</v>
      </c>
      <c r="Z167" s="28">
        <v>1031.0</v>
      </c>
    </row>
    <row r="168" ht="14.25" customHeight="1">
      <c r="A168" s="27">
        <v>44054.0</v>
      </c>
      <c r="B168" s="28">
        <v>105.0</v>
      </c>
      <c r="C168" s="28">
        <v>99.0</v>
      </c>
      <c r="D168" s="28">
        <v>29241.0</v>
      </c>
      <c r="E168" s="29">
        <v>4320.0</v>
      </c>
      <c r="F168" s="30">
        <v>393092.0</v>
      </c>
      <c r="G168" s="30">
        <v>4425.0</v>
      </c>
      <c r="H168" s="30">
        <v>422333.0</v>
      </c>
      <c r="I168" s="29">
        <v>92.0</v>
      </c>
      <c r="J168" s="29">
        <v>80.0</v>
      </c>
      <c r="K168" s="29">
        <v>20201.0</v>
      </c>
      <c r="L168" s="29">
        <v>2269.0</v>
      </c>
      <c r="M168" s="29">
        <v>211175.0</v>
      </c>
      <c r="N168" s="29">
        <v>231376.0</v>
      </c>
      <c r="O168" s="29">
        <v>6.0</v>
      </c>
      <c r="P168" s="31">
        <v>2376.0</v>
      </c>
      <c r="Q168" s="31">
        <v>14.0</v>
      </c>
      <c r="R168" s="31">
        <v>1965.0</v>
      </c>
      <c r="S168" s="31">
        <v>0.0</v>
      </c>
      <c r="T168" s="31">
        <v>321.0</v>
      </c>
      <c r="U168" s="31">
        <v>90.0</v>
      </c>
      <c r="V168" s="31">
        <v>96.0</v>
      </c>
      <c r="W168" s="31">
        <v>10.0</v>
      </c>
      <c r="X168" s="31">
        <v>4.0</v>
      </c>
      <c r="Y168" s="31">
        <v>3.0</v>
      </c>
      <c r="Z168" s="28">
        <v>1034.0</v>
      </c>
    </row>
    <row r="169" ht="14.25" customHeight="1">
      <c r="A169" s="27">
        <v>44055.0</v>
      </c>
      <c r="B169" s="28">
        <v>121.0</v>
      </c>
      <c r="C169" s="28">
        <v>125.0</v>
      </c>
      <c r="D169" s="28">
        <v>29362.0</v>
      </c>
      <c r="E169" s="29">
        <v>5184.0</v>
      </c>
      <c r="F169" s="30">
        <v>398276.0</v>
      </c>
      <c r="G169" s="30">
        <v>5305.0</v>
      </c>
      <c r="H169" s="30">
        <v>427638.0</v>
      </c>
      <c r="I169" s="29">
        <v>101.0</v>
      </c>
      <c r="J169" s="29">
        <v>102.0</v>
      </c>
      <c r="K169" s="29">
        <v>20302.0</v>
      </c>
      <c r="L169" s="29">
        <v>2629.0</v>
      </c>
      <c r="M169" s="29">
        <v>213804.0</v>
      </c>
      <c r="N169" s="29">
        <v>234106.0</v>
      </c>
      <c r="O169" s="29">
        <v>8.0</v>
      </c>
      <c r="P169" s="31">
        <v>2384.0</v>
      </c>
      <c r="Q169" s="31">
        <v>11.0</v>
      </c>
      <c r="R169" s="31">
        <v>1976.0</v>
      </c>
      <c r="S169" s="31">
        <v>0.0</v>
      </c>
      <c r="T169" s="31">
        <v>321.0</v>
      </c>
      <c r="U169" s="31">
        <v>87.0</v>
      </c>
      <c r="V169" s="31">
        <v>92.0</v>
      </c>
      <c r="W169" s="31">
        <v>9.0</v>
      </c>
      <c r="X169" s="31">
        <v>3.0</v>
      </c>
      <c r="Y169" s="31">
        <v>1.0</v>
      </c>
      <c r="Z169" s="28">
        <v>1035.0</v>
      </c>
    </row>
    <row r="170" ht="14.25" customHeight="1">
      <c r="A170" s="27">
        <v>44056.0</v>
      </c>
      <c r="B170" s="28">
        <v>135.0</v>
      </c>
      <c r="C170" s="28">
        <v>120.0</v>
      </c>
      <c r="D170" s="28">
        <v>29497.0</v>
      </c>
      <c r="E170" s="29">
        <v>4190.0</v>
      </c>
      <c r="F170" s="30">
        <v>402466.0</v>
      </c>
      <c r="G170" s="30">
        <v>4325.0</v>
      </c>
      <c r="H170" s="30">
        <v>431963.0</v>
      </c>
      <c r="I170" s="29">
        <v>95.0</v>
      </c>
      <c r="J170" s="29">
        <v>96.0</v>
      </c>
      <c r="K170" s="29">
        <v>20397.0</v>
      </c>
      <c r="L170" s="29">
        <v>1909.0</v>
      </c>
      <c r="M170" s="29">
        <v>215713.0</v>
      </c>
      <c r="N170" s="29">
        <v>236110.0</v>
      </c>
      <c r="O170" s="29">
        <v>13.0</v>
      </c>
      <c r="P170" s="31">
        <v>2397.0</v>
      </c>
      <c r="Q170" s="31">
        <v>12.0</v>
      </c>
      <c r="R170" s="31">
        <v>1988.0</v>
      </c>
      <c r="S170" s="31">
        <v>0.0</v>
      </c>
      <c r="T170" s="31">
        <v>321.0</v>
      </c>
      <c r="U170" s="31">
        <v>88.0</v>
      </c>
      <c r="V170" s="31">
        <v>88.0</v>
      </c>
      <c r="W170" s="31">
        <v>11.0</v>
      </c>
      <c r="X170" s="31">
        <v>3.0</v>
      </c>
      <c r="Y170" s="31">
        <v>0.0</v>
      </c>
      <c r="Z170" s="28">
        <v>1035.0</v>
      </c>
    </row>
    <row r="171" ht="14.25" customHeight="1">
      <c r="A171" s="27">
        <v>44057.0</v>
      </c>
      <c r="B171" s="28">
        <v>145.0</v>
      </c>
      <c r="C171" s="28">
        <v>134.0</v>
      </c>
      <c r="D171" s="28">
        <v>29642.0</v>
      </c>
      <c r="E171" s="29">
        <v>5462.0</v>
      </c>
      <c r="F171" s="30">
        <v>407928.0</v>
      </c>
      <c r="G171" s="30">
        <v>5607.0</v>
      </c>
      <c r="H171" s="30">
        <v>437570.0</v>
      </c>
      <c r="I171" s="29">
        <v>99.0</v>
      </c>
      <c r="J171" s="29">
        <v>98.0</v>
      </c>
      <c r="K171" s="29">
        <v>20496.0</v>
      </c>
      <c r="L171" s="29">
        <v>1954.0</v>
      </c>
      <c r="M171" s="29">
        <v>217667.0</v>
      </c>
      <c r="N171" s="29">
        <v>238163.0</v>
      </c>
      <c r="O171" s="29">
        <v>13.0</v>
      </c>
      <c r="P171" s="31">
        <v>2410.0</v>
      </c>
      <c r="Q171" s="31">
        <v>11.0</v>
      </c>
      <c r="R171" s="31">
        <v>1999.0</v>
      </c>
      <c r="S171" s="31">
        <v>0.0</v>
      </c>
      <c r="T171" s="31">
        <v>321.0</v>
      </c>
      <c r="U171" s="31">
        <v>90.0</v>
      </c>
      <c r="V171" s="31">
        <v>88.0</v>
      </c>
      <c r="W171" s="31">
        <v>11.0</v>
      </c>
      <c r="X171" s="31">
        <v>4.0</v>
      </c>
      <c r="Y171" s="31">
        <v>3.0</v>
      </c>
      <c r="Z171" s="28">
        <v>1038.0</v>
      </c>
    </row>
    <row r="172" ht="14.25" customHeight="1">
      <c r="A172" s="27">
        <v>44058.0</v>
      </c>
      <c r="B172" s="28">
        <v>105.0</v>
      </c>
      <c r="C172" s="28">
        <v>128.0</v>
      </c>
      <c r="D172" s="28">
        <v>29747.0</v>
      </c>
      <c r="E172" s="29">
        <v>4532.0</v>
      </c>
      <c r="F172" s="30">
        <v>412460.0</v>
      </c>
      <c r="G172" s="30">
        <v>4637.0</v>
      </c>
      <c r="H172" s="30">
        <v>442207.0</v>
      </c>
      <c r="I172" s="29">
        <v>89.0</v>
      </c>
      <c r="J172" s="29">
        <v>94.0</v>
      </c>
      <c r="K172" s="29">
        <v>20585.0</v>
      </c>
      <c r="L172" s="29">
        <v>1701.0</v>
      </c>
      <c r="M172" s="29">
        <v>219368.0</v>
      </c>
      <c r="N172" s="29">
        <v>239953.0</v>
      </c>
      <c r="O172" s="29">
        <v>8.0</v>
      </c>
      <c r="P172" s="31">
        <v>2418.0</v>
      </c>
      <c r="Q172" s="31">
        <v>11.0</v>
      </c>
      <c r="R172" s="31">
        <v>2010.0</v>
      </c>
      <c r="S172" s="31">
        <v>1.0</v>
      </c>
      <c r="T172" s="31">
        <v>322.0</v>
      </c>
      <c r="U172" s="31">
        <v>86.0</v>
      </c>
      <c r="V172" s="31">
        <v>88.0</v>
      </c>
      <c r="W172" s="31">
        <v>11.0</v>
      </c>
      <c r="X172" s="31">
        <v>5.0</v>
      </c>
      <c r="Y172" s="31">
        <v>0.0</v>
      </c>
      <c r="Z172" s="28">
        <v>1038.0</v>
      </c>
    </row>
    <row r="173" ht="14.25" customHeight="1">
      <c r="A173" s="27">
        <v>44059.0</v>
      </c>
      <c r="B173" s="28">
        <v>83.0</v>
      </c>
      <c r="C173" s="28">
        <v>111.0</v>
      </c>
      <c r="D173" s="28">
        <v>29830.0</v>
      </c>
      <c r="E173" s="29">
        <v>2784.0</v>
      </c>
      <c r="F173" s="30">
        <v>415244.0</v>
      </c>
      <c r="G173" s="30">
        <v>2867.0</v>
      </c>
      <c r="H173" s="30">
        <v>445074.0</v>
      </c>
      <c r="I173" s="29">
        <v>71.0</v>
      </c>
      <c r="J173" s="29">
        <v>86.0</v>
      </c>
      <c r="K173" s="29">
        <v>20656.0</v>
      </c>
      <c r="L173" s="29">
        <v>985.0</v>
      </c>
      <c r="M173" s="29">
        <v>220353.0</v>
      </c>
      <c r="N173" s="29">
        <v>241009.0</v>
      </c>
      <c r="O173" s="29">
        <v>7.0</v>
      </c>
      <c r="P173" s="31">
        <v>2425.0</v>
      </c>
      <c r="Q173" s="31">
        <v>6.0</v>
      </c>
      <c r="R173" s="31">
        <v>2016.0</v>
      </c>
      <c r="S173" s="31">
        <v>4.0</v>
      </c>
      <c r="T173" s="31">
        <v>326.0</v>
      </c>
      <c r="U173" s="31">
        <v>83.0</v>
      </c>
      <c r="V173" s="31">
        <v>86.0</v>
      </c>
      <c r="W173" s="31">
        <v>8.0</v>
      </c>
      <c r="X173" s="31">
        <v>4.0</v>
      </c>
      <c r="Y173" s="31">
        <v>6.0</v>
      </c>
      <c r="Z173" s="28">
        <v>1044.0</v>
      </c>
    </row>
    <row r="174" ht="14.25" customHeight="1">
      <c r="A174" s="27">
        <v>44060.0</v>
      </c>
      <c r="B174" s="28">
        <v>106.0</v>
      </c>
      <c r="C174" s="28">
        <v>98.0</v>
      </c>
      <c r="D174" s="28">
        <v>29936.0</v>
      </c>
      <c r="E174" s="29">
        <v>4548.0</v>
      </c>
      <c r="F174" s="30">
        <v>419792.0</v>
      </c>
      <c r="G174" s="30">
        <v>4654.0</v>
      </c>
      <c r="H174" s="30">
        <v>449728.0</v>
      </c>
      <c r="I174" s="29">
        <v>88.0</v>
      </c>
      <c r="J174" s="29">
        <v>83.0</v>
      </c>
      <c r="K174" s="29">
        <v>20744.0</v>
      </c>
      <c r="L174" s="29">
        <v>2383.0</v>
      </c>
      <c r="M174" s="29">
        <v>222736.0</v>
      </c>
      <c r="N174" s="29">
        <v>243480.0</v>
      </c>
      <c r="O174" s="29">
        <v>10.0</v>
      </c>
      <c r="P174" s="31">
        <v>2435.0</v>
      </c>
      <c r="Q174" s="31">
        <v>7.0</v>
      </c>
      <c r="R174" s="31">
        <v>2023.0</v>
      </c>
      <c r="S174" s="31">
        <v>0.0</v>
      </c>
      <c r="T174" s="31">
        <v>326.0</v>
      </c>
      <c r="U174" s="31">
        <v>86.0</v>
      </c>
      <c r="V174" s="31">
        <v>85.0</v>
      </c>
      <c r="W174" s="31">
        <v>8.0</v>
      </c>
      <c r="X174" s="31">
        <v>5.0</v>
      </c>
      <c r="Y174" s="31">
        <v>2.0</v>
      </c>
      <c r="Z174" s="28">
        <v>1046.0</v>
      </c>
    </row>
    <row r="175" ht="14.25" customHeight="1">
      <c r="A175" s="27">
        <v>44061.0</v>
      </c>
      <c r="B175" s="28">
        <v>128.0</v>
      </c>
      <c r="C175" s="28">
        <v>106.0</v>
      </c>
      <c r="D175" s="28">
        <v>30064.0</v>
      </c>
      <c r="E175" s="29">
        <v>5047.0</v>
      </c>
      <c r="F175" s="30">
        <v>424839.0</v>
      </c>
      <c r="G175" s="30">
        <v>5175.0</v>
      </c>
      <c r="H175" s="30">
        <v>454903.0</v>
      </c>
      <c r="I175" s="29">
        <v>95.0</v>
      </c>
      <c r="J175" s="29">
        <v>85.0</v>
      </c>
      <c r="K175" s="29">
        <v>20839.0</v>
      </c>
      <c r="L175" s="29">
        <v>2778.0</v>
      </c>
      <c r="M175" s="29">
        <v>225514.0</v>
      </c>
      <c r="N175" s="29">
        <v>246353.0</v>
      </c>
      <c r="O175" s="29">
        <v>11.0</v>
      </c>
      <c r="P175" s="31">
        <v>2446.0</v>
      </c>
      <c r="Q175" s="31">
        <v>9.0</v>
      </c>
      <c r="R175" s="31">
        <v>2032.0</v>
      </c>
      <c r="S175" s="31">
        <v>1.0</v>
      </c>
      <c r="T175" s="31">
        <v>327.0</v>
      </c>
      <c r="U175" s="31">
        <v>87.0</v>
      </c>
      <c r="V175" s="31">
        <v>85.0</v>
      </c>
      <c r="W175" s="31">
        <v>8.0</v>
      </c>
      <c r="X175" s="31">
        <v>4.0</v>
      </c>
      <c r="Y175" s="31">
        <v>5.0</v>
      </c>
      <c r="Z175" s="28">
        <v>1051.0</v>
      </c>
    </row>
    <row r="176" ht="14.25" customHeight="1">
      <c r="A176" s="27">
        <v>44062.0</v>
      </c>
      <c r="B176" s="28">
        <v>114.0</v>
      </c>
      <c r="C176" s="28">
        <v>116.0</v>
      </c>
      <c r="D176" s="28">
        <v>30178.0</v>
      </c>
      <c r="E176" s="29">
        <v>5407.0</v>
      </c>
      <c r="F176" s="30">
        <v>430246.0</v>
      </c>
      <c r="G176" s="30">
        <v>5521.0</v>
      </c>
      <c r="H176" s="30">
        <v>460424.0</v>
      </c>
      <c r="I176" s="29">
        <v>89.0</v>
      </c>
      <c r="J176" s="29">
        <v>91.0</v>
      </c>
      <c r="K176" s="29">
        <v>20928.0</v>
      </c>
      <c r="L176" s="29">
        <v>2672.0</v>
      </c>
      <c r="M176" s="29">
        <v>228186.0</v>
      </c>
      <c r="N176" s="29">
        <v>249114.0</v>
      </c>
      <c r="O176" s="29">
        <v>8.0</v>
      </c>
      <c r="P176" s="31">
        <v>2454.0</v>
      </c>
      <c r="Q176" s="31">
        <v>9.0</v>
      </c>
      <c r="R176" s="31">
        <v>2041.0</v>
      </c>
      <c r="S176" s="31">
        <v>1.0</v>
      </c>
      <c r="T176" s="31">
        <v>328.0</v>
      </c>
      <c r="U176" s="31">
        <v>85.0</v>
      </c>
      <c r="V176" s="31">
        <v>86.0</v>
      </c>
      <c r="W176" s="31">
        <v>9.0</v>
      </c>
      <c r="X176" s="31">
        <v>5.0</v>
      </c>
      <c r="Y176" s="31">
        <v>0.0</v>
      </c>
      <c r="Z176" s="28">
        <v>1051.0</v>
      </c>
    </row>
    <row r="177" ht="14.25" customHeight="1">
      <c r="A177" s="27">
        <v>44063.0</v>
      </c>
      <c r="B177" s="28">
        <v>174.0</v>
      </c>
      <c r="C177" s="28">
        <v>139.0</v>
      </c>
      <c r="D177" s="28">
        <v>30352.0</v>
      </c>
      <c r="E177" s="29">
        <v>8218.0</v>
      </c>
      <c r="F177" s="30">
        <v>438464.0</v>
      </c>
      <c r="G177" s="30">
        <v>8392.0</v>
      </c>
      <c r="H177" s="30">
        <v>468816.0</v>
      </c>
      <c r="I177" s="29">
        <v>139.0</v>
      </c>
      <c r="J177" s="29">
        <v>108.0</v>
      </c>
      <c r="K177" s="29">
        <v>21067.0</v>
      </c>
      <c r="L177" s="29">
        <v>3565.0</v>
      </c>
      <c r="M177" s="29">
        <v>231751.0</v>
      </c>
      <c r="N177" s="29">
        <v>252818.0</v>
      </c>
      <c r="O177" s="29">
        <v>12.0</v>
      </c>
      <c r="P177" s="31">
        <v>2466.0</v>
      </c>
      <c r="Q177" s="31">
        <v>6.0</v>
      </c>
      <c r="R177" s="31">
        <v>2047.0</v>
      </c>
      <c r="S177" s="31">
        <v>2.0</v>
      </c>
      <c r="T177" s="31">
        <v>330.0</v>
      </c>
      <c r="U177" s="31">
        <v>89.0</v>
      </c>
      <c r="V177" s="31">
        <v>87.0</v>
      </c>
      <c r="W177" s="31">
        <v>10.0</v>
      </c>
      <c r="X177" s="31">
        <v>5.0</v>
      </c>
      <c r="Y177" s="31">
        <v>3.0</v>
      </c>
      <c r="Z177" s="28">
        <v>1054.0</v>
      </c>
    </row>
    <row r="178" ht="14.25" customHeight="1">
      <c r="A178" s="27">
        <v>44064.0</v>
      </c>
      <c r="B178" s="28">
        <v>154.0</v>
      </c>
      <c r="C178" s="28">
        <v>147.0</v>
      </c>
      <c r="D178" s="28">
        <v>30506.0</v>
      </c>
      <c r="E178" s="29">
        <v>6811.0</v>
      </c>
      <c r="F178" s="30">
        <v>445275.0</v>
      </c>
      <c r="G178" s="30">
        <v>6965.0</v>
      </c>
      <c r="H178" s="30">
        <v>475781.0</v>
      </c>
      <c r="I178" s="29">
        <v>125.0</v>
      </c>
      <c r="J178" s="29">
        <v>118.0</v>
      </c>
      <c r="K178" s="29">
        <v>21192.0</v>
      </c>
      <c r="L178" s="29">
        <v>2965.0</v>
      </c>
      <c r="M178" s="29">
        <v>234716.0</v>
      </c>
      <c r="N178" s="29">
        <v>255908.0</v>
      </c>
      <c r="O178" s="29">
        <v>8.0</v>
      </c>
      <c r="P178" s="31">
        <v>2474.0</v>
      </c>
      <c r="Q178" s="31">
        <v>5.0</v>
      </c>
      <c r="R178" s="31">
        <v>2052.0</v>
      </c>
      <c r="S178" s="31">
        <v>1.0</v>
      </c>
      <c r="T178" s="31">
        <v>331.0</v>
      </c>
      <c r="U178" s="31">
        <v>91.0</v>
      </c>
      <c r="V178" s="31">
        <v>88.0</v>
      </c>
      <c r="W178" s="31">
        <v>9.0</v>
      </c>
      <c r="X178" s="31">
        <v>4.0</v>
      </c>
      <c r="Y178" s="31">
        <v>2.0</v>
      </c>
      <c r="Z178" s="28">
        <v>1056.0</v>
      </c>
    </row>
    <row r="179" ht="14.25" customHeight="1">
      <c r="A179" s="27">
        <v>44065.0</v>
      </c>
      <c r="B179" s="28">
        <v>96.0</v>
      </c>
      <c r="C179" s="28">
        <v>141.0</v>
      </c>
      <c r="D179" s="28">
        <v>30602.0</v>
      </c>
      <c r="E179" s="29">
        <v>5957.0</v>
      </c>
      <c r="F179" s="30">
        <v>451232.0</v>
      </c>
      <c r="G179" s="30">
        <v>6053.0</v>
      </c>
      <c r="H179" s="30">
        <v>481834.0</v>
      </c>
      <c r="I179" s="29">
        <v>84.0</v>
      </c>
      <c r="J179" s="29">
        <v>116.0</v>
      </c>
      <c r="K179" s="29">
        <v>21276.0</v>
      </c>
      <c r="L179" s="29">
        <v>2625.0</v>
      </c>
      <c r="M179" s="29">
        <v>237341.0</v>
      </c>
      <c r="N179" s="29">
        <v>258617.0</v>
      </c>
      <c r="O179" s="29">
        <v>10.0</v>
      </c>
      <c r="P179" s="31">
        <v>2484.0</v>
      </c>
      <c r="Q179" s="31">
        <v>12.0</v>
      </c>
      <c r="R179" s="31">
        <v>2064.0</v>
      </c>
      <c r="S179" s="31">
        <v>0.0</v>
      </c>
      <c r="T179" s="31">
        <v>331.0</v>
      </c>
      <c r="U179" s="31">
        <v>89.0</v>
      </c>
      <c r="V179" s="31">
        <v>90.0</v>
      </c>
      <c r="W179" s="31">
        <v>11.0</v>
      </c>
      <c r="X179" s="31">
        <v>4.0</v>
      </c>
      <c r="Y179" s="31">
        <v>1.0</v>
      </c>
      <c r="Z179" s="28">
        <v>1057.0</v>
      </c>
    </row>
    <row r="180" ht="14.25" customHeight="1">
      <c r="A180" s="27">
        <v>44066.0</v>
      </c>
      <c r="B180" s="28">
        <v>70.0</v>
      </c>
      <c r="C180" s="28">
        <v>107.0</v>
      </c>
      <c r="D180" s="28">
        <v>30672.0</v>
      </c>
      <c r="E180" s="29">
        <v>4365.0</v>
      </c>
      <c r="F180" s="30">
        <v>455597.0</v>
      </c>
      <c r="G180" s="30">
        <v>4435.0</v>
      </c>
      <c r="H180" s="30">
        <v>486269.0</v>
      </c>
      <c r="I180" s="29">
        <v>56.0</v>
      </c>
      <c r="J180" s="29">
        <v>88.0</v>
      </c>
      <c r="K180" s="29">
        <v>21332.0</v>
      </c>
      <c r="L180" s="29">
        <v>2468.0</v>
      </c>
      <c r="M180" s="29">
        <v>239809.0</v>
      </c>
      <c r="N180" s="29">
        <v>261141.0</v>
      </c>
      <c r="O180" s="29">
        <v>11.0</v>
      </c>
      <c r="P180" s="31">
        <v>2495.0</v>
      </c>
      <c r="Q180" s="31">
        <v>6.0</v>
      </c>
      <c r="R180" s="31">
        <v>2070.0</v>
      </c>
      <c r="S180" s="31">
        <v>0.0</v>
      </c>
      <c r="T180" s="31">
        <v>331.0</v>
      </c>
      <c r="U180" s="31">
        <v>94.0</v>
      </c>
      <c r="V180" s="31">
        <v>91.0</v>
      </c>
      <c r="W180" s="31">
        <v>11.0</v>
      </c>
      <c r="X180" s="31">
        <v>2.0</v>
      </c>
      <c r="Y180" s="31">
        <v>1.0</v>
      </c>
      <c r="Z180" s="28">
        <v>1058.0</v>
      </c>
    </row>
    <row r="181" ht="14.25" customHeight="1">
      <c r="A181" s="27">
        <v>44067.0</v>
      </c>
      <c r="B181" s="28">
        <v>105.0</v>
      </c>
      <c r="C181" s="28">
        <v>90.0</v>
      </c>
      <c r="D181" s="28">
        <v>30777.0</v>
      </c>
      <c r="E181" s="29">
        <v>5775.0</v>
      </c>
      <c r="F181" s="30">
        <v>461372.0</v>
      </c>
      <c r="G181" s="30">
        <v>5880.0</v>
      </c>
      <c r="H181" s="30">
        <v>492149.0</v>
      </c>
      <c r="I181" s="29">
        <v>76.0</v>
      </c>
      <c r="J181" s="29">
        <v>72.0</v>
      </c>
      <c r="K181" s="29">
        <v>21408.0</v>
      </c>
      <c r="L181" s="29">
        <v>3151.0</v>
      </c>
      <c r="M181" s="29">
        <v>242960.0</v>
      </c>
      <c r="N181" s="29">
        <v>264368.0</v>
      </c>
      <c r="O181" s="29">
        <v>7.0</v>
      </c>
      <c r="P181" s="31">
        <v>2502.0</v>
      </c>
      <c r="Q181" s="31">
        <v>10.0</v>
      </c>
      <c r="R181" s="31">
        <v>2080.0</v>
      </c>
      <c r="S181" s="31">
        <v>1.0</v>
      </c>
      <c r="T181" s="31">
        <v>332.0</v>
      </c>
      <c r="U181" s="31">
        <v>90.0</v>
      </c>
      <c r="V181" s="31">
        <v>91.0</v>
      </c>
      <c r="W181" s="31">
        <v>13.0</v>
      </c>
      <c r="X181" s="31">
        <v>4.0</v>
      </c>
      <c r="Y181" s="31">
        <v>1.0</v>
      </c>
      <c r="Z181" s="28">
        <v>1059.0</v>
      </c>
    </row>
    <row r="182" ht="14.25" customHeight="1">
      <c r="A182" s="27">
        <v>44068.0</v>
      </c>
      <c r="B182" s="28">
        <v>108.0</v>
      </c>
      <c r="C182" s="28">
        <v>94.0</v>
      </c>
      <c r="D182" s="28">
        <v>30885.0</v>
      </c>
      <c r="E182" s="29">
        <v>4745.0</v>
      </c>
      <c r="F182" s="30">
        <v>466117.0</v>
      </c>
      <c r="G182" s="30">
        <v>4853.0</v>
      </c>
      <c r="H182" s="30">
        <v>497002.0</v>
      </c>
      <c r="I182" s="29">
        <v>92.0</v>
      </c>
      <c r="J182" s="29">
        <v>75.0</v>
      </c>
      <c r="K182" s="29">
        <v>21500.0</v>
      </c>
      <c r="L182" s="29">
        <v>2295.0</v>
      </c>
      <c r="M182" s="29">
        <v>245255.0</v>
      </c>
      <c r="N182" s="29">
        <v>266755.0</v>
      </c>
      <c r="O182" s="29">
        <v>10.0</v>
      </c>
      <c r="P182" s="31">
        <v>2512.0</v>
      </c>
      <c r="Q182" s="31">
        <v>4.0</v>
      </c>
      <c r="R182" s="31">
        <v>2084.0</v>
      </c>
      <c r="S182" s="31">
        <v>1.0</v>
      </c>
      <c r="T182" s="31">
        <v>333.0</v>
      </c>
      <c r="U182" s="31">
        <v>95.0</v>
      </c>
      <c r="V182" s="31">
        <v>93.0</v>
      </c>
      <c r="W182" s="31">
        <v>11.0</v>
      </c>
      <c r="X182" s="31">
        <v>4.0</v>
      </c>
      <c r="Y182" s="31">
        <v>1.0</v>
      </c>
      <c r="Z182" s="28">
        <v>1060.0</v>
      </c>
    </row>
    <row r="183" ht="14.25" customHeight="1">
      <c r="A183" s="27">
        <v>44069.0</v>
      </c>
      <c r="B183" s="28">
        <v>170.0</v>
      </c>
      <c r="C183" s="28">
        <v>128.0</v>
      </c>
      <c r="D183" s="28">
        <v>31055.0</v>
      </c>
      <c r="E183" s="29">
        <v>9490.0</v>
      </c>
      <c r="F183" s="30">
        <v>475607.0</v>
      </c>
      <c r="G183" s="30">
        <v>9660.0</v>
      </c>
      <c r="H183" s="30">
        <v>506662.0</v>
      </c>
      <c r="I183" s="29">
        <v>127.0</v>
      </c>
      <c r="J183" s="29">
        <v>98.0</v>
      </c>
      <c r="K183" s="29">
        <v>21627.0</v>
      </c>
      <c r="L183" s="29">
        <v>3068.0</v>
      </c>
      <c r="M183" s="29">
        <v>248323.0</v>
      </c>
      <c r="N183" s="29">
        <v>269950.0</v>
      </c>
      <c r="O183" s="29">
        <v>4.0</v>
      </c>
      <c r="P183" s="31">
        <v>2516.0</v>
      </c>
      <c r="Q183" s="31">
        <v>8.0</v>
      </c>
      <c r="R183" s="31">
        <v>2092.0</v>
      </c>
      <c r="S183" s="31">
        <v>0.0</v>
      </c>
      <c r="T183" s="31">
        <v>333.0</v>
      </c>
      <c r="U183" s="31">
        <v>91.0</v>
      </c>
      <c r="V183" s="31">
        <v>92.0</v>
      </c>
      <c r="W183" s="31">
        <v>9.0</v>
      </c>
      <c r="X183" s="31">
        <v>5.0</v>
      </c>
      <c r="Y183" s="31">
        <v>1.0</v>
      </c>
      <c r="Z183" s="28">
        <v>1061.0</v>
      </c>
    </row>
    <row r="184" ht="14.25" customHeight="1">
      <c r="A184" s="27">
        <v>44070.0</v>
      </c>
      <c r="B184" s="28">
        <v>93.0</v>
      </c>
      <c r="C184" s="28">
        <v>124.0</v>
      </c>
      <c r="D184" s="28">
        <v>31148.0</v>
      </c>
      <c r="E184" s="29">
        <v>8798.0</v>
      </c>
      <c r="F184" s="30">
        <v>484405.0</v>
      </c>
      <c r="G184" s="30">
        <v>8891.0</v>
      </c>
      <c r="H184" s="30">
        <v>515553.0</v>
      </c>
      <c r="I184" s="29">
        <v>71.0</v>
      </c>
      <c r="J184" s="29">
        <v>97.0</v>
      </c>
      <c r="K184" s="29">
        <v>21698.0</v>
      </c>
      <c r="L184" s="29">
        <v>3210.0</v>
      </c>
      <c r="M184" s="29">
        <v>251533.0</v>
      </c>
      <c r="N184" s="29">
        <v>273231.0</v>
      </c>
      <c r="O184" s="29">
        <v>6.0</v>
      </c>
      <c r="P184" s="31">
        <v>2522.0</v>
      </c>
      <c r="Q184" s="31">
        <v>13.0</v>
      </c>
      <c r="R184" s="31">
        <v>2105.0</v>
      </c>
      <c r="S184" s="31">
        <v>1.0</v>
      </c>
      <c r="T184" s="31">
        <v>334.0</v>
      </c>
      <c r="U184" s="31">
        <v>83.0</v>
      </c>
      <c r="V184" s="31">
        <v>90.0</v>
      </c>
      <c r="W184" s="31">
        <v>6.0</v>
      </c>
      <c r="X184" s="31">
        <v>5.0</v>
      </c>
      <c r="Y184" s="31">
        <v>2.0</v>
      </c>
      <c r="Z184" s="28">
        <v>1063.0</v>
      </c>
    </row>
    <row r="185" ht="14.25" customHeight="1">
      <c r="A185" s="27">
        <v>44071.0</v>
      </c>
      <c r="B185" s="28">
        <v>112.0</v>
      </c>
      <c r="C185" s="28">
        <v>125.0</v>
      </c>
      <c r="D185" s="28">
        <v>31260.0</v>
      </c>
      <c r="E185" s="29">
        <v>8056.0</v>
      </c>
      <c r="F185" s="30">
        <v>492461.0</v>
      </c>
      <c r="G185" s="30">
        <v>8168.0</v>
      </c>
      <c r="H185" s="30">
        <v>523721.0</v>
      </c>
      <c r="I185" s="29">
        <v>88.0</v>
      </c>
      <c r="J185" s="29">
        <v>95.0</v>
      </c>
      <c r="K185" s="29">
        <v>21786.0</v>
      </c>
      <c r="L185" s="29">
        <v>2427.0</v>
      </c>
      <c r="M185" s="29">
        <v>253960.0</v>
      </c>
      <c r="N185" s="29">
        <v>275746.0</v>
      </c>
      <c r="O185" s="29">
        <v>14.0</v>
      </c>
      <c r="P185" s="31">
        <v>2536.0</v>
      </c>
      <c r="Q185" s="31">
        <v>4.0</v>
      </c>
      <c r="R185" s="31">
        <v>2109.0</v>
      </c>
      <c r="S185" s="31">
        <v>0.0</v>
      </c>
      <c r="T185" s="31">
        <v>334.0</v>
      </c>
      <c r="U185" s="31">
        <v>93.0</v>
      </c>
      <c r="V185" s="31">
        <v>89.0</v>
      </c>
      <c r="W185" s="31">
        <v>9.0</v>
      </c>
      <c r="X185" s="31">
        <v>7.0</v>
      </c>
      <c r="Y185" s="31">
        <v>2.0</v>
      </c>
      <c r="Z185" s="28">
        <v>1065.0</v>
      </c>
    </row>
    <row r="186" ht="14.25" customHeight="1">
      <c r="A186" s="27">
        <v>44072.0</v>
      </c>
      <c r="B186" s="28">
        <v>65.0</v>
      </c>
      <c r="C186" s="28">
        <v>90.0</v>
      </c>
      <c r="D186" s="28">
        <v>31325.0</v>
      </c>
      <c r="E186" s="29">
        <v>5412.0</v>
      </c>
      <c r="F186" s="30">
        <v>497873.0</v>
      </c>
      <c r="G186" s="30">
        <v>5477.0</v>
      </c>
      <c r="H186" s="30">
        <v>529198.0</v>
      </c>
      <c r="I186" s="29">
        <v>51.0</v>
      </c>
      <c r="J186" s="29">
        <v>70.0</v>
      </c>
      <c r="K186" s="29">
        <v>21837.0</v>
      </c>
      <c r="L186" s="29">
        <v>1904.0</v>
      </c>
      <c r="M186" s="29">
        <v>255864.0</v>
      </c>
      <c r="N186" s="29">
        <v>277701.0</v>
      </c>
      <c r="O186" s="29">
        <v>6.0</v>
      </c>
      <c r="P186" s="31">
        <v>2542.0</v>
      </c>
      <c r="Q186" s="31">
        <v>8.0</v>
      </c>
      <c r="R186" s="31">
        <v>2117.0</v>
      </c>
      <c r="S186" s="31">
        <v>1.0</v>
      </c>
      <c r="T186" s="31">
        <v>335.0</v>
      </c>
      <c r="U186" s="31">
        <v>90.0</v>
      </c>
      <c r="V186" s="31">
        <v>89.0</v>
      </c>
      <c r="W186" s="31">
        <v>10.0</v>
      </c>
      <c r="X186" s="31">
        <v>6.0</v>
      </c>
      <c r="Y186" s="31">
        <v>2.0</v>
      </c>
      <c r="Z186" s="28">
        <v>1067.0</v>
      </c>
    </row>
    <row r="187" ht="14.25" customHeight="1">
      <c r="A187" s="27">
        <v>44073.0</v>
      </c>
      <c r="B187" s="28">
        <v>66.0</v>
      </c>
      <c r="C187" s="28">
        <v>81.0</v>
      </c>
      <c r="D187" s="28">
        <v>31391.0</v>
      </c>
      <c r="E187" s="29">
        <v>4319.0</v>
      </c>
      <c r="F187" s="30">
        <v>502192.0</v>
      </c>
      <c r="G187" s="30">
        <v>4385.0</v>
      </c>
      <c r="H187" s="30">
        <v>533583.0</v>
      </c>
      <c r="I187" s="29">
        <v>48.0</v>
      </c>
      <c r="J187" s="29">
        <v>62.0</v>
      </c>
      <c r="K187" s="29">
        <v>21885.0</v>
      </c>
      <c r="L187" s="29">
        <v>1993.0</v>
      </c>
      <c r="M187" s="29">
        <v>257857.0</v>
      </c>
      <c r="N187" s="29">
        <v>279742.0</v>
      </c>
      <c r="O187" s="29">
        <v>7.0</v>
      </c>
      <c r="P187" s="31">
        <v>2549.0</v>
      </c>
      <c r="Q187" s="31">
        <v>4.0</v>
      </c>
      <c r="R187" s="31">
        <v>2121.0</v>
      </c>
      <c r="S187" s="31">
        <v>0.0</v>
      </c>
      <c r="T187" s="31">
        <v>335.0</v>
      </c>
      <c r="U187" s="31">
        <v>93.0</v>
      </c>
      <c r="V187" s="31">
        <v>92.0</v>
      </c>
      <c r="W187" s="31">
        <v>8.0</v>
      </c>
      <c r="X187" s="31">
        <v>5.0</v>
      </c>
      <c r="Y187" s="31">
        <v>2.0</v>
      </c>
      <c r="Z187" s="28">
        <v>1069.0</v>
      </c>
    </row>
    <row r="188" ht="14.25" customHeight="1">
      <c r="A188" s="27">
        <v>44074.0</v>
      </c>
      <c r="B188" s="28">
        <v>105.0</v>
      </c>
      <c r="C188" s="28">
        <v>79.0</v>
      </c>
      <c r="D188" s="28">
        <v>31496.0</v>
      </c>
      <c r="E188" s="29">
        <v>4870.0</v>
      </c>
      <c r="F188" s="30">
        <v>507062.0</v>
      </c>
      <c r="G188" s="30">
        <v>4975.0</v>
      </c>
      <c r="H188" s="30">
        <v>538558.0</v>
      </c>
      <c r="I188" s="29">
        <v>80.0</v>
      </c>
      <c r="J188" s="29">
        <v>60.0</v>
      </c>
      <c r="K188" s="29">
        <v>21965.0</v>
      </c>
      <c r="L188" s="29">
        <v>2197.0</v>
      </c>
      <c r="M188" s="29">
        <v>260054.0</v>
      </c>
      <c r="N188" s="29">
        <v>282019.0</v>
      </c>
      <c r="O188" s="29">
        <v>10.0</v>
      </c>
      <c r="P188" s="31">
        <v>2559.0</v>
      </c>
      <c r="Q188" s="31">
        <v>15.0</v>
      </c>
      <c r="R188" s="31">
        <v>2136.0</v>
      </c>
      <c r="S188" s="31">
        <v>0.0</v>
      </c>
      <c r="T188" s="31">
        <v>335.0</v>
      </c>
      <c r="U188" s="31">
        <v>88.0</v>
      </c>
      <c r="V188" s="31">
        <v>90.0</v>
      </c>
      <c r="W188" s="31">
        <v>8.0</v>
      </c>
      <c r="X188" s="31">
        <v>4.0</v>
      </c>
      <c r="Y188" s="31">
        <v>0.0</v>
      </c>
      <c r="Z188" s="28">
        <v>1069.0</v>
      </c>
    </row>
    <row r="189" ht="14.25" customHeight="1">
      <c r="A189" s="27">
        <v>44075.0</v>
      </c>
      <c r="B189" s="28">
        <v>98.0</v>
      </c>
      <c r="C189" s="28">
        <v>90.0</v>
      </c>
      <c r="D189" s="28">
        <v>31594.0</v>
      </c>
      <c r="E189" s="29">
        <v>7121.0</v>
      </c>
      <c r="F189" s="30">
        <v>514183.0</v>
      </c>
      <c r="G189" s="30">
        <v>7219.0</v>
      </c>
      <c r="H189" s="30">
        <v>545777.0</v>
      </c>
      <c r="I189" s="29">
        <v>65.0</v>
      </c>
      <c r="J189" s="29">
        <v>64.0</v>
      </c>
      <c r="K189" s="29">
        <v>22030.0</v>
      </c>
      <c r="L189" s="29">
        <v>2377.0</v>
      </c>
      <c r="M189" s="29">
        <v>262431.0</v>
      </c>
      <c r="N189" s="29">
        <v>284461.0</v>
      </c>
      <c r="O189" s="29">
        <v>6.0</v>
      </c>
      <c r="P189" s="31">
        <v>2565.0</v>
      </c>
      <c r="Q189" s="31">
        <v>9.0</v>
      </c>
      <c r="R189" s="31">
        <v>2145.0</v>
      </c>
      <c r="S189" s="31">
        <v>1.0</v>
      </c>
      <c r="T189" s="31">
        <v>336.0</v>
      </c>
      <c r="U189" s="31">
        <v>84.0</v>
      </c>
      <c r="V189" s="31">
        <v>88.0</v>
      </c>
      <c r="W189" s="31">
        <v>7.0</v>
      </c>
      <c r="X189" s="31">
        <v>4.0</v>
      </c>
      <c r="Y189" s="31">
        <v>2.0</v>
      </c>
      <c r="Z189" s="28">
        <v>1071.0</v>
      </c>
    </row>
    <row r="190" ht="14.25" customHeight="1">
      <c r="A190" s="27">
        <v>44076.0</v>
      </c>
      <c r="B190" s="28">
        <v>126.0</v>
      </c>
      <c r="C190" s="28">
        <v>110.0</v>
      </c>
      <c r="D190" s="28">
        <v>31720.0</v>
      </c>
      <c r="E190" s="29">
        <v>10680.0</v>
      </c>
      <c r="F190" s="30">
        <v>524863.0</v>
      </c>
      <c r="G190" s="30">
        <v>10806.0</v>
      </c>
      <c r="H190" s="30">
        <v>556583.0</v>
      </c>
      <c r="I190" s="29">
        <v>103.0</v>
      </c>
      <c r="J190" s="29">
        <v>83.0</v>
      </c>
      <c r="K190" s="29">
        <v>22133.0</v>
      </c>
      <c r="L190" s="29">
        <v>3047.0</v>
      </c>
      <c r="M190" s="29">
        <v>265478.0</v>
      </c>
      <c r="N190" s="29">
        <v>287611.0</v>
      </c>
      <c r="O190" s="29">
        <v>9.0</v>
      </c>
      <c r="P190" s="31">
        <v>2574.0</v>
      </c>
      <c r="Q190" s="31">
        <v>10.0</v>
      </c>
      <c r="R190" s="31">
        <v>2155.0</v>
      </c>
      <c r="S190" s="31">
        <v>1.0</v>
      </c>
      <c r="T190" s="31">
        <v>337.0</v>
      </c>
      <c r="U190" s="31">
        <v>82.0</v>
      </c>
      <c r="V190" s="31">
        <v>85.0</v>
      </c>
      <c r="W190" s="31">
        <v>8.0</v>
      </c>
      <c r="X190" s="31">
        <v>4.0</v>
      </c>
      <c r="Y190" s="31">
        <v>2.0</v>
      </c>
      <c r="Z190" s="28">
        <v>1073.0</v>
      </c>
    </row>
    <row r="191" ht="14.25" customHeight="1">
      <c r="A191" s="27">
        <v>44077.0</v>
      </c>
      <c r="B191" s="28">
        <v>89.0</v>
      </c>
      <c r="C191" s="28">
        <v>104.0</v>
      </c>
      <c r="D191" s="28">
        <v>31809.0</v>
      </c>
      <c r="E191" s="29">
        <v>11205.0</v>
      </c>
      <c r="F191" s="30">
        <v>536068.0</v>
      </c>
      <c r="G191" s="30">
        <v>11294.0</v>
      </c>
      <c r="H191" s="30">
        <v>567877.0</v>
      </c>
      <c r="I191" s="29">
        <v>74.0</v>
      </c>
      <c r="J191" s="29">
        <v>81.0</v>
      </c>
      <c r="K191" s="29">
        <v>22207.0</v>
      </c>
      <c r="L191" s="29">
        <v>2583.0</v>
      </c>
      <c r="M191" s="29">
        <v>268061.0</v>
      </c>
      <c r="N191" s="29">
        <v>290268.0</v>
      </c>
      <c r="O191" s="29">
        <v>8.0</v>
      </c>
      <c r="P191" s="31">
        <v>2582.0</v>
      </c>
      <c r="Q191" s="31">
        <v>8.0</v>
      </c>
      <c r="R191" s="31">
        <v>2163.0</v>
      </c>
      <c r="S191" s="31">
        <v>0.0</v>
      </c>
      <c r="T191" s="31">
        <v>337.0</v>
      </c>
      <c r="U191" s="31">
        <v>82.0</v>
      </c>
      <c r="V191" s="31">
        <v>83.0</v>
      </c>
      <c r="W191" s="31">
        <v>9.0</v>
      </c>
      <c r="X191" s="31">
        <v>4.0</v>
      </c>
      <c r="Y191" s="31">
        <v>2.0</v>
      </c>
      <c r="Z191" s="28">
        <v>1075.0</v>
      </c>
    </row>
    <row r="192" ht="14.25" customHeight="1">
      <c r="A192" s="27">
        <v>44078.0</v>
      </c>
      <c r="B192" s="28">
        <v>102.0</v>
      </c>
      <c r="C192" s="28">
        <v>106.0</v>
      </c>
      <c r="D192" s="28">
        <v>31911.0</v>
      </c>
      <c r="E192" s="29">
        <v>9038.0</v>
      </c>
      <c r="F192" s="30">
        <v>545106.0</v>
      </c>
      <c r="G192" s="30">
        <v>9140.0</v>
      </c>
      <c r="H192" s="30">
        <v>577017.0</v>
      </c>
      <c r="I192" s="29">
        <v>82.0</v>
      </c>
      <c r="J192" s="29">
        <v>86.0</v>
      </c>
      <c r="K192" s="29">
        <v>22289.0</v>
      </c>
      <c r="L192" s="29">
        <v>2399.0</v>
      </c>
      <c r="M192" s="29">
        <v>270460.0</v>
      </c>
      <c r="N192" s="29">
        <v>292749.0</v>
      </c>
      <c r="O192" s="29">
        <v>11.0</v>
      </c>
      <c r="P192" s="31">
        <v>2593.0</v>
      </c>
      <c r="Q192" s="31">
        <v>4.0</v>
      </c>
      <c r="R192" s="31">
        <v>2167.0</v>
      </c>
      <c r="S192" s="31">
        <v>0.0</v>
      </c>
      <c r="T192" s="31">
        <v>337.0</v>
      </c>
      <c r="U192" s="31">
        <v>89.0</v>
      </c>
      <c r="V192" s="31">
        <v>84.0</v>
      </c>
      <c r="W192" s="31">
        <v>9.0</v>
      </c>
      <c r="X192" s="31">
        <v>4.0</v>
      </c>
      <c r="Y192" s="31">
        <v>1.0</v>
      </c>
      <c r="Z192" s="28">
        <v>1076.0</v>
      </c>
    </row>
    <row r="193" ht="14.25" customHeight="1">
      <c r="A193" s="27">
        <v>44079.0</v>
      </c>
      <c r="B193" s="28">
        <v>52.0</v>
      </c>
      <c r="C193" s="28">
        <v>81.0</v>
      </c>
      <c r="D193" s="28">
        <v>31963.0</v>
      </c>
      <c r="E193" s="29">
        <v>6307.0</v>
      </c>
      <c r="F193" s="30">
        <v>551413.0</v>
      </c>
      <c r="G193" s="30">
        <v>6359.0</v>
      </c>
      <c r="H193" s="30">
        <v>583376.0</v>
      </c>
      <c r="I193" s="29">
        <v>42.0</v>
      </c>
      <c r="J193" s="29">
        <v>66.0</v>
      </c>
      <c r="K193" s="29">
        <v>22331.0</v>
      </c>
      <c r="L193" s="29">
        <v>1601.0</v>
      </c>
      <c r="M193" s="29">
        <v>272061.0</v>
      </c>
      <c r="N193" s="29">
        <v>294392.0</v>
      </c>
      <c r="O193" s="29">
        <v>6.0</v>
      </c>
      <c r="P193" s="31">
        <v>2599.0</v>
      </c>
      <c r="Q193" s="31">
        <v>9.0</v>
      </c>
      <c r="R193" s="31">
        <v>2176.0</v>
      </c>
      <c r="S193" s="31">
        <v>0.0</v>
      </c>
      <c r="T193" s="31">
        <v>337.0</v>
      </c>
      <c r="U193" s="31">
        <v>86.0</v>
      </c>
      <c r="V193" s="31">
        <v>86.0</v>
      </c>
      <c r="W193" s="31">
        <v>8.0</v>
      </c>
      <c r="X193" s="31">
        <v>3.0</v>
      </c>
      <c r="Y193" s="31">
        <v>1.0</v>
      </c>
      <c r="Z193" s="28">
        <v>1077.0</v>
      </c>
    </row>
    <row r="194" ht="14.25" customHeight="1">
      <c r="A194" s="27">
        <v>44080.0</v>
      </c>
      <c r="B194" s="28">
        <v>87.0</v>
      </c>
      <c r="C194" s="28">
        <v>80.0</v>
      </c>
      <c r="D194" s="28">
        <v>32050.0</v>
      </c>
      <c r="E194" s="29">
        <v>4316.0</v>
      </c>
      <c r="F194" s="30">
        <v>555729.0</v>
      </c>
      <c r="G194" s="30">
        <v>4403.0</v>
      </c>
      <c r="H194" s="30">
        <v>587779.0</v>
      </c>
      <c r="I194" s="29">
        <v>64.0</v>
      </c>
      <c r="J194" s="29">
        <v>63.0</v>
      </c>
      <c r="K194" s="29">
        <v>22395.0</v>
      </c>
      <c r="L194" s="29">
        <v>1959.0</v>
      </c>
      <c r="M194" s="29">
        <v>274020.0</v>
      </c>
      <c r="N194" s="29">
        <v>296415.0</v>
      </c>
      <c r="O194" s="29">
        <v>4.0</v>
      </c>
      <c r="P194" s="31">
        <v>2603.0</v>
      </c>
      <c r="Q194" s="31">
        <v>8.0</v>
      </c>
      <c r="R194" s="31">
        <v>2184.0</v>
      </c>
      <c r="S194" s="31">
        <v>1.0</v>
      </c>
      <c r="T194" s="31">
        <v>338.0</v>
      </c>
      <c r="U194" s="31">
        <v>81.0</v>
      </c>
      <c r="V194" s="31">
        <v>85.0</v>
      </c>
      <c r="W194" s="31">
        <v>6.0</v>
      </c>
      <c r="X194" s="31">
        <v>3.0</v>
      </c>
      <c r="Y194" s="31">
        <v>1.0</v>
      </c>
      <c r="Z194" s="28">
        <v>1078.0</v>
      </c>
    </row>
    <row r="195" ht="14.25" customHeight="1">
      <c r="A195" s="27">
        <v>44081.0</v>
      </c>
      <c r="B195" s="28">
        <v>35.0</v>
      </c>
      <c r="C195" s="28">
        <v>58.0</v>
      </c>
      <c r="D195" s="28">
        <v>32085.0</v>
      </c>
      <c r="E195" s="29">
        <v>3002.0</v>
      </c>
      <c r="F195" s="30">
        <v>558731.0</v>
      </c>
      <c r="G195" s="30">
        <v>3037.0</v>
      </c>
      <c r="H195" s="30">
        <v>590816.0</v>
      </c>
      <c r="I195" s="29">
        <v>26.0</v>
      </c>
      <c r="J195" s="29">
        <v>44.0</v>
      </c>
      <c r="K195" s="29">
        <v>22421.0</v>
      </c>
      <c r="L195" s="29">
        <v>649.0</v>
      </c>
      <c r="M195" s="29">
        <v>274669.0</v>
      </c>
      <c r="N195" s="29">
        <v>297090.0</v>
      </c>
      <c r="O195" s="29">
        <v>11.0</v>
      </c>
      <c r="P195" s="31">
        <v>2614.0</v>
      </c>
      <c r="Q195" s="31">
        <v>3.0</v>
      </c>
      <c r="R195" s="31">
        <v>2187.0</v>
      </c>
      <c r="S195" s="31">
        <v>0.0</v>
      </c>
      <c r="T195" s="31">
        <v>338.0</v>
      </c>
      <c r="U195" s="31">
        <v>89.0</v>
      </c>
      <c r="V195" s="31">
        <v>85.0</v>
      </c>
      <c r="W195" s="31">
        <v>5.0</v>
      </c>
      <c r="X195" s="31">
        <v>3.0</v>
      </c>
      <c r="Y195" s="31">
        <v>1.0</v>
      </c>
      <c r="Z195" s="28">
        <v>1079.0</v>
      </c>
    </row>
    <row r="196" ht="14.25" customHeight="1">
      <c r="A196" s="27">
        <v>44082.0</v>
      </c>
      <c r="B196" s="28">
        <v>75.0</v>
      </c>
      <c r="C196" s="28">
        <v>66.0</v>
      </c>
      <c r="D196" s="28">
        <v>32160.0</v>
      </c>
      <c r="E196" s="29">
        <v>6377.0</v>
      </c>
      <c r="F196" s="30">
        <v>565108.0</v>
      </c>
      <c r="G196" s="30">
        <v>6452.0</v>
      </c>
      <c r="H196" s="30">
        <v>597268.0</v>
      </c>
      <c r="I196" s="29">
        <v>66.0</v>
      </c>
      <c r="J196" s="29">
        <v>52.0</v>
      </c>
      <c r="K196" s="29">
        <v>22487.0</v>
      </c>
      <c r="L196" s="29">
        <v>1605.0</v>
      </c>
      <c r="M196" s="29">
        <v>276274.0</v>
      </c>
      <c r="N196" s="29">
        <v>298761.0</v>
      </c>
      <c r="O196" s="29">
        <v>6.0</v>
      </c>
      <c r="P196" s="31">
        <v>2620.0</v>
      </c>
      <c r="Q196" s="31">
        <v>12.0</v>
      </c>
      <c r="R196" s="31">
        <v>2199.0</v>
      </c>
      <c r="S196" s="31">
        <v>1.0</v>
      </c>
      <c r="T196" s="31">
        <v>339.0</v>
      </c>
      <c r="U196" s="31">
        <v>82.0</v>
      </c>
      <c r="V196" s="31">
        <v>84.0</v>
      </c>
      <c r="W196" s="31">
        <v>6.0</v>
      </c>
      <c r="X196" s="31">
        <v>3.0</v>
      </c>
      <c r="Y196" s="31">
        <v>2.0</v>
      </c>
      <c r="Z196" s="28">
        <v>1081.0</v>
      </c>
    </row>
    <row r="197" ht="14.25" customHeight="1">
      <c r="A197" s="27">
        <v>44083.0</v>
      </c>
      <c r="B197" s="28">
        <v>118.0</v>
      </c>
      <c r="C197" s="28">
        <v>76.0</v>
      </c>
      <c r="D197" s="28">
        <v>32278.0</v>
      </c>
      <c r="E197" s="29">
        <v>8840.0</v>
      </c>
      <c r="F197" s="30">
        <v>573948.0</v>
      </c>
      <c r="G197" s="30">
        <v>8958.0</v>
      </c>
      <c r="H197" s="30">
        <v>606226.0</v>
      </c>
      <c r="I197" s="29">
        <v>101.0</v>
      </c>
      <c r="J197" s="29">
        <v>64.0</v>
      </c>
      <c r="K197" s="29">
        <v>22588.0</v>
      </c>
      <c r="L197" s="29">
        <v>2157.0</v>
      </c>
      <c r="M197" s="29">
        <v>278431.0</v>
      </c>
      <c r="N197" s="29">
        <v>301019.0</v>
      </c>
      <c r="O197" s="29">
        <v>9.0</v>
      </c>
      <c r="P197" s="31">
        <v>2629.0</v>
      </c>
      <c r="Q197" s="31">
        <v>5.0</v>
      </c>
      <c r="R197" s="31">
        <v>2204.0</v>
      </c>
      <c r="S197" s="31">
        <v>1.0</v>
      </c>
      <c r="T197" s="31">
        <v>340.0</v>
      </c>
      <c r="U197" s="31">
        <v>85.0</v>
      </c>
      <c r="V197" s="31">
        <v>85.0</v>
      </c>
      <c r="W197" s="31">
        <v>9.0</v>
      </c>
      <c r="X197" s="31">
        <v>3.0</v>
      </c>
      <c r="Y197" s="31">
        <v>1.0</v>
      </c>
      <c r="Z197" s="28">
        <v>1082.0</v>
      </c>
    </row>
    <row r="198" ht="14.25" customHeight="1">
      <c r="A198" s="27">
        <v>44084.0</v>
      </c>
      <c r="B198" s="28">
        <v>166.0</v>
      </c>
      <c r="C198" s="28">
        <v>120.0</v>
      </c>
      <c r="D198" s="28">
        <v>32444.0</v>
      </c>
      <c r="E198" s="29">
        <v>11425.0</v>
      </c>
      <c r="F198" s="30">
        <v>585373.0</v>
      </c>
      <c r="G198" s="30">
        <v>11591.0</v>
      </c>
      <c r="H198" s="30">
        <v>617817.0</v>
      </c>
      <c r="I198" s="29">
        <v>113.0</v>
      </c>
      <c r="J198" s="29">
        <v>93.0</v>
      </c>
      <c r="K198" s="29">
        <v>22701.0</v>
      </c>
      <c r="L198" s="29">
        <v>2273.0</v>
      </c>
      <c r="M198" s="29">
        <v>280704.0</v>
      </c>
      <c r="N198" s="29">
        <v>303405.0</v>
      </c>
      <c r="O198" s="29">
        <v>8.0</v>
      </c>
      <c r="P198" s="31">
        <v>2637.0</v>
      </c>
      <c r="Q198" s="31">
        <v>8.0</v>
      </c>
      <c r="R198" s="31">
        <v>2212.0</v>
      </c>
      <c r="S198" s="31">
        <v>0.0</v>
      </c>
      <c r="T198" s="31">
        <v>340.0</v>
      </c>
      <c r="U198" s="31">
        <v>85.0</v>
      </c>
      <c r="V198" s="31">
        <v>84.0</v>
      </c>
      <c r="W198" s="31">
        <v>10.0</v>
      </c>
      <c r="X198" s="31">
        <v>3.0</v>
      </c>
      <c r="Y198" s="31">
        <v>0.0</v>
      </c>
      <c r="Z198" s="28">
        <v>1082.0</v>
      </c>
    </row>
    <row r="199" ht="14.25" customHeight="1">
      <c r="A199" s="27">
        <v>44085.0</v>
      </c>
      <c r="B199" s="28">
        <v>119.0</v>
      </c>
      <c r="C199" s="28">
        <v>134.0</v>
      </c>
      <c r="D199" s="28">
        <v>32563.0</v>
      </c>
      <c r="E199" s="29">
        <v>9459.0</v>
      </c>
      <c r="F199" s="30">
        <v>594832.0</v>
      </c>
      <c r="G199" s="30">
        <v>9578.0</v>
      </c>
      <c r="H199" s="30">
        <v>627395.0</v>
      </c>
      <c r="I199" s="29">
        <v>99.0</v>
      </c>
      <c r="J199" s="29">
        <v>104.0</v>
      </c>
      <c r="K199" s="29">
        <v>22800.0</v>
      </c>
      <c r="L199" s="29">
        <v>1971.0</v>
      </c>
      <c r="M199" s="29">
        <v>282675.0</v>
      </c>
      <c r="N199" s="29">
        <v>305475.0</v>
      </c>
      <c r="O199" s="29">
        <v>11.0</v>
      </c>
      <c r="P199" s="31">
        <v>2648.0</v>
      </c>
      <c r="Q199" s="31">
        <v>11.0</v>
      </c>
      <c r="R199" s="31">
        <v>2223.0</v>
      </c>
      <c r="S199" s="31">
        <v>0.0</v>
      </c>
      <c r="T199" s="31">
        <v>340.0</v>
      </c>
      <c r="U199" s="31">
        <v>85.0</v>
      </c>
      <c r="V199" s="31">
        <v>85.0</v>
      </c>
      <c r="W199" s="31">
        <v>10.0</v>
      </c>
      <c r="X199" s="31">
        <v>5.0</v>
      </c>
      <c r="Y199" s="31">
        <v>0.0</v>
      </c>
      <c r="Z199" s="28">
        <v>1082.0</v>
      </c>
    </row>
    <row r="200" ht="14.25" customHeight="1">
      <c r="A200" s="27">
        <v>44086.0</v>
      </c>
      <c r="B200" s="28">
        <v>108.0</v>
      </c>
      <c r="C200" s="28">
        <v>131.0</v>
      </c>
      <c r="D200" s="28">
        <v>32671.0</v>
      </c>
      <c r="E200" s="29">
        <v>6112.0</v>
      </c>
      <c r="F200" s="30">
        <v>600944.0</v>
      </c>
      <c r="G200" s="30">
        <v>6220.0</v>
      </c>
      <c r="H200" s="30">
        <v>633615.0</v>
      </c>
      <c r="I200" s="29">
        <v>96.0</v>
      </c>
      <c r="J200" s="29">
        <v>103.0</v>
      </c>
      <c r="K200" s="29">
        <v>22896.0</v>
      </c>
      <c r="L200" s="29">
        <v>1474.0</v>
      </c>
      <c r="M200" s="29">
        <v>284149.0</v>
      </c>
      <c r="N200" s="29">
        <v>307045.0</v>
      </c>
      <c r="O200" s="29">
        <v>8.0</v>
      </c>
      <c r="P200" s="31">
        <v>2656.0</v>
      </c>
      <c r="Q200" s="31">
        <v>5.0</v>
      </c>
      <c r="R200" s="31">
        <v>2228.0</v>
      </c>
      <c r="S200" s="31">
        <v>2.0</v>
      </c>
      <c r="T200" s="31">
        <v>342.0</v>
      </c>
      <c r="U200" s="31">
        <v>86.0</v>
      </c>
      <c r="V200" s="31">
        <v>85.0</v>
      </c>
      <c r="W200" s="31">
        <v>9.0</v>
      </c>
      <c r="X200" s="31">
        <v>5.0</v>
      </c>
      <c r="Y200" s="31">
        <v>3.0</v>
      </c>
      <c r="Z200" s="28">
        <v>1085.0</v>
      </c>
    </row>
    <row r="201" ht="14.25" customHeight="1">
      <c r="A201" s="27">
        <v>44087.0</v>
      </c>
      <c r="B201" s="28">
        <v>58.0</v>
      </c>
      <c r="C201" s="28">
        <v>95.0</v>
      </c>
      <c r="D201" s="28">
        <v>32729.0</v>
      </c>
      <c r="E201" s="29">
        <v>2629.0</v>
      </c>
      <c r="F201" s="30">
        <v>603573.0</v>
      </c>
      <c r="G201" s="30">
        <v>2687.0</v>
      </c>
      <c r="H201" s="30">
        <v>636302.0</v>
      </c>
      <c r="I201" s="29">
        <v>53.0</v>
      </c>
      <c r="J201" s="29">
        <v>83.0</v>
      </c>
      <c r="K201" s="29">
        <v>22949.0</v>
      </c>
      <c r="L201" s="29">
        <v>808.0</v>
      </c>
      <c r="M201" s="29">
        <v>284957.0</v>
      </c>
      <c r="N201" s="29">
        <v>307906.0</v>
      </c>
      <c r="O201" s="29">
        <v>4.0</v>
      </c>
      <c r="P201" s="31">
        <v>2660.0</v>
      </c>
      <c r="Q201" s="31">
        <v>3.0</v>
      </c>
      <c r="R201" s="31">
        <v>2231.0</v>
      </c>
      <c r="S201" s="31">
        <v>0.0</v>
      </c>
      <c r="T201" s="31">
        <v>342.0</v>
      </c>
      <c r="U201" s="31">
        <v>87.0</v>
      </c>
      <c r="V201" s="31">
        <v>86.0</v>
      </c>
      <c r="W201" s="31">
        <v>9.0</v>
      </c>
      <c r="X201" s="31">
        <v>5.0</v>
      </c>
      <c r="Y201" s="31">
        <v>0.0</v>
      </c>
      <c r="Z201" s="28">
        <v>1085.0</v>
      </c>
    </row>
    <row r="202" ht="14.25" customHeight="1">
      <c r="A202" s="27">
        <v>44088.0</v>
      </c>
      <c r="B202" s="28">
        <v>101.0</v>
      </c>
      <c r="C202" s="28">
        <v>89.0</v>
      </c>
      <c r="D202" s="28">
        <v>32830.0</v>
      </c>
      <c r="E202" s="29">
        <v>6278.0</v>
      </c>
      <c r="F202" s="30">
        <v>609851.0</v>
      </c>
      <c r="G202" s="30">
        <v>6379.0</v>
      </c>
      <c r="H202" s="30">
        <v>642681.0</v>
      </c>
      <c r="I202" s="29">
        <v>93.0</v>
      </c>
      <c r="J202" s="29">
        <v>81.0</v>
      </c>
      <c r="K202" s="29">
        <v>23042.0</v>
      </c>
      <c r="L202" s="29">
        <v>1637.0</v>
      </c>
      <c r="M202" s="29">
        <v>286594.0</v>
      </c>
      <c r="N202" s="29">
        <v>309636.0</v>
      </c>
      <c r="O202" s="29">
        <v>5.0</v>
      </c>
      <c r="P202" s="31">
        <v>2665.0</v>
      </c>
      <c r="Q202" s="31">
        <v>3.0</v>
      </c>
      <c r="R202" s="31">
        <v>2234.0</v>
      </c>
      <c r="S202" s="31">
        <v>2.0</v>
      </c>
      <c r="T202" s="31">
        <v>344.0</v>
      </c>
      <c r="U202" s="31">
        <v>87.0</v>
      </c>
      <c r="V202" s="31">
        <v>87.0</v>
      </c>
      <c r="W202" s="31">
        <v>9.0</v>
      </c>
      <c r="X202" s="31">
        <v>5.0</v>
      </c>
      <c r="Y202" s="31">
        <v>1.0</v>
      </c>
      <c r="Z202" s="28">
        <v>1086.0</v>
      </c>
    </row>
    <row r="203" ht="14.25" customHeight="1">
      <c r="A203" s="27">
        <v>44089.0</v>
      </c>
      <c r="B203" s="28">
        <v>142.0</v>
      </c>
      <c r="C203" s="28">
        <v>100.0</v>
      </c>
      <c r="D203" s="28">
        <v>32972.0</v>
      </c>
      <c r="E203" s="29">
        <v>8374.0</v>
      </c>
      <c r="F203" s="30">
        <v>618225.0</v>
      </c>
      <c r="G203" s="30">
        <v>8516.0</v>
      </c>
      <c r="H203" s="30">
        <v>651197.0</v>
      </c>
      <c r="I203" s="29">
        <v>117.0</v>
      </c>
      <c r="J203" s="29">
        <v>88.0</v>
      </c>
      <c r="K203" s="29">
        <v>23159.0</v>
      </c>
      <c r="L203" s="29">
        <v>2067.0</v>
      </c>
      <c r="M203" s="29">
        <v>288661.0</v>
      </c>
      <c r="N203" s="29">
        <v>311820.0</v>
      </c>
      <c r="O203" s="29">
        <v>5.0</v>
      </c>
      <c r="P203" s="31">
        <v>2670.0</v>
      </c>
      <c r="Q203" s="31">
        <v>2.0</v>
      </c>
      <c r="R203" s="31">
        <v>2236.0</v>
      </c>
      <c r="S203" s="31">
        <v>1.0</v>
      </c>
      <c r="T203" s="31">
        <v>345.0</v>
      </c>
      <c r="U203" s="31">
        <v>89.0</v>
      </c>
      <c r="V203" s="31">
        <v>88.0</v>
      </c>
      <c r="W203" s="31">
        <v>9.0</v>
      </c>
      <c r="X203" s="31">
        <v>5.0</v>
      </c>
      <c r="Y203" s="31">
        <v>2.0</v>
      </c>
      <c r="Z203" s="28">
        <v>1088.0</v>
      </c>
    </row>
    <row r="204" ht="14.25" customHeight="1">
      <c r="A204" s="27">
        <v>44090.0</v>
      </c>
      <c r="B204" s="28">
        <v>155.0</v>
      </c>
      <c r="C204" s="28">
        <v>133.0</v>
      </c>
      <c r="D204" s="28">
        <v>33127.0</v>
      </c>
      <c r="E204" s="29">
        <v>9575.0</v>
      </c>
      <c r="F204" s="30">
        <v>627800.0</v>
      </c>
      <c r="G204" s="30">
        <v>9730.0</v>
      </c>
      <c r="H204" s="30">
        <v>660927.0</v>
      </c>
      <c r="I204" s="29">
        <v>117.0</v>
      </c>
      <c r="J204" s="29">
        <v>109.0</v>
      </c>
      <c r="K204" s="29">
        <v>23276.0</v>
      </c>
      <c r="L204" s="29">
        <v>1843.0</v>
      </c>
      <c r="M204" s="29">
        <v>290504.0</v>
      </c>
      <c r="N204" s="29">
        <v>313780.0</v>
      </c>
      <c r="O204" s="29">
        <v>7.0</v>
      </c>
      <c r="P204" s="31">
        <v>2677.0</v>
      </c>
      <c r="Q204" s="31">
        <v>7.0</v>
      </c>
      <c r="R204" s="31">
        <v>2243.0</v>
      </c>
      <c r="S204" s="31">
        <v>2.0</v>
      </c>
      <c r="T204" s="31">
        <v>347.0</v>
      </c>
      <c r="U204" s="31">
        <v>87.0</v>
      </c>
      <c r="V204" s="31">
        <v>88.0</v>
      </c>
      <c r="W204" s="31">
        <v>7.0</v>
      </c>
      <c r="X204" s="31">
        <v>6.0</v>
      </c>
      <c r="Y204" s="31">
        <v>5.0</v>
      </c>
      <c r="Z204" s="28">
        <v>1093.0</v>
      </c>
    </row>
    <row r="205" ht="14.25" customHeight="1">
      <c r="A205" s="27">
        <v>44091.0</v>
      </c>
      <c r="B205" s="28">
        <v>136.0</v>
      </c>
      <c r="C205" s="28">
        <v>144.0</v>
      </c>
      <c r="D205" s="28">
        <v>33263.0</v>
      </c>
      <c r="E205" s="29">
        <v>9258.0</v>
      </c>
      <c r="F205" s="30">
        <v>637058.0</v>
      </c>
      <c r="G205" s="30">
        <v>9394.0</v>
      </c>
      <c r="H205" s="30">
        <v>670321.0</v>
      </c>
      <c r="I205" s="29">
        <v>155.0</v>
      </c>
      <c r="J205" s="29">
        <v>130.0</v>
      </c>
      <c r="K205" s="29">
        <v>23431.0</v>
      </c>
      <c r="L205" s="29">
        <v>1925.0</v>
      </c>
      <c r="M205" s="29">
        <v>292429.0</v>
      </c>
      <c r="N205" s="29">
        <v>315860.0</v>
      </c>
      <c r="O205" s="29">
        <v>7.0</v>
      </c>
      <c r="P205" s="31">
        <v>2684.0</v>
      </c>
      <c r="Q205" s="31">
        <v>14.0</v>
      </c>
      <c r="R205" s="31">
        <v>2257.0</v>
      </c>
      <c r="S205" s="31">
        <v>0.0</v>
      </c>
      <c r="T205" s="31">
        <v>347.0</v>
      </c>
      <c r="U205" s="31">
        <v>80.0</v>
      </c>
      <c r="V205" s="31">
        <v>85.0</v>
      </c>
      <c r="W205" s="31">
        <v>8.0</v>
      </c>
      <c r="X205" s="31">
        <v>3.0</v>
      </c>
      <c r="Y205" s="31">
        <v>0.0</v>
      </c>
      <c r="Z205" s="28">
        <v>1093.0</v>
      </c>
    </row>
    <row r="206" ht="14.25" customHeight="1">
      <c r="A206" s="27">
        <v>44092.0</v>
      </c>
      <c r="B206" s="28">
        <v>201.0</v>
      </c>
      <c r="C206" s="28">
        <v>164.0</v>
      </c>
      <c r="D206" s="28">
        <v>33464.0</v>
      </c>
      <c r="E206" s="29">
        <v>10008.0</v>
      </c>
      <c r="F206" s="30">
        <v>647066.0</v>
      </c>
      <c r="G206" s="30">
        <v>10209.0</v>
      </c>
      <c r="H206" s="30">
        <v>680530.0</v>
      </c>
      <c r="I206" s="29">
        <v>129.0</v>
      </c>
      <c r="J206" s="29">
        <v>134.0</v>
      </c>
      <c r="K206" s="29">
        <v>23560.0</v>
      </c>
      <c r="L206" s="29">
        <v>1960.0</v>
      </c>
      <c r="M206" s="29">
        <v>294389.0</v>
      </c>
      <c r="N206" s="29">
        <v>317949.0</v>
      </c>
      <c r="O206" s="29">
        <v>6.0</v>
      </c>
      <c r="P206" s="31">
        <v>2690.0</v>
      </c>
      <c r="Q206" s="31">
        <v>7.0</v>
      </c>
      <c r="R206" s="31">
        <v>2264.0</v>
      </c>
      <c r="S206" s="31">
        <v>1.0</v>
      </c>
      <c r="T206" s="31">
        <v>348.0</v>
      </c>
      <c r="U206" s="31">
        <v>78.0</v>
      </c>
      <c r="V206" s="31">
        <v>82.0</v>
      </c>
      <c r="W206" s="31">
        <v>11.0</v>
      </c>
      <c r="X206" s="31">
        <v>5.0</v>
      </c>
      <c r="Y206" s="31">
        <v>2.0</v>
      </c>
      <c r="Z206" s="28">
        <v>1095.0</v>
      </c>
    </row>
    <row r="207" ht="14.25" customHeight="1">
      <c r="A207" s="27">
        <v>44093.0</v>
      </c>
      <c r="B207" s="28">
        <v>163.0</v>
      </c>
      <c r="C207" s="28">
        <v>167.0</v>
      </c>
      <c r="D207" s="28">
        <v>33627.0</v>
      </c>
      <c r="E207" s="29">
        <v>8389.0</v>
      </c>
      <c r="F207" s="30">
        <v>655455.0</v>
      </c>
      <c r="G207" s="30">
        <v>8552.0</v>
      </c>
      <c r="H207" s="30">
        <v>689082.0</v>
      </c>
      <c r="I207" s="29">
        <v>108.0</v>
      </c>
      <c r="J207" s="29">
        <v>131.0</v>
      </c>
      <c r="K207" s="29">
        <v>23668.0</v>
      </c>
      <c r="L207" s="29">
        <v>1750.0</v>
      </c>
      <c r="M207" s="29">
        <v>296139.0</v>
      </c>
      <c r="N207" s="29">
        <v>319807.0</v>
      </c>
      <c r="O207" s="29">
        <v>7.0</v>
      </c>
      <c r="P207" s="31">
        <v>2697.0</v>
      </c>
      <c r="Q207" s="31">
        <v>3.0</v>
      </c>
      <c r="R207" s="31">
        <v>2267.0</v>
      </c>
      <c r="S207" s="31">
        <v>0.0</v>
      </c>
      <c r="T207" s="31">
        <v>348.0</v>
      </c>
      <c r="U207" s="31">
        <v>82.0</v>
      </c>
      <c r="V207" s="31">
        <v>80.0</v>
      </c>
      <c r="W207" s="31">
        <v>10.0</v>
      </c>
      <c r="X207" s="31">
        <v>5.0</v>
      </c>
      <c r="Y207" s="31">
        <v>4.0</v>
      </c>
      <c r="Z207" s="28">
        <v>1099.0</v>
      </c>
    </row>
    <row r="208" ht="14.25" customHeight="1">
      <c r="A208" s="27">
        <v>44094.0</v>
      </c>
      <c r="B208" s="28">
        <v>81.0</v>
      </c>
      <c r="C208" s="28">
        <v>148.0</v>
      </c>
      <c r="D208" s="28">
        <v>33708.0</v>
      </c>
      <c r="E208" s="29">
        <v>3800.0</v>
      </c>
      <c r="F208" s="30">
        <v>659255.0</v>
      </c>
      <c r="G208" s="30">
        <v>3881.0</v>
      </c>
      <c r="H208" s="30">
        <v>692963.0</v>
      </c>
      <c r="I208" s="29">
        <v>54.0</v>
      </c>
      <c r="J208" s="29">
        <v>97.0</v>
      </c>
      <c r="K208" s="29">
        <v>23722.0</v>
      </c>
      <c r="L208" s="29">
        <v>1417.0</v>
      </c>
      <c r="M208" s="29">
        <v>297556.0</v>
      </c>
      <c r="N208" s="29">
        <v>321278.0</v>
      </c>
      <c r="O208" s="29">
        <v>6.0</v>
      </c>
      <c r="P208" s="31">
        <v>2703.0</v>
      </c>
      <c r="Q208" s="31">
        <v>5.0</v>
      </c>
      <c r="R208" s="31">
        <v>2272.0</v>
      </c>
      <c r="S208" s="31">
        <v>2.0</v>
      </c>
      <c r="T208" s="31">
        <v>350.0</v>
      </c>
      <c r="U208" s="31">
        <v>81.0</v>
      </c>
      <c r="V208" s="31">
        <v>80.0</v>
      </c>
      <c r="W208" s="31">
        <v>10.0</v>
      </c>
      <c r="X208" s="31">
        <v>7.0</v>
      </c>
      <c r="Y208" s="31">
        <v>4.0</v>
      </c>
      <c r="Z208" s="28">
        <v>1103.0</v>
      </c>
    </row>
    <row r="209" ht="14.25" customHeight="1">
      <c r="A209" s="27">
        <v>44095.0</v>
      </c>
      <c r="B209" s="28">
        <v>125.0</v>
      </c>
      <c r="C209" s="28">
        <v>123.0</v>
      </c>
      <c r="D209" s="28">
        <v>33833.0</v>
      </c>
      <c r="E209" s="29">
        <v>7058.0</v>
      </c>
      <c r="F209" s="30">
        <v>666313.0</v>
      </c>
      <c r="G209" s="30">
        <v>7183.0</v>
      </c>
      <c r="H209" s="30">
        <v>700146.0</v>
      </c>
      <c r="I209" s="29">
        <v>97.0</v>
      </c>
      <c r="J209" s="29">
        <v>86.0</v>
      </c>
      <c r="K209" s="29">
        <v>23819.0</v>
      </c>
      <c r="L209" s="29">
        <v>2437.0</v>
      </c>
      <c r="M209" s="29">
        <v>299993.0</v>
      </c>
      <c r="N209" s="29">
        <v>323812.0</v>
      </c>
      <c r="O209" s="29">
        <v>11.0</v>
      </c>
      <c r="P209" s="31">
        <v>2714.0</v>
      </c>
      <c r="Q209" s="31">
        <v>3.0</v>
      </c>
      <c r="R209" s="31">
        <v>2275.0</v>
      </c>
      <c r="S209" s="31">
        <v>2.0</v>
      </c>
      <c r="T209" s="31">
        <v>352.0</v>
      </c>
      <c r="U209" s="31">
        <v>87.0</v>
      </c>
      <c r="V209" s="31">
        <v>83.0</v>
      </c>
      <c r="W209" s="31">
        <v>9.0</v>
      </c>
      <c r="X209" s="31">
        <v>5.0</v>
      </c>
      <c r="Y209" s="31">
        <v>2.0</v>
      </c>
      <c r="Z209" s="28">
        <v>1105.0</v>
      </c>
    </row>
    <row r="210" ht="14.25" customHeight="1">
      <c r="A210" s="27">
        <v>44096.0</v>
      </c>
      <c r="B210" s="28">
        <v>168.0</v>
      </c>
      <c r="C210" s="28">
        <v>125.0</v>
      </c>
      <c r="D210" s="28">
        <v>34001.0</v>
      </c>
      <c r="E210" s="29">
        <v>9069.0</v>
      </c>
      <c r="F210" s="30">
        <v>675382.0</v>
      </c>
      <c r="G210" s="30">
        <v>9237.0</v>
      </c>
      <c r="H210" s="30">
        <v>709383.0</v>
      </c>
      <c r="I210" s="29">
        <v>110.0</v>
      </c>
      <c r="J210" s="29">
        <v>87.0</v>
      </c>
      <c r="K210" s="29">
        <v>23929.0</v>
      </c>
      <c r="L210" s="29">
        <v>2065.0</v>
      </c>
      <c r="M210" s="29">
        <v>302058.0</v>
      </c>
      <c r="N210" s="29">
        <v>325987.0</v>
      </c>
      <c r="O210" s="29">
        <v>11.0</v>
      </c>
      <c r="P210" s="31">
        <v>2725.0</v>
      </c>
      <c r="Q210" s="31">
        <v>3.0</v>
      </c>
      <c r="R210" s="31">
        <v>2278.0</v>
      </c>
      <c r="S210" s="31">
        <v>1.0</v>
      </c>
      <c r="T210" s="31">
        <v>353.0</v>
      </c>
      <c r="U210" s="31">
        <v>94.0</v>
      </c>
      <c r="V210" s="31">
        <v>87.0</v>
      </c>
      <c r="W210" s="31">
        <v>8.0</v>
      </c>
      <c r="X210" s="31">
        <v>4.0</v>
      </c>
      <c r="Y210" s="31">
        <v>1.0</v>
      </c>
      <c r="Z210" s="28">
        <v>1106.0</v>
      </c>
    </row>
    <row r="211" ht="14.25" customHeight="1">
      <c r="A211" s="27">
        <v>44097.0</v>
      </c>
      <c r="B211" s="28">
        <v>164.0</v>
      </c>
      <c r="C211" s="28">
        <v>152.0</v>
      </c>
      <c r="D211" s="28">
        <v>34165.0</v>
      </c>
      <c r="E211" s="29">
        <v>10226.0</v>
      </c>
      <c r="F211" s="30">
        <v>685608.0</v>
      </c>
      <c r="G211" s="30">
        <v>10390.0</v>
      </c>
      <c r="H211" s="30">
        <v>719773.0</v>
      </c>
      <c r="I211" s="29">
        <v>133.0</v>
      </c>
      <c r="J211" s="29">
        <v>113.0</v>
      </c>
      <c r="K211" s="29">
        <v>24062.0</v>
      </c>
      <c r="L211" s="29">
        <v>2128.0</v>
      </c>
      <c r="M211" s="29">
        <v>304186.0</v>
      </c>
      <c r="N211" s="29">
        <v>328248.0</v>
      </c>
      <c r="O211" s="32"/>
      <c r="P211" s="33"/>
      <c r="Q211" s="33"/>
      <c r="R211" s="33"/>
      <c r="S211" s="33"/>
      <c r="T211" s="33"/>
      <c r="U211" s="33"/>
      <c r="V211" s="33"/>
      <c r="W211" s="33"/>
      <c r="X211" s="33"/>
      <c r="Y211" s="31">
        <v>0.0</v>
      </c>
      <c r="Z211" s="28">
        <v>1106.0</v>
      </c>
    </row>
    <row r="212" ht="14.25" customHeight="1">
      <c r="A212" s="34">
        <v>44098.0</v>
      </c>
      <c r="B212" s="28">
        <v>134.0</v>
      </c>
      <c r="C212" s="28">
        <v>155.0</v>
      </c>
      <c r="D212" s="28">
        <v>34299.0</v>
      </c>
      <c r="E212" s="29">
        <v>7562.0</v>
      </c>
      <c r="F212" s="30">
        <v>693170.0</v>
      </c>
      <c r="G212" s="30">
        <v>7696.0</v>
      </c>
      <c r="H212" s="30">
        <v>727469.0</v>
      </c>
      <c r="I212" s="29">
        <v>119.0</v>
      </c>
      <c r="J212" s="29">
        <v>121.0</v>
      </c>
      <c r="K212" s="29">
        <v>24181.0</v>
      </c>
      <c r="L212" s="29">
        <v>1667.0</v>
      </c>
      <c r="M212" s="29">
        <v>305853.0</v>
      </c>
      <c r="N212" s="29">
        <v>330034.0</v>
      </c>
      <c r="O212" s="35"/>
      <c r="P212" s="36"/>
      <c r="Q212" s="36"/>
      <c r="R212" s="36"/>
      <c r="S212" s="36"/>
      <c r="T212" s="36"/>
      <c r="U212" s="36"/>
      <c r="V212" s="36"/>
      <c r="W212" s="36"/>
      <c r="X212" s="36"/>
      <c r="Y212" s="31">
        <v>1.0</v>
      </c>
      <c r="Z212" s="28">
        <v>1107.0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7"/>
      <c r="B1" s="38" t="s">
        <v>31</v>
      </c>
      <c r="C1" s="39"/>
      <c r="D1" s="38" t="s">
        <v>32</v>
      </c>
      <c r="E1" s="39"/>
      <c r="F1" s="38" t="s">
        <v>33</v>
      </c>
      <c r="G1" s="39"/>
      <c r="H1" s="38" t="s">
        <v>34</v>
      </c>
      <c r="I1" s="39"/>
    </row>
    <row r="2" ht="14.25" customHeight="1">
      <c r="A2" s="40" t="s">
        <v>35</v>
      </c>
      <c r="B2" s="41" t="s">
        <v>36</v>
      </c>
      <c r="C2" s="39"/>
      <c r="D2" s="41" t="s">
        <v>37</v>
      </c>
      <c r="E2" s="39"/>
      <c r="F2" s="42" t="s">
        <v>38</v>
      </c>
      <c r="G2" s="39"/>
      <c r="H2" s="43" t="s">
        <v>39</v>
      </c>
      <c r="I2" s="39"/>
    </row>
    <row r="3" ht="14.25" customHeight="1">
      <c r="A3" s="44" t="s">
        <v>40</v>
      </c>
      <c r="B3" s="45">
        <v>162327.0</v>
      </c>
      <c r="C3" s="46">
        <v>0.55</v>
      </c>
      <c r="D3" s="47">
        <v>12644.0</v>
      </c>
      <c r="E3" s="48">
        <v>0.55</v>
      </c>
      <c r="F3" s="49">
        <v>1278.0</v>
      </c>
      <c r="G3" s="46">
        <v>0.47</v>
      </c>
      <c r="H3" s="49">
        <v>579.0</v>
      </c>
      <c r="I3" s="50">
        <v>0.53</v>
      </c>
    </row>
    <row r="4" ht="14.25" customHeight="1">
      <c r="A4" s="44" t="s">
        <v>41</v>
      </c>
      <c r="B4" s="45">
        <v>130457.0</v>
      </c>
      <c r="C4" s="46">
        <v>0.45</v>
      </c>
      <c r="D4" s="47">
        <v>10233.0</v>
      </c>
      <c r="E4" s="48">
        <v>0.45</v>
      </c>
      <c r="F4" s="49">
        <v>1403.0</v>
      </c>
      <c r="G4" s="46">
        <v>0.52</v>
      </c>
      <c r="H4" s="49">
        <v>515.0</v>
      </c>
      <c r="I4" s="50">
        <v>0.47</v>
      </c>
    </row>
    <row r="5" ht="14.25" customHeight="1">
      <c r="A5" s="44" t="s">
        <v>42</v>
      </c>
      <c r="B5" s="45">
        <v>17.0</v>
      </c>
      <c r="C5" s="51" t="s">
        <v>43</v>
      </c>
      <c r="D5" s="47">
        <v>103.0</v>
      </c>
      <c r="E5" s="51" t="s">
        <v>43</v>
      </c>
      <c r="F5" s="49">
        <v>10.0</v>
      </c>
      <c r="G5" s="52" t="s">
        <v>43</v>
      </c>
      <c r="H5" s="49">
        <v>0.0</v>
      </c>
      <c r="I5" s="50">
        <v>0.0</v>
      </c>
    </row>
    <row r="6" ht="14.25" customHeight="1">
      <c r="A6" s="44" t="s">
        <v>44</v>
      </c>
      <c r="B6" s="45">
        <v>12401.0</v>
      </c>
      <c r="C6" s="51" t="s">
        <v>30</v>
      </c>
      <c r="D6" s="47">
        <v>79.0</v>
      </c>
      <c r="E6" s="51" t="s">
        <v>30</v>
      </c>
      <c r="F6" s="53">
        <v>7.0</v>
      </c>
      <c r="G6" s="52" t="s">
        <v>30</v>
      </c>
      <c r="H6" s="49">
        <v>0.0</v>
      </c>
      <c r="I6" s="54" t="s">
        <v>30</v>
      </c>
    </row>
    <row r="7" ht="15.0" customHeight="1">
      <c r="A7" s="55" t="s">
        <v>45</v>
      </c>
      <c r="B7" s="56"/>
      <c r="C7" s="57"/>
      <c r="D7" s="58"/>
      <c r="E7" s="59"/>
      <c r="F7" s="60"/>
      <c r="G7" s="61"/>
      <c r="H7" s="60"/>
      <c r="I7" s="61"/>
    </row>
    <row r="8" ht="15.0" customHeight="1">
      <c r="A8" s="44" t="s">
        <v>46</v>
      </c>
      <c r="B8" s="45">
        <v>5976.0</v>
      </c>
      <c r="C8" s="46">
        <v>0.02</v>
      </c>
      <c r="D8" s="62">
        <v>374.0</v>
      </c>
      <c r="E8" s="48">
        <v>0.02</v>
      </c>
      <c r="F8" s="63">
        <v>24.0</v>
      </c>
      <c r="G8" s="64">
        <v>0.01</v>
      </c>
      <c r="H8" s="63">
        <v>0.0</v>
      </c>
      <c r="I8" s="64">
        <v>0.0</v>
      </c>
    </row>
    <row r="9" ht="15.0" customHeight="1">
      <c r="A9" s="65">
        <v>43960.0</v>
      </c>
      <c r="B9" s="45">
        <v>4934.0</v>
      </c>
      <c r="C9" s="46">
        <v>0.02</v>
      </c>
      <c r="D9" s="62">
        <v>372.0</v>
      </c>
      <c r="E9" s="48">
        <v>0.02</v>
      </c>
      <c r="F9" s="63">
        <v>8.0</v>
      </c>
      <c r="G9" s="66" t="s">
        <v>43</v>
      </c>
      <c r="H9" s="63">
        <v>0.0</v>
      </c>
      <c r="I9" s="50">
        <v>0.0</v>
      </c>
    </row>
    <row r="10" ht="15.0" customHeight="1">
      <c r="A10" s="65">
        <v>44118.0</v>
      </c>
      <c r="B10" s="45">
        <v>5649.0</v>
      </c>
      <c r="C10" s="46">
        <v>0.02</v>
      </c>
      <c r="D10" s="62">
        <v>436.0</v>
      </c>
      <c r="E10" s="48">
        <v>0.02</v>
      </c>
      <c r="F10" s="63">
        <v>16.0</v>
      </c>
      <c r="G10" s="64">
        <v>0.01</v>
      </c>
      <c r="H10" s="63" t="s">
        <v>47</v>
      </c>
      <c r="I10" s="54" t="s">
        <v>30</v>
      </c>
    </row>
    <row r="11" ht="14.25" customHeight="1">
      <c r="A11" s="44" t="s">
        <v>48</v>
      </c>
      <c r="B11" s="45">
        <v>13297.0</v>
      </c>
      <c r="C11" s="46">
        <v>0.04</v>
      </c>
      <c r="D11" s="62">
        <v>835.0</v>
      </c>
      <c r="E11" s="48">
        <v>0.04</v>
      </c>
      <c r="F11" s="63">
        <v>19.0</v>
      </c>
      <c r="G11" s="64">
        <v>0.01</v>
      </c>
      <c r="H11" s="63">
        <v>0.0</v>
      </c>
      <c r="I11" s="50">
        <v>0.0</v>
      </c>
    </row>
    <row r="12" ht="14.25" customHeight="1">
      <c r="A12" s="44" t="s">
        <v>49</v>
      </c>
      <c r="B12" s="45">
        <v>39056.0</v>
      </c>
      <c r="C12" s="46">
        <v>0.13</v>
      </c>
      <c r="D12" s="62">
        <v>2417.0</v>
      </c>
      <c r="E12" s="48">
        <v>0.1</v>
      </c>
      <c r="F12" s="63">
        <v>74.0</v>
      </c>
      <c r="G12" s="64">
        <v>0.03</v>
      </c>
      <c r="H12" s="63" t="s">
        <v>47</v>
      </c>
      <c r="I12" s="66" t="s">
        <v>30</v>
      </c>
    </row>
    <row r="13" ht="14.25" customHeight="1">
      <c r="A13" s="44" t="s">
        <v>50</v>
      </c>
      <c r="B13" s="45">
        <v>27511.0</v>
      </c>
      <c r="C13" s="46">
        <v>0.09</v>
      </c>
      <c r="D13" s="62">
        <v>2042.0</v>
      </c>
      <c r="E13" s="48">
        <v>0.09</v>
      </c>
      <c r="F13" s="63">
        <v>94.0</v>
      </c>
      <c r="G13" s="64">
        <v>0.03</v>
      </c>
      <c r="H13" s="63" t="s">
        <v>47</v>
      </c>
      <c r="I13" s="66" t="s">
        <v>30</v>
      </c>
    </row>
    <row r="14" ht="14.25" customHeight="1">
      <c r="A14" s="44" t="s">
        <v>51</v>
      </c>
      <c r="B14" s="45">
        <v>48154.0</v>
      </c>
      <c r="C14" s="46">
        <v>0.16</v>
      </c>
      <c r="D14" s="62">
        <v>3701.0</v>
      </c>
      <c r="E14" s="48">
        <v>0.16</v>
      </c>
      <c r="F14" s="63">
        <v>212.0</v>
      </c>
      <c r="G14" s="64">
        <v>0.08</v>
      </c>
      <c r="H14" s="63">
        <v>7.0</v>
      </c>
      <c r="I14" s="64">
        <v>0.01</v>
      </c>
    </row>
    <row r="15" ht="14.25" customHeight="1">
      <c r="A15" s="44" t="s">
        <v>52</v>
      </c>
      <c r="B15" s="45">
        <v>39115.0</v>
      </c>
      <c r="C15" s="46">
        <v>0.13</v>
      </c>
      <c r="D15" s="62">
        <v>3370.0</v>
      </c>
      <c r="E15" s="48">
        <v>0.15</v>
      </c>
      <c r="F15" s="63">
        <v>305.0</v>
      </c>
      <c r="G15" s="64">
        <v>0.11</v>
      </c>
      <c r="H15" s="63">
        <v>16.0</v>
      </c>
      <c r="I15" s="64">
        <v>0.01</v>
      </c>
    </row>
    <row r="16" ht="14.25" customHeight="1">
      <c r="A16" s="44" t="s">
        <v>53</v>
      </c>
      <c r="B16" s="45">
        <v>46178.0</v>
      </c>
      <c r="C16" s="46">
        <v>0.15</v>
      </c>
      <c r="D16" s="62">
        <v>3370.0</v>
      </c>
      <c r="E16" s="48">
        <v>0.15</v>
      </c>
      <c r="F16" s="63">
        <v>419.0</v>
      </c>
      <c r="G16" s="64">
        <v>0.16</v>
      </c>
      <c r="H16" s="63">
        <v>50.0</v>
      </c>
      <c r="I16" s="64">
        <v>0.05</v>
      </c>
    </row>
    <row r="17" ht="14.25" customHeight="1">
      <c r="A17" s="44" t="s">
        <v>54</v>
      </c>
      <c r="B17" s="45">
        <v>37772.0</v>
      </c>
      <c r="C17" s="46">
        <v>0.12</v>
      </c>
      <c r="D17" s="62">
        <v>2372.0</v>
      </c>
      <c r="E17" s="48">
        <v>0.1</v>
      </c>
      <c r="F17" s="63">
        <v>532.0</v>
      </c>
      <c r="G17" s="64">
        <v>0.2</v>
      </c>
      <c r="H17" s="63">
        <v>115.0</v>
      </c>
      <c r="I17" s="64">
        <v>0.11</v>
      </c>
    </row>
    <row r="18" ht="15.0" customHeight="1">
      <c r="A18" s="44" t="s">
        <v>55</v>
      </c>
      <c r="B18" s="45">
        <v>20880.0</v>
      </c>
      <c r="C18" s="46">
        <v>0.07</v>
      </c>
      <c r="D18" s="62">
        <v>1546.0</v>
      </c>
      <c r="E18" s="48">
        <v>0.07</v>
      </c>
      <c r="F18" s="63">
        <v>503.0</v>
      </c>
      <c r="G18" s="64">
        <v>0.19</v>
      </c>
      <c r="H18" s="63">
        <v>260.0</v>
      </c>
      <c r="I18" s="64">
        <v>0.24</v>
      </c>
    </row>
    <row r="19" ht="14.25" customHeight="1">
      <c r="A19" s="44" t="s">
        <v>56</v>
      </c>
      <c r="B19" s="45">
        <v>11066.0</v>
      </c>
      <c r="C19" s="46">
        <v>0.04</v>
      </c>
      <c r="D19" s="62">
        <v>1323.0</v>
      </c>
      <c r="E19" s="48">
        <v>0.06</v>
      </c>
      <c r="F19" s="63">
        <v>344.0</v>
      </c>
      <c r="G19" s="64">
        <v>0.13</v>
      </c>
      <c r="H19" s="63">
        <v>351.0</v>
      </c>
      <c r="I19" s="64">
        <v>0.32</v>
      </c>
    </row>
    <row r="20" ht="14.25" customHeight="1">
      <c r="A20" s="44" t="s">
        <v>57</v>
      </c>
      <c r="B20" s="45">
        <v>5388.0</v>
      </c>
      <c r="C20" s="46">
        <v>0.02</v>
      </c>
      <c r="D20" s="62">
        <v>893.0</v>
      </c>
      <c r="E20" s="48">
        <v>0.04</v>
      </c>
      <c r="F20" s="63">
        <v>146.0</v>
      </c>
      <c r="G20" s="64">
        <v>0.05</v>
      </c>
      <c r="H20" s="63">
        <v>290.0</v>
      </c>
      <c r="I20" s="64">
        <v>0.27</v>
      </c>
    </row>
    <row r="21" ht="14.25" customHeight="1">
      <c r="A21" s="44" t="s">
        <v>44</v>
      </c>
      <c r="B21" s="45">
        <v>226.0</v>
      </c>
      <c r="C21" s="51" t="s">
        <v>30</v>
      </c>
      <c r="D21" s="62">
        <v>8.0</v>
      </c>
      <c r="E21" s="51" t="s">
        <v>30</v>
      </c>
      <c r="F21" s="63" t="s">
        <v>47</v>
      </c>
      <c r="G21" s="66" t="s">
        <v>30</v>
      </c>
      <c r="H21" s="62">
        <v>0.0</v>
      </c>
      <c r="I21" s="51" t="s">
        <v>30</v>
      </c>
    </row>
    <row r="22" ht="15.0" customHeight="1">
      <c r="A22" s="55" t="s">
        <v>58</v>
      </c>
      <c r="B22" s="56"/>
      <c r="C22" s="57"/>
      <c r="D22" s="58"/>
      <c r="E22" s="59"/>
      <c r="F22" s="60"/>
      <c r="G22" s="61"/>
      <c r="H22" s="60"/>
      <c r="I22" s="61"/>
    </row>
    <row r="23" ht="15.0" customHeight="1">
      <c r="A23" s="44" t="s">
        <v>59</v>
      </c>
      <c r="B23" s="45">
        <v>24222.0</v>
      </c>
      <c r="C23" s="46">
        <v>0.22</v>
      </c>
      <c r="D23" s="62">
        <v>8187.0</v>
      </c>
      <c r="E23" s="48">
        <v>0.45</v>
      </c>
      <c r="F23" s="49">
        <v>763.0</v>
      </c>
      <c r="G23" s="50">
        <v>0.36</v>
      </c>
      <c r="H23" s="49">
        <v>104.0</v>
      </c>
      <c r="I23" s="50">
        <v>0.12</v>
      </c>
    </row>
    <row r="24" ht="14.25" customHeight="1">
      <c r="A24" s="67" t="s">
        <v>60</v>
      </c>
      <c r="B24" s="45">
        <v>680.0</v>
      </c>
      <c r="C24" s="46">
        <v>0.01</v>
      </c>
      <c r="D24" s="62">
        <v>72.0</v>
      </c>
      <c r="E24" s="51" t="s">
        <v>43</v>
      </c>
      <c r="F24" s="49">
        <v>5.0</v>
      </c>
      <c r="G24" s="54" t="s">
        <v>43</v>
      </c>
      <c r="H24" s="49" t="s">
        <v>47</v>
      </c>
      <c r="I24" s="54" t="s">
        <v>30</v>
      </c>
    </row>
    <row r="25" ht="14.25" customHeight="1">
      <c r="A25" s="67" t="s">
        <v>61</v>
      </c>
      <c r="B25" s="45">
        <v>2659.0</v>
      </c>
      <c r="C25" s="46">
        <v>0.02</v>
      </c>
      <c r="D25" s="62">
        <v>359.0</v>
      </c>
      <c r="E25" s="48">
        <v>0.02</v>
      </c>
      <c r="F25" s="49">
        <v>30.0</v>
      </c>
      <c r="G25" s="50">
        <v>0.01</v>
      </c>
      <c r="H25" s="49">
        <v>13.0</v>
      </c>
      <c r="I25" s="50">
        <v>0.01</v>
      </c>
    </row>
    <row r="26" ht="14.25" customHeight="1">
      <c r="A26" s="67" t="s">
        <v>62</v>
      </c>
      <c r="B26" s="45">
        <v>8574.0</v>
      </c>
      <c r="C26" s="46">
        <v>0.08</v>
      </c>
      <c r="D26" s="62">
        <v>2230.0</v>
      </c>
      <c r="E26" s="48">
        <v>0.12</v>
      </c>
      <c r="F26" s="49">
        <v>269.0</v>
      </c>
      <c r="G26" s="50">
        <v>0.13</v>
      </c>
      <c r="H26" s="49">
        <v>56.0</v>
      </c>
      <c r="I26" s="50">
        <v>0.06</v>
      </c>
    </row>
    <row r="27" ht="14.25" customHeight="1">
      <c r="A27" s="67" t="s">
        <v>63</v>
      </c>
      <c r="B27" s="45">
        <v>211.0</v>
      </c>
      <c r="C27" s="52" t="s">
        <v>43</v>
      </c>
      <c r="D27" s="62">
        <v>0.0</v>
      </c>
      <c r="E27" s="48">
        <v>0.0</v>
      </c>
      <c r="F27" s="49">
        <v>0.0</v>
      </c>
      <c r="G27" s="50">
        <v>0.0</v>
      </c>
      <c r="H27" s="49">
        <v>0.0</v>
      </c>
      <c r="I27" s="50">
        <v>0.0</v>
      </c>
    </row>
    <row r="28" ht="14.25" customHeight="1">
      <c r="A28" s="67" t="s">
        <v>64</v>
      </c>
      <c r="B28" s="45">
        <v>66291.0</v>
      </c>
      <c r="C28" s="46">
        <v>0.59</v>
      </c>
      <c r="D28" s="62">
        <v>6830.0</v>
      </c>
      <c r="E28" s="48">
        <v>0.38</v>
      </c>
      <c r="F28" s="49">
        <v>997.0</v>
      </c>
      <c r="G28" s="50">
        <v>0.47</v>
      </c>
      <c r="H28" s="49">
        <v>724.0</v>
      </c>
      <c r="I28" s="50">
        <v>0.81</v>
      </c>
    </row>
    <row r="29" ht="14.25" customHeight="1">
      <c r="A29" s="67" t="s">
        <v>65</v>
      </c>
      <c r="B29" s="45">
        <v>9250.0</v>
      </c>
      <c r="C29" s="46">
        <v>0.08</v>
      </c>
      <c r="D29" s="62">
        <v>316.0</v>
      </c>
      <c r="E29" s="48">
        <v>0.02</v>
      </c>
      <c r="F29" s="49">
        <v>39.0</v>
      </c>
      <c r="G29" s="50">
        <v>0.02</v>
      </c>
      <c r="H29" s="49">
        <v>0.0</v>
      </c>
      <c r="I29" s="50">
        <v>0.0</v>
      </c>
    </row>
    <row r="30" ht="14.25" customHeight="1">
      <c r="A30" s="67" t="s">
        <v>66</v>
      </c>
      <c r="B30" s="45">
        <v>112.0</v>
      </c>
      <c r="C30" s="51" t="s">
        <v>43</v>
      </c>
      <c r="D30" s="62">
        <v>156.0</v>
      </c>
      <c r="E30" s="48">
        <v>0.01</v>
      </c>
      <c r="F30" s="49">
        <v>5.0</v>
      </c>
      <c r="G30" s="52" t="s">
        <v>43</v>
      </c>
      <c r="H30" s="49" t="s">
        <v>47</v>
      </c>
      <c r="I30" s="54" t="s">
        <v>30</v>
      </c>
    </row>
    <row r="31" ht="14.25" customHeight="1">
      <c r="A31" s="67" t="s">
        <v>67</v>
      </c>
      <c r="B31" s="45">
        <v>2078.0</v>
      </c>
      <c r="C31" s="51" t="s">
        <v>30</v>
      </c>
      <c r="D31" s="62">
        <v>194.0</v>
      </c>
      <c r="E31" s="51" t="s">
        <v>30</v>
      </c>
      <c r="F31" s="49">
        <v>7.0</v>
      </c>
      <c r="G31" s="52" t="s">
        <v>30</v>
      </c>
      <c r="H31" s="49">
        <v>0.0</v>
      </c>
      <c r="I31" s="54" t="s">
        <v>30</v>
      </c>
    </row>
    <row r="32" ht="14.25" customHeight="1">
      <c r="A32" s="67" t="s">
        <v>68</v>
      </c>
      <c r="B32" s="45">
        <v>191125.0</v>
      </c>
      <c r="C32" s="51" t="s">
        <v>30</v>
      </c>
      <c r="D32" s="62">
        <v>4715.0</v>
      </c>
      <c r="E32" s="51" t="s">
        <v>30</v>
      </c>
      <c r="F32" s="49">
        <v>583.0</v>
      </c>
      <c r="G32" s="52" t="s">
        <v>30</v>
      </c>
      <c r="H32" s="49">
        <v>195.0</v>
      </c>
      <c r="I32" s="54" t="s">
        <v>30</v>
      </c>
    </row>
    <row r="33" ht="14.25" customHeight="1">
      <c r="A33" s="68" t="s">
        <v>69</v>
      </c>
      <c r="B33" s="69"/>
      <c r="C33" s="70"/>
      <c r="D33" s="71"/>
      <c r="E33" s="71"/>
      <c r="F33" s="72"/>
      <c r="G33" s="71"/>
      <c r="H33" s="71"/>
      <c r="I33" s="71"/>
    </row>
    <row r="34" ht="14.25" customHeight="1">
      <c r="A34" s="73" t="s">
        <v>70</v>
      </c>
      <c r="B34" s="69"/>
      <c r="C34" s="70"/>
      <c r="D34" s="71"/>
      <c r="E34" s="71"/>
      <c r="F34" s="72"/>
      <c r="G34" s="71"/>
      <c r="H34" s="71"/>
      <c r="I34" s="71"/>
    </row>
    <row r="35" ht="14.25" customHeight="1">
      <c r="A35" s="73" t="s">
        <v>71</v>
      </c>
      <c r="B35" s="69"/>
      <c r="C35" s="70"/>
      <c r="D35" s="71"/>
      <c r="E35" s="71"/>
      <c r="F35" s="72"/>
      <c r="G35" s="71"/>
      <c r="H35" s="71"/>
      <c r="I35" s="71"/>
    </row>
    <row r="36" ht="14.25" customHeight="1">
      <c r="A36" s="74" t="s">
        <v>72</v>
      </c>
    </row>
    <row r="37" ht="14.25" customHeight="1"/>
    <row r="38" ht="14.25" customHeight="1"/>
    <row r="39" ht="14.25" customHeight="1"/>
    <row r="40" ht="14.25" customHeight="1">
      <c r="A40" s="75" t="s">
        <v>0</v>
      </c>
      <c r="B40" s="76">
        <v>44097.0</v>
      </c>
      <c r="C40" s="77"/>
      <c r="D40" s="78"/>
      <c r="E40" s="78"/>
      <c r="F40" s="78"/>
      <c r="G40" s="78"/>
      <c r="H40" s="78"/>
      <c r="I40" s="78"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9" t="s">
        <v>73</v>
      </c>
      <c r="B1" s="80" t="s">
        <v>74</v>
      </c>
      <c r="C1" s="80" t="s">
        <v>75</v>
      </c>
      <c r="D1" s="80" t="s">
        <v>76</v>
      </c>
      <c r="E1" s="80" t="s">
        <v>77</v>
      </c>
      <c r="F1" s="80" t="s">
        <v>25</v>
      </c>
      <c r="G1" s="80" t="s">
        <v>78</v>
      </c>
    </row>
    <row r="2" ht="14.25" customHeight="1">
      <c r="A2" s="81" t="s">
        <v>79</v>
      </c>
      <c r="B2" s="82">
        <v>79.0</v>
      </c>
      <c r="C2" s="83">
        <v>488.0</v>
      </c>
      <c r="D2" s="84">
        <v>7.0</v>
      </c>
      <c r="E2" s="83">
        <v>43.0</v>
      </c>
      <c r="F2" s="83">
        <v>0.0</v>
      </c>
      <c r="G2" s="83">
        <v>0.0</v>
      </c>
    </row>
    <row r="3" ht="14.25" customHeight="1">
      <c r="A3" s="81" t="s">
        <v>80</v>
      </c>
      <c r="B3" s="82">
        <v>216.0</v>
      </c>
      <c r="C3" s="83">
        <v>971.0</v>
      </c>
      <c r="D3" s="84">
        <v>14.0</v>
      </c>
      <c r="E3" s="83">
        <v>63.0</v>
      </c>
      <c r="F3" s="83">
        <v>9.0</v>
      </c>
      <c r="G3" s="83">
        <v>40.0</v>
      </c>
    </row>
    <row r="4" ht="14.25" customHeight="1">
      <c r="A4" s="81" t="s">
        <v>81</v>
      </c>
      <c r="B4" s="82">
        <v>154.0</v>
      </c>
      <c r="C4" s="83">
        <v>936.0</v>
      </c>
      <c r="D4" s="84">
        <v>21.0</v>
      </c>
      <c r="E4" s="83">
        <v>128.0</v>
      </c>
      <c r="F4" s="83">
        <v>22.0</v>
      </c>
      <c r="G4" s="83">
        <v>134.0</v>
      </c>
    </row>
    <row r="5" ht="14.25" customHeight="1">
      <c r="A5" s="81" t="s">
        <v>82</v>
      </c>
      <c r="B5" s="82">
        <v>1249.0</v>
      </c>
      <c r="C5" s="83">
        <v>6444.0</v>
      </c>
      <c r="D5" s="84">
        <v>94.0</v>
      </c>
      <c r="E5" s="83">
        <v>485.0</v>
      </c>
      <c r="F5" s="83">
        <v>12.0</v>
      </c>
      <c r="G5" s="83">
        <v>62.0</v>
      </c>
    </row>
    <row r="6" ht="14.25" customHeight="1">
      <c r="A6" s="81" t="s">
        <v>83</v>
      </c>
      <c r="B6" s="82">
        <v>38.0</v>
      </c>
      <c r="C6" s="83">
        <v>488.0</v>
      </c>
      <c r="D6" s="84" t="s">
        <v>47</v>
      </c>
      <c r="E6" s="83" t="s">
        <v>30</v>
      </c>
      <c r="F6" s="83" t="s">
        <v>47</v>
      </c>
      <c r="G6" s="83" t="s">
        <v>30</v>
      </c>
    </row>
    <row r="7" ht="14.25" customHeight="1">
      <c r="A7" s="81" t="s">
        <v>84</v>
      </c>
      <c r="B7" s="82">
        <v>331.0</v>
      </c>
      <c r="C7" s="83">
        <v>957.0</v>
      </c>
      <c r="D7" s="84">
        <v>26.0</v>
      </c>
      <c r="E7" s="83">
        <v>75.0</v>
      </c>
      <c r="F7" s="83">
        <v>13.0</v>
      </c>
      <c r="G7" s="83">
        <v>38.0</v>
      </c>
    </row>
    <row r="8" ht="14.25" customHeight="1">
      <c r="A8" s="81" t="s">
        <v>85</v>
      </c>
      <c r="B8" s="82">
        <v>1567.0</v>
      </c>
      <c r="C8" s="83">
        <v>1930.0</v>
      </c>
      <c r="D8" s="84">
        <v>156.0</v>
      </c>
      <c r="E8" s="83">
        <v>192.0</v>
      </c>
      <c r="F8" s="83">
        <v>24.0</v>
      </c>
      <c r="G8" s="83">
        <v>30.0</v>
      </c>
    </row>
    <row r="9" ht="14.25" customHeight="1">
      <c r="A9" s="81" t="s">
        <v>86</v>
      </c>
      <c r="B9" s="82">
        <v>491.0</v>
      </c>
      <c r="C9" s="83">
        <v>1417.0</v>
      </c>
      <c r="D9" s="84">
        <v>58.0</v>
      </c>
      <c r="E9" s="83">
        <v>167.0</v>
      </c>
      <c r="F9" s="83">
        <v>30.0</v>
      </c>
      <c r="G9" s="83">
        <v>87.0</v>
      </c>
    </row>
    <row r="10" ht="14.25" customHeight="1">
      <c r="A10" s="81" t="s">
        <v>87</v>
      </c>
      <c r="B10" s="82">
        <v>139.0</v>
      </c>
      <c r="C10" s="83">
        <v>1063.0</v>
      </c>
      <c r="D10" s="84">
        <v>8.0</v>
      </c>
      <c r="E10" s="83">
        <v>61.0</v>
      </c>
      <c r="F10" s="83" t="s">
        <v>47</v>
      </c>
      <c r="G10" s="83" t="s">
        <v>30</v>
      </c>
    </row>
    <row r="11" ht="14.25" customHeight="1">
      <c r="A11" s="81" t="s">
        <v>88</v>
      </c>
      <c r="B11" s="82">
        <v>915.0</v>
      </c>
      <c r="C11" s="83">
        <v>1928.0</v>
      </c>
      <c r="D11" s="84">
        <v>96.0</v>
      </c>
      <c r="E11" s="83">
        <v>202.0</v>
      </c>
      <c r="F11" s="83">
        <v>111.0</v>
      </c>
      <c r="G11" s="83">
        <v>234.0</v>
      </c>
    </row>
    <row r="12" ht="14.25" customHeight="1">
      <c r="A12" s="81" t="s">
        <v>89</v>
      </c>
      <c r="B12" s="82">
        <v>50.0</v>
      </c>
      <c r="C12" s="83">
        <v>737.0</v>
      </c>
      <c r="D12" s="84">
        <v>6.0</v>
      </c>
      <c r="E12" s="83">
        <v>88.0</v>
      </c>
      <c r="F12" s="83" t="s">
        <v>47</v>
      </c>
      <c r="G12" s="83" t="s">
        <v>30</v>
      </c>
    </row>
    <row r="13" ht="14.25" customHeight="1">
      <c r="A13" s="81" t="s">
        <v>90</v>
      </c>
      <c r="B13" s="82">
        <v>32.0</v>
      </c>
      <c r="C13" s="83">
        <v>682.0</v>
      </c>
      <c r="D13" s="84" t="s">
        <v>47</v>
      </c>
      <c r="E13" s="83" t="s">
        <v>30</v>
      </c>
      <c r="F13" s="83">
        <v>0.0</v>
      </c>
      <c r="G13" s="83">
        <v>0.0</v>
      </c>
    </row>
    <row r="14" ht="14.25" customHeight="1">
      <c r="A14" s="81" t="s">
        <v>91</v>
      </c>
      <c r="B14" s="82">
        <v>67.0</v>
      </c>
      <c r="C14" s="83">
        <v>666.0</v>
      </c>
      <c r="D14" s="84" t="s">
        <v>47</v>
      </c>
      <c r="E14" s="83" t="s">
        <v>30</v>
      </c>
      <c r="F14" s="83">
        <v>0.0</v>
      </c>
      <c r="G14" s="83">
        <v>0.0</v>
      </c>
    </row>
    <row r="15" ht="14.25" customHeight="1">
      <c r="A15" s="81" t="s">
        <v>92</v>
      </c>
      <c r="B15" s="82">
        <v>17.0</v>
      </c>
      <c r="C15" s="83">
        <v>210.0</v>
      </c>
      <c r="D15" s="84" t="s">
        <v>47</v>
      </c>
      <c r="E15" s="83" t="s">
        <v>30</v>
      </c>
      <c r="F15" s="83" t="s">
        <v>47</v>
      </c>
      <c r="G15" s="83" t="s">
        <v>30</v>
      </c>
    </row>
    <row r="16" ht="14.25" customHeight="1">
      <c r="A16" s="81" t="s">
        <v>93</v>
      </c>
      <c r="B16" s="82">
        <v>29.0</v>
      </c>
      <c r="C16" s="83">
        <v>528.0</v>
      </c>
      <c r="D16" s="84" t="s">
        <v>47</v>
      </c>
      <c r="E16" s="83" t="s">
        <v>30</v>
      </c>
      <c r="F16" s="83">
        <v>0.0</v>
      </c>
      <c r="G16" s="83">
        <v>0.0</v>
      </c>
    </row>
    <row r="17" ht="14.25" customHeight="1">
      <c r="A17" s="81" t="s">
        <v>94</v>
      </c>
      <c r="B17" s="82">
        <v>642.0</v>
      </c>
      <c r="C17" s="83">
        <v>2196.0</v>
      </c>
      <c r="D17" s="84">
        <v>57.0</v>
      </c>
      <c r="E17" s="83">
        <v>195.0</v>
      </c>
      <c r="F17" s="83">
        <v>66.0</v>
      </c>
      <c r="G17" s="83">
        <v>226.0</v>
      </c>
    </row>
    <row r="18" ht="14.25" customHeight="1">
      <c r="A18" s="81" t="s">
        <v>95</v>
      </c>
      <c r="B18" s="82">
        <v>358.0</v>
      </c>
      <c r="C18" s="83">
        <v>1654.0</v>
      </c>
      <c r="D18" s="84">
        <v>34.0</v>
      </c>
      <c r="E18" s="83">
        <v>157.0</v>
      </c>
      <c r="F18" s="83">
        <v>37.0</v>
      </c>
      <c r="G18" s="83">
        <v>171.0</v>
      </c>
    </row>
    <row r="19" ht="14.25" customHeight="1">
      <c r="A19" s="81" t="s">
        <v>96</v>
      </c>
      <c r="B19" s="82">
        <v>16.0</v>
      </c>
      <c r="C19" s="83">
        <v>456.0</v>
      </c>
      <c r="D19" s="84">
        <v>0.0</v>
      </c>
      <c r="E19" s="83">
        <v>0.0</v>
      </c>
      <c r="F19" s="83" t="s">
        <v>47</v>
      </c>
      <c r="G19" s="83" t="s">
        <v>30</v>
      </c>
    </row>
    <row r="20" ht="14.25" customHeight="1">
      <c r="A20" s="81" t="s">
        <v>97</v>
      </c>
      <c r="B20" s="82">
        <v>90.0</v>
      </c>
      <c r="C20" s="83">
        <v>560.0</v>
      </c>
      <c r="D20" s="84">
        <v>8.0</v>
      </c>
      <c r="E20" s="83">
        <v>50.0</v>
      </c>
      <c r="F20" s="83" t="s">
        <v>47</v>
      </c>
      <c r="G20" s="83" t="s">
        <v>30</v>
      </c>
    </row>
    <row r="21" ht="14.25" customHeight="1">
      <c r="A21" s="81" t="s">
        <v>98</v>
      </c>
      <c r="B21" s="82">
        <v>118.0</v>
      </c>
      <c r="C21" s="83">
        <v>759.0</v>
      </c>
      <c r="D21" s="84">
        <v>6.0</v>
      </c>
      <c r="E21" s="83">
        <v>39.0</v>
      </c>
      <c r="F21" s="83">
        <v>0.0</v>
      </c>
      <c r="G21" s="83">
        <v>0.0</v>
      </c>
    </row>
    <row r="22" ht="14.25" customHeight="1">
      <c r="A22" s="81" t="s">
        <v>99</v>
      </c>
      <c r="B22" s="82">
        <v>6.0</v>
      </c>
      <c r="C22" s="83">
        <v>726.0</v>
      </c>
      <c r="D22" s="84">
        <v>0.0</v>
      </c>
      <c r="E22" s="83">
        <v>0.0</v>
      </c>
      <c r="F22" s="83">
        <v>0.0</v>
      </c>
      <c r="G22" s="83">
        <v>0.0</v>
      </c>
    </row>
    <row r="23" ht="14.25" customHeight="1">
      <c r="A23" s="81" t="s">
        <v>100</v>
      </c>
      <c r="B23" s="82">
        <v>173.0</v>
      </c>
      <c r="C23" s="83">
        <v>699.0</v>
      </c>
      <c r="D23" s="84">
        <v>14.0</v>
      </c>
      <c r="E23" s="83">
        <v>57.0</v>
      </c>
      <c r="F23" s="83" t="s">
        <v>47</v>
      </c>
      <c r="G23" s="83" t="s">
        <v>30</v>
      </c>
    </row>
    <row r="24" ht="14.25" customHeight="1">
      <c r="A24" s="81" t="s">
        <v>101</v>
      </c>
      <c r="B24" s="82">
        <v>304.0</v>
      </c>
      <c r="C24" s="83">
        <v>1160.0</v>
      </c>
      <c r="D24" s="84">
        <v>33.0</v>
      </c>
      <c r="E24" s="83">
        <v>126.0</v>
      </c>
      <c r="F24" s="83">
        <v>51.0</v>
      </c>
      <c r="G24" s="83">
        <v>195.0</v>
      </c>
    </row>
    <row r="25" ht="15.75" customHeight="1">
      <c r="A25" s="81" t="s">
        <v>102</v>
      </c>
      <c r="B25" s="82">
        <v>1005.0</v>
      </c>
      <c r="C25" s="83">
        <v>3096.0</v>
      </c>
      <c r="D25" s="84">
        <v>118.0</v>
      </c>
      <c r="E25" s="83">
        <v>364.0</v>
      </c>
      <c r="F25" s="83">
        <v>80.0</v>
      </c>
      <c r="G25" s="83">
        <v>246.0</v>
      </c>
    </row>
    <row r="26" ht="14.25" customHeight="1">
      <c r="A26" s="81" t="s">
        <v>103</v>
      </c>
      <c r="B26" s="82">
        <v>160.0</v>
      </c>
      <c r="C26" s="83">
        <v>1296.0</v>
      </c>
      <c r="D26" s="84">
        <v>17.0</v>
      </c>
      <c r="E26" s="83">
        <v>138.0</v>
      </c>
      <c r="F26" s="83">
        <v>27.0</v>
      </c>
      <c r="G26" s="83">
        <v>219.0</v>
      </c>
    </row>
    <row r="27" ht="14.25" customHeight="1">
      <c r="A27" s="81" t="s">
        <v>104</v>
      </c>
      <c r="B27" s="82">
        <v>2344.0</v>
      </c>
      <c r="C27" s="83">
        <v>3267.0</v>
      </c>
      <c r="D27" s="84">
        <v>210.0</v>
      </c>
      <c r="E27" s="83">
        <v>293.0</v>
      </c>
      <c r="F27" s="83">
        <v>49.0</v>
      </c>
      <c r="G27" s="83">
        <v>68.0</v>
      </c>
    </row>
    <row r="28" ht="14.25" customHeight="1">
      <c r="A28" s="81" t="s">
        <v>105</v>
      </c>
      <c r="B28" s="82">
        <v>83.0</v>
      </c>
      <c r="C28" s="83">
        <v>477.0</v>
      </c>
      <c r="D28" s="84" t="s">
        <v>47</v>
      </c>
      <c r="E28" s="83" t="s">
        <v>30</v>
      </c>
      <c r="F28" s="83">
        <v>0.0</v>
      </c>
      <c r="G28" s="83">
        <v>0.0</v>
      </c>
    </row>
    <row r="29" ht="14.25" customHeight="1">
      <c r="A29" s="81" t="s">
        <v>106</v>
      </c>
      <c r="B29" s="82">
        <v>8132.0</v>
      </c>
      <c r="C29" s="83">
        <v>4532.0</v>
      </c>
      <c r="D29" s="84">
        <v>837.0</v>
      </c>
      <c r="E29" s="83">
        <v>466.0</v>
      </c>
      <c r="F29" s="83">
        <v>290.0</v>
      </c>
      <c r="G29" s="83">
        <v>162.0</v>
      </c>
    </row>
    <row r="30" ht="14.25" customHeight="1">
      <c r="A30" s="81" t="s">
        <v>107</v>
      </c>
      <c r="B30" s="82">
        <v>33.0</v>
      </c>
      <c r="C30" s="83">
        <v>433.0</v>
      </c>
      <c r="D30" s="84" t="s">
        <v>47</v>
      </c>
      <c r="E30" s="83" t="s">
        <v>30</v>
      </c>
      <c r="F30" s="83">
        <v>0.0</v>
      </c>
      <c r="G30" s="83">
        <v>0.0</v>
      </c>
    </row>
    <row r="31" ht="14.25" customHeight="1">
      <c r="A31" s="81" t="s">
        <v>108</v>
      </c>
      <c r="B31" s="82">
        <v>71.0</v>
      </c>
      <c r="C31" s="83">
        <v>670.0</v>
      </c>
      <c r="D31" s="84" t="s">
        <v>47</v>
      </c>
      <c r="E31" s="83" t="s">
        <v>30</v>
      </c>
      <c r="F31" s="83" t="s">
        <v>47</v>
      </c>
      <c r="G31" s="83" t="s">
        <v>30</v>
      </c>
    </row>
    <row r="32" ht="14.25" customHeight="1">
      <c r="A32" s="81" t="s">
        <v>109</v>
      </c>
      <c r="B32" s="82">
        <v>379.0</v>
      </c>
      <c r="C32" s="83">
        <v>1752.0</v>
      </c>
      <c r="D32" s="84">
        <v>70.0</v>
      </c>
      <c r="E32" s="83">
        <v>324.0</v>
      </c>
      <c r="F32" s="83">
        <v>50.0</v>
      </c>
      <c r="G32" s="83">
        <v>231.0</v>
      </c>
    </row>
    <row r="33" ht="14.25" customHeight="1">
      <c r="A33" s="81" t="s">
        <v>110</v>
      </c>
      <c r="B33" s="82">
        <v>131.0</v>
      </c>
      <c r="C33" s="83">
        <v>426.0</v>
      </c>
      <c r="D33" s="84">
        <v>14.0</v>
      </c>
      <c r="E33" s="83">
        <v>46.0</v>
      </c>
      <c r="F33" s="83">
        <v>16.0</v>
      </c>
      <c r="G33" s="83">
        <v>52.0</v>
      </c>
    </row>
    <row r="34" ht="14.25" customHeight="1">
      <c r="A34" s="81" t="s">
        <v>111</v>
      </c>
      <c r="B34" s="82">
        <v>127.0</v>
      </c>
      <c r="C34" s="83">
        <v>803.0</v>
      </c>
      <c r="D34" s="84" t="s">
        <v>47</v>
      </c>
      <c r="E34" s="83" t="s">
        <v>30</v>
      </c>
      <c r="F34" s="83">
        <v>5.0</v>
      </c>
      <c r="G34" s="83" t="s">
        <v>30</v>
      </c>
    </row>
    <row r="35" ht="14.25" customHeight="1">
      <c r="A35" s="81" t="s">
        <v>112</v>
      </c>
      <c r="B35" s="82">
        <v>109.0</v>
      </c>
      <c r="C35" s="83">
        <v>1039.0</v>
      </c>
      <c r="D35" s="84">
        <v>7.0</v>
      </c>
      <c r="E35" s="83">
        <v>67.0</v>
      </c>
      <c r="F35" s="83">
        <v>7.0</v>
      </c>
      <c r="G35" s="83">
        <v>67.0</v>
      </c>
    </row>
    <row r="36" ht="14.25" customHeight="1">
      <c r="A36" s="81" t="s">
        <v>113</v>
      </c>
      <c r="B36" s="82">
        <v>946.0</v>
      </c>
      <c r="C36" s="83">
        <v>1167.0</v>
      </c>
      <c r="D36" s="84">
        <v>84.0</v>
      </c>
      <c r="E36" s="83">
        <v>104.0</v>
      </c>
      <c r="F36" s="83">
        <v>74.0</v>
      </c>
      <c r="G36" s="83">
        <v>91.0</v>
      </c>
    </row>
    <row r="37" ht="14.25" customHeight="1">
      <c r="A37" s="81" t="s">
        <v>114</v>
      </c>
      <c r="B37" s="82">
        <v>32.0</v>
      </c>
      <c r="C37" s="83">
        <v>518.0</v>
      </c>
      <c r="D37" s="84">
        <v>0.0</v>
      </c>
      <c r="E37" s="83">
        <v>0.0</v>
      </c>
      <c r="F37" s="83">
        <v>0.0</v>
      </c>
      <c r="G37" s="83">
        <v>0.0</v>
      </c>
    </row>
    <row r="38" ht="14.25" customHeight="1">
      <c r="A38" s="81" t="s">
        <v>115</v>
      </c>
      <c r="B38" s="82">
        <v>419.0</v>
      </c>
      <c r="C38" s="83">
        <v>1447.0</v>
      </c>
      <c r="D38" s="84">
        <v>42.0</v>
      </c>
      <c r="E38" s="83">
        <v>145.0</v>
      </c>
      <c r="F38" s="83">
        <v>22.0</v>
      </c>
      <c r="G38" s="83">
        <v>76.0</v>
      </c>
    </row>
    <row r="39" ht="14.25" customHeight="1">
      <c r="A39" s="81" t="s">
        <v>116</v>
      </c>
      <c r="B39" s="82">
        <v>106.0</v>
      </c>
      <c r="C39" s="83">
        <v>469.0</v>
      </c>
      <c r="D39" s="84">
        <v>11.0</v>
      </c>
      <c r="E39" s="83">
        <v>49.0</v>
      </c>
      <c r="F39" s="83" t="s">
        <v>47</v>
      </c>
      <c r="G39" s="83" t="s">
        <v>30</v>
      </c>
    </row>
    <row r="40" ht="14.25" customHeight="1">
      <c r="A40" s="81" t="s">
        <v>117</v>
      </c>
      <c r="B40" s="82">
        <v>871.0</v>
      </c>
      <c r="C40" s="83">
        <v>2097.0</v>
      </c>
      <c r="D40" s="84">
        <v>108.0</v>
      </c>
      <c r="E40" s="83">
        <v>260.0</v>
      </c>
      <c r="F40" s="83">
        <v>83.0</v>
      </c>
      <c r="G40" s="83">
        <v>200.0</v>
      </c>
    </row>
    <row r="41" ht="14.25" customHeight="1">
      <c r="A41" s="81" t="s">
        <v>44</v>
      </c>
      <c r="B41" s="82">
        <v>1030.0</v>
      </c>
      <c r="C41" s="83" t="s">
        <v>30</v>
      </c>
      <c r="D41" s="84">
        <v>140.0</v>
      </c>
      <c r="E41" s="83" t="s">
        <v>30</v>
      </c>
      <c r="F41" s="83" t="s">
        <v>47</v>
      </c>
      <c r="G41" s="83" t="s">
        <v>30</v>
      </c>
    </row>
    <row r="42" ht="14.25" customHeight="1">
      <c r="A42" s="85" t="s">
        <v>118</v>
      </c>
      <c r="B42" s="83">
        <v>23059.0</v>
      </c>
      <c r="C42" s="83">
        <v>2182.0</v>
      </c>
      <c r="D42" s="83">
        <v>2296.0</v>
      </c>
      <c r="E42" s="83">
        <v>217.0</v>
      </c>
      <c r="F42" s="83">
        <v>1094.0</v>
      </c>
      <c r="G42" s="83">
        <v>104.0</v>
      </c>
    </row>
    <row r="43" ht="14.25" customHeight="1">
      <c r="A43" s="86" t="s">
        <v>119</v>
      </c>
      <c r="D43" s="87"/>
      <c r="E43" s="87"/>
      <c r="F43" s="87"/>
      <c r="G43" s="87"/>
    </row>
    <row r="44" ht="15.0" customHeight="1">
      <c r="A44" s="88" t="s">
        <v>120</v>
      </c>
    </row>
    <row r="45" ht="14.25" customHeight="1"/>
    <row r="46" ht="14.25" customHeight="1"/>
    <row r="47" ht="14.25" customHeight="1">
      <c r="A47" s="75" t="s">
        <v>0</v>
      </c>
      <c r="B47" s="76">
        <v>44097.0</v>
      </c>
      <c r="C47" s="87"/>
      <c r="D47" s="87"/>
      <c r="E47" s="87"/>
      <c r="F47" s="87"/>
      <c r="G47" s="87"/>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9" t="s">
        <v>121</v>
      </c>
      <c r="K1" s="90"/>
      <c r="L1" s="91"/>
      <c r="M1" s="92"/>
      <c r="N1" s="91"/>
      <c r="O1" s="92"/>
      <c r="P1" s="91"/>
      <c r="Q1" s="93"/>
      <c r="R1" s="91"/>
      <c r="S1" s="91"/>
      <c r="T1" s="91"/>
      <c r="U1" s="91"/>
      <c r="V1" s="91"/>
      <c r="W1" s="91"/>
      <c r="X1" s="91"/>
      <c r="Y1" s="91"/>
      <c r="Z1" s="91"/>
      <c r="AA1" s="91"/>
      <c r="AB1" s="91"/>
      <c r="AC1" s="91"/>
      <c r="AD1" s="91"/>
      <c r="AE1" s="91"/>
      <c r="AF1" s="91"/>
      <c r="AG1" s="91"/>
      <c r="AH1" s="91"/>
      <c r="AI1" s="91"/>
      <c r="AJ1" s="91"/>
      <c r="AK1" s="91"/>
      <c r="AL1" s="91"/>
      <c r="AM1" s="91"/>
      <c r="AN1" s="91"/>
      <c r="AO1" s="91"/>
      <c r="AP1" s="91"/>
    </row>
    <row r="2">
      <c r="A2" s="94" t="s">
        <v>122</v>
      </c>
      <c r="F2" s="95"/>
      <c r="G2" s="95"/>
      <c r="H2" s="95"/>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row>
    <row r="3">
      <c r="A3" s="94" t="s">
        <v>123</v>
      </c>
      <c r="K3" s="95"/>
      <c r="L3" s="95"/>
      <c r="M3" s="95"/>
      <c r="N3" s="95"/>
      <c r="O3" s="95"/>
      <c r="P3" s="95"/>
      <c r="Q3" s="91"/>
      <c r="R3" s="91"/>
      <c r="S3" s="91"/>
      <c r="T3" s="91"/>
      <c r="U3" s="91"/>
      <c r="V3" s="91"/>
      <c r="W3" s="91"/>
      <c r="X3" s="91"/>
      <c r="Y3" s="91"/>
      <c r="Z3" s="91"/>
      <c r="AA3" s="91"/>
      <c r="AB3" s="91"/>
      <c r="AC3" s="91"/>
      <c r="AD3" s="91"/>
      <c r="AE3" s="91"/>
      <c r="AF3" s="91"/>
      <c r="AG3" s="91"/>
      <c r="AH3" s="91"/>
      <c r="AI3" s="91"/>
      <c r="AJ3" s="91"/>
      <c r="AK3" s="91"/>
      <c r="AL3" s="91"/>
      <c r="AM3" s="91"/>
      <c r="AN3" s="91"/>
      <c r="AO3" s="91"/>
      <c r="AP3" s="91"/>
    </row>
    <row r="4">
      <c r="A4" s="94" t="s">
        <v>0</v>
      </c>
      <c r="B4" s="96">
        <v>44097.0</v>
      </c>
      <c r="C4" s="97"/>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row>
    <row r="5">
      <c r="A5" s="98"/>
      <c r="B5" s="99"/>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row>
    <row r="6">
      <c r="A6" s="100" t="s">
        <v>124</v>
      </c>
      <c r="B6" s="101"/>
      <c r="C6" s="101"/>
      <c r="D6" s="101"/>
      <c r="E6" s="101"/>
      <c r="F6" s="101"/>
      <c r="G6" s="101"/>
      <c r="H6" s="101"/>
      <c r="I6" s="101"/>
      <c r="J6" s="101"/>
      <c r="K6" s="39"/>
      <c r="L6" s="102"/>
      <c r="M6" s="102"/>
      <c r="N6" s="102"/>
      <c r="O6" s="102"/>
      <c r="P6" s="102"/>
      <c r="Q6" s="103"/>
      <c r="R6" s="91"/>
      <c r="S6" s="91"/>
      <c r="T6" s="91"/>
      <c r="U6" s="91"/>
      <c r="V6" s="91"/>
      <c r="W6" s="91"/>
      <c r="X6" s="91"/>
      <c r="Y6" s="91"/>
      <c r="Z6" s="91"/>
      <c r="AA6" s="91"/>
      <c r="AB6" s="91"/>
      <c r="AC6" s="91"/>
      <c r="AD6" s="91"/>
      <c r="AE6" s="91"/>
      <c r="AF6" s="91"/>
      <c r="AG6" s="91"/>
      <c r="AH6" s="91"/>
      <c r="AI6" s="91"/>
      <c r="AJ6" s="91"/>
      <c r="AK6" s="91"/>
      <c r="AL6" s="91"/>
      <c r="AM6" s="91"/>
      <c r="AN6" s="91"/>
      <c r="AO6" s="91"/>
      <c r="AP6" s="91"/>
    </row>
    <row r="7">
      <c r="A7" s="91"/>
      <c r="B7" s="104"/>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row>
    <row r="8">
      <c r="A8" s="105" t="s">
        <v>125</v>
      </c>
      <c r="B8" s="106" t="s">
        <v>126</v>
      </c>
      <c r="C8" s="106" t="s">
        <v>127</v>
      </c>
      <c r="D8" s="106" t="s">
        <v>128</v>
      </c>
      <c r="E8" s="106" t="s">
        <v>129</v>
      </c>
      <c r="F8" s="106" t="s">
        <v>130</v>
      </c>
      <c r="G8" s="106" t="s">
        <v>131</v>
      </c>
      <c r="H8" s="106" t="s">
        <v>132</v>
      </c>
      <c r="I8" s="106" t="s">
        <v>133</v>
      </c>
      <c r="J8" s="106" t="s">
        <v>134</v>
      </c>
      <c r="K8" s="106" t="s">
        <v>135</v>
      </c>
      <c r="L8" s="106" t="s">
        <v>136</v>
      </c>
      <c r="M8" s="106" t="s">
        <v>137</v>
      </c>
      <c r="N8" s="106" t="s">
        <v>138</v>
      </c>
      <c r="O8" s="106" t="s">
        <v>139</v>
      </c>
      <c r="P8" s="106" t="s">
        <v>140</v>
      </c>
      <c r="Q8" s="106" t="s">
        <v>141</v>
      </c>
      <c r="R8" s="106" t="s">
        <v>142</v>
      </c>
      <c r="S8" s="106" t="s">
        <v>143</v>
      </c>
      <c r="T8" s="106" t="s">
        <v>144</v>
      </c>
      <c r="U8" s="106" t="s">
        <v>145</v>
      </c>
      <c r="V8" s="106" t="s">
        <v>146</v>
      </c>
      <c r="W8" s="106" t="s">
        <v>147</v>
      </c>
      <c r="X8" s="106" t="s">
        <v>148</v>
      </c>
      <c r="Y8" s="106" t="s">
        <v>149</v>
      </c>
      <c r="Z8" s="106" t="s">
        <v>150</v>
      </c>
      <c r="AA8" s="106" t="s">
        <v>151</v>
      </c>
      <c r="AB8" s="106" t="s">
        <v>152</v>
      </c>
      <c r="AC8" s="106" t="s">
        <v>153</v>
      </c>
      <c r="AD8" s="106" t="s">
        <v>154</v>
      </c>
      <c r="AE8" s="106" t="s">
        <v>155</v>
      </c>
      <c r="AF8" s="106" t="s">
        <v>156</v>
      </c>
      <c r="AG8" s="106" t="s">
        <v>157</v>
      </c>
      <c r="AH8" s="106" t="s">
        <v>158</v>
      </c>
      <c r="AI8" s="106" t="s">
        <v>159</v>
      </c>
      <c r="AJ8" s="106" t="s">
        <v>160</v>
      </c>
      <c r="AK8" s="106" t="s">
        <v>161</v>
      </c>
      <c r="AL8" s="106" t="s">
        <v>162</v>
      </c>
      <c r="AM8" s="106" t="s">
        <v>163</v>
      </c>
      <c r="AN8" s="106" t="s">
        <v>164</v>
      </c>
      <c r="AO8" s="106" t="s">
        <v>165</v>
      </c>
      <c r="AP8" s="106" t="s">
        <v>118</v>
      </c>
    </row>
    <row r="9">
      <c r="A9" s="107" t="s">
        <v>166</v>
      </c>
      <c r="B9" s="52">
        <v>0.0</v>
      </c>
      <c r="C9" s="52">
        <v>0.0</v>
      </c>
      <c r="D9" s="52">
        <v>0.0</v>
      </c>
      <c r="E9" s="52">
        <v>0.0</v>
      </c>
      <c r="F9" s="52">
        <v>0.0</v>
      </c>
      <c r="G9" s="52" t="s">
        <v>47</v>
      </c>
      <c r="H9" s="52">
        <v>0.0</v>
      </c>
      <c r="I9" s="52" t="s">
        <v>47</v>
      </c>
      <c r="J9" s="52">
        <v>0.0</v>
      </c>
      <c r="K9" s="52">
        <v>0.0</v>
      </c>
      <c r="L9" s="52">
        <v>0.0</v>
      </c>
      <c r="M9" s="52">
        <v>0.0</v>
      </c>
      <c r="N9" s="52">
        <v>0.0</v>
      </c>
      <c r="O9" s="52">
        <v>0.0</v>
      </c>
      <c r="P9" s="52">
        <v>0.0</v>
      </c>
      <c r="Q9" s="52">
        <v>0.0</v>
      </c>
      <c r="R9" s="52">
        <v>0.0</v>
      </c>
      <c r="S9" s="52">
        <v>0.0</v>
      </c>
      <c r="T9" s="52">
        <v>0.0</v>
      </c>
      <c r="U9" s="52">
        <v>0.0</v>
      </c>
      <c r="V9" s="52">
        <v>0.0</v>
      </c>
      <c r="W9" s="52">
        <v>0.0</v>
      </c>
      <c r="X9" s="52">
        <v>0.0</v>
      </c>
      <c r="Y9" s="52" t="s">
        <v>47</v>
      </c>
      <c r="Z9" s="52">
        <v>0.0</v>
      </c>
      <c r="AA9" s="52">
        <v>0.0</v>
      </c>
      <c r="AB9" s="52">
        <v>0.0</v>
      </c>
      <c r="AC9" s="52">
        <v>0.0</v>
      </c>
      <c r="AD9" s="52">
        <v>0.0</v>
      </c>
      <c r="AE9" s="52">
        <v>0.0</v>
      </c>
      <c r="AF9" s="52">
        <v>0.0</v>
      </c>
      <c r="AG9" s="52">
        <v>0.0</v>
      </c>
      <c r="AH9" s="52">
        <v>0.0</v>
      </c>
      <c r="AI9" s="52">
        <v>0.0</v>
      </c>
      <c r="AJ9" s="52">
        <v>0.0</v>
      </c>
      <c r="AK9" s="52">
        <v>0.0</v>
      </c>
      <c r="AL9" s="52">
        <v>0.0</v>
      </c>
      <c r="AM9" s="52">
        <v>0.0</v>
      </c>
      <c r="AN9" s="52">
        <v>0.0</v>
      </c>
      <c r="AO9" s="52">
        <v>0.0</v>
      </c>
      <c r="AP9" s="54" t="s">
        <v>47</v>
      </c>
    </row>
    <row r="10">
      <c r="A10" s="107" t="s">
        <v>167</v>
      </c>
      <c r="B10" s="52" t="s">
        <v>47</v>
      </c>
      <c r="C10" s="52">
        <v>0.0</v>
      </c>
      <c r="D10" s="52" t="s">
        <v>47</v>
      </c>
      <c r="E10" s="52">
        <v>0.0</v>
      </c>
      <c r="F10" s="52">
        <v>0.0</v>
      </c>
      <c r="G10" s="52">
        <v>0.0</v>
      </c>
      <c r="H10" s="52" t="s">
        <v>47</v>
      </c>
      <c r="I10" s="52">
        <v>0.0</v>
      </c>
      <c r="J10" s="52">
        <v>0.0</v>
      </c>
      <c r="K10" s="52" t="s">
        <v>47</v>
      </c>
      <c r="L10" s="52">
        <v>0.0</v>
      </c>
      <c r="M10" s="52">
        <v>0.0</v>
      </c>
      <c r="N10" s="52">
        <v>0.0</v>
      </c>
      <c r="O10" s="52">
        <v>0.0</v>
      </c>
      <c r="P10" s="52">
        <v>0.0</v>
      </c>
      <c r="Q10" s="52">
        <v>0.0</v>
      </c>
      <c r="R10" s="52" t="s">
        <v>47</v>
      </c>
      <c r="S10" s="52">
        <v>0.0</v>
      </c>
      <c r="T10" s="52" t="s">
        <v>47</v>
      </c>
      <c r="U10" s="52" t="s">
        <v>47</v>
      </c>
      <c r="V10" s="52">
        <v>0.0</v>
      </c>
      <c r="W10" s="52">
        <v>0.0</v>
      </c>
      <c r="X10" s="52">
        <v>0.0</v>
      </c>
      <c r="Y10" s="52">
        <v>0.0</v>
      </c>
      <c r="Z10" s="52">
        <v>0.0</v>
      </c>
      <c r="AA10" s="52">
        <v>0.0</v>
      </c>
      <c r="AB10" s="52">
        <v>0.0</v>
      </c>
      <c r="AC10" s="52" t="s">
        <v>47</v>
      </c>
      <c r="AD10" s="52">
        <v>0.0</v>
      </c>
      <c r="AE10" s="52" t="s">
        <v>47</v>
      </c>
      <c r="AF10" s="52">
        <v>0.0</v>
      </c>
      <c r="AG10" s="52">
        <v>0.0</v>
      </c>
      <c r="AH10" s="52">
        <v>0.0</v>
      </c>
      <c r="AI10" s="52">
        <v>0.0</v>
      </c>
      <c r="AJ10" s="52" t="s">
        <v>47</v>
      </c>
      <c r="AK10" s="52">
        <v>0.0</v>
      </c>
      <c r="AL10" s="52">
        <v>0.0</v>
      </c>
      <c r="AM10" s="52" t="s">
        <v>47</v>
      </c>
      <c r="AN10" s="52">
        <v>0.0</v>
      </c>
      <c r="AO10" s="52">
        <v>0.0</v>
      </c>
      <c r="AP10" s="54">
        <v>15.0</v>
      </c>
    </row>
    <row r="11">
      <c r="A11" s="107" t="s">
        <v>168</v>
      </c>
      <c r="B11" s="52" t="s">
        <v>47</v>
      </c>
      <c r="C11" s="52" t="s">
        <v>47</v>
      </c>
      <c r="D11" s="52">
        <v>0.0</v>
      </c>
      <c r="E11" s="52" t="s">
        <v>47</v>
      </c>
      <c r="F11" s="52">
        <v>0.0</v>
      </c>
      <c r="G11" s="52" t="s">
        <v>47</v>
      </c>
      <c r="H11" s="52" t="s">
        <v>47</v>
      </c>
      <c r="I11" s="52" t="s">
        <v>47</v>
      </c>
      <c r="J11" s="52">
        <v>0.0</v>
      </c>
      <c r="K11" s="52" t="s">
        <v>47</v>
      </c>
      <c r="L11" s="52">
        <v>0.0</v>
      </c>
      <c r="M11" s="52" t="s">
        <v>47</v>
      </c>
      <c r="N11" s="52">
        <v>0.0</v>
      </c>
      <c r="O11" s="52">
        <v>0.0</v>
      </c>
      <c r="P11" s="52" t="s">
        <v>47</v>
      </c>
      <c r="Q11" s="52" t="s">
        <v>47</v>
      </c>
      <c r="R11" s="52">
        <v>0.0</v>
      </c>
      <c r="S11" s="52" t="s">
        <v>47</v>
      </c>
      <c r="T11" s="52" t="s">
        <v>47</v>
      </c>
      <c r="U11" s="52">
        <v>0.0</v>
      </c>
      <c r="V11" s="52">
        <v>0.0</v>
      </c>
      <c r="W11" s="52" t="s">
        <v>47</v>
      </c>
      <c r="X11" s="52">
        <v>0.0</v>
      </c>
      <c r="Y11" s="52">
        <v>0.0</v>
      </c>
      <c r="Z11" s="52" t="s">
        <v>47</v>
      </c>
      <c r="AA11" s="52" t="s">
        <v>47</v>
      </c>
      <c r="AB11" s="52" t="s">
        <v>47</v>
      </c>
      <c r="AC11" s="52">
        <v>26.0</v>
      </c>
      <c r="AD11" s="52">
        <v>0.0</v>
      </c>
      <c r="AE11" s="52" t="s">
        <v>47</v>
      </c>
      <c r="AF11" s="52">
        <v>0.0</v>
      </c>
      <c r="AG11" s="52" t="s">
        <v>47</v>
      </c>
      <c r="AH11" s="52">
        <v>0.0</v>
      </c>
      <c r="AI11" s="52" t="s">
        <v>47</v>
      </c>
      <c r="AJ11" s="52" t="s">
        <v>47</v>
      </c>
      <c r="AK11" s="52">
        <v>0.0</v>
      </c>
      <c r="AL11" s="52">
        <v>0.0</v>
      </c>
      <c r="AM11" s="52" t="s">
        <v>47</v>
      </c>
      <c r="AN11" s="52">
        <v>0.0</v>
      </c>
      <c r="AO11" s="52">
        <v>0.0</v>
      </c>
      <c r="AP11" s="54">
        <v>66.0</v>
      </c>
    </row>
    <row r="12">
      <c r="A12" s="107" t="s">
        <v>169</v>
      </c>
      <c r="B12" s="52">
        <v>5.0</v>
      </c>
      <c r="C12" s="52" t="s">
        <v>47</v>
      </c>
      <c r="D12" s="52">
        <v>5.0</v>
      </c>
      <c r="E12" s="52" t="s">
        <v>47</v>
      </c>
      <c r="F12" s="52" t="s">
        <v>47</v>
      </c>
      <c r="G12" s="52" t="s">
        <v>47</v>
      </c>
      <c r="H12" s="52">
        <v>26.0</v>
      </c>
      <c r="I12" s="52">
        <v>6.0</v>
      </c>
      <c r="J12" s="52">
        <v>0.0</v>
      </c>
      <c r="K12" s="52">
        <v>8.0</v>
      </c>
      <c r="L12" s="52" t="s">
        <v>47</v>
      </c>
      <c r="M12" s="52">
        <v>0.0</v>
      </c>
      <c r="N12" s="52">
        <v>0.0</v>
      </c>
      <c r="O12" s="52" t="s">
        <v>47</v>
      </c>
      <c r="P12" s="52">
        <v>0.0</v>
      </c>
      <c r="Q12" s="52" t="s">
        <v>47</v>
      </c>
      <c r="R12" s="52" t="s">
        <v>47</v>
      </c>
      <c r="S12" s="52">
        <v>0.0</v>
      </c>
      <c r="T12" s="52">
        <v>0.0</v>
      </c>
      <c r="U12" s="52" t="s">
        <v>47</v>
      </c>
      <c r="V12" s="52">
        <v>0.0</v>
      </c>
      <c r="W12" s="52" t="s">
        <v>47</v>
      </c>
      <c r="X12" s="52">
        <v>7.0</v>
      </c>
      <c r="Y12" s="52">
        <v>5.0</v>
      </c>
      <c r="Z12" s="52" t="s">
        <v>47</v>
      </c>
      <c r="AA12" s="52">
        <v>16.0</v>
      </c>
      <c r="AB12" s="52" t="s">
        <v>47</v>
      </c>
      <c r="AC12" s="52">
        <v>47.0</v>
      </c>
      <c r="AD12" s="52">
        <v>0.0</v>
      </c>
      <c r="AE12" s="52">
        <v>5.0</v>
      </c>
      <c r="AF12" s="52" t="s">
        <v>47</v>
      </c>
      <c r="AG12" s="52" t="s">
        <v>47</v>
      </c>
      <c r="AH12" s="52">
        <v>6.0</v>
      </c>
      <c r="AI12" s="52">
        <v>0.0</v>
      </c>
      <c r="AJ12" s="52">
        <v>15.0</v>
      </c>
      <c r="AK12" s="52">
        <v>0.0</v>
      </c>
      <c r="AL12" s="52">
        <v>6.0</v>
      </c>
      <c r="AM12" s="52" t="s">
        <v>47</v>
      </c>
      <c r="AN12" s="52" t="s">
        <v>47</v>
      </c>
      <c r="AO12" s="52" t="s">
        <v>47</v>
      </c>
      <c r="AP12" s="54">
        <v>198.0</v>
      </c>
    </row>
    <row r="13">
      <c r="A13" s="107" t="s">
        <v>170</v>
      </c>
      <c r="B13" s="52" t="s">
        <v>47</v>
      </c>
      <c r="C13" s="52">
        <v>6.0</v>
      </c>
      <c r="D13" s="52">
        <v>5.0</v>
      </c>
      <c r="E13" s="52">
        <v>10.0</v>
      </c>
      <c r="F13" s="52" t="s">
        <v>47</v>
      </c>
      <c r="G13" s="52">
        <v>12.0</v>
      </c>
      <c r="H13" s="52">
        <v>42.0</v>
      </c>
      <c r="I13" s="52">
        <v>17.0</v>
      </c>
      <c r="J13" s="52">
        <v>5.0</v>
      </c>
      <c r="K13" s="52">
        <v>16.0</v>
      </c>
      <c r="L13" s="52" t="s">
        <v>47</v>
      </c>
      <c r="M13" s="52">
        <v>0.0</v>
      </c>
      <c r="N13" s="52" t="s">
        <v>47</v>
      </c>
      <c r="O13" s="52" t="s">
        <v>47</v>
      </c>
      <c r="P13" s="52" t="s">
        <v>47</v>
      </c>
      <c r="Q13" s="52">
        <v>11.0</v>
      </c>
      <c r="R13" s="52">
        <v>9.0</v>
      </c>
      <c r="S13" s="52" t="s">
        <v>47</v>
      </c>
      <c r="T13" s="52" t="s">
        <v>47</v>
      </c>
      <c r="U13" s="52" t="s">
        <v>47</v>
      </c>
      <c r="V13" s="52" t="s">
        <v>47</v>
      </c>
      <c r="W13" s="52">
        <v>6.0</v>
      </c>
      <c r="X13" s="52">
        <v>8.0</v>
      </c>
      <c r="Y13" s="52">
        <v>25.0</v>
      </c>
      <c r="Z13" s="52" t="s">
        <v>47</v>
      </c>
      <c r="AA13" s="52">
        <v>56.0</v>
      </c>
      <c r="AB13" s="52">
        <v>7.0</v>
      </c>
      <c r="AC13" s="52">
        <v>113.0</v>
      </c>
      <c r="AD13" s="52">
        <v>0.0</v>
      </c>
      <c r="AE13" s="52" t="s">
        <v>47</v>
      </c>
      <c r="AF13" s="52">
        <v>8.0</v>
      </c>
      <c r="AG13" s="52">
        <v>8.0</v>
      </c>
      <c r="AH13" s="52">
        <v>5.0</v>
      </c>
      <c r="AI13" s="52" t="s">
        <v>47</v>
      </c>
      <c r="AJ13" s="52">
        <v>29.0</v>
      </c>
      <c r="AK13" s="52" t="s">
        <v>47</v>
      </c>
      <c r="AL13" s="52">
        <v>15.0</v>
      </c>
      <c r="AM13" s="52">
        <v>9.0</v>
      </c>
      <c r="AN13" s="52">
        <v>11.0</v>
      </c>
      <c r="AO13" s="52">
        <v>20.0</v>
      </c>
      <c r="AP13" s="54">
        <v>481.0</v>
      </c>
    </row>
    <row r="14">
      <c r="A14" s="107" t="s">
        <v>171</v>
      </c>
      <c r="B14" s="52">
        <v>6.0</v>
      </c>
      <c r="C14" s="52">
        <v>9.0</v>
      </c>
      <c r="D14" s="52">
        <v>14.0</v>
      </c>
      <c r="E14" s="52">
        <v>48.0</v>
      </c>
      <c r="F14" s="52" t="s">
        <v>47</v>
      </c>
      <c r="G14" s="52">
        <v>23.0</v>
      </c>
      <c r="H14" s="52">
        <v>108.0</v>
      </c>
      <c r="I14" s="52">
        <v>41.0</v>
      </c>
      <c r="J14" s="52">
        <v>13.0</v>
      </c>
      <c r="K14" s="52">
        <v>60.0</v>
      </c>
      <c r="L14" s="52" t="s">
        <v>47</v>
      </c>
      <c r="M14" s="52">
        <v>5.0</v>
      </c>
      <c r="N14" s="52" t="s">
        <v>47</v>
      </c>
      <c r="O14" s="52" t="s">
        <v>47</v>
      </c>
      <c r="P14" s="52" t="s">
        <v>47</v>
      </c>
      <c r="Q14" s="52">
        <v>38.0</v>
      </c>
      <c r="R14" s="52">
        <v>19.0</v>
      </c>
      <c r="S14" s="52" t="s">
        <v>47</v>
      </c>
      <c r="T14" s="52">
        <v>6.0</v>
      </c>
      <c r="U14" s="52">
        <v>13.0</v>
      </c>
      <c r="V14" s="52">
        <v>0.0</v>
      </c>
      <c r="W14" s="52">
        <v>8.0</v>
      </c>
      <c r="X14" s="52">
        <v>22.0</v>
      </c>
      <c r="Y14" s="52">
        <v>60.0</v>
      </c>
      <c r="Z14" s="52">
        <v>5.0</v>
      </c>
      <c r="AA14" s="52">
        <v>145.0</v>
      </c>
      <c r="AB14" s="52" t="s">
        <v>47</v>
      </c>
      <c r="AC14" s="52">
        <v>527.0</v>
      </c>
      <c r="AD14" s="52" t="s">
        <v>47</v>
      </c>
      <c r="AE14" s="52">
        <v>6.0</v>
      </c>
      <c r="AF14" s="52">
        <v>17.0</v>
      </c>
      <c r="AG14" s="52">
        <v>19.0</v>
      </c>
      <c r="AH14" s="52">
        <v>15.0</v>
      </c>
      <c r="AI14" s="52" t="s">
        <v>47</v>
      </c>
      <c r="AJ14" s="52">
        <v>65.0</v>
      </c>
      <c r="AK14" s="52">
        <v>5.0</v>
      </c>
      <c r="AL14" s="52">
        <v>21.0</v>
      </c>
      <c r="AM14" s="52">
        <v>8.0</v>
      </c>
      <c r="AN14" s="52">
        <v>38.0</v>
      </c>
      <c r="AO14" s="52">
        <v>58.0</v>
      </c>
      <c r="AP14" s="108">
        <v>1447.0</v>
      </c>
    </row>
    <row r="15">
      <c r="A15" s="107" t="s">
        <v>172</v>
      </c>
      <c r="B15" s="52" t="s">
        <v>47</v>
      </c>
      <c r="C15" s="52">
        <v>13.0</v>
      </c>
      <c r="D15" s="52">
        <v>8.0</v>
      </c>
      <c r="E15" s="52">
        <v>112.0</v>
      </c>
      <c r="F15" s="52" t="s">
        <v>47</v>
      </c>
      <c r="G15" s="52">
        <v>18.0</v>
      </c>
      <c r="H15" s="52">
        <v>140.0</v>
      </c>
      <c r="I15" s="52">
        <v>28.0</v>
      </c>
      <c r="J15" s="52">
        <v>5.0</v>
      </c>
      <c r="K15" s="52">
        <v>55.0</v>
      </c>
      <c r="L15" s="52" t="s">
        <v>47</v>
      </c>
      <c r="M15" s="52" t="s">
        <v>47</v>
      </c>
      <c r="N15" s="52">
        <v>6.0</v>
      </c>
      <c r="O15" s="52">
        <v>0.0</v>
      </c>
      <c r="P15" s="52" t="s">
        <v>47</v>
      </c>
      <c r="Q15" s="52">
        <v>40.0</v>
      </c>
      <c r="R15" s="52">
        <v>20.0</v>
      </c>
      <c r="S15" s="52" t="s">
        <v>47</v>
      </c>
      <c r="T15" s="52" t="s">
        <v>47</v>
      </c>
      <c r="U15" s="52" t="s">
        <v>47</v>
      </c>
      <c r="V15" s="52">
        <v>0.0</v>
      </c>
      <c r="W15" s="52">
        <v>0.0</v>
      </c>
      <c r="X15" s="52">
        <v>6.0</v>
      </c>
      <c r="Y15" s="52">
        <v>83.0</v>
      </c>
      <c r="Z15" s="52" t="s">
        <v>47</v>
      </c>
      <c r="AA15" s="52">
        <v>210.0</v>
      </c>
      <c r="AB15" s="52" t="s">
        <v>47</v>
      </c>
      <c r="AC15" s="52">
        <v>632.0</v>
      </c>
      <c r="AD15" s="52" t="s">
        <v>47</v>
      </c>
      <c r="AE15" s="52">
        <v>6.0</v>
      </c>
      <c r="AF15" s="52">
        <v>8.0</v>
      </c>
      <c r="AG15" s="52">
        <v>10.0</v>
      </c>
      <c r="AH15" s="52">
        <v>8.0</v>
      </c>
      <c r="AI15" s="52" t="s">
        <v>47</v>
      </c>
      <c r="AJ15" s="52">
        <v>60.0</v>
      </c>
      <c r="AK15" s="52" t="s">
        <v>47</v>
      </c>
      <c r="AL15" s="52">
        <v>31.0</v>
      </c>
      <c r="AM15" s="52">
        <v>6.0</v>
      </c>
      <c r="AN15" s="52">
        <v>47.0</v>
      </c>
      <c r="AO15" s="52">
        <v>35.0</v>
      </c>
      <c r="AP15" s="108">
        <v>1625.0</v>
      </c>
    </row>
    <row r="16">
      <c r="A16" s="107" t="s">
        <v>173</v>
      </c>
      <c r="B16" s="52">
        <v>6.0</v>
      </c>
      <c r="C16" s="52">
        <v>11.0</v>
      </c>
      <c r="D16" s="52">
        <v>10.0</v>
      </c>
      <c r="E16" s="52">
        <v>178.0</v>
      </c>
      <c r="F16" s="52" t="s">
        <v>47</v>
      </c>
      <c r="G16" s="52">
        <v>17.0</v>
      </c>
      <c r="H16" s="52">
        <v>130.0</v>
      </c>
      <c r="I16" s="52">
        <v>38.0</v>
      </c>
      <c r="J16" s="52">
        <v>12.0</v>
      </c>
      <c r="K16" s="52">
        <v>51.0</v>
      </c>
      <c r="L16" s="52">
        <v>5.0</v>
      </c>
      <c r="M16" s="52" t="s">
        <v>47</v>
      </c>
      <c r="N16" s="52">
        <v>8.0</v>
      </c>
      <c r="O16" s="52" t="s">
        <v>47</v>
      </c>
      <c r="P16" s="52" t="s">
        <v>47</v>
      </c>
      <c r="Q16" s="52">
        <v>45.0</v>
      </c>
      <c r="R16" s="52">
        <v>23.0</v>
      </c>
      <c r="S16" s="52">
        <v>0.0</v>
      </c>
      <c r="T16" s="52">
        <v>6.0</v>
      </c>
      <c r="U16" s="52">
        <v>11.0</v>
      </c>
      <c r="V16" s="52">
        <v>0.0</v>
      </c>
      <c r="W16" s="52">
        <v>10.0</v>
      </c>
      <c r="X16" s="52">
        <v>16.0</v>
      </c>
      <c r="Y16" s="52">
        <v>80.0</v>
      </c>
      <c r="Z16" s="52">
        <v>6.0</v>
      </c>
      <c r="AA16" s="52">
        <v>268.0</v>
      </c>
      <c r="AB16" s="52">
        <v>5.0</v>
      </c>
      <c r="AC16" s="52">
        <v>823.0</v>
      </c>
      <c r="AD16" s="52">
        <v>5.0</v>
      </c>
      <c r="AE16" s="52">
        <v>6.0</v>
      </c>
      <c r="AF16" s="52">
        <v>17.0</v>
      </c>
      <c r="AG16" s="52">
        <v>8.0</v>
      </c>
      <c r="AH16" s="52">
        <v>12.0</v>
      </c>
      <c r="AI16" s="52">
        <v>14.0</v>
      </c>
      <c r="AJ16" s="52">
        <v>59.0</v>
      </c>
      <c r="AK16" s="52" t="s">
        <v>47</v>
      </c>
      <c r="AL16" s="52">
        <v>36.0</v>
      </c>
      <c r="AM16" s="52">
        <v>15.0</v>
      </c>
      <c r="AN16" s="52">
        <v>50.0</v>
      </c>
      <c r="AO16" s="52">
        <v>42.0</v>
      </c>
      <c r="AP16" s="108">
        <v>2035.0</v>
      </c>
    </row>
    <row r="17">
      <c r="A17" s="107" t="s">
        <v>174</v>
      </c>
      <c r="B17" s="52" t="s">
        <v>47</v>
      </c>
      <c r="C17" s="52">
        <v>11.0</v>
      </c>
      <c r="D17" s="52">
        <v>10.0</v>
      </c>
      <c r="E17" s="52">
        <v>139.0</v>
      </c>
      <c r="F17" s="52">
        <v>5.0</v>
      </c>
      <c r="G17" s="52">
        <v>12.0</v>
      </c>
      <c r="H17" s="52">
        <v>107.0</v>
      </c>
      <c r="I17" s="52">
        <v>21.0</v>
      </c>
      <c r="J17" s="52">
        <v>11.0</v>
      </c>
      <c r="K17" s="52">
        <v>44.0</v>
      </c>
      <c r="L17" s="52" t="s">
        <v>47</v>
      </c>
      <c r="M17" s="52" t="s">
        <v>47</v>
      </c>
      <c r="N17" s="52" t="s">
        <v>47</v>
      </c>
      <c r="O17" s="52">
        <v>0.0</v>
      </c>
      <c r="P17" s="52">
        <v>0.0</v>
      </c>
      <c r="Q17" s="52">
        <v>25.0</v>
      </c>
      <c r="R17" s="52">
        <v>20.0</v>
      </c>
      <c r="S17" s="52">
        <v>0.0</v>
      </c>
      <c r="T17" s="52" t="s">
        <v>47</v>
      </c>
      <c r="U17" s="52" t="s">
        <v>47</v>
      </c>
      <c r="V17" s="52">
        <v>0.0</v>
      </c>
      <c r="W17" s="52">
        <v>8.0</v>
      </c>
      <c r="X17" s="52">
        <v>5.0</v>
      </c>
      <c r="Y17" s="52">
        <v>55.0</v>
      </c>
      <c r="Z17" s="52" t="s">
        <v>47</v>
      </c>
      <c r="AA17" s="52">
        <v>203.0</v>
      </c>
      <c r="AB17" s="52" t="s">
        <v>47</v>
      </c>
      <c r="AC17" s="52">
        <v>695.0</v>
      </c>
      <c r="AD17" s="52">
        <v>5.0</v>
      </c>
      <c r="AE17" s="52" t="s">
        <v>47</v>
      </c>
      <c r="AF17" s="52">
        <v>12.0</v>
      </c>
      <c r="AG17" s="52" t="s">
        <v>47</v>
      </c>
      <c r="AH17" s="52">
        <v>6.0</v>
      </c>
      <c r="AI17" s="52" t="s">
        <v>47</v>
      </c>
      <c r="AJ17" s="52">
        <v>60.0</v>
      </c>
      <c r="AK17" s="52" t="s">
        <v>47</v>
      </c>
      <c r="AL17" s="52">
        <v>25.0</v>
      </c>
      <c r="AM17" s="52">
        <v>7.0</v>
      </c>
      <c r="AN17" s="52">
        <v>55.0</v>
      </c>
      <c r="AO17" s="52">
        <v>53.0</v>
      </c>
      <c r="AP17" s="108">
        <v>1626.0</v>
      </c>
    </row>
    <row r="18">
      <c r="A18" s="107" t="s">
        <v>175</v>
      </c>
      <c r="B18" s="52" t="s">
        <v>47</v>
      </c>
      <c r="C18" s="52">
        <v>10.0</v>
      </c>
      <c r="D18" s="52" t="s">
        <v>47</v>
      </c>
      <c r="E18" s="52">
        <v>131.0</v>
      </c>
      <c r="F18" s="52" t="s">
        <v>47</v>
      </c>
      <c r="G18" s="52">
        <v>13.0</v>
      </c>
      <c r="H18" s="52">
        <v>80.0</v>
      </c>
      <c r="I18" s="52">
        <v>21.0</v>
      </c>
      <c r="J18" s="52">
        <v>8.0</v>
      </c>
      <c r="K18" s="52">
        <v>65.0</v>
      </c>
      <c r="L18" s="52">
        <v>6.0</v>
      </c>
      <c r="M18" s="52" t="s">
        <v>47</v>
      </c>
      <c r="N18" s="52" t="s">
        <v>47</v>
      </c>
      <c r="O18" s="52" t="s">
        <v>47</v>
      </c>
      <c r="P18" s="52" t="s">
        <v>47</v>
      </c>
      <c r="Q18" s="52">
        <v>35.0</v>
      </c>
      <c r="R18" s="52">
        <v>19.0</v>
      </c>
      <c r="S18" s="52" t="s">
        <v>47</v>
      </c>
      <c r="T18" s="52" t="s">
        <v>47</v>
      </c>
      <c r="U18" s="52" t="s">
        <v>47</v>
      </c>
      <c r="V18" s="52">
        <v>0.0</v>
      </c>
      <c r="W18" s="52">
        <v>8.0</v>
      </c>
      <c r="X18" s="52">
        <v>9.0</v>
      </c>
      <c r="Y18" s="52">
        <v>67.0</v>
      </c>
      <c r="Z18" s="52">
        <v>9.0</v>
      </c>
      <c r="AA18" s="52">
        <v>189.0</v>
      </c>
      <c r="AB18" s="52" t="s">
        <v>47</v>
      </c>
      <c r="AC18" s="52">
        <v>544.0</v>
      </c>
      <c r="AD18" s="52" t="s">
        <v>47</v>
      </c>
      <c r="AE18" s="52" t="s">
        <v>47</v>
      </c>
      <c r="AF18" s="52">
        <v>13.0</v>
      </c>
      <c r="AG18" s="52" t="s">
        <v>47</v>
      </c>
      <c r="AH18" s="52">
        <v>6.0</v>
      </c>
      <c r="AI18" s="52">
        <v>5.0</v>
      </c>
      <c r="AJ18" s="52">
        <v>42.0</v>
      </c>
      <c r="AK18" s="52">
        <v>0.0</v>
      </c>
      <c r="AL18" s="52">
        <v>27.0</v>
      </c>
      <c r="AM18" s="52" t="s">
        <v>47</v>
      </c>
      <c r="AN18" s="52">
        <v>68.0</v>
      </c>
      <c r="AO18" s="52">
        <v>59.0</v>
      </c>
      <c r="AP18" s="108">
        <v>1463.0</v>
      </c>
    </row>
    <row r="19">
      <c r="A19" s="107" t="s">
        <v>176</v>
      </c>
      <c r="B19" s="52">
        <v>6.0</v>
      </c>
      <c r="C19" s="52">
        <v>6.0</v>
      </c>
      <c r="D19" s="52" t="s">
        <v>47</v>
      </c>
      <c r="E19" s="52">
        <v>97.0</v>
      </c>
      <c r="F19" s="52">
        <v>0.0</v>
      </c>
      <c r="G19" s="52">
        <v>12.0</v>
      </c>
      <c r="H19" s="52">
        <v>73.0</v>
      </c>
      <c r="I19" s="52">
        <v>15.0</v>
      </c>
      <c r="J19" s="52">
        <v>6.0</v>
      </c>
      <c r="K19" s="52">
        <v>53.0</v>
      </c>
      <c r="L19" s="52" t="s">
        <v>47</v>
      </c>
      <c r="M19" s="52" t="s">
        <v>47</v>
      </c>
      <c r="N19" s="52">
        <v>9.0</v>
      </c>
      <c r="O19" s="52" t="s">
        <v>47</v>
      </c>
      <c r="P19" s="52">
        <v>0.0</v>
      </c>
      <c r="Q19" s="52">
        <v>20.0</v>
      </c>
      <c r="R19" s="52">
        <v>12.0</v>
      </c>
      <c r="S19" s="52">
        <v>0.0</v>
      </c>
      <c r="T19" s="52">
        <v>0.0</v>
      </c>
      <c r="U19" s="52" t="s">
        <v>47</v>
      </c>
      <c r="V19" s="52">
        <v>0.0</v>
      </c>
      <c r="W19" s="52" t="s">
        <v>47</v>
      </c>
      <c r="X19" s="52">
        <v>10.0</v>
      </c>
      <c r="Y19" s="52">
        <v>50.0</v>
      </c>
      <c r="Z19" s="52">
        <v>16.0</v>
      </c>
      <c r="AA19" s="52">
        <v>115.0</v>
      </c>
      <c r="AB19" s="52" t="s">
        <v>47</v>
      </c>
      <c r="AC19" s="52">
        <v>483.0</v>
      </c>
      <c r="AD19" s="52">
        <v>0.0</v>
      </c>
      <c r="AE19" s="52">
        <v>5.0</v>
      </c>
      <c r="AF19" s="52">
        <v>11.0</v>
      </c>
      <c r="AG19" s="52" t="s">
        <v>47</v>
      </c>
      <c r="AH19" s="52">
        <v>7.0</v>
      </c>
      <c r="AI19" s="52">
        <v>13.0</v>
      </c>
      <c r="AJ19" s="52">
        <v>35.0</v>
      </c>
      <c r="AK19" s="52" t="s">
        <v>47</v>
      </c>
      <c r="AL19" s="52">
        <v>15.0</v>
      </c>
      <c r="AM19" s="52" t="s">
        <v>47</v>
      </c>
      <c r="AN19" s="52">
        <v>60.0</v>
      </c>
      <c r="AO19" s="52">
        <v>47.0</v>
      </c>
      <c r="AP19" s="108">
        <v>1198.0</v>
      </c>
    </row>
    <row r="20">
      <c r="A20" s="107" t="s">
        <v>177</v>
      </c>
      <c r="B20" s="52">
        <v>7.0</v>
      </c>
      <c r="C20" s="52">
        <v>9.0</v>
      </c>
      <c r="D20" s="52">
        <v>7.0</v>
      </c>
      <c r="E20" s="52">
        <v>65.0</v>
      </c>
      <c r="F20" s="52">
        <v>0.0</v>
      </c>
      <c r="G20" s="52">
        <v>17.0</v>
      </c>
      <c r="H20" s="52">
        <v>74.0</v>
      </c>
      <c r="I20" s="52">
        <v>13.0</v>
      </c>
      <c r="J20" s="52" t="s">
        <v>47</v>
      </c>
      <c r="K20" s="52">
        <v>29.0</v>
      </c>
      <c r="L20" s="52" t="s">
        <v>47</v>
      </c>
      <c r="M20" s="52" t="s">
        <v>47</v>
      </c>
      <c r="N20" s="52" t="s">
        <v>47</v>
      </c>
      <c r="O20" s="52" t="s">
        <v>47</v>
      </c>
      <c r="P20" s="52" t="s">
        <v>47</v>
      </c>
      <c r="Q20" s="52">
        <v>20.0</v>
      </c>
      <c r="R20" s="52">
        <v>12.0</v>
      </c>
      <c r="S20" s="52" t="s">
        <v>47</v>
      </c>
      <c r="T20" s="52" t="s">
        <v>47</v>
      </c>
      <c r="U20" s="52" t="s">
        <v>47</v>
      </c>
      <c r="V20" s="52">
        <v>0.0</v>
      </c>
      <c r="W20" s="52" t="s">
        <v>47</v>
      </c>
      <c r="X20" s="52">
        <v>6.0</v>
      </c>
      <c r="Y20" s="52">
        <v>27.0</v>
      </c>
      <c r="Z20" s="52">
        <v>6.0</v>
      </c>
      <c r="AA20" s="52">
        <v>118.0</v>
      </c>
      <c r="AB20" s="52">
        <v>7.0</v>
      </c>
      <c r="AC20" s="52">
        <v>419.0</v>
      </c>
      <c r="AD20" s="52" t="s">
        <v>47</v>
      </c>
      <c r="AE20" s="52" t="s">
        <v>47</v>
      </c>
      <c r="AF20" s="52">
        <v>7.0</v>
      </c>
      <c r="AG20" s="52" t="s">
        <v>47</v>
      </c>
      <c r="AH20" s="52">
        <v>9.0</v>
      </c>
      <c r="AI20" s="52">
        <v>5.0</v>
      </c>
      <c r="AJ20" s="52">
        <v>34.0</v>
      </c>
      <c r="AK20" s="52" t="s">
        <v>47</v>
      </c>
      <c r="AL20" s="52">
        <v>12.0</v>
      </c>
      <c r="AM20" s="52" t="s">
        <v>47</v>
      </c>
      <c r="AN20" s="52">
        <v>36.0</v>
      </c>
      <c r="AO20" s="52">
        <v>34.0</v>
      </c>
      <c r="AP20" s="108">
        <v>1007.0</v>
      </c>
    </row>
    <row r="21">
      <c r="A21" s="107" t="s">
        <v>178</v>
      </c>
      <c r="B21" s="52" t="s">
        <v>47</v>
      </c>
      <c r="C21" s="52">
        <v>9.0</v>
      </c>
      <c r="D21" s="52" t="s">
        <v>47</v>
      </c>
      <c r="E21" s="52">
        <v>32.0</v>
      </c>
      <c r="F21" s="52" t="s">
        <v>47</v>
      </c>
      <c r="G21" s="52">
        <v>10.0</v>
      </c>
      <c r="H21" s="52">
        <v>46.0</v>
      </c>
      <c r="I21" s="52">
        <v>6.0</v>
      </c>
      <c r="J21" s="52">
        <v>0.0</v>
      </c>
      <c r="K21" s="52">
        <v>33.0</v>
      </c>
      <c r="L21" s="52">
        <v>0.0</v>
      </c>
      <c r="M21" s="52" t="s">
        <v>47</v>
      </c>
      <c r="N21" s="52" t="s">
        <v>47</v>
      </c>
      <c r="O21" s="52">
        <v>0.0</v>
      </c>
      <c r="P21" s="52" t="s">
        <v>47</v>
      </c>
      <c r="Q21" s="52">
        <v>38.0</v>
      </c>
      <c r="R21" s="52">
        <v>10.0</v>
      </c>
      <c r="S21" s="52">
        <v>0.0</v>
      </c>
      <c r="T21" s="52">
        <v>5.0</v>
      </c>
      <c r="U21" s="52" t="s">
        <v>47</v>
      </c>
      <c r="V21" s="52">
        <v>0.0</v>
      </c>
      <c r="W21" s="52">
        <v>8.0</v>
      </c>
      <c r="X21" s="52">
        <v>6.0</v>
      </c>
      <c r="Y21" s="52">
        <v>17.0</v>
      </c>
      <c r="Z21" s="52">
        <v>5.0</v>
      </c>
      <c r="AA21" s="52">
        <v>71.0</v>
      </c>
      <c r="AB21" s="52">
        <v>6.0</v>
      </c>
      <c r="AC21" s="52">
        <v>329.0</v>
      </c>
      <c r="AD21" s="52" t="s">
        <v>47</v>
      </c>
      <c r="AE21" s="52" t="s">
        <v>47</v>
      </c>
      <c r="AF21" s="52">
        <v>0.0</v>
      </c>
      <c r="AG21" s="52">
        <v>0.0</v>
      </c>
      <c r="AH21" s="52" t="s">
        <v>47</v>
      </c>
      <c r="AI21" s="52">
        <v>0.0</v>
      </c>
      <c r="AJ21" s="52">
        <v>19.0</v>
      </c>
      <c r="AK21" s="52" t="s">
        <v>47</v>
      </c>
      <c r="AL21" s="52">
        <v>11.0</v>
      </c>
      <c r="AM21" s="52" t="s">
        <v>47</v>
      </c>
      <c r="AN21" s="52">
        <v>42.0</v>
      </c>
      <c r="AO21" s="52">
        <v>27.0</v>
      </c>
      <c r="AP21" s="54">
        <v>756.0</v>
      </c>
    </row>
    <row r="22">
      <c r="A22" s="107" t="s">
        <v>179</v>
      </c>
      <c r="B22" s="52" t="s">
        <v>47</v>
      </c>
      <c r="C22" s="52" t="s">
        <v>47</v>
      </c>
      <c r="D22" s="52" t="s">
        <v>47</v>
      </c>
      <c r="E22" s="52">
        <v>32.0</v>
      </c>
      <c r="F22" s="52">
        <v>0.0</v>
      </c>
      <c r="G22" s="52" t="s">
        <v>47</v>
      </c>
      <c r="H22" s="52">
        <v>38.0</v>
      </c>
      <c r="I22" s="52">
        <v>11.0</v>
      </c>
      <c r="J22" s="52" t="s">
        <v>47</v>
      </c>
      <c r="K22" s="52">
        <v>17.0</v>
      </c>
      <c r="L22" s="52" t="s">
        <v>47</v>
      </c>
      <c r="M22" s="52">
        <v>0.0</v>
      </c>
      <c r="N22" s="52" t="s">
        <v>47</v>
      </c>
      <c r="O22" s="52">
        <v>0.0</v>
      </c>
      <c r="P22" s="52" t="s">
        <v>47</v>
      </c>
      <c r="Q22" s="52">
        <v>12.0</v>
      </c>
      <c r="R22" s="52" t="s">
        <v>47</v>
      </c>
      <c r="S22" s="52">
        <v>0.0</v>
      </c>
      <c r="T22" s="52" t="s">
        <v>47</v>
      </c>
      <c r="U22" s="52" t="s">
        <v>47</v>
      </c>
      <c r="V22" s="52">
        <v>0.0</v>
      </c>
      <c r="W22" s="52" t="s">
        <v>47</v>
      </c>
      <c r="X22" s="52" t="s">
        <v>47</v>
      </c>
      <c r="Y22" s="52">
        <v>22.0</v>
      </c>
      <c r="Z22" s="52" t="s">
        <v>47</v>
      </c>
      <c r="AA22" s="52">
        <v>52.0</v>
      </c>
      <c r="AB22" s="52">
        <v>5.0</v>
      </c>
      <c r="AC22" s="52">
        <v>277.0</v>
      </c>
      <c r="AD22" s="52">
        <v>0.0</v>
      </c>
      <c r="AE22" s="52" t="s">
        <v>47</v>
      </c>
      <c r="AF22" s="52" t="s">
        <v>47</v>
      </c>
      <c r="AG22" s="52">
        <v>0.0</v>
      </c>
      <c r="AH22" s="52" t="s">
        <v>47</v>
      </c>
      <c r="AI22" s="52" t="s">
        <v>47</v>
      </c>
      <c r="AJ22" s="52">
        <v>20.0</v>
      </c>
      <c r="AK22" s="52">
        <v>0.0</v>
      </c>
      <c r="AL22" s="52">
        <v>10.0</v>
      </c>
      <c r="AM22" s="52">
        <v>0.0</v>
      </c>
      <c r="AN22" s="52">
        <v>30.0</v>
      </c>
      <c r="AO22" s="52">
        <v>10.0</v>
      </c>
      <c r="AP22" s="54">
        <v>576.0</v>
      </c>
    </row>
    <row r="23">
      <c r="A23" s="107" t="s">
        <v>180</v>
      </c>
      <c r="B23" s="52" t="s">
        <v>47</v>
      </c>
      <c r="C23" s="52" t="s">
        <v>47</v>
      </c>
      <c r="D23" s="52" t="s">
        <v>47</v>
      </c>
      <c r="E23" s="52">
        <v>23.0</v>
      </c>
      <c r="F23" s="52" t="s">
        <v>47</v>
      </c>
      <c r="G23" s="52" t="s">
        <v>47</v>
      </c>
      <c r="H23" s="52">
        <v>33.0</v>
      </c>
      <c r="I23" s="52">
        <v>9.0</v>
      </c>
      <c r="J23" s="52" t="s">
        <v>47</v>
      </c>
      <c r="K23" s="52">
        <v>12.0</v>
      </c>
      <c r="L23" s="52" t="s">
        <v>47</v>
      </c>
      <c r="M23" s="52" t="s">
        <v>47</v>
      </c>
      <c r="N23" s="52">
        <v>0.0</v>
      </c>
      <c r="O23" s="52">
        <v>0.0</v>
      </c>
      <c r="P23" s="52">
        <v>0.0</v>
      </c>
      <c r="Q23" s="52">
        <v>14.0</v>
      </c>
      <c r="R23" s="52">
        <v>9.0</v>
      </c>
      <c r="S23" s="52">
        <v>0.0</v>
      </c>
      <c r="T23" s="52" t="s">
        <v>47</v>
      </c>
      <c r="U23" s="52">
        <v>0.0</v>
      </c>
      <c r="V23" s="52">
        <v>0.0</v>
      </c>
      <c r="W23" s="52" t="s">
        <v>47</v>
      </c>
      <c r="X23" s="52" t="s">
        <v>47</v>
      </c>
      <c r="Y23" s="52">
        <v>10.0</v>
      </c>
      <c r="Z23" s="52">
        <v>7.0</v>
      </c>
      <c r="AA23" s="52">
        <v>43.0</v>
      </c>
      <c r="AB23" s="52">
        <v>0.0</v>
      </c>
      <c r="AC23" s="52">
        <v>161.0</v>
      </c>
      <c r="AD23" s="52">
        <v>0.0</v>
      </c>
      <c r="AE23" s="52" t="s">
        <v>47</v>
      </c>
      <c r="AF23" s="52" t="s">
        <v>47</v>
      </c>
      <c r="AG23" s="52" t="s">
        <v>47</v>
      </c>
      <c r="AH23" s="52" t="s">
        <v>47</v>
      </c>
      <c r="AI23" s="52" t="s">
        <v>47</v>
      </c>
      <c r="AJ23" s="52">
        <v>10.0</v>
      </c>
      <c r="AK23" s="52">
        <v>0.0</v>
      </c>
      <c r="AL23" s="52" t="s">
        <v>47</v>
      </c>
      <c r="AM23" s="52">
        <v>0.0</v>
      </c>
      <c r="AN23" s="52">
        <v>20.0</v>
      </c>
      <c r="AO23" s="52">
        <v>7.0</v>
      </c>
      <c r="AP23" s="54">
        <v>391.0</v>
      </c>
    </row>
    <row r="24">
      <c r="A24" s="107" t="s">
        <v>181</v>
      </c>
      <c r="B24" s="52">
        <v>0.0</v>
      </c>
      <c r="C24" s="52" t="s">
        <v>47</v>
      </c>
      <c r="D24" s="52" t="s">
        <v>47</v>
      </c>
      <c r="E24" s="52">
        <v>22.0</v>
      </c>
      <c r="F24" s="52" t="s">
        <v>47</v>
      </c>
      <c r="G24" s="52" t="s">
        <v>47</v>
      </c>
      <c r="H24" s="52">
        <v>17.0</v>
      </c>
      <c r="I24" s="52" t="s">
        <v>47</v>
      </c>
      <c r="J24" s="52" t="s">
        <v>47</v>
      </c>
      <c r="K24" s="52">
        <v>7.0</v>
      </c>
      <c r="L24" s="52">
        <v>0.0</v>
      </c>
      <c r="M24" s="52">
        <v>0.0</v>
      </c>
      <c r="N24" s="52">
        <v>0.0</v>
      </c>
      <c r="O24" s="52">
        <v>0.0</v>
      </c>
      <c r="P24" s="52" t="s">
        <v>47</v>
      </c>
      <c r="Q24" s="52">
        <v>5.0</v>
      </c>
      <c r="R24" s="52" t="s">
        <v>47</v>
      </c>
      <c r="S24" s="52">
        <v>0.0</v>
      </c>
      <c r="T24" s="52" t="s">
        <v>47</v>
      </c>
      <c r="U24" s="52" t="s">
        <v>47</v>
      </c>
      <c r="V24" s="52">
        <v>0.0</v>
      </c>
      <c r="W24" s="52">
        <v>6.0</v>
      </c>
      <c r="X24" s="52" t="s">
        <v>47</v>
      </c>
      <c r="Y24" s="52">
        <v>5.0</v>
      </c>
      <c r="Z24" s="52" t="s">
        <v>47</v>
      </c>
      <c r="AA24" s="52">
        <v>26.0</v>
      </c>
      <c r="AB24" s="52" t="s">
        <v>47</v>
      </c>
      <c r="AC24" s="52">
        <v>130.0</v>
      </c>
      <c r="AD24" s="52">
        <v>0.0</v>
      </c>
      <c r="AE24" s="52" t="s">
        <v>47</v>
      </c>
      <c r="AF24" s="52" t="s">
        <v>47</v>
      </c>
      <c r="AG24" s="52">
        <v>0.0</v>
      </c>
      <c r="AH24" s="52">
        <v>0.0</v>
      </c>
      <c r="AI24" s="52" t="s">
        <v>47</v>
      </c>
      <c r="AJ24" s="52">
        <v>12.0</v>
      </c>
      <c r="AK24" s="52">
        <v>0.0</v>
      </c>
      <c r="AL24" s="52">
        <v>10.0</v>
      </c>
      <c r="AM24" s="52" t="s">
        <v>47</v>
      </c>
      <c r="AN24" s="52">
        <v>14.0</v>
      </c>
      <c r="AO24" s="52">
        <v>12.0</v>
      </c>
      <c r="AP24" s="54">
        <v>298.0</v>
      </c>
    </row>
    <row r="25">
      <c r="A25" s="107" t="s">
        <v>182</v>
      </c>
      <c r="B25" s="52" t="s">
        <v>47</v>
      </c>
      <c r="C25" s="52">
        <v>5.0</v>
      </c>
      <c r="D25" s="52" t="s">
        <v>47</v>
      </c>
      <c r="E25" s="52">
        <v>10.0</v>
      </c>
      <c r="F25" s="52" t="s">
        <v>47</v>
      </c>
      <c r="G25" s="52" t="s">
        <v>47</v>
      </c>
      <c r="H25" s="52">
        <v>14.0</v>
      </c>
      <c r="I25" s="52">
        <v>9.0</v>
      </c>
      <c r="J25" s="52" t="s">
        <v>47</v>
      </c>
      <c r="K25" s="52">
        <v>8.0</v>
      </c>
      <c r="L25" s="52">
        <v>0.0</v>
      </c>
      <c r="M25" s="52" t="s">
        <v>47</v>
      </c>
      <c r="N25" s="52" t="s">
        <v>47</v>
      </c>
      <c r="O25" s="52" t="s">
        <v>47</v>
      </c>
      <c r="P25" s="52">
        <v>0.0</v>
      </c>
      <c r="Q25" s="52">
        <v>10.0</v>
      </c>
      <c r="R25" s="52">
        <v>6.0</v>
      </c>
      <c r="S25" s="52">
        <v>0.0</v>
      </c>
      <c r="T25" s="52">
        <v>6.0</v>
      </c>
      <c r="U25" s="52">
        <v>0.0</v>
      </c>
      <c r="V25" s="52">
        <v>0.0</v>
      </c>
      <c r="W25" s="52">
        <v>11.0</v>
      </c>
      <c r="X25" s="52" t="s">
        <v>47</v>
      </c>
      <c r="Y25" s="52">
        <v>12.0</v>
      </c>
      <c r="Z25" s="52">
        <v>0.0</v>
      </c>
      <c r="AA25" s="52">
        <v>40.0</v>
      </c>
      <c r="AB25" s="52" t="s">
        <v>47</v>
      </c>
      <c r="AC25" s="52">
        <v>126.0</v>
      </c>
      <c r="AD25" s="52">
        <v>0.0</v>
      </c>
      <c r="AE25" s="52" t="s">
        <v>47</v>
      </c>
      <c r="AF25" s="52" t="s">
        <v>47</v>
      </c>
      <c r="AG25" s="52" t="s">
        <v>47</v>
      </c>
      <c r="AH25" s="52" t="s">
        <v>47</v>
      </c>
      <c r="AI25" s="52" t="s">
        <v>47</v>
      </c>
      <c r="AJ25" s="52">
        <v>12.0</v>
      </c>
      <c r="AK25" s="52" t="s">
        <v>47</v>
      </c>
      <c r="AL25" s="52">
        <v>9.0</v>
      </c>
      <c r="AM25" s="52" t="s">
        <v>47</v>
      </c>
      <c r="AN25" s="52">
        <v>15.0</v>
      </c>
      <c r="AO25" s="52">
        <v>17.0</v>
      </c>
      <c r="AP25" s="54">
        <v>341.0</v>
      </c>
    </row>
    <row r="26">
      <c r="A26" s="107" t="s">
        <v>183</v>
      </c>
      <c r="B26" s="52" t="s">
        <v>47</v>
      </c>
      <c r="C26" s="52" t="s">
        <v>47</v>
      </c>
      <c r="D26" s="52" t="s">
        <v>47</v>
      </c>
      <c r="E26" s="52">
        <v>8.0</v>
      </c>
      <c r="F26" s="52" t="s">
        <v>47</v>
      </c>
      <c r="G26" s="52">
        <v>9.0</v>
      </c>
      <c r="H26" s="52">
        <v>33.0</v>
      </c>
      <c r="I26" s="52" t="s">
        <v>47</v>
      </c>
      <c r="J26" s="52" t="s">
        <v>47</v>
      </c>
      <c r="K26" s="52">
        <v>6.0</v>
      </c>
      <c r="L26" s="52">
        <v>0.0</v>
      </c>
      <c r="M26" s="52" t="s">
        <v>47</v>
      </c>
      <c r="N26" s="52" t="s">
        <v>47</v>
      </c>
      <c r="O26" s="52">
        <v>0.0</v>
      </c>
      <c r="P26" s="52" t="s">
        <v>47</v>
      </c>
      <c r="Q26" s="52">
        <v>10.0</v>
      </c>
      <c r="R26" s="52" t="s">
        <v>47</v>
      </c>
      <c r="S26" s="52" t="s">
        <v>47</v>
      </c>
      <c r="T26" s="52">
        <v>5.0</v>
      </c>
      <c r="U26" s="52">
        <v>0.0</v>
      </c>
      <c r="V26" s="52">
        <v>0.0</v>
      </c>
      <c r="W26" s="52">
        <v>9.0</v>
      </c>
      <c r="X26" s="52" t="s">
        <v>47</v>
      </c>
      <c r="Y26" s="52">
        <v>9.0</v>
      </c>
      <c r="Z26" s="52" t="s">
        <v>47</v>
      </c>
      <c r="AA26" s="52">
        <v>13.0</v>
      </c>
      <c r="AB26" s="52" t="s">
        <v>47</v>
      </c>
      <c r="AC26" s="52">
        <v>87.0</v>
      </c>
      <c r="AD26" s="52">
        <v>0.0</v>
      </c>
      <c r="AE26" s="52" t="s">
        <v>47</v>
      </c>
      <c r="AF26" s="52">
        <v>5.0</v>
      </c>
      <c r="AG26" s="52">
        <v>0.0</v>
      </c>
      <c r="AH26" s="52" t="s">
        <v>47</v>
      </c>
      <c r="AI26" s="52" t="s">
        <v>47</v>
      </c>
      <c r="AJ26" s="52">
        <v>9.0</v>
      </c>
      <c r="AK26" s="52">
        <v>0.0</v>
      </c>
      <c r="AL26" s="52">
        <v>8.0</v>
      </c>
      <c r="AM26" s="52" t="s">
        <v>47</v>
      </c>
      <c r="AN26" s="52">
        <v>7.0</v>
      </c>
      <c r="AO26" s="52">
        <v>11.0</v>
      </c>
      <c r="AP26" s="54">
        <v>265.0</v>
      </c>
    </row>
    <row r="27">
      <c r="A27" s="107" t="s">
        <v>184</v>
      </c>
      <c r="B27" s="52" t="s">
        <v>47</v>
      </c>
      <c r="C27" s="52">
        <v>6.0</v>
      </c>
      <c r="D27" s="52" t="s">
        <v>47</v>
      </c>
      <c r="E27" s="52">
        <v>13.0</v>
      </c>
      <c r="F27" s="52" t="s">
        <v>47</v>
      </c>
      <c r="G27" s="52">
        <v>9.0</v>
      </c>
      <c r="H27" s="52">
        <v>26.0</v>
      </c>
      <c r="I27" s="52" t="s">
        <v>47</v>
      </c>
      <c r="J27" s="52">
        <v>7.0</v>
      </c>
      <c r="K27" s="52">
        <v>6.0</v>
      </c>
      <c r="L27" s="52">
        <v>0.0</v>
      </c>
      <c r="M27" s="52">
        <v>0.0</v>
      </c>
      <c r="N27" s="52" t="s">
        <v>47</v>
      </c>
      <c r="O27" s="52" t="s">
        <v>47</v>
      </c>
      <c r="P27" s="52" t="s">
        <v>47</v>
      </c>
      <c r="Q27" s="52">
        <v>7.0</v>
      </c>
      <c r="R27" s="52">
        <v>6.0</v>
      </c>
      <c r="S27" s="52">
        <v>0.0</v>
      </c>
      <c r="T27" s="52">
        <v>8.0</v>
      </c>
      <c r="U27" s="52" t="s">
        <v>47</v>
      </c>
      <c r="V27" s="52" t="s">
        <v>47</v>
      </c>
      <c r="W27" s="52">
        <v>12.0</v>
      </c>
      <c r="X27" s="52">
        <v>0.0</v>
      </c>
      <c r="Y27" s="52">
        <v>15.0</v>
      </c>
      <c r="Z27" s="52" t="s">
        <v>47</v>
      </c>
      <c r="AA27" s="52">
        <v>28.0</v>
      </c>
      <c r="AB27" s="52" t="s">
        <v>47</v>
      </c>
      <c r="AC27" s="52">
        <v>101.0</v>
      </c>
      <c r="AD27" s="52">
        <v>0.0</v>
      </c>
      <c r="AE27" s="52" t="s">
        <v>47</v>
      </c>
      <c r="AF27" s="52" t="s">
        <v>47</v>
      </c>
      <c r="AG27" s="52" t="s">
        <v>47</v>
      </c>
      <c r="AH27" s="52" t="s">
        <v>47</v>
      </c>
      <c r="AI27" s="52" t="s">
        <v>47</v>
      </c>
      <c r="AJ27" s="52">
        <v>16.0</v>
      </c>
      <c r="AK27" s="52" t="s">
        <v>47</v>
      </c>
      <c r="AL27" s="52">
        <v>14.0</v>
      </c>
      <c r="AM27" s="52" t="s">
        <v>47</v>
      </c>
      <c r="AN27" s="52">
        <v>13.0</v>
      </c>
      <c r="AO27" s="52">
        <v>13.0</v>
      </c>
      <c r="AP27" s="54">
        <v>341.0</v>
      </c>
    </row>
    <row r="28">
      <c r="A28" s="107" t="s">
        <v>185</v>
      </c>
      <c r="B28" s="52">
        <v>6.0</v>
      </c>
      <c r="C28" s="52">
        <v>7.0</v>
      </c>
      <c r="D28" s="52" t="s">
        <v>47</v>
      </c>
      <c r="E28" s="52">
        <v>20.0</v>
      </c>
      <c r="F28" s="52" t="s">
        <v>47</v>
      </c>
      <c r="G28" s="52" t="s">
        <v>47</v>
      </c>
      <c r="H28" s="52">
        <v>39.0</v>
      </c>
      <c r="I28" s="52">
        <v>11.0</v>
      </c>
      <c r="J28" s="52" t="s">
        <v>47</v>
      </c>
      <c r="K28" s="52">
        <v>14.0</v>
      </c>
      <c r="L28" s="52">
        <v>0.0</v>
      </c>
      <c r="M28" s="52">
        <v>0.0</v>
      </c>
      <c r="N28" s="52">
        <v>0.0</v>
      </c>
      <c r="O28" s="52">
        <v>0.0</v>
      </c>
      <c r="P28" s="52">
        <v>0.0</v>
      </c>
      <c r="Q28" s="52">
        <v>11.0</v>
      </c>
      <c r="R28" s="52">
        <v>5.0</v>
      </c>
      <c r="S28" s="52" t="s">
        <v>47</v>
      </c>
      <c r="T28" s="52" t="s">
        <v>47</v>
      </c>
      <c r="U28" s="52" t="s">
        <v>47</v>
      </c>
      <c r="V28" s="52">
        <v>0.0</v>
      </c>
      <c r="W28" s="52" t="s">
        <v>47</v>
      </c>
      <c r="X28" s="52" t="s">
        <v>47</v>
      </c>
      <c r="Y28" s="52">
        <v>14.0</v>
      </c>
      <c r="Z28" s="52" t="s">
        <v>47</v>
      </c>
      <c r="AA28" s="52">
        <v>58.0</v>
      </c>
      <c r="AB28" s="52" t="s">
        <v>47</v>
      </c>
      <c r="AC28" s="52">
        <v>122.0</v>
      </c>
      <c r="AD28" s="52">
        <v>0.0</v>
      </c>
      <c r="AE28" s="52" t="s">
        <v>47</v>
      </c>
      <c r="AF28" s="52">
        <v>12.0</v>
      </c>
      <c r="AG28" s="52">
        <v>0.0</v>
      </c>
      <c r="AH28" s="52" t="s">
        <v>47</v>
      </c>
      <c r="AI28" s="52" t="s">
        <v>47</v>
      </c>
      <c r="AJ28" s="52">
        <v>19.0</v>
      </c>
      <c r="AK28" s="52">
        <v>0.0</v>
      </c>
      <c r="AL28" s="52">
        <v>9.0</v>
      </c>
      <c r="AM28" s="52" t="s">
        <v>47</v>
      </c>
      <c r="AN28" s="52">
        <v>14.0</v>
      </c>
      <c r="AO28" s="52">
        <v>28.0</v>
      </c>
      <c r="AP28" s="54">
        <v>427.0</v>
      </c>
    </row>
    <row r="29">
      <c r="A29" s="107" t="s">
        <v>186</v>
      </c>
      <c r="B29" s="52">
        <v>0.0</v>
      </c>
      <c r="C29" s="52">
        <v>7.0</v>
      </c>
      <c r="D29" s="52" t="s">
        <v>47</v>
      </c>
      <c r="E29" s="52">
        <v>37.0</v>
      </c>
      <c r="F29" s="52" t="s">
        <v>47</v>
      </c>
      <c r="G29" s="52">
        <v>11.0</v>
      </c>
      <c r="H29" s="52">
        <v>40.0</v>
      </c>
      <c r="I29" s="52">
        <v>13.0</v>
      </c>
      <c r="J29" s="52">
        <v>6.0</v>
      </c>
      <c r="K29" s="52">
        <v>19.0</v>
      </c>
      <c r="L29" s="52" t="s">
        <v>47</v>
      </c>
      <c r="M29" s="52">
        <v>0.0</v>
      </c>
      <c r="N29" s="52" t="s">
        <v>47</v>
      </c>
      <c r="O29" s="52" t="s">
        <v>47</v>
      </c>
      <c r="P29" s="52" t="s">
        <v>47</v>
      </c>
      <c r="Q29" s="52">
        <v>19.0</v>
      </c>
      <c r="R29" s="52">
        <v>5.0</v>
      </c>
      <c r="S29" s="52">
        <v>0.0</v>
      </c>
      <c r="T29" s="52" t="s">
        <v>47</v>
      </c>
      <c r="U29" s="52" t="s">
        <v>47</v>
      </c>
      <c r="V29" s="52" t="s">
        <v>47</v>
      </c>
      <c r="W29" s="52">
        <v>8.0</v>
      </c>
      <c r="X29" s="52">
        <v>6.0</v>
      </c>
      <c r="Y29" s="52">
        <v>31.0</v>
      </c>
      <c r="Z29" s="52" t="s">
        <v>47</v>
      </c>
      <c r="AA29" s="52">
        <v>89.0</v>
      </c>
      <c r="AB29" s="52" t="s">
        <v>47</v>
      </c>
      <c r="AC29" s="52">
        <v>173.0</v>
      </c>
      <c r="AD29" s="52">
        <v>0.0</v>
      </c>
      <c r="AE29" s="52" t="s">
        <v>47</v>
      </c>
      <c r="AF29" s="52">
        <v>9.0</v>
      </c>
      <c r="AG29" s="52" t="s">
        <v>47</v>
      </c>
      <c r="AH29" s="52" t="s">
        <v>47</v>
      </c>
      <c r="AI29" s="52">
        <v>9.0</v>
      </c>
      <c r="AJ29" s="52">
        <v>35.0</v>
      </c>
      <c r="AK29" s="52" t="s">
        <v>47</v>
      </c>
      <c r="AL29" s="52">
        <v>11.0</v>
      </c>
      <c r="AM29" s="52" t="s">
        <v>47</v>
      </c>
      <c r="AN29" s="52">
        <v>14.0</v>
      </c>
      <c r="AO29" s="52">
        <v>55.0</v>
      </c>
      <c r="AP29" s="54">
        <v>625.0</v>
      </c>
    </row>
    <row r="30">
      <c r="A30" s="109" t="s">
        <v>187</v>
      </c>
      <c r="B30" s="52" t="s">
        <v>47</v>
      </c>
      <c r="C30" s="52">
        <v>6.0</v>
      </c>
      <c r="D30" s="52">
        <v>7.0</v>
      </c>
      <c r="E30" s="110">
        <v>38.0</v>
      </c>
      <c r="F30" s="52" t="s">
        <v>47</v>
      </c>
      <c r="G30" s="52">
        <v>6.0</v>
      </c>
      <c r="H30" s="110">
        <v>80.0</v>
      </c>
      <c r="I30" s="52">
        <v>10.0</v>
      </c>
      <c r="J30" s="52">
        <v>5.0</v>
      </c>
      <c r="K30" s="52">
        <v>14.0</v>
      </c>
      <c r="L30" s="52" t="s">
        <v>47</v>
      </c>
      <c r="M30" s="52" t="s">
        <v>47</v>
      </c>
      <c r="N30" s="52" t="s">
        <v>47</v>
      </c>
      <c r="O30" s="52">
        <v>0.0</v>
      </c>
      <c r="P30" s="52" t="s">
        <v>47</v>
      </c>
      <c r="Q30" s="52">
        <v>9.0</v>
      </c>
      <c r="R30" s="52">
        <v>12.0</v>
      </c>
      <c r="S30" s="52">
        <v>0.0</v>
      </c>
      <c r="T30" s="52">
        <v>6.0</v>
      </c>
      <c r="U30" s="52">
        <v>0.0</v>
      </c>
      <c r="V30" s="52" t="s">
        <v>47</v>
      </c>
      <c r="W30" s="52">
        <v>6.0</v>
      </c>
      <c r="X30" s="52">
        <v>6.0</v>
      </c>
      <c r="Y30" s="52">
        <v>33.0</v>
      </c>
      <c r="Z30" s="52" t="s">
        <v>47</v>
      </c>
      <c r="AA30" s="110">
        <v>102.0</v>
      </c>
      <c r="AB30" s="52">
        <v>0.0</v>
      </c>
      <c r="AC30" s="110">
        <v>190.0</v>
      </c>
      <c r="AD30" s="52" t="s">
        <v>47</v>
      </c>
      <c r="AE30" s="52">
        <v>0.0</v>
      </c>
      <c r="AF30" s="52" t="s">
        <v>47</v>
      </c>
      <c r="AG30" s="52" t="s">
        <v>47</v>
      </c>
      <c r="AH30" s="52" t="s">
        <v>47</v>
      </c>
      <c r="AI30" s="52" t="s">
        <v>47</v>
      </c>
      <c r="AJ30" s="52">
        <v>35.0</v>
      </c>
      <c r="AK30" s="52" t="s">
        <v>47</v>
      </c>
      <c r="AL30" s="52">
        <v>21.0</v>
      </c>
      <c r="AM30" s="52" t="s">
        <v>47</v>
      </c>
      <c r="AN30" s="52">
        <v>18.0</v>
      </c>
      <c r="AO30" s="52">
        <v>46.0</v>
      </c>
      <c r="AP30" s="108">
        <v>678.0</v>
      </c>
    </row>
    <row r="31">
      <c r="A31" s="111" t="s">
        <v>188</v>
      </c>
      <c r="B31" s="52" t="s">
        <v>47</v>
      </c>
      <c r="C31" s="52">
        <v>6.0</v>
      </c>
      <c r="D31" s="52" t="s">
        <v>47</v>
      </c>
      <c r="E31" s="110">
        <v>39.0</v>
      </c>
      <c r="F31" s="52">
        <v>0.0</v>
      </c>
      <c r="G31" s="52">
        <v>6.0</v>
      </c>
      <c r="H31" s="110">
        <v>88.0</v>
      </c>
      <c r="I31" s="52">
        <v>11.0</v>
      </c>
      <c r="J31" s="52" t="s">
        <v>47</v>
      </c>
      <c r="K31" s="52">
        <v>15.0</v>
      </c>
      <c r="L31" s="52" t="s">
        <v>47</v>
      </c>
      <c r="M31" s="52" t="s">
        <v>47</v>
      </c>
      <c r="N31" s="52" t="s">
        <v>47</v>
      </c>
      <c r="O31" s="52">
        <v>0.0</v>
      </c>
      <c r="P31" s="52">
        <v>0.0</v>
      </c>
      <c r="Q31" s="52">
        <v>16.0</v>
      </c>
      <c r="R31" s="52">
        <v>12.0</v>
      </c>
      <c r="S31" s="52">
        <v>0.0</v>
      </c>
      <c r="T31" s="52" t="s">
        <v>47</v>
      </c>
      <c r="U31" s="52" t="s">
        <v>47</v>
      </c>
      <c r="V31" s="52" t="s">
        <v>47</v>
      </c>
      <c r="W31" s="52">
        <v>5.0</v>
      </c>
      <c r="X31" s="52">
        <v>5.0</v>
      </c>
      <c r="Y31" s="52">
        <v>26.0</v>
      </c>
      <c r="Z31" s="52" t="s">
        <v>47</v>
      </c>
      <c r="AA31" s="110">
        <v>85.0</v>
      </c>
      <c r="AB31" s="52" t="s">
        <v>47</v>
      </c>
      <c r="AC31" s="110">
        <v>229.0</v>
      </c>
      <c r="AD31" s="52" t="s">
        <v>47</v>
      </c>
      <c r="AE31" s="52" t="s">
        <v>47</v>
      </c>
      <c r="AF31" s="52">
        <v>7.0</v>
      </c>
      <c r="AG31" s="52">
        <v>0.0</v>
      </c>
      <c r="AH31" s="52">
        <v>0.0</v>
      </c>
      <c r="AI31" s="52">
        <v>0.0</v>
      </c>
      <c r="AJ31" s="52">
        <v>27.0</v>
      </c>
      <c r="AK31" s="52">
        <v>0.0</v>
      </c>
      <c r="AL31" s="52">
        <v>9.0</v>
      </c>
      <c r="AM31" s="52" t="s">
        <v>47</v>
      </c>
      <c r="AN31" s="52">
        <v>19.0</v>
      </c>
      <c r="AO31" s="52">
        <v>38.0</v>
      </c>
      <c r="AP31" s="108">
        <v>670.0</v>
      </c>
    </row>
    <row r="32">
      <c r="A32" s="111" t="s">
        <v>189</v>
      </c>
      <c r="B32" s="112" t="s">
        <v>47</v>
      </c>
      <c r="C32" s="112">
        <v>5.0</v>
      </c>
      <c r="D32" s="112" t="s">
        <v>47</v>
      </c>
      <c r="E32" s="113">
        <v>34.0</v>
      </c>
      <c r="F32" s="112" t="s">
        <v>47</v>
      </c>
      <c r="G32" s="112">
        <v>5.0</v>
      </c>
      <c r="H32" s="113">
        <v>38.0</v>
      </c>
      <c r="I32" s="112">
        <v>16.0</v>
      </c>
      <c r="J32" s="112" t="s">
        <v>47</v>
      </c>
      <c r="K32" s="112">
        <v>12.0</v>
      </c>
      <c r="L32" s="112" t="s">
        <v>47</v>
      </c>
      <c r="M32" s="112" t="s">
        <v>47</v>
      </c>
      <c r="N32" s="112" t="s">
        <v>47</v>
      </c>
      <c r="O32" s="112">
        <v>0.0</v>
      </c>
      <c r="P32" s="112" t="s">
        <v>47</v>
      </c>
      <c r="Q32" s="112">
        <v>11.0</v>
      </c>
      <c r="R32" s="112">
        <v>5.0</v>
      </c>
      <c r="S32" s="112">
        <v>0.0</v>
      </c>
      <c r="T32" s="112">
        <v>0.0</v>
      </c>
      <c r="U32" s="112">
        <v>16.0</v>
      </c>
      <c r="V32" s="112" t="s">
        <v>47</v>
      </c>
      <c r="W32" s="112" t="s">
        <v>47</v>
      </c>
      <c r="X32" s="112">
        <v>8.0</v>
      </c>
      <c r="Y32" s="112">
        <v>17.0</v>
      </c>
      <c r="Z32" s="112">
        <v>0.0</v>
      </c>
      <c r="AA32" s="113">
        <v>57.0</v>
      </c>
      <c r="AB32" s="112" t="s">
        <v>47</v>
      </c>
      <c r="AC32" s="113">
        <v>217.0</v>
      </c>
      <c r="AD32" s="112" t="s">
        <v>47</v>
      </c>
      <c r="AE32" s="112" t="s">
        <v>47</v>
      </c>
      <c r="AF32" s="112">
        <v>9.0</v>
      </c>
      <c r="AG32" s="112">
        <v>13.0</v>
      </c>
      <c r="AH32" s="112">
        <v>0.0</v>
      </c>
      <c r="AI32" s="112">
        <v>0.0</v>
      </c>
      <c r="AJ32" s="112">
        <v>22.0</v>
      </c>
      <c r="AK32" s="112">
        <v>0.0</v>
      </c>
      <c r="AL32" s="112">
        <v>14.0</v>
      </c>
      <c r="AM32" s="112">
        <v>0.0</v>
      </c>
      <c r="AN32" s="112">
        <v>19.0</v>
      </c>
      <c r="AO32" s="112">
        <v>33.0</v>
      </c>
      <c r="AP32" s="114">
        <v>581.0</v>
      </c>
    </row>
    <row r="33">
      <c r="A33" s="111" t="s">
        <v>190</v>
      </c>
      <c r="B33" s="112">
        <v>0.0</v>
      </c>
      <c r="C33" s="112">
        <v>16.0</v>
      </c>
      <c r="D33" s="112" t="s">
        <v>47</v>
      </c>
      <c r="E33" s="113">
        <v>36.0</v>
      </c>
      <c r="F33" s="112">
        <v>0.0</v>
      </c>
      <c r="G33" s="112">
        <v>9.0</v>
      </c>
      <c r="H33" s="113">
        <v>48.0</v>
      </c>
      <c r="I33" s="112">
        <v>22.0</v>
      </c>
      <c r="J33" s="112">
        <v>9.0</v>
      </c>
      <c r="K33" s="112">
        <v>14.0</v>
      </c>
      <c r="L33" s="112" t="s">
        <v>47</v>
      </c>
      <c r="M33" s="112" t="s">
        <v>47</v>
      </c>
      <c r="N33" s="112" t="s">
        <v>47</v>
      </c>
      <c r="O33" s="112" t="s">
        <v>47</v>
      </c>
      <c r="P33" s="112" t="s">
        <v>47</v>
      </c>
      <c r="Q33" s="112">
        <v>21.0</v>
      </c>
      <c r="R33" s="112">
        <v>7.0</v>
      </c>
      <c r="S33" s="112">
        <v>0.0</v>
      </c>
      <c r="T33" s="112">
        <v>5.0</v>
      </c>
      <c r="U33" s="112">
        <v>9.0</v>
      </c>
      <c r="V33" s="112">
        <v>0.0</v>
      </c>
      <c r="W33" s="112" t="s">
        <v>47</v>
      </c>
      <c r="X33" s="112">
        <v>13.0</v>
      </c>
      <c r="Y33" s="112">
        <v>18.0</v>
      </c>
      <c r="Z33" s="112" t="s">
        <v>47</v>
      </c>
      <c r="AA33" s="113">
        <v>51.0</v>
      </c>
      <c r="AB33" s="112" t="s">
        <v>47</v>
      </c>
      <c r="AC33" s="113">
        <v>215.0</v>
      </c>
      <c r="AD33" s="112">
        <v>0.0</v>
      </c>
      <c r="AE33" s="112" t="s">
        <v>47</v>
      </c>
      <c r="AF33" s="112">
        <v>8.0</v>
      </c>
      <c r="AG33" s="112" t="s">
        <v>47</v>
      </c>
      <c r="AH33" s="112">
        <v>7.0</v>
      </c>
      <c r="AI33" s="112" t="s">
        <v>47</v>
      </c>
      <c r="AJ33" s="112">
        <v>35.0</v>
      </c>
      <c r="AK33" s="112" t="s">
        <v>47</v>
      </c>
      <c r="AL33" s="112" t="s">
        <v>47</v>
      </c>
      <c r="AM33" s="112" t="s">
        <v>47</v>
      </c>
      <c r="AN33" s="112">
        <v>15.0</v>
      </c>
      <c r="AO33" s="112">
        <v>45.0</v>
      </c>
      <c r="AP33" s="114">
        <v>633.0</v>
      </c>
    </row>
    <row r="34">
      <c r="A34" s="111" t="s">
        <v>191</v>
      </c>
      <c r="B34" s="112" t="s">
        <v>47</v>
      </c>
      <c r="C34" s="112">
        <v>7.0</v>
      </c>
      <c r="D34" s="112" t="s">
        <v>47</v>
      </c>
      <c r="E34" s="113">
        <v>21.0</v>
      </c>
      <c r="F34" s="112" t="s">
        <v>47</v>
      </c>
      <c r="G34" s="112">
        <v>9.0</v>
      </c>
      <c r="H34" s="113">
        <v>43.0</v>
      </c>
      <c r="I34" s="112">
        <v>10.0</v>
      </c>
      <c r="J34" s="112">
        <v>7.0</v>
      </c>
      <c r="K34" s="112">
        <v>5.0</v>
      </c>
      <c r="L34" s="112">
        <v>0.0</v>
      </c>
      <c r="M34" s="112" t="s">
        <v>47</v>
      </c>
      <c r="N34" s="112" t="s">
        <v>47</v>
      </c>
      <c r="O34" s="112" t="s">
        <v>47</v>
      </c>
      <c r="P34" s="112">
        <v>0.0</v>
      </c>
      <c r="Q34" s="112">
        <v>14.0</v>
      </c>
      <c r="R34" s="112">
        <v>8.0</v>
      </c>
      <c r="S34" s="112">
        <v>0.0</v>
      </c>
      <c r="T34" s="112" t="s">
        <v>47</v>
      </c>
      <c r="U34" s="112">
        <v>5.0</v>
      </c>
      <c r="V34" s="112">
        <v>0.0</v>
      </c>
      <c r="W34" s="112">
        <v>5.0</v>
      </c>
      <c r="X34" s="112">
        <v>7.0</v>
      </c>
      <c r="Y34" s="112">
        <v>18.0</v>
      </c>
      <c r="Z34" s="112" t="s">
        <v>47</v>
      </c>
      <c r="AA34" s="113">
        <v>40.0</v>
      </c>
      <c r="AB34" s="112">
        <v>5.0</v>
      </c>
      <c r="AC34" s="113">
        <v>186.0</v>
      </c>
      <c r="AD34" s="112" t="s">
        <v>47</v>
      </c>
      <c r="AE34" s="112" t="s">
        <v>47</v>
      </c>
      <c r="AF34" s="112">
        <v>8.0</v>
      </c>
      <c r="AG34" s="112" t="s">
        <v>47</v>
      </c>
      <c r="AH34" s="112">
        <v>5.0</v>
      </c>
      <c r="AI34" s="112" t="s">
        <v>47</v>
      </c>
      <c r="AJ34" s="112">
        <v>13.0</v>
      </c>
      <c r="AK34" s="112" t="s">
        <v>47</v>
      </c>
      <c r="AL34" s="112">
        <v>6.0</v>
      </c>
      <c r="AM34" s="112" t="s">
        <v>47</v>
      </c>
      <c r="AN34" s="112">
        <v>18.0</v>
      </c>
      <c r="AO34" s="112">
        <v>38.0</v>
      </c>
      <c r="AP34" s="114">
        <v>499.0</v>
      </c>
    </row>
    <row r="35">
      <c r="A35" s="111" t="s">
        <v>192</v>
      </c>
      <c r="B35" s="112" t="s">
        <v>47</v>
      </c>
      <c r="C35" s="112" t="s">
        <v>47</v>
      </c>
      <c r="D35" s="112" t="s">
        <v>47</v>
      </c>
      <c r="E35" s="113">
        <v>6.0</v>
      </c>
      <c r="F35" s="112">
        <v>0.0</v>
      </c>
      <c r="G35" s="112" t="s">
        <v>47</v>
      </c>
      <c r="H35" s="113">
        <v>35.0</v>
      </c>
      <c r="I35" s="112">
        <v>15.0</v>
      </c>
      <c r="J35" s="112">
        <v>0.0</v>
      </c>
      <c r="K35" s="112">
        <v>10.0</v>
      </c>
      <c r="L35" s="112">
        <v>0.0</v>
      </c>
      <c r="M35" s="112" t="s">
        <v>47</v>
      </c>
      <c r="N35" s="112" t="s">
        <v>47</v>
      </c>
      <c r="O35" s="112">
        <v>0.0</v>
      </c>
      <c r="P35" s="112" t="s">
        <v>47</v>
      </c>
      <c r="Q35" s="112">
        <v>13.0</v>
      </c>
      <c r="R35" s="112">
        <v>6.0</v>
      </c>
      <c r="S35" s="112">
        <v>0.0</v>
      </c>
      <c r="T35" s="112" t="s">
        <v>47</v>
      </c>
      <c r="U35" s="112" t="s">
        <v>47</v>
      </c>
      <c r="V35" s="112">
        <v>0.0</v>
      </c>
      <c r="W35" s="112">
        <v>6.0</v>
      </c>
      <c r="X35" s="112">
        <v>5.0</v>
      </c>
      <c r="Y35" s="112">
        <v>27.0</v>
      </c>
      <c r="Z35" s="112" t="s">
        <v>47</v>
      </c>
      <c r="AA35" s="113">
        <v>38.0</v>
      </c>
      <c r="AB35" s="112" t="s">
        <v>47</v>
      </c>
      <c r="AC35" s="113">
        <v>176.0</v>
      </c>
      <c r="AD35" s="112">
        <v>0.0</v>
      </c>
      <c r="AE35" s="112" t="s">
        <v>47</v>
      </c>
      <c r="AF35" s="112">
        <v>6.0</v>
      </c>
      <c r="AG35" s="112">
        <v>0.0</v>
      </c>
      <c r="AH35" s="112">
        <v>6.0</v>
      </c>
      <c r="AI35" s="112" t="s">
        <v>47</v>
      </c>
      <c r="AJ35" s="112">
        <v>25.0</v>
      </c>
      <c r="AK35" s="112">
        <v>0.0</v>
      </c>
      <c r="AL35" s="112" t="s">
        <v>47</v>
      </c>
      <c r="AM35" s="112" t="s">
        <v>47</v>
      </c>
      <c r="AN35" s="112">
        <v>13.0</v>
      </c>
      <c r="AO35" s="112">
        <v>33.0</v>
      </c>
      <c r="AP35" s="114">
        <v>456.0</v>
      </c>
    </row>
    <row r="36">
      <c r="A36" s="111" t="s">
        <v>193</v>
      </c>
      <c r="B36" s="112">
        <v>5.0</v>
      </c>
      <c r="C36" s="112">
        <v>9.0</v>
      </c>
      <c r="D36" s="112">
        <v>7.0</v>
      </c>
      <c r="E36" s="113">
        <v>19.0</v>
      </c>
      <c r="F36" s="112" t="s">
        <v>47</v>
      </c>
      <c r="G36" s="112">
        <v>5.0</v>
      </c>
      <c r="H36" s="113">
        <v>35.0</v>
      </c>
      <c r="I36" s="112">
        <v>29.0</v>
      </c>
      <c r="J36" s="112" t="s">
        <v>47</v>
      </c>
      <c r="K36" s="112">
        <v>12.0</v>
      </c>
      <c r="L36" s="112" t="s">
        <v>47</v>
      </c>
      <c r="M36" s="112" t="s">
        <v>47</v>
      </c>
      <c r="N36" s="112" t="s">
        <v>47</v>
      </c>
      <c r="O36" s="112">
        <v>0.0</v>
      </c>
      <c r="P36" s="112">
        <v>0.0</v>
      </c>
      <c r="Q36" s="112">
        <v>9.0</v>
      </c>
      <c r="R36" s="112" t="s">
        <v>47</v>
      </c>
      <c r="S36" s="112">
        <v>0.0</v>
      </c>
      <c r="T36" s="112" t="s">
        <v>47</v>
      </c>
      <c r="U36" s="112" t="s">
        <v>47</v>
      </c>
      <c r="V36" s="112">
        <v>0.0</v>
      </c>
      <c r="W36" s="112">
        <v>13.0</v>
      </c>
      <c r="X36" s="112">
        <v>6.0</v>
      </c>
      <c r="Y36" s="112">
        <v>13.0</v>
      </c>
      <c r="Z36" s="112" t="s">
        <v>47</v>
      </c>
      <c r="AA36" s="113">
        <v>54.0</v>
      </c>
      <c r="AB36" s="112" t="s">
        <v>47</v>
      </c>
      <c r="AC36" s="113">
        <v>143.0</v>
      </c>
      <c r="AD36" s="112">
        <v>0.0</v>
      </c>
      <c r="AE36" s="112" t="s">
        <v>47</v>
      </c>
      <c r="AF36" s="112">
        <v>11.0</v>
      </c>
      <c r="AG36" s="112" t="s">
        <v>47</v>
      </c>
      <c r="AH36" s="112" t="s">
        <v>47</v>
      </c>
      <c r="AI36" s="112">
        <v>0.0</v>
      </c>
      <c r="AJ36" s="112">
        <v>23.0</v>
      </c>
      <c r="AK36" s="112" t="s">
        <v>47</v>
      </c>
      <c r="AL36" s="112">
        <v>10.0</v>
      </c>
      <c r="AM36" s="112">
        <v>5.0</v>
      </c>
      <c r="AN36" s="112">
        <v>16.0</v>
      </c>
      <c r="AO36" s="112">
        <v>23.0</v>
      </c>
      <c r="AP36" s="114">
        <v>474.0</v>
      </c>
    </row>
    <row r="37">
      <c r="A37" s="111" t="s">
        <v>194</v>
      </c>
      <c r="B37" s="112" t="s">
        <v>47</v>
      </c>
      <c r="C37" s="112">
        <v>7.0</v>
      </c>
      <c r="D37" s="112">
        <v>9.0</v>
      </c>
      <c r="E37" s="113">
        <v>22.0</v>
      </c>
      <c r="F37" s="112" t="s">
        <v>47</v>
      </c>
      <c r="G37" s="112">
        <v>20.0</v>
      </c>
      <c r="H37" s="113">
        <v>36.0</v>
      </c>
      <c r="I37" s="112">
        <v>15.0</v>
      </c>
      <c r="J37" s="112" t="s">
        <v>47</v>
      </c>
      <c r="K37" s="112">
        <v>8.0</v>
      </c>
      <c r="L37" s="112" t="s">
        <v>47</v>
      </c>
      <c r="M37" s="112">
        <v>0.0</v>
      </c>
      <c r="N37" s="112">
        <v>0.0</v>
      </c>
      <c r="O37" s="112">
        <v>0.0</v>
      </c>
      <c r="P37" s="112" t="s">
        <v>47</v>
      </c>
      <c r="Q37" s="112">
        <v>21.0</v>
      </c>
      <c r="R37" s="112">
        <v>7.0</v>
      </c>
      <c r="S37" s="112">
        <v>0.0</v>
      </c>
      <c r="T37" s="112">
        <v>0.0</v>
      </c>
      <c r="U37" s="112">
        <v>26.0</v>
      </c>
      <c r="V37" s="112">
        <v>0.0</v>
      </c>
      <c r="W37" s="112">
        <v>5.0</v>
      </c>
      <c r="X37" s="112">
        <v>5.0</v>
      </c>
      <c r="Y37" s="112">
        <v>19.0</v>
      </c>
      <c r="Z37" s="112">
        <v>7.0</v>
      </c>
      <c r="AA37" s="113">
        <v>38.0</v>
      </c>
      <c r="AB37" s="112" t="s">
        <v>47</v>
      </c>
      <c r="AC37" s="113">
        <v>243.0</v>
      </c>
      <c r="AD37" s="112">
        <v>0.0</v>
      </c>
      <c r="AE37" s="112" t="s">
        <v>47</v>
      </c>
      <c r="AF37" s="112">
        <v>9.0</v>
      </c>
      <c r="AG37" s="112">
        <v>5.0</v>
      </c>
      <c r="AH37" s="112">
        <v>5.0</v>
      </c>
      <c r="AI37" s="112" t="s">
        <v>47</v>
      </c>
      <c r="AJ37" s="112">
        <v>33.0</v>
      </c>
      <c r="AK37" s="112" t="s">
        <v>47</v>
      </c>
      <c r="AL37" s="112">
        <v>10.0</v>
      </c>
      <c r="AM37" s="112">
        <v>7.0</v>
      </c>
      <c r="AN37" s="112">
        <v>13.0</v>
      </c>
      <c r="AO37" s="112">
        <v>34.0</v>
      </c>
      <c r="AP37" s="114">
        <v>621.0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5" t="s">
        <v>195</v>
      </c>
      <c r="B1" s="92"/>
      <c r="C1" s="92"/>
      <c r="D1" s="92"/>
      <c r="E1" s="92"/>
      <c r="F1" s="92"/>
      <c r="G1" s="92"/>
      <c r="H1" s="92"/>
      <c r="I1" s="92"/>
      <c r="J1" s="92"/>
      <c r="K1" s="92"/>
      <c r="L1" s="116"/>
      <c r="M1" s="116"/>
      <c r="N1" s="116"/>
      <c r="O1" s="117"/>
      <c r="P1" s="117"/>
      <c r="Q1" s="117"/>
      <c r="R1" s="91"/>
      <c r="S1" s="91"/>
      <c r="T1" s="91"/>
      <c r="U1" s="91"/>
      <c r="V1" s="91"/>
      <c r="W1" s="91"/>
      <c r="X1" s="91"/>
      <c r="Y1" s="91"/>
      <c r="Z1" s="91"/>
      <c r="AA1" s="91"/>
      <c r="AB1" s="91"/>
      <c r="AC1" s="91"/>
      <c r="AD1" s="91"/>
      <c r="AE1" s="91"/>
      <c r="AF1" s="91"/>
      <c r="AG1" s="91"/>
      <c r="AH1" s="91"/>
      <c r="AI1" s="91"/>
      <c r="AJ1" s="91"/>
      <c r="AK1" s="91"/>
      <c r="AL1" s="91"/>
      <c r="AM1" s="91"/>
      <c r="AN1" s="91"/>
      <c r="AO1" s="91"/>
    </row>
    <row r="2">
      <c r="A2" s="94" t="s">
        <v>122</v>
      </c>
      <c r="F2" s="95"/>
      <c r="G2" s="95"/>
      <c r="H2" s="91"/>
      <c r="I2" s="91"/>
      <c r="J2" s="91"/>
      <c r="K2" s="91"/>
      <c r="L2" s="118"/>
      <c r="M2" s="118"/>
      <c r="N2" s="118"/>
      <c r="O2" s="118"/>
      <c r="P2" s="118"/>
      <c r="Q2" s="118"/>
      <c r="R2" s="91"/>
      <c r="S2" s="91"/>
      <c r="T2" s="91"/>
      <c r="U2" s="91"/>
      <c r="V2" s="91"/>
      <c r="W2" s="91"/>
      <c r="X2" s="91"/>
      <c r="Y2" s="91"/>
      <c r="Z2" s="91"/>
      <c r="AA2" s="91"/>
      <c r="AB2" s="91"/>
      <c r="AC2" s="91"/>
      <c r="AD2" s="91"/>
      <c r="AE2" s="91"/>
      <c r="AF2" s="91"/>
      <c r="AG2" s="91"/>
      <c r="AH2" s="91"/>
      <c r="AI2" s="91"/>
      <c r="AJ2" s="91"/>
      <c r="AK2" s="91"/>
      <c r="AL2" s="91"/>
      <c r="AM2" s="91"/>
      <c r="AN2" s="91"/>
      <c r="AO2" s="91"/>
    </row>
    <row r="3">
      <c r="A3" s="94" t="s">
        <v>196</v>
      </c>
      <c r="L3" s="119"/>
      <c r="M3" s="119"/>
      <c r="N3" s="119"/>
      <c r="O3" s="119"/>
      <c r="P3" s="119"/>
      <c r="Q3" s="119"/>
      <c r="R3" s="91"/>
      <c r="S3" s="91"/>
      <c r="T3" s="91"/>
      <c r="U3" s="91"/>
      <c r="V3" s="91"/>
      <c r="W3" s="91"/>
      <c r="X3" s="91"/>
      <c r="Y3" s="91"/>
      <c r="Z3" s="91"/>
      <c r="AA3" s="91"/>
      <c r="AB3" s="91"/>
      <c r="AC3" s="91"/>
      <c r="AD3" s="91"/>
      <c r="AE3" s="91"/>
      <c r="AF3" s="91"/>
      <c r="AG3" s="91"/>
      <c r="AH3" s="91"/>
      <c r="AI3" s="91"/>
      <c r="AJ3" s="91"/>
      <c r="AK3" s="91"/>
      <c r="AL3" s="91"/>
      <c r="AM3" s="91"/>
      <c r="AN3" s="91"/>
      <c r="AO3" s="91"/>
    </row>
    <row r="4">
      <c r="A4" s="94" t="s">
        <v>0</v>
      </c>
      <c r="B4" s="97">
        <v>44097.0</v>
      </c>
      <c r="C4" s="91"/>
      <c r="D4" s="91"/>
      <c r="E4" s="91"/>
      <c r="F4" s="91"/>
      <c r="G4" s="91"/>
      <c r="H4" s="91"/>
      <c r="I4" s="91"/>
      <c r="J4" s="91"/>
      <c r="K4" s="91"/>
      <c r="L4" s="118"/>
      <c r="M4" s="118"/>
      <c r="N4" s="118"/>
      <c r="O4" s="118"/>
      <c r="P4" s="118"/>
      <c r="Q4" s="118"/>
      <c r="R4" s="91"/>
      <c r="S4" s="91"/>
      <c r="T4" s="91"/>
      <c r="U4" s="91"/>
      <c r="V4" s="91"/>
      <c r="W4" s="91"/>
      <c r="X4" s="91"/>
      <c r="Y4" s="91"/>
      <c r="Z4" s="91"/>
      <c r="AA4" s="91"/>
      <c r="AB4" s="91"/>
      <c r="AC4" s="91"/>
      <c r="AD4" s="91"/>
      <c r="AE4" s="91"/>
      <c r="AF4" s="91"/>
      <c r="AG4" s="91"/>
      <c r="AH4" s="91"/>
      <c r="AI4" s="91"/>
      <c r="AJ4" s="91"/>
      <c r="AK4" s="91"/>
      <c r="AL4" s="91"/>
      <c r="AM4" s="91"/>
      <c r="AN4" s="91"/>
      <c r="AO4" s="91"/>
    </row>
    <row r="5">
      <c r="A5" s="98"/>
      <c r="B5" s="91"/>
      <c r="C5" s="91"/>
      <c r="D5" s="91"/>
      <c r="E5" s="91"/>
      <c r="F5" s="91"/>
      <c r="G5" s="91"/>
      <c r="H5" s="91"/>
      <c r="I5" s="91"/>
      <c r="J5" s="91"/>
      <c r="K5" s="91"/>
      <c r="L5" s="117"/>
      <c r="M5" s="117"/>
      <c r="N5" s="117"/>
      <c r="O5" s="117"/>
      <c r="P5" s="117"/>
      <c r="Q5" s="117"/>
      <c r="R5" s="91"/>
      <c r="S5" s="91"/>
      <c r="T5" s="91"/>
      <c r="U5" s="91"/>
      <c r="V5" s="91"/>
      <c r="W5" s="91"/>
      <c r="X5" s="91"/>
      <c r="Y5" s="91"/>
      <c r="Z5" s="91"/>
      <c r="AA5" s="91"/>
      <c r="AB5" s="91"/>
      <c r="AC5" s="91"/>
      <c r="AD5" s="91"/>
      <c r="AE5" s="91"/>
      <c r="AF5" s="91"/>
      <c r="AG5" s="91"/>
      <c r="AH5" s="91"/>
      <c r="AI5" s="91"/>
      <c r="AJ5" s="91"/>
      <c r="AK5" s="91"/>
      <c r="AL5" s="91"/>
      <c r="AM5" s="91"/>
      <c r="AN5" s="91"/>
      <c r="AO5" s="91"/>
    </row>
    <row r="6">
      <c r="A6" s="100" t="s">
        <v>124</v>
      </c>
      <c r="B6" s="101"/>
      <c r="C6" s="101"/>
      <c r="D6" s="101"/>
      <c r="E6" s="101"/>
      <c r="F6" s="101"/>
      <c r="G6" s="101"/>
      <c r="H6" s="101"/>
      <c r="I6" s="101"/>
      <c r="J6" s="101"/>
      <c r="K6" s="39"/>
      <c r="L6" s="120"/>
      <c r="M6" s="120"/>
      <c r="N6" s="120"/>
      <c r="O6" s="120"/>
      <c r="P6" s="120"/>
      <c r="Q6" s="117"/>
      <c r="R6" s="91"/>
      <c r="S6" s="91"/>
      <c r="T6" s="91"/>
      <c r="U6" s="91"/>
      <c r="V6" s="91"/>
      <c r="W6" s="91"/>
      <c r="X6" s="91"/>
      <c r="Y6" s="91"/>
      <c r="Z6" s="91"/>
      <c r="AA6" s="91"/>
      <c r="AB6" s="91"/>
      <c r="AC6" s="91"/>
      <c r="AD6" s="91"/>
      <c r="AE6" s="91"/>
      <c r="AF6" s="91"/>
      <c r="AG6" s="91"/>
      <c r="AH6" s="91"/>
      <c r="AI6" s="91"/>
      <c r="AJ6" s="91"/>
      <c r="AK6" s="91"/>
      <c r="AL6" s="91"/>
      <c r="AM6" s="91"/>
      <c r="AN6" s="91"/>
      <c r="AO6" s="91"/>
    </row>
    <row r="7">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row>
    <row r="8">
      <c r="A8" s="121" t="s">
        <v>125</v>
      </c>
      <c r="B8" s="122" t="s">
        <v>126</v>
      </c>
      <c r="C8" s="122" t="s">
        <v>127</v>
      </c>
      <c r="D8" s="122" t="s">
        <v>128</v>
      </c>
      <c r="E8" s="122" t="s">
        <v>129</v>
      </c>
      <c r="F8" s="122" t="s">
        <v>130</v>
      </c>
      <c r="G8" s="122" t="s">
        <v>131</v>
      </c>
      <c r="H8" s="122" t="s">
        <v>132</v>
      </c>
      <c r="I8" s="122" t="s">
        <v>133</v>
      </c>
      <c r="J8" s="122" t="s">
        <v>134</v>
      </c>
      <c r="K8" s="122" t="s">
        <v>135</v>
      </c>
      <c r="L8" s="122" t="s">
        <v>136</v>
      </c>
      <c r="M8" s="122" t="s">
        <v>137</v>
      </c>
      <c r="N8" s="122" t="s">
        <v>138</v>
      </c>
      <c r="O8" s="122" t="s">
        <v>139</v>
      </c>
      <c r="P8" s="122" t="s">
        <v>140</v>
      </c>
      <c r="Q8" s="122" t="s">
        <v>141</v>
      </c>
      <c r="R8" s="122" t="s">
        <v>142</v>
      </c>
      <c r="S8" s="122" t="s">
        <v>143</v>
      </c>
      <c r="T8" s="122" t="s">
        <v>144</v>
      </c>
      <c r="U8" s="122" t="s">
        <v>145</v>
      </c>
      <c r="V8" s="122" t="s">
        <v>146</v>
      </c>
      <c r="W8" s="122" t="s">
        <v>147</v>
      </c>
      <c r="X8" s="122" t="s">
        <v>148</v>
      </c>
      <c r="Y8" s="122" t="s">
        <v>149</v>
      </c>
      <c r="Z8" s="122" t="s">
        <v>150</v>
      </c>
      <c r="AA8" s="122" t="s">
        <v>151</v>
      </c>
      <c r="AB8" s="122" t="s">
        <v>152</v>
      </c>
      <c r="AC8" s="122" t="s">
        <v>153</v>
      </c>
      <c r="AD8" s="122" t="s">
        <v>154</v>
      </c>
      <c r="AE8" s="122" t="s">
        <v>155</v>
      </c>
      <c r="AF8" s="122" t="s">
        <v>156</v>
      </c>
      <c r="AG8" s="122" t="s">
        <v>157</v>
      </c>
      <c r="AH8" s="122" t="s">
        <v>158</v>
      </c>
      <c r="AI8" s="122" t="s">
        <v>159</v>
      </c>
      <c r="AJ8" s="122" t="s">
        <v>160</v>
      </c>
      <c r="AK8" s="122" t="s">
        <v>161</v>
      </c>
      <c r="AL8" s="122" t="s">
        <v>162</v>
      </c>
      <c r="AM8" s="122" t="s">
        <v>163</v>
      </c>
      <c r="AN8" s="122" t="s">
        <v>164</v>
      </c>
      <c r="AO8" s="122" t="s">
        <v>118</v>
      </c>
    </row>
    <row r="9">
      <c r="A9" s="123" t="s">
        <v>197</v>
      </c>
      <c r="B9" s="124">
        <v>16178.0</v>
      </c>
      <c r="C9" s="124">
        <v>22234.0</v>
      </c>
      <c r="D9" s="124">
        <v>16453.0</v>
      </c>
      <c r="E9" s="124">
        <v>19382.0</v>
      </c>
      <c r="F9" s="124">
        <v>7780.0</v>
      </c>
      <c r="G9" s="124">
        <v>34575.0</v>
      </c>
      <c r="H9" s="124">
        <v>81196.0</v>
      </c>
      <c r="I9" s="124">
        <v>34652.0</v>
      </c>
      <c r="J9" s="124">
        <v>13073.0</v>
      </c>
      <c r="K9" s="124">
        <v>47449.0</v>
      </c>
      <c r="L9" s="124">
        <v>6782.0</v>
      </c>
      <c r="M9" s="124">
        <v>4689.0</v>
      </c>
      <c r="N9" s="124">
        <v>10062.0</v>
      </c>
      <c r="O9" s="124">
        <v>8111.0</v>
      </c>
      <c r="P9" s="124">
        <v>5496.0</v>
      </c>
      <c r="Q9" s="124">
        <v>29235.0</v>
      </c>
      <c r="R9" s="124">
        <v>21644.0</v>
      </c>
      <c r="S9" s="124">
        <v>3505.0</v>
      </c>
      <c r="T9" s="124">
        <v>16078.0</v>
      </c>
      <c r="U9" s="124">
        <v>15550.0</v>
      </c>
      <c r="V9" s="125">
        <v>827.0</v>
      </c>
      <c r="W9" s="124">
        <v>24762.0</v>
      </c>
      <c r="X9" s="124">
        <v>26207.0</v>
      </c>
      <c r="Y9" s="124">
        <v>32459.0</v>
      </c>
      <c r="Z9" s="124">
        <v>12349.0</v>
      </c>
      <c r="AA9" s="124">
        <v>71756.0</v>
      </c>
      <c r="AB9" s="124">
        <v>17418.0</v>
      </c>
      <c r="AC9" s="124">
        <v>179435.0</v>
      </c>
      <c r="AD9" s="124">
        <v>7626.0</v>
      </c>
      <c r="AE9" s="124">
        <v>10603.0</v>
      </c>
      <c r="AF9" s="124">
        <v>21630.0</v>
      </c>
      <c r="AG9" s="124">
        <v>30735.0</v>
      </c>
      <c r="AH9" s="124">
        <v>15816.0</v>
      </c>
      <c r="AI9" s="124">
        <v>10488.0</v>
      </c>
      <c r="AJ9" s="124">
        <v>81079.0</v>
      </c>
      <c r="AK9" s="124">
        <v>6179.0</v>
      </c>
      <c r="AL9" s="124">
        <v>28955.0</v>
      </c>
      <c r="AM9" s="124">
        <v>22624.0</v>
      </c>
      <c r="AN9" s="124">
        <v>41539.0</v>
      </c>
      <c r="AO9" s="124">
        <v>1056611.0</v>
      </c>
    </row>
    <row r="10">
      <c r="A10" s="123" t="s">
        <v>166</v>
      </c>
      <c r="B10" s="125">
        <v>0.0</v>
      </c>
      <c r="C10" s="125">
        <v>0.0</v>
      </c>
      <c r="D10" s="125">
        <v>0.0</v>
      </c>
      <c r="E10" s="125">
        <v>0.0</v>
      </c>
      <c r="F10" s="125">
        <v>0.0</v>
      </c>
      <c r="G10" s="125" t="s">
        <v>198</v>
      </c>
      <c r="H10" s="125">
        <v>0.0</v>
      </c>
      <c r="I10" s="125" t="s">
        <v>198</v>
      </c>
      <c r="J10" s="125">
        <v>0.0</v>
      </c>
      <c r="K10" s="125">
        <v>0.0</v>
      </c>
      <c r="L10" s="125">
        <v>0.0</v>
      </c>
      <c r="M10" s="125">
        <v>0.0</v>
      </c>
      <c r="N10" s="125">
        <v>0.0</v>
      </c>
      <c r="O10" s="125">
        <v>0.0</v>
      </c>
      <c r="P10" s="125">
        <v>0.0</v>
      </c>
      <c r="Q10" s="125">
        <v>0.0</v>
      </c>
      <c r="R10" s="125">
        <v>0.0</v>
      </c>
      <c r="S10" s="125">
        <v>0.0</v>
      </c>
      <c r="T10" s="125">
        <v>0.0</v>
      </c>
      <c r="U10" s="125">
        <v>0.0</v>
      </c>
      <c r="V10" s="125">
        <v>0.0</v>
      </c>
      <c r="W10" s="125">
        <v>0.0</v>
      </c>
      <c r="X10" s="125">
        <v>0.0</v>
      </c>
      <c r="Y10" s="125" t="s">
        <v>198</v>
      </c>
      <c r="Z10" s="125">
        <v>0.0</v>
      </c>
      <c r="AA10" s="125">
        <v>0.0</v>
      </c>
      <c r="AB10" s="125">
        <v>0.0</v>
      </c>
      <c r="AC10" s="125">
        <v>0.0</v>
      </c>
      <c r="AD10" s="125">
        <v>0.0</v>
      </c>
      <c r="AE10" s="125">
        <v>0.0</v>
      </c>
      <c r="AF10" s="125">
        <v>0.0</v>
      </c>
      <c r="AG10" s="125">
        <v>0.0</v>
      </c>
      <c r="AH10" s="125">
        <v>0.0</v>
      </c>
      <c r="AI10" s="125">
        <v>0.0</v>
      </c>
      <c r="AJ10" s="125">
        <v>0.0</v>
      </c>
      <c r="AK10" s="125">
        <v>0.0</v>
      </c>
      <c r="AL10" s="125">
        <v>0.0</v>
      </c>
      <c r="AM10" s="125">
        <v>0.0</v>
      </c>
      <c r="AN10" s="125">
        <v>0.0</v>
      </c>
      <c r="AO10" s="125" t="s">
        <v>198</v>
      </c>
    </row>
    <row r="11">
      <c r="A11" s="123" t="s">
        <v>167</v>
      </c>
      <c r="B11" s="125" t="s">
        <v>198</v>
      </c>
      <c r="C11" s="125">
        <v>0.0</v>
      </c>
      <c r="D11" s="125" t="s">
        <v>198</v>
      </c>
      <c r="E11" s="125">
        <v>0.0</v>
      </c>
      <c r="F11" s="125">
        <v>0.0</v>
      </c>
      <c r="G11" s="125">
        <v>0.0</v>
      </c>
      <c r="H11" s="125" t="s">
        <v>198</v>
      </c>
      <c r="I11" s="125">
        <v>0.0</v>
      </c>
      <c r="J11" s="125">
        <v>0.0</v>
      </c>
      <c r="K11" s="125" t="s">
        <v>198</v>
      </c>
      <c r="L11" s="125">
        <v>0.0</v>
      </c>
      <c r="M11" s="125">
        <v>0.0</v>
      </c>
      <c r="N11" s="125">
        <v>0.0</v>
      </c>
      <c r="O11" s="125">
        <v>0.0</v>
      </c>
      <c r="P11" s="125">
        <v>0.0</v>
      </c>
      <c r="Q11" s="125">
        <v>0.0</v>
      </c>
      <c r="R11" s="125" t="s">
        <v>198</v>
      </c>
      <c r="S11" s="125">
        <v>0.0</v>
      </c>
      <c r="T11" s="125" t="s">
        <v>198</v>
      </c>
      <c r="U11" s="125" t="s">
        <v>198</v>
      </c>
      <c r="V11" s="125">
        <v>0.0</v>
      </c>
      <c r="W11" s="125">
        <v>0.0</v>
      </c>
      <c r="X11" s="125">
        <v>0.0</v>
      </c>
      <c r="Y11" s="125">
        <v>0.0</v>
      </c>
      <c r="Z11" s="125">
        <v>0.0</v>
      </c>
      <c r="AA11" s="125">
        <v>0.0</v>
      </c>
      <c r="AB11" s="125">
        <v>0.0</v>
      </c>
      <c r="AC11" s="125" t="s">
        <v>198</v>
      </c>
      <c r="AD11" s="125">
        <v>0.0</v>
      </c>
      <c r="AE11" s="125" t="s">
        <v>198</v>
      </c>
      <c r="AF11" s="125">
        <v>0.0</v>
      </c>
      <c r="AG11" s="125">
        <v>0.0</v>
      </c>
      <c r="AH11" s="125">
        <v>0.0</v>
      </c>
      <c r="AI11" s="125">
        <v>0.0</v>
      </c>
      <c r="AJ11" s="125" t="s">
        <v>198</v>
      </c>
      <c r="AK11" s="125">
        <v>0.0</v>
      </c>
      <c r="AL11" s="125">
        <v>0.0</v>
      </c>
      <c r="AM11" s="125" t="s">
        <v>198</v>
      </c>
      <c r="AN11" s="125">
        <v>0.0</v>
      </c>
      <c r="AO11" s="125">
        <v>1.0</v>
      </c>
    </row>
    <row r="12">
      <c r="A12" s="123" t="s">
        <v>168</v>
      </c>
      <c r="B12" s="125" t="s">
        <v>198</v>
      </c>
      <c r="C12" s="125" t="s">
        <v>198</v>
      </c>
      <c r="D12" s="125">
        <v>0.0</v>
      </c>
      <c r="E12" s="125" t="s">
        <v>198</v>
      </c>
      <c r="F12" s="125">
        <v>0.0</v>
      </c>
      <c r="G12" s="125" t="s">
        <v>198</v>
      </c>
      <c r="H12" s="125" t="s">
        <v>198</v>
      </c>
      <c r="I12" s="125" t="s">
        <v>198</v>
      </c>
      <c r="J12" s="125">
        <v>0.0</v>
      </c>
      <c r="K12" s="125" t="s">
        <v>198</v>
      </c>
      <c r="L12" s="125">
        <v>0.0</v>
      </c>
      <c r="M12" s="125" t="s">
        <v>198</v>
      </c>
      <c r="N12" s="125">
        <v>0.0</v>
      </c>
      <c r="O12" s="125">
        <v>0.0</v>
      </c>
      <c r="P12" s="125" t="s">
        <v>198</v>
      </c>
      <c r="Q12" s="125" t="s">
        <v>198</v>
      </c>
      <c r="R12" s="125">
        <v>0.0</v>
      </c>
      <c r="S12" s="125" t="s">
        <v>198</v>
      </c>
      <c r="T12" s="125" t="s">
        <v>198</v>
      </c>
      <c r="U12" s="125">
        <v>0.0</v>
      </c>
      <c r="V12" s="125">
        <v>0.0</v>
      </c>
      <c r="W12" s="125" t="s">
        <v>198</v>
      </c>
      <c r="X12" s="125">
        <v>0.0</v>
      </c>
      <c r="Y12" s="125">
        <v>0.0</v>
      </c>
      <c r="Z12" s="125" t="s">
        <v>198</v>
      </c>
      <c r="AA12" s="125" t="s">
        <v>198</v>
      </c>
      <c r="AB12" s="125" t="s">
        <v>198</v>
      </c>
      <c r="AC12" s="125">
        <v>14.0</v>
      </c>
      <c r="AD12" s="125">
        <v>0.0</v>
      </c>
      <c r="AE12" s="125" t="s">
        <v>198</v>
      </c>
      <c r="AF12" s="125">
        <v>0.0</v>
      </c>
      <c r="AG12" s="125" t="s">
        <v>198</v>
      </c>
      <c r="AH12" s="125">
        <v>0.0</v>
      </c>
      <c r="AI12" s="125" t="s">
        <v>198</v>
      </c>
      <c r="AJ12" s="125" t="s">
        <v>198</v>
      </c>
      <c r="AK12" s="125">
        <v>0.0</v>
      </c>
      <c r="AL12" s="125">
        <v>0.0</v>
      </c>
      <c r="AM12" s="125" t="s">
        <v>198</v>
      </c>
      <c r="AN12" s="125">
        <v>0.0</v>
      </c>
      <c r="AO12" s="125">
        <v>6.0</v>
      </c>
    </row>
    <row r="13">
      <c r="A13" s="123" t="s">
        <v>169</v>
      </c>
      <c r="B13" s="125">
        <v>31.0</v>
      </c>
      <c r="C13" s="125" t="s">
        <v>198</v>
      </c>
      <c r="D13" s="125">
        <v>30.0</v>
      </c>
      <c r="E13" s="125" t="s">
        <v>198</v>
      </c>
      <c r="F13" s="125" t="s">
        <v>198</v>
      </c>
      <c r="G13" s="125" t="s">
        <v>198</v>
      </c>
      <c r="H13" s="125">
        <v>32.0</v>
      </c>
      <c r="I13" s="125">
        <v>17.0</v>
      </c>
      <c r="J13" s="125">
        <v>0.0</v>
      </c>
      <c r="K13" s="125">
        <v>17.0</v>
      </c>
      <c r="L13" s="125" t="s">
        <v>198</v>
      </c>
      <c r="M13" s="125">
        <v>0.0</v>
      </c>
      <c r="N13" s="125">
        <v>0.0</v>
      </c>
      <c r="O13" s="125" t="s">
        <v>198</v>
      </c>
      <c r="P13" s="125">
        <v>0.0</v>
      </c>
      <c r="Q13" s="125" t="s">
        <v>198</v>
      </c>
      <c r="R13" s="125" t="s">
        <v>198</v>
      </c>
      <c r="S13" s="125">
        <v>0.0</v>
      </c>
      <c r="T13" s="125">
        <v>0.0</v>
      </c>
      <c r="U13" s="125" t="s">
        <v>198</v>
      </c>
      <c r="V13" s="125">
        <v>0.0</v>
      </c>
      <c r="W13" s="125" t="s">
        <v>198</v>
      </c>
      <c r="X13" s="125">
        <v>27.0</v>
      </c>
      <c r="Y13" s="125">
        <v>15.0</v>
      </c>
      <c r="Z13" s="125" t="s">
        <v>198</v>
      </c>
      <c r="AA13" s="125">
        <v>22.0</v>
      </c>
      <c r="AB13" s="125" t="s">
        <v>198</v>
      </c>
      <c r="AC13" s="125">
        <v>26.0</v>
      </c>
      <c r="AD13" s="125">
        <v>0.0</v>
      </c>
      <c r="AE13" s="125">
        <v>47.0</v>
      </c>
      <c r="AF13" s="125" t="s">
        <v>198</v>
      </c>
      <c r="AG13" s="125" t="s">
        <v>198</v>
      </c>
      <c r="AH13" s="125">
        <v>38.0</v>
      </c>
      <c r="AI13" s="125">
        <v>0.0</v>
      </c>
      <c r="AJ13" s="125">
        <v>19.0</v>
      </c>
      <c r="AK13" s="125">
        <v>0.0</v>
      </c>
      <c r="AL13" s="125">
        <v>21.0</v>
      </c>
      <c r="AM13" s="125" t="s">
        <v>198</v>
      </c>
      <c r="AN13" s="125" t="s">
        <v>198</v>
      </c>
      <c r="AO13" s="125">
        <v>19.0</v>
      </c>
    </row>
    <row r="14">
      <c r="A14" s="123" t="s">
        <v>170</v>
      </c>
      <c r="B14" s="125" t="s">
        <v>198</v>
      </c>
      <c r="C14" s="125">
        <v>27.0</v>
      </c>
      <c r="D14" s="125">
        <v>30.0</v>
      </c>
      <c r="E14" s="125">
        <v>52.0</v>
      </c>
      <c r="F14" s="125" t="s">
        <v>198</v>
      </c>
      <c r="G14" s="125">
        <v>35.0</v>
      </c>
      <c r="H14" s="125">
        <v>52.0</v>
      </c>
      <c r="I14" s="125">
        <v>49.0</v>
      </c>
      <c r="J14" s="125">
        <v>38.0</v>
      </c>
      <c r="K14" s="125">
        <v>34.0</v>
      </c>
      <c r="L14" s="125" t="s">
        <v>198</v>
      </c>
      <c r="M14" s="125">
        <v>0.0</v>
      </c>
      <c r="N14" s="125" t="s">
        <v>198</v>
      </c>
      <c r="O14" s="125" t="s">
        <v>198</v>
      </c>
      <c r="P14" s="125" t="s">
        <v>198</v>
      </c>
      <c r="Q14" s="125">
        <v>38.0</v>
      </c>
      <c r="R14" s="125">
        <v>42.0</v>
      </c>
      <c r="S14" s="125" t="s">
        <v>198</v>
      </c>
      <c r="T14" s="125" t="s">
        <v>198</v>
      </c>
      <c r="U14" s="125" t="s">
        <v>198</v>
      </c>
      <c r="V14" s="125" t="s">
        <v>198</v>
      </c>
      <c r="W14" s="125">
        <v>24.0</v>
      </c>
      <c r="X14" s="125">
        <v>31.0</v>
      </c>
      <c r="Y14" s="125">
        <v>77.0</v>
      </c>
      <c r="Z14" s="125" t="s">
        <v>198</v>
      </c>
      <c r="AA14" s="125">
        <v>78.0</v>
      </c>
      <c r="AB14" s="125">
        <v>40.0</v>
      </c>
      <c r="AC14" s="125">
        <v>63.0</v>
      </c>
      <c r="AD14" s="125">
        <v>0.0</v>
      </c>
      <c r="AE14" s="125" t="s">
        <v>198</v>
      </c>
      <c r="AF14" s="125">
        <v>37.0</v>
      </c>
      <c r="AG14" s="125">
        <v>26.0</v>
      </c>
      <c r="AH14" s="125">
        <v>32.0</v>
      </c>
      <c r="AI14" s="125" t="s">
        <v>198</v>
      </c>
      <c r="AJ14" s="125">
        <v>36.0</v>
      </c>
      <c r="AK14" s="125" t="s">
        <v>198</v>
      </c>
      <c r="AL14" s="125">
        <v>52.0</v>
      </c>
      <c r="AM14" s="125">
        <v>40.0</v>
      </c>
      <c r="AN14" s="125">
        <v>26.0</v>
      </c>
      <c r="AO14" s="125">
        <v>46.0</v>
      </c>
    </row>
    <row r="15">
      <c r="A15" s="123" t="s">
        <v>171</v>
      </c>
      <c r="B15" s="125">
        <v>37.0</v>
      </c>
      <c r="C15" s="125">
        <v>40.0</v>
      </c>
      <c r="D15" s="125">
        <v>85.0</v>
      </c>
      <c r="E15" s="125">
        <v>248.0</v>
      </c>
      <c r="F15" s="125" t="s">
        <v>198</v>
      </c>
      <c r="G15" s="125">
        <v>67.0</v>
      </c>
      <c r="H15" s="125">
        <v>133.0</v>
      </c>
      <c r="I15" s="125">
        <v>118.0</v>
      </c>
      <c r="J15" s="125">
        <v>99.0</v>
      </c>
      <c r="K15" s="125">
        <v>126.0</v>
      </c>
      <c r="L15" s="125" t="s">
        <v>198</v>
      </c>
      <c r="M15" s="125">
        <v>107.0</v>
      </c>
      <c r="N15" s="125" t="s">
        <v>198</v>
      </c>
      <c r="O15" s="125" t="s">
        <v>198</v>
      </c>
      <c r="P15" s="125" t="s">
        <v>198</v>
      </c>
      <c r="Q15" s="125">
        <v>130.0</v>
      </c>
      <c r="R15" s="125">
        <v>88.0</v>
      </c>
      <c r="S15" s="125" t="s">
        <v>198</v>
      </c>
      <c r="T15" s="125">
        <v>37.0</v>
      </c>
      <c r="U15" s="125">
        <v>84.0</v>
      </c>
      <c r="V15" s="125">
        <v>0.0</v>
      </c>
      <c r="W15" s="125">
        <v>32.0</v>
      </c>
      <c r="X15" s="125">
        <v>84.0</v>
      </c>
      <c r="Y15" s="125">
        <v>185.0</v>
      </c>
      <c r="Z15" s="125">
        <v>40.0</v>
      </c>
      <c r="AA15" s="125">
        <v>202.0</v>
      </c>
      <c r="AB15" s="125" t="s">
        <v>198</v>
      </c>
      <c r="AC15" s="125">
        <v>294.0</v>
      </c>
      <c r="AD15" s="125" t="s">
        <v>198</v>
      </c>
      <c r="AE15" s="125">
        <v>57.0</v>
      </c>
      <c r="AF15" s="125">
        <v>79.0</v>
      </c>
      <c r="AG15" s="125">
        <v>62.0</v>
      </c>
      <c r="AH15" s="125">
        <v>95.0</v>
      </c>
      <c r="AI15" s="125" t="s">
        <v>198</v>
      </c>
      <c r="AJ15" s="125">
        <v>80.0</v>
      </c>
      <c r="AK15" s="125">
        <v>81.0</v>
      </c>
      <c r="AL15" s="125">
        <v>73.0</v>
      </c>
      <c r="AM15" s="125">
        <v>35.0</v>
      </c>
      <c r="AN15" s="125">
        <v>91.0</v>
      </c>
      <c r="AO15" s="125">
        <v>137.0</v>
      </c>
    </row>
    <row r="16">
      <c r="A16" s="123" t="s">
        <v>172</v>
      </c>
      <c r="B16" s="125" t="s">
        <v>198</v>
      </c>
      <c r="C16" s="125">
        <v>58.0</v>
      </c>
      <c r="D16" s="125">
        <v>49.0</v>
      </c>
      <c r="E16" s="125">
        <v>578.0</v>
      </c>
      <c r="F16" s="125" t="s">
        <v>198</v>
      </c>
      <c r="G16" s="125">
        <v>52.0</v>
      </c>
      <c r="H16" s="125">
        <v>172.0</v>
      </c>
      <c r="I16" s="125">
        <v>81.0</v>
      </c>
      <c r="J16" s="125">
        <v>38.0</v>
      </c>
      <c r="K16" s="125">
        <v>116.0</v>
      </c>
      <c r="L16" s="125" t="s">
        <v>198</v>
      </c>
      <c r="M16" s="125" t="s">
        <v>198</v>
      </c>
      <c r="N16" s="125">
        <v>60.0</v>
      </c>
      <c r="O16" s="125">
        <v>0.0</v>
      </c>
      <c r="P16" s="125" t="s">
        <v>198</v>
      </c>
      <c r="Q16" s="125">
        <v>137.0</v>
      </c>
      <c r="R16" s="125">
        <v>92.0</v>
      </c>
      <c r="S16" s="125" t="s">
        <v>198</v>
      </c>
      <c r="T16" s="125" t="s">
        <v>198</v>
      </c>
      <c r="U16" s="125" t="s">
        <v>198</v>
      </c>
      <c r="V16" s="125">
        <v>0.0</v>
      </c>
      <c r="W16" s="125">
        <v>0.0</v>
      </c>
      <c r="X16" s="125">
        <v>23.0</v>
      </c>
      <c r="Y16" s="125">
        <v>256.0</v>
      </c>
      <c r="Z16" s="125" t="s">
        <v>198</v>
      </c>
      <c r="AA16" s="125">
        <v>293.0</v>
      </c>
      <c r="AB16" s="125" t="s">
        <v>198</v>
      </c>
      <c r="AC16" s="125">
        <v>352.0</v>
      </c>
      <c r="AD16" s="125" t="s">
        <v>198</v>
      </c>
      <c r="AE16" s="125">
        <v>57.0</v>
      </c>
      <c r="AF16" s="125">
        <v>37.0</v>
      </c>
      <c r="AG16" s="125">
        <v>33.0</v>
      </c>
      <c r="AH16" s="125">
        <v>51.0</v>
      </c>
      <c r="AI16" s="125" t="s">
        <v>198</v>
      </c>
      <c r="AJ16" s="125">
        <v>74.0</v>
      </c>
      <c r="AK16" s="125" t="s">
        <v>198</v>
      </c>
      <c r="AL16" s="125">
        <v>107.0</v>
      </c>
      <c r="AM16" s="125">
        <v>27.0</v>
      </c>
      <c r="AN16" s="125">
        <v>113.0</v>
      </c>
      <c r="AO16" s="125">
        <v>154.0</v>
      </c>
    </row>
    <row r="17">
      <c r="A17" s="123" t="s">
        <v>173</v>
      </c>
      <c r="B17" s="125">
        <v>37.0</v>
      </c>
      <c r="C17" s="125">
        <v>49.0</v>
      </c>
      <c r="D17" s="125">
        <v>61.0</v>
      </c>
      <c r="E17" s="125">
        <v>918.0</v>
      </c>
      <c r="F17" s="125" t="s">
        <v>198</v>
      </c>
      <c r="G17" s="125">
        <v>49.0</v>
      </c>
      <c r="H17" s="125">
        <v>160.0</v>
      </c>
      <c r="I17" s="125">
        <v>110.0</v>
      </c>
      <c r="J17" s="125">
        <v>92.0</v>
      </c>
      <c r="K17" s="125">
        <v>107.0</v>
      </c>
      <c r="L17" s="125">
        <v>74.0</v>
      </c>
      <c r="M17" s="125" t="s">
        <v>198</v>
      </c>
      <c r="N17" s="125">
        <v>80.0</v>
      </c>
      <c r="O17" s="125" t="s">
        <v>198</v>
      </c>
      <c r="P17" s="125" t="s">
        <v>198</v>
      </c>
      <c r="Q17" s="125">
        <v>154.0</v>
      </c>
      <c r="R17" s="125">
        <v>106.0</v>
      </c>
      <c r="S17" s="125">
        <v>0.0</v>
      </c>
      <c r="T17" s="125">
        <v>37.0</v>
      </c>
      <c r="U17" s="125">
        <v>71.0</v>
      </c>
      <c r="V17" s="125">
        <v>0.0</v>
      </c>
      <c r="W17" s="125">
        <v>40.0</v>
      </c>
      <c r="X17" s="125">
        <v>61.0</v>
      </c>
      <c r="Y17" s="125">
        <v>246.0</v>
      </c>
      <c r="Z17" s="125">
        <v>49.0</v>
      </c>
      <c r="AA17" s="125">
        <v>373.0</v>
      </c>
      <c r="AB17" s="125">
        <v>29.0</v>
      </c>
      <c r="AC17" s="125">
        <v>459.0</v>
      </c>
      <c r="AD17" s="125">
        <v>66.0</v>
      </c>
      <c r="AE17" s="125">
        <v>57.0</v>
      </c>
      <c r="AF17" s="125">
        <v>79.0</v>
      </c>
      <c r="AG17" s="125">
        <v>26.0</v>
      </c>
      <c r="AH17" s="125">
        <v>76.0</v>
      </c>
      <c r="AI17" s="125">
        <v>133.0</v>
      </c>
      <c r="AJ17" s="125">
        <v>73.0</v>
      </c>
      <c r="AK17" s="125" t="s">
        <v>198</v>
      </c>
      <c r="AL17" s="125">
        <v>124.0</v>
      </c>
      <c r="AM17" s="125">
        <v>66.0</v>
      </c>
      <c r="AN17" s="125">
        <v>120.0</v>
      </c>
      <c r="AO17" s="125">
        <v>193.0</v>
      </c>
    </row>
    <row r="18">
      <c r="A18" s="123" t="s">
        <v>174</v>
      </c>
      <c r="B18" s="125" t="s">
        <v>198</v>
      </c>
      <c r="C18" s="125">
        <v>49.0</v>
      </c>
      <c r="D18" s="125">
        <v>61.0</v>
      </c>
      <c r="E18" s="125">
        <v>717.0</v>
      </c>
      <c r="F18" s="125">
        <v>64.0</v>
      </c>
      <c r="G18" s="125">
        <v>35.0</v>
      </c>
      <c r="H18" s="125">
        <v>132.0</v>
      </c>
      <c r="I18" s="125">
        <v>61.0</v>
      </c>
      <c r="J18" s="125">
        <v>84.0</v>
      </c>
      <c r="K18" s="125">
        <v>93.0</v>
      </c>
      <c r="L18" s="125" t="s">
        <v>198</v>
      </c>
      <c r="M18" s="125" t="s">
        <v>198</v>
      </c>
      <c r="N18" s="125" t="s">
        <v>198</v>
      </c>
      <c r="O18" s="125">
        <v>0.0</v>
      </c>
      <c r="P18" s="125">
        <v>0.0</v>
      </c>
      <c r="Q18" s="125">
        <v>86.0</v>
      </c>
      <c r="R18" s="125">
        <v>92.0</v>
      </c>
      <c r="S18" s="125">
        <v>0.0</v>
      </c>
      <c r="T18" s="125" t="s">
        <v>198</v>
      </c>
      <c r="U18" s="125" t="s">
        <v>198</v>
      </c>
      <c r="V18" s="125">
        <v>0.0</v>
      </c>
      <c r="W18" s="125">
        <v>32.0</v>
      </c>
      <c r="X18" s="125">
        <v>19.0</v>
      </c>
      <c r="Y18" s="125">
        <v>169.0</v>
      </c>
      <c r="Z18" s="125" t="s">
        <v>198</v>
      </c>
      <c r="AA18" s="125">
        <v>283.0</v>
      </c>
      <c r="AB18" s="125" t="s">
        <v>198</v>
      </c>
      <c r="AC18" s="125">
        <v>387.0</v>
      </c>
      <c r="AD18" s="125">
        <v>66.0</v>
      </c>
      <c r="AE18" s="125" t="s">
        <v>198</v>
      </c>
      <c r="AF18" s="125">
        <v>55.0</v>
      </c>
      <c r="AG18" s="125" t="s">
        <v>198</v>
      </c>
      <c r="AH18" s="125">
        <v>38.0</v>
      </c>
      <c r="AI18" s="125" t="s">
        <v>198</v>
      </c>
      <c r="AJ18" s="125">
        <v>74.0</v>
      </c>
      <c r="AK18" s="125" t="s">
        <v>198</v>
      </c>
      <c r="AL18" s="125">
        <v>86.0</v>
      </c>
      <c r="AM18" s="125">
        <v>31.0</v>
      </c>
      <c r="AN18" s="125">
        <v>132.0</v>
      </c>
      <c r="AO18" s="125">
        <v>154.0</v>
      </c>
    </row>
    <row r="19">
      <c r="A19" s="123" t="s">
        <v>175</v>
      </c>
      <c r="B19" s="125" t="s">
        <v>198</v>
      </c>
      <c r="C19" s="125">
        <v>45.0</v>
      </c>
      <c r="D19" s="125" t="s">
        <v>198</v>
      </c>
      <c r="E19" s="125">
        <v>676.0</v>
      </c>
      <c r="F19" s="125" t="s">
        <v>198</v>
      </c>
      <c r="G19" s="125">
        <v>38.0</v>
      </c>
      <c r="H19" s="125">
        <v>99.0</v>
      </c>
      <c r="I19" s="125">
        <v>61.0</v>
      </c>
      <c r="J19" s="125">
        <v>61.0</v>
      </c>
      <c r="K19" s="125">
        <v>137.0</v>
      </c>
      <c r="L19" s="125">
        <v>88.0</v>
      </c>
      <c r="M19" s="125" t="s">
        <v>198</v>
      </c>
      <c r="N19" s="125" t="s">
        <v>198</v>
      </c>
      <c r="O19" s="125" t="s">
        <v>198</v>
      </c>
      <c r="P19" s="125" t="s">
        <v>198</v>
      </c>
      <c r="Q19" s="125">
        <v>120.0</v>
      </c>
      <c r="R19" s="125">
        <v>88.0</v>
      </c>
      <c r="S19" s="125" t="s">
        <v>198</v>
      </c>
      <c r="T19" s="125" t="s">
        <v>198</v>
      </c>
      <c r="U19" s="125" t="s">
        <v>198</v>
      </c>
      <c r="V19" s="125">
        <v>0.0</v>
      </c>
      <c r="W19" s="125">
        <v>32.0</v>
      </c>
      <c r="X19" s="125">
        <v>34.0</v>
      </c>
      <c r="Y19" s="125">
        <v>206.0</v>
      </c>
      <c r="Z19" s="125">
        <v>73.0</v>
      </c>
      <c r="AA19" s="125">
        <v>263.0</v>
      </c>
      <c r="AB19" s="125" t="s">
        <v>198</v>
      </c>
      <c r="AC19" s="125">
        <v>303.0</v>
      </c>
      <c r="AD19" s="125" t="s">
        <v>198</v>
      </c>
      <c r="AE19" s="125" t="s">
        <v>198</v>
      </c>
      <c r="AF19" s="125">
        <v>60.0</v>
      </c>
      <c r="AG19" s="125" t="s">
        <v>198</v>
      </c>
      <c r="AH19" s="125">
        <v>38.0</v>
      </c>
      <c r="AI19" s="125">
        <v>48.0</v>
      </c>
      <c r="AJ19" s="125">
        <v>52.0</v>
      </c>
      <c r="AK19" s="125">
        <v>0.0</v>
      </c>
      <c r="AL19" s="125">
        <v>93.0</v>
      </c>
      <c r="AM19" s="125" t="s">
        <v>198</v>
      </c>
      <c r="AN19" s="125">
        <v>164.0</v>
      </c>
      <c r="AO19" s="125">
        <v>138.0</v>
      </c>
    </row>
    <row r="20">
      <c r="A20" s="123" t="s">
        <v>176</v>
      </c>
      <c r="B20" s="125">
        <v>37.0</v>
      </c>
      <c r="C20" s="125">
        <v>27.0</v>
      </c>
      <c r="D20" s="125" t="s">
        <v>198</v>
      </c>
      <c r="E20" s="125">
        <v>500.0</v>
      </c>
      <c r="F20" s="125">
        <v>0.0</v>
      </c>
      <c r="G20" s="125">
        <v>35.0</v>
      </c>
      <c r="H20" s="125">
        <v>90.0</v>
      </c>
      <c r="I20" s="125">
        <v>43.0</v>
      </c>
      <c r="J20" s="125">
        <v>46.0</v>
      </c>
      <c r="K20" s="125">
        <v>112.0</v>
      </c>
      <c r="L20" s="125" t="s">
        <v>198</v>
      </c>
      <c r="M20" s="125" t="s">
        <v>198</v>
      </c>
      <c r="N20" s="125">
        <v>89.0</v>
      </c>
      <c r="O20" s="125" t="s">
        <v>198</v>
      </c>
      <c r="P20" s="125">
        <v>0.0</v>
      </c>
      <c r="Q20" s="125">
        <v>68.0</v>
      </c>
      <c r="R20" s="125">
        <v>55.0</v>
      </c>
      <c r="S20" s="125">
        <v>0.0</v>
      </c>
      <c r="T20" s="125">
        <v>0.0</v>
      </c>
      <c r="U20" s="125" t="s">
        <v>198</v>
      </c>
      <c r="V20" s="125">
        <v>0.0</v>
      </c>
      <c r="W20" s="125" t="s">
        <v>198</v>
      </c>
      <c r="X20" s="125">
        <v>38.0</v>
      </c>
      <c r="Y20" s="125">
        <v>154.0</v>
      </c>
      <c r="Z20" s="125">
        <v>130.0</v>
      </c>
      <c r="AA20" s="125">
        <v>160.0</v>
      </c>
      <c r="AB20" s="125" t="s">
        <v>198</v>
      </c>
      <c r="AC20" s="125">
        <v>269.0</v>
      </c>
      <c r="AD20" s="125">
        <v>0.0</v>
      </c>
      <c r="AE20" s="125">
        <v>47.0</v>
      </c>
      <c r="AF20" s="125">
        <v>51.0</v>
      </c>
      <c r="AG20" s="125" t="s">
        <v>198</v>
      </c>
      <c r="AH20" s="125">
        <v>44.0</v>
      </c>
      <c r="AI20" s="125">
        <v>124.0</v>
      </c>
      <c r="AJ20" s="125">
        <v>43.0</v>
      </c>
      <c r="AK20" s="125" t="s">
        <v>198</v>
      </c>
      <c r="AL20" s="125">
        <v>52.0</v>
      </c>
      <c r="AM20" s="125" t="s">
        <v>198</v>
      </c>
      <c r="AN20" s="125">
        <v>144.0</v>
      </c>
      <c r="AO20" s="125">
        <v>113.0</v>
      </c>
    </row>
    <row r="21">
      <c r="A21" s="123" t="s">
        <v>177</v>
      </c>
      <c r="B21" s="125">
        <v>43.0</v>
      </c>
      <c r="C21" s="125">
        <v>40.0</v>
      </c>
      <c r="D21" s="125">
        <v>43.0</v>
      </c>
      <c r="E21" s="125">
        <v>335.0</v>
      </c>
      <c r="F21" s="125">
        <v>0.0</v>
      </c>
      <c r="G21" s="125">
        <v>49.0</v>
      </c>
      <c r="H21" s="125">
        <v>91.0</v>
      </c>
      <c r="I21" s="125">
        <v>38.0</v>
      </c>
      <c r="J21" s="125" t="s">
        <v>198</v>
      </c>
      <c r="K21" s="125">
        <v>61.0</v>
      </c>
      <c r="L21" s="125" t="s">
        <v>198</v>
      </c>
      <c r="M21" s="125" t="s">
        <v>198</v>
      </c>
      <c r="N21" s="125" t="s">
        <v>198</v>
      </c>
      <c r="O21" s="125" t="s">
        <v>198</v>
      </c>
      <c r="P21" s="125" t="s">
        <v>198</v>
      </c>
      <c r="Q21" s="125">
        <v>68.0</v>
      </c>
      <c r="R21" s="125">
        <v>55.0</v>
      </c>
      <c r="S21" s="125" t="s">
        <v>198</v>
      </c>
      <c r="T21" s="125" t="s">
        <v>198</v>
      </c>
      <c r="U21" s="125" t="s">
        <v>198</v>
      </c>
      <c r="V21" s="125">
        <v>0.0</v>
      </c>
      <c r="W21" s="125" t="s">
        <v>198</v>
      </c>
      <c r="X21" s="125">
        <v>23.0</v>
      </c>
      <c r="Y21" s="125">
        <v>83.0</v>
      </c>
      <c r="Z21" s="125">
        <v>49.0</v>
      </c>
      <c r="AA21" s="125">
        <v>164.0</v>
      </c>
      <c r="AB21" s="125">
        <v>40.0</v>
      </c>
      <c r="AC21" s="125">
        <v>234.0</v>
      </c>
      <c r="AD21" s="125" t="s">
        <v>198</v>
      </c>
      <c r="AE21" s="125" t="s">
        <v>198</v>
      </c>
      <c r="AF21" s="125">
        <v>32.0</v>
      </c>
      <c r="AG21" s="125" t="s">
        <v>198</v>
      </c>
      <c r="AH21" s="125">
        <v>57.0</v>
      </c>
      <c r="AI21" s="125">
        <v>48.0</v>
      </c>
      <c r="AJ21" s="125">
        <v>42.0</v>
      </c>
      <c r="AK21" s="125" t="s">
        <v>198</v>
      </c>
      <c r="AL21" s="125">
        <v>41.0</v>
      </c>
      <c r="AM21" s="125" t="s">
        <v>198</v>
      </c>
      <c r="AN21" s="125">
        <v>87.0</v>
      </c>
      <c r="AO21" s="125">
        <v>95.0</v>
      </c>
    </row>
    <row r="22">
      <c r="A22" s="123" t="s">
        <v>178</v>
      </c>
      <c r="B22" s="125" t="s">
        <v>198</v>
      </c>
      <c r="C22" s="125">
        <v>40.0</v>
      </c>
      <c r="D22" s="125" t="s">
        <v>198</v>
      </c>
      <c r="E22" s="125">
        <v>165.0</v>
      </c>
      <c r="F22" s="125" t="s">
        <v>198</v>
      </c>
      <c r="G22" s="125">
        <v>29.0</v>
      </c>
      <c r="H22" s="125">
        <v>57.0</v>
      </c>
      <c r="I22" s="125">
        <v>17.0</v>
      </c>
      <c r="J22" s="125">
        <v>0.0</v>
      </c>
      <c r="K22" s="125">
        <v>70.0</v>
      </c>
      <c r="L22" s="125">
        <v>0.0</v>
      </c>
      <c r="M22" s="125" t="s">
        <v>198</v>
      </c>
      <c r="N22" s="125" t="s">
        <v>198</v>
      </c>
      <c r="O22" s="125">
        <v>0.0</v>
      </c>
      <c r="P22" s="125" t="s">
        <v>198</v>
      </c>
      <c r="Q22" s="125">
        <v>130.0</v>
      </c>
      <c r="R22" s="125">
        <v>46.0</v>
      </c>
      <c r="S22" s="125">
        <v>0.0</v>
      </c>
      <c r="T22" s="125">
        <v>31.0</v>
      </c>
      <c r="U22" s="125" t="s">
        <v>198</v>
      </c>
      <c r="V22" s="125">
        <v>0.0</v>
      </c>
      <c r="W22" s="125">
        <v>32.0</v>
      </c>
      <c r="X22" s="125">
        <v>23.0</v>
      </c>
      <c r="Y22" s="125">
        <v>52.0</v>
      </c>
      <c r="Z22" s="125">
        <v>40.0</v>
      </c>
      <c r="AA22" s="125">
        <v>99.0</v>
      </c>
      <c r="AB22" s="125">
        <v>34.0</v>
      </c>
      <c r="AC22" s="125">
        <v>183.0</v>
      </c>
      <c r="AD22" s="125" t="s">
        <v>198</v>
      </c>
      <c r="AE22" s="125" t="s">
        <v>198</v>
      </c>
      <c r="AF22" s="125">
        <v>0.0</v>
      </c>
      <c r="AG22" s="125">
        <v>0.0</v>
      </c>
      <c r="AH22" s="125" t="s">
        <v>198</v>
      </c>
      <c r="AI22" s="125">
        <v>0.0</v>
      </c>
      <c r="AJ22" s="125">
        <v>23.0</v>
      </c>
      <c r="AK22" s="125" t="s">
        <v>198</v>
      </c>
      <c r="AL22" s="125">
        <v>38.0</v>
      </c>
      <c r="AM22" s="125" t="s">
        <v>198</v>
      </c>
      <c r="AN22" s="125">
        <v>101.0</v>
      </c>
      <c r="AO22" s="125">
        <v>72.0</v>
      </c>
    </row>
    <row r="23">
      <c r="A23" s="123" t="s">
        <v>179</v>
      </c>
      <c r="B23" s="125" t="s">
        <v>198</v>
      </c>
      <c r="C23" s="125" t="s">
        <v>198</v>
      </c>
      <c r="D23" s="125" t="s">
        <v>198</v>
      </c>
      <c r="E23" s="125">
        <v>165.0</v>
      </c>
      <c r="F23" s="125">
        <v>0.0</v>
      </c>
      <c r="G23" s="125" t="s">
        <v>198</v>
      </c>
      <c r="H23" s="125">
        <v>47.0</v>
      </c>
      <c r="I23" s="125">
        <v>32.0</v>
      </c>
      <c r="J23" s="125" t="s">
        <v>198</v>
      </c>
      <c r="K23" s="125">
        <v>36.0</v>
      </c>
      <c r="L23" s="125" t="s">
        <v>198</v>
      </c>
      <c r="M23" s="125">
        <v>0.0</v>
      </c>
      <c r="N23" s="125" t="s">
        <v>198</v>
      </c>
      <c r="O23" s="125">
        <v>0.0</v>
      </c>
      <c r="P23" s="125" t="s">
        <v>198</v>
      </c>
      <c r="Q23" s="125">
        <v>41.0</v>
      </c>
      <c r="R23" s="125" t="s">
        <v>198</v>
      </c>
      <c r="S23" s="125">
        <v>0.0</v>
      </c>
      <c r="T23" s="125" t="s">
        <v>198</v>
      </c>
      <c r="U23" s="125" t="s">
        <v>198</v>
      </c>
      <c r="V23" s="125">
        <v>0.0</v>
      </c>
      <c r="W23" s="125" t="s">
        <v>198</v>
      </c>
      <c r="X23" s="125" t="s">
        <v>198</v>
      </c>
      <c r="Y23" s="125">
        <v>68.0</v>
      </c>
      <c r="Z23" s="125" t="s">
        <v>198</v>
      </c>
      <c r="AA23" s="125">
        <v>72.0</v>
      </c>
      <c r="AB23" s="125">
        <v>29.0</v>
      </c>
      <c r="AC23" s="125">
        <v>154.0</v>
      </c>
      <c r="AD23" s="125">
        <v>0.0</v>
      </c>
      <c r="AE23" s="125" t="s">
        <v>198</v>
      </c>
      <c r="AF23" s="125" t="s">
        <v>198</v>
      </c>
      <c r="AG23" s="125">
        <v>0.0</v>
      </c>
      <c r="AH23" s="125" t="s">
        <v>198</v>
      </c>
      <c r="AI23" s="125" t="s">
        <v>198</v>
      </c>
      <c r="AJ23" s="125">
        <v>25.0</v>
      </c>
      <c r="AK23" s="125">
        <v>0.0</v>
      </c>
      <c r="AL23" s="125">
        <v>35.0</v>
      </c>
      <c r="AM23" s="125">
        <v>0.0</v>
      </c>
      <c r="AN23" s="125">
        <v>72.0</v>
      </c>
      <c r="AO23" s="125">
        <v>55.0</v>
      </c>
    </row>
    <row r="24">
      <c r="A24" s="123" t="s">
        <v>180</v>
      </c>
      <c r="B24" s="125" t="s">
        <v>198</v>
      </c>
      <c r="C24" s="125" t="s">
        <v>198</v>
      </c>
      <c r="D24" s="125" t="s">
        <v>198</v>
      </c>
      <c r="E24" s="125">
        <v>119.0</v>
      </c>
      <c r="F24" s="125" t="s">
        <v>198</v>
      </c>
      <c r="G24" s="125" t="s">
        <v>198</v>
      </c>
      <c r="H24" s="125">
        <v>41.0</v>
      </c>
      <c r="I24" s="125">
        <v>26.0</v>
      </c>
      <c r="J24" s="125" t="s">
        <v>198</v>
      </c>
      <c r="K24" s="125">
        <v>25.0</v>
      </c>
      <c r="L24" s="125" t="s">
        <v>198</v>
      </c>
      <c r="M24" s="125" t="s">
        <v>198</v>
      </c>
      <c r="N24" s="125">
        <v>0.0</v>
      </c>
      <c r="O24" s="125">
        <v>0.0</v>
      </c>
      <c r="P24" s="125">
        <v>0.0</v>
      </c>
      <c r="Q24" s="125">
        <v>48.0</v>
      </c>
      <c r="R24" s="125">
        <v>42.0</v>
      </c>
      <c r="S24" s="125">
        <v>0.0</v>
      </c>
      <c r="T24" s="125" t="s">
        <v>198</v>
      </c>
      <c r="U24" s="125">
        <v>0.0</v>
      </c>
      <c r="V24" s="125">
        <v>0.0</v>
      </c>
      <c r="W24" s="125" t="s">
        <v>198</v>
      </c>
      <c r="X24" s="125" t="s">
        <v>198</v>
      </c>
      <c r="Y24" s="125">
        <v>31.0</v>
      </c>
      <c r="Z24" s="125">
        <v>57.0</v>
      </c>
      <c r="AA24" s="125">
        <v>60.0</v>
      </c>
      <c r="AB24" s="125">
        <v>0.0</v>
      </c>
      <c r="AC24" s="125">
        <v>90.0</v>
      </c>
      <c r="AD24" s="125">
        <v>0.0</v>
      </c>
      <c r="AE24" s="125" t="s">
        <v>198</v>
      </c>
      <c r="AF24" s="125" t="s">
        <v>198</v>
      </c>
      <c r="AG24" s="125" t="s">
        <v>198</v>
      </c>
      <c r="AH24" s="125" t="s">
        <v>198</v>
      </c>
      <c r="AI24" s="125" t="s">
        <v>198</v>
      </c>
      <c r="AJ24" s="125">
        <v>12.0</v>
      </c>
      <c r="AK24" s="125">
        <v>0.0</v>
      </c>
      <c r="AL24" s="125" t="s">
        <v>198</v>
      </c>
      <c r="AM24" s="125">
        <v>0.0</v>
      </c>
      <c r="AN24" s="125">
        <v>48.0</v>
      </c>
      <c r="AO24" s="125">
        <v>37.0</v>
      </c>
    </row>
    <row r="25">
      <c r="A25" s="123" t="s">
        <v>181</v>
      </c>
      <c r="B25" s="125">
        <v>0.0</v>
      </c>
      <c r="C25" s="125" t="s">
        <v>198</v>
      </c>
      <c r="D25" s="125" t="s">
        <v>198</v>
      </c>
      <c r="E25" s="125">
        <v>114.0</v>
      </c>
      <c r="F25" s="125" t="s">
        <v>198</v>
      </c>
      <c r="G25" s="125" t="s">
        <v>198</v>
      </c>
      <c r="H25" s="125">
        <v>21.0</v>
      </c>
      <c r="I25" s="125" t="s">
        <v>198</v>
      </c>
      <c r="J25" s="125" t="s">
        <v>198</v>
      </c>
      <c r="K25" s="125">
        <v>15.0</v>
      </c>
      <c r="L25" s="125">
        <v>0.0</v>
      </c>
      <c r="M25" s="125">
        <v>0.0</v>
      </c>
      <c r="N25" s="125">
        <v>0.0</v>
      </c>
      <c r="O25" s="125">
        <v>0.0</v>
      </c>
      <c r="P25" s="125" t="s">
        <v>198</v>
      </c>
      <c r="Q25" s="125">
        <v>17.0</v>
      </c>
      <c r="R25" s="125" t="s">
        <v>198</v>
      </c>
      <c r="S25" s="125">
        <v>0.0</v>
      </c>
      <c r="T25" s="125" t="s">
        <v>198</v>
      </c>
      <c r="U25" s="125" t="s">
        <v>198</v>
      </c>
      <c r="V25" s="125">
        <v>0.0</v>
      </c>
      <c r="W25" s="125">
        <v>24.0</v>
      </c>
      <c r="X25" s="125" t="s">
        <v>198</v>
      </c>
      <c r="Y25" s="125">
        <v>15.0</v>
      </c>
      <c r="Z25" s="125" t="s">
        <v>198</v>
      </c>
      <c r="AA25" s="125">
        <v>36.0</v>
      </c>
      <c r="AB25" s="125" t="s">
        <v>198</v>
      </c>
      <c r="AC25" s="125">
        <v>72.0</v>
      </c>
      <c r="AD25" s="125">
        <v>0.0</v>
      </c>
      <c r="AE25" s="125" t="s">
        <v>198</v>
      </c>
      <c r="AF25" s="125" t="s">
        <v>198</v>
      </c>
      <c r="AG25" s="125">
        <v>0.0</v>
      </c>
      <c r="AH25" s="125">
        <v>0.0</v>
      </c>
      <c r="AI25" s="125" t="s">
        <v>198</v>
      </c>
      <c r="AJ25" s="125">
        <v>15.0</v>
      </c>
      <c r="AK25" s="125">
        <v>0.0</v>
      </c>
      <c r="AL25" s="125">
        <v>35.0</v>
      </c>
      <c r="AM25" s="125" t="s">
        <v>198</v>
      </c>
      <c r="AN25" s="125">
        <v>34.0</v>
      </c>
      <c r="AO25" s="125">
        <v>28.0</v>
      </c>
    </row>
    <row r="26">
      <c r="A26" s="123" t="s">
        <v>182</v>
      </c>
      <c r="B26" s="125" t="s">
        <v>198</v>
      </c>
      <c r="C26" s="125">
        <v>22.0</v>
      </c>
      <c r="D26" s="125" t="s">
        <v>198</v>
      </c>
      <c r="E26" s="125">
        <v>52.0</v>
      </c>
      <c r="F26" s="125" t="s">
        <v>198</v>
      </c>
      <c r="G26" s="125" t="s">
        <v>198</v>
      </c>
      <c r="H26" s="125">
        <v>17.0</v>
      </c>
      <c r="I26" s="125">
        <v>26.0</v>
      </c>
      <c r="J26" s="125" t="s">
        <v>198</v>
      </c>
      <c r="K26" s="125">
        <v>17.0</v>
      </c>
      <c r="L26" s="125">
        <v>0.0</v>
      </c>
      <c r="M26" s="125" t="s">
        <v>198</v>
      </c>
      <c r="N26" s="125" t="s">
        <v>198</v>
      </c>
      <c r="O26" s="125" t="s">
        <v>198</v>
      </c>
      <c r="P26" s="125">
        <v>0.0</v>
      </c>
      <c r="Q26" s="125">
        <v>34.0</v>
      </c>
      <c r="R26" s="125">
        <v>28.0</v>
      </c>
      <c r="S26" s="125">
        <v>0.0</v>
      </c>
      <c r="T26" s="125">
        <v>37.0</v>
      </c>
      <c r="U26" s="125">
        <v>0.0</v>
      </c>
      <c r="V26" s="125">
        <v>0.0</v>
      </c>
      <c r="W26" s="125">
        <v>44.0</v>
      </c>
      <c r="X26" s="125" t="s">
        <v>198</v>
      </c>
      <c r="Y26" s="125">
        <v>37.0</v>
      </c>
      <c r="Z26" s="125">
        <v>0.0</v>
      </c>
      <c r="AA26" s="125">
        <v>56.0</v>
      </c>
      <c r="AB26" s="125" t="s">
        <v>198</v>
      </c>
      <c r="AC26" s="125">
        <v>70.0</v>
      </c>
      <c r="AD26" s="125">
        <v>0.0</v>
      </c>
      <c r="AE26" s="125" t="s">
        <v>198</v>
      </c>
      <c r="AF26" s="125" t="s">
        <v>198</v>
      </c>
      <c r="AG26" s="125" t="s">
        <v>198</v>
      </c>
      <c r="AH26" s="125" t="s">
        <v>198</v>
      </c>
      <c r="AI26" s="125" t="s">
        <v>198</v>
      </c>
      <c r="AJ26" s="125">
        <v>15.0</v>
      </c>
      <c r="AK26" s="125" t="s">
        <v>198</v>
      </c>
      <c r="AL26" s="125">
        <v>31.0</v>
      </c>
      <c r="AM26" s="125" t="s">
        <v>198</v>
      </c>
      <c r="AN26" s="125">
        <v>36.0</v>
      </c>
      <c r="AO26" s="125">
        <v>32.0</v>
      </c>
    </row>
    <row r="27">
      <c r="A27" s="123" t="s">
        <v>183</v>
      </c>
      <c r="B27" s="125" t="s">
        <v>198</v>
      </c>
      <c r="C27" s="125" t="s">
        <v>198</v>
      </c>
      <c r="D27" s="125" t="s">
        <v>198</v>
      </c>
      <c r="E27" s="125">
        <v>41.0</v>
      </c>
      <c r="F27" s="125" t="s">
        <v>198</v>
      </c>
      <c r="G27" s="125">
        <v>26.0</v>
      </c>
      <c r="H27" s="125">
        <v>41.0</v>
      </c>
      <c r="I27" s="125" t="s">
        <v>198</v>
      </c>
      <c r="J27" s="125" t="s">
        <v>198</v>
      </c>
      <c r="K27" s="125">
        <v>13.0</v>
      </c>
      <c r="L27" s="125">
        <v>0.0</v>
      </c>
      <c r="M27" s="125" t="s">
        <v>198</v>
      </c>
      <c r="N27" s="125" t="s">
        <v>198</v>
      </c>
      <c r="O27" s="125">
        <v>0.0</v>
      </c>
      <c r="P27" s="125" t="s">
        <v>198</v>
      </c>
      <c r="Q27" s="125">
        <v>34.0</v>
      </c>
      <c r="R27" s="125" t="s">
        <v>198</v>
      </c>
      <c r="S27" s="125" t="s">
        <v>198</v>
      </c>
      <c r="T27" s="125">
        <v>31.0</v>
      </c>
      <c r="U27" s="125">
        <v>0.0</v>
      </c>
      <c r="V27" s="125">
        <v>0.0</v>
      </c>
      <c r="W27" s="125">
        <v>36.0</v>
      </c>
      <c r="X27" s="125" t="s">
        <v>198</v>
      </c>
      <c r="Y27" s="125">
        <v>28.0</v>
      </c>
      <c r="Z27" s="125" t="s">
        <v>198</v>
      </c>
      <c r="AA27" s="125">
        <v>18.0</v>
      </c>
      <c r="AB27" s="125" t="s">
        <v>198</v>
      </c>
      <c r="AC27" s="125">
        <v>48.0</v>
      </c>
      <c r="AD27" s="125">
        <v>0.0</v>
      </c>
      <c r="AE27" s="125" t="s">
        <v>198</v>
      </c>
      <c r="AF27" s="125">
        <v>23.0</v>
      </c>
      <c r="AG27" s="125">
        <v>0.0</v>
      </c>
      <c r="AH27" s="125" t="s">
        <v>198</v>
      </c>
      <c r="AI27" s="125" t="s">
        <v>198</v>
      </c>
      <c r="AJ27" s="125">
        <v>11.0</v>
      </c>
      <c r="AK27" s="125">
        <v>0.0</v>
      </c>
      <c r="AL27" s="125">
        <v>28.0</v>
      </c>
      <c r="AM27" s="125" t="s">
        <v>198</v>
      </c>
      <c r="AN27" s="125">
        <v>17.0</v>
      </c>
      <c r="AO27" s="125">
        <v>25.0</v>
      </c>
    </row>
    <row r="28">
      <c r="A28" s="123" t="s">
        <v>184</v>
      </c>
      <c r="B28" s="125" t="s">
        <v>198</v>
      </c>
      <c r="C28" s="125">
        <v>27.0</v>
      </c>
      <c r="D28" s="125" t="s">
        <v>198</v>
      </c>
      <c r="E28" s="125">
        <v>67.0</v>
      </c>
      <c r="F28" s="125" t="s">
        <v>198</v>
      </c>
      <c r="G28" s="125">
        <v>26.0</v>
      </c>
      <c r="H28" s="125">
        <v>32.0</v>
      </c>
      <c r="I28" s="125" t="s">
        <v>198</v>
      </c>
      <c r="J28" s="125">
        <v>54.0</v>
      </c>
      <c r="K28" s="125">
        <v>13.0</v>
      </c>
      <c r="L28" s="125">
        <v>0.0</v>
      </c>
      <c r="M28" s="125">
        <v>0.0</v>
      </c>
      <c r="N28" s="125" t="s">
        <v>198</v>
      </c>
      <c r="O28" s="125" t="s">
        <v>198</v>
      </c>
      <c r="P28" s="125" t="s">
        <v>198</v>
      </c>
      <c r="Q28" s="125">
        <v>24.0</v>
      </c>
      <c r="R28" s="125">
        <v>28.0</v>
      </c>
      <c r="S28" s="125">
        <v>0.0</v>
      </c>
      <c r="T28" s="125">
        <v>50.0</v>
      </c>
      <c r="U28" s="125" t="s">
        <v>198</v>
      </c>
      <c r="V28" s="125" t="s">
        <v>198</v>
      </c>
      <c r="W28" s="125">
        <v>48.0</v>
      </c>
      <c r="X28" s="125">
        <v>0.0</v>
      </c>
      <c r="Y28" s="125">
        <v>46.0</v>
      </c>
      <c r="Z28" s="125" t="s">
        <v>198</v>
      </c>
      <c r="AA28" s="125">
        <v>39.0</v>
      </c>
      <c r="AB28" s="125" t="s">
        <v>198</v>
      </c>
      <c r="AC28" s="125">
        <v>56.0</v>
      </c>
      <c r="AD28" s="125">
        <v>0.0</v>
      </c>
      <c r="AE28" s="125" t="s">
        <v>198</v>
      </c>
      <c r="AF28" s="125" t="s">
        <v>198</v>
      </c>
      <c r="AG28" s="125" t="s">
        <v>198</v>
      </c>
      <c r="AH28" s="125" t="s">
        <v>198</v>
      </c>
      <c r="AI28" s="125" t="s">
        <v>198</v>
      </c>
      <c r="AJ28" s="125">
        <v>20.0</v>
      </c>
      <c r="AK28" s="125" t="s">
        <v>198</v>
      </c>
      <c r="AL28" s="125">
        <v>48.0</v>
      </c>
      <c r="AM28" s="125" t="s">
        <v>198</v>
      </c>
      <c r="AN28" s="125">
        <v>31.0</v>
      </c>
      <c r="AO28" s="125">
        <v>32.0</v>
      </c>
    </row>
    <row r="29">
      <c r="A29" s="123" t="s">
        <v>185</v>
      </c>
      <c r="B29" s="125">
        <v>37.0</v>
      </c>
      <c r="C29" s="125">
        <v>31.0</v>
      </c>
      <c r="D29" s="125" t="s">
        <v>198</v>
      </c>
      <c r="E29" s="125">
        <v>103.0</v>
      </c>
      <c r="F29" s="125" t="s">
        <v>198</v>
      </c>
      <c r="G29" s="125" t="s">
        <v>198</v>
      </c>
      <c r="H29" s="125">
        <v>48.0</v>
      </c>
      <c r="I29" s="125">
        <v>32.0</v>
      </c>
      <c r="J29" s="125" t="s">
        <v>198</v>
      </c>
      <c r="K29" s="125">
        <v>30.0</v>
      </c>
      <c r="L29" s="125">
        <v>0.0</v>
      </c>
      <c r="M29" s="125">
        <v>0.0</v>
      </c>
      <c r="N29" s="125">
        <v>0.0</v>
      </c>
      <c r="O29" s="125">
        <v>0.0</v>
      </c>
      <c r="P29" s="125">
        <v>0.0</v>
      </c>
      <c r="Q29" s="125">
        <v>38.0</v>
      </c>
      <c r="R29" s="125">
        <v>23.0</v>
      </c>
      <c r="S29" s="125" t="s">
        <v>198</v>
      </c>
      <c r="T29" s="125" t="s">
        <v>198</v>
      </c>
      <c r="U29" s="125" t="s">
        <v>198</v>
      </c>
      <c r="V29" s="125">
        <v>0.0</v>
      </c>
      <c r="W29" s="125" t="s">
        <v>198</v>
      </c>
      <c r="X29" s="125" t="s">
        <v>198</v>
      </c>
      <c r="Y29" s="125">
        <v>43.0</v>
      </c>
      <c r="Z29" s="125" t="s">
        <v>198</v>
      </c>
      <c r="AA29" s="125">
        <v>81.0</v>
      </c>
      <c r="AB29" s="125" t="s">
        <v>198</v>
      </c>
      <c r="AC29" s="125">
        <v>68.0</v>
      </c>
      <c r="AD29" s="125">
        <v>0.0</v>
      </c>
      <c r="AE29" s="125" t="s">
        <v>198</v>
      </c>
      <c r="AF29" s="125">
        <v>55.0</v>
      </c>
      <c r="AG29" s="125">
        <v>0.0</v>
      </c>
      <c r="AH29" s="125" t="s">
        <v>198</v>
      </c>
      <c r="AI29" s="125" t="s">
        <v>198</v>
      </c>
      <c r="AJ29" s="125">
        <v>23.0</v>
      </c>
      <c r="AK29" s="125">
        <v>0.0</v>
      </c>
      <c r="AL29" s="125">
        <v>31.0</v>
      </c>
      <c r="AM29" s="125" t="s">
        <v>198</v>
      </c>
      <c r="AN29" s="125">
        <v>34.0</v>
      </c>
      <c r="AO29" s="125">
        <v>40.0</v>
      </c>
    </row>
    <row r="30">
      <c r="A30" s="123" t="s">
        <v>186</v>
      </c>
      <c r="B30" s="125">
        <v>0.0</v>
      </c>
      <c r="C30" s="125">
        <v>31.0</v>
      </c>
      <c r="D30" s="125" t="s">
        <v>198</v>
      </c>
      <c r="E30" s="125">
        <v>191.0</v>
      </c>
      <c r="F30" s="125" t="s">
        <v>198</v>
      </c>
      <c r="G30" s="125">
        <v>32.0</v>
      </c>
      <c r="H30" s="125">
        <v>49.0</v>
      </c>
      <c r="I30" s="125">
        <v>38.0</v>
      </c>
      <c r="J30" s="125">
        <v>46.0</v>
      </c>
      <c r="K30" s="125">
        <v>40.0</v>
      </c>
      <c r="L30" s="125" t="s">
        <v>198</v>
      </c>
      <c r="M30" s="125">
        <v>0.0</v>
      </c>
      <c r="N30" s="125" t="s">
        <v>198</v>
      </c>
      <c r="O30" s="125" t="s">
        <v>198</v>
      </c>
      <c r="P30" s="125" t="s">
        <v>198</v>
      </c>
      <c r="Q30" s="125">
        <v>65.0</v>
      </c>
      <c r="R30" s="125">
        <v>23.0</v>
      </c>
      <c r="S30" s="125">
        <v>0.0</v>
      </c>
      <c r="T30" s="125" t="s">
        <v>198</v>
      </c>
      <c r="U30" s="125" t="s">
        <v>198</v>
      </c>
      <c r="V30" s="125" t="s">
        <v>198</v>
      </c>
      <c r="W30" s="125">
        <v>32.0</v>
      </c>
      <c r="X30" s="125">
        <v>23.0</v>
      </c>
      <c r="Y30" s="125">
        <v>96.0</v>
      </c>
      <c r="Z30" s="125" t="s">
        <v>198</v>
      </c>
      <c r="AA30" s="125">
        <v>124.0</v>
      </c>
      <c r="AB30" s="125" t="s">
        <v>198</v>
      </c>
      <c r="AC30" s="125">
        <v>96.0</v>
      </c>
      <c r="AD30" s="125">
        <v>0.0</v>
      </c>
      <c r="AE30" s="125" t="s">
        <v>198</v>
      </c>
      <c r="AF30" s="125">
        <v>42.0</v>
      </c>
      <c r="AG30" s="125" t="s">
        <v>198</v>
      </c>
      <c r="AH30" s="125" t="s">
        <v>198</v>
      </c>
      <c r="AI30" s="125">
        <v>86.0</v>
      </c>
      <c r="AJ30" s="125">
        <v>43.0</v>
      </c>
      <c r="AK30" s="125" t="s">
        <v>198</v>
      </c>
      <c r="AL30" s="125">
        <v>38.0</v>
      </c>
      <c r="AM30" s="125" t="s">
        <v>198</v>
      </c>
      <c r="AN30" s="125">
        <v>34.0</v>
      </c>
      <c r="AO30" s="125">
        <v>59.0</v>
      </c>
    </row>
    <row r="31">
      <c r="A31" s="126" t="s">
        <v>187</v>
      </c>
      <c r="B31" s="125" t="s">
        <v>198</v>
      </c>
      <c r="C31" s="125">
        <v>27.0</v>
      </c>
      <c r="D31" s="125">
        <v>43.0</v>
      </c>
      <c r="E31" s="125">
        <v>196.0</v>
      </c>
      <c r="F31" s="125" t="s">
        <v>198</v>
      </c>
      <c r="G31" s="125">
        <v>17.0</v>
      </c>
      <c r="H31" s="125">
        <v>99.0</v>
      </c>
      <c r="I31" s="125">
        <v>29.0</v>
      </c>
      <c r="J31" s="125">
        <v>38.0</v>
      </c>
      <c r="K31" s="125">
        <v>30.0</v>
      </c>
      <c r="L31" s="125" t="s">
        <v>198</v>
      </c>
      <c r="M31" s="125" t="s">
        <v>198</v>
      </c>
      <c r="N31" s="125" t="s">
        <v>198</v>
      </c>
      <c r="O31" s="125">
        <v>0.0</v>
      </c>
      <c r="P31" s="125" t="s">
        <v>198</v>
      </c>
      <c r="Q31" s="125">
        <v>31.0</v>
      </c>
      <c r="R31" s="125">
        <v>55.0</v>
      </c>
      <c r="S31" s="125">
        <v>0.0</v>
      </c>
      <c r="T31" s="125">
        <v>37.0</v>
      </c>
      <c r="U31" s="125">
        <v>0.0</v>
      </c>
      <c r="V31" s="125" t="s">
        <v>198</v>
      </c>
      <c r="W31" s="125">
        <v>24.0</v>
      </c>
      <c r="X31" s="125">
        <v>23.0</v>
      </c>
      <c r="Y31" s="125">
        <v>102.0</v>
      </c>
      <c r="Z31" s="125" t="s">
        <v>198</v>
      </c>
      <c r="AA31" s="125">
        <v>142.0</v>
      </c>
      <c r="AB31" s="125">
        <v>0.0</v>
      </c>
      <c r="AC31" s="125">
        <v>106.0</v>
      </c>
      <c r="AD31" s="125" t="s">
        <v>198</v>
      </c>
      <c r="AE31" s="125">
        <v>0.0</v>
      </c>
      <c r="AF31" s="125" t="s">
        <v>198</v>
      </c>
      <c r="AG31" s="125" t="s">
        <v>198</v>
      </c>
      <c r="AH31" s="125" t="s">
        <v>198</v>
      </c>
      <c r="AI31" s="125" t="s">
        <v>198</v>
      </c>
      <c r="AJ31" s="125">
        <v>43.0</v>
      </c>
      <c r="AK31" s="125" t="s">
        <v>198</v>
      </c>
      <c r="AL31" s="125">
        <v>73.0</v>
      </c>
      <c r="AM31" s="125" t="s">
        <v>198</v>
      </c>
      <c r="AN31" s="125">
        <v>43.0</v>
      </c>
      <c r="AO31" s="125">
        <v>64.0</v>
      </c>
    </row>
    <row r="32">
      <c r="A32" s="126" t="s">
        <v>188</v>
      </c>
      <c r="B32" s="125" t="s">
        <v>198</v>
      </c>
      <c r="C32" s="125">
        <v>27.0</v>
      </c>
      <c r="D32" s="125" t="s">
        <v>198</v>
      </c>
      <c r="E32" s="125">
        <v>201.0</v>
      </c>
      <c r="F32" s="125">
        <v>0.0</v>
      </c>
      <c r="G32" s="125">
        <v>17.0</v>
      </c>
      <c r="H32" s="125">
        <v>108.0</v>
      </c>
      <c r="I32" s="125">
        <v>32.0</v>
      </c>
      <c r="J32" s="125" t="s">
        <v>198</v>
      </c>
      <c r="K32" s="125">
        <v>32.0</v>
      </c>
      <c r="L32" s="125" t="s">
        <v>198</v>
      </c>
      <c r="M32" s="125" t="s">
        <v>198</v>
      </c>
      <c r="N32" s="125" t="s">
        <v>198</v>
      </c>
      <c r="O32" s="125">
        <v>0.0</v>
      </c>
      <c r="P32" s="125">
        <v>0.0</v>
      </c>
      <c r="Q32" s="125">
        <v>55.0</v>
      </c>
      <c r="R32" s="125">
        <v>55.0</v>
      </c>
      <c r="S32" s="125">
        <v>0.0</v>
      </c>
      <c r="T32" s="125" t="s">
        <v>198</v>
      </c>
      <c r="U32" s="125" t="s">
        <v>198</v>
      </c>
      <c r="V32" s="125" t="s">
        <v>198</v>
      </c>
      <c r="W32" s="125">
        <v>20.0</v>
      </c>
      <c r="X32" s="125">
        <v>19.0</v>
      </c>
      <c r="Y32" s="125">
        <v>80.0</v>
      </c>
      <c r="Z32" s="125" t="s">
        <v>198</v>
      </c>
      <c r="AA32" s="125">
        <v>118.0</v>
      </c>
      <c r="AB32" s="125" t="s">
        <v>198</v>
      </c>
      <c r="AC32" s="125">
        <v>128.0</v>
      </c>
      <c r="AD32" s="125" t="s">
        <v>198</v>
      </c>
      <c r="AE32" s="125" t="s">
        <v>198</v>
      </c>
      <c r="AF32" s="125">
        <v>32.0</v>
      </c>
      <c r="AG32" s="125">
        <v>0.0</v>
      </c>
      <c r="AH32" s="125">
        <v>0.0</v>
      </c>
      <c r="AI32" s="125">
        <v>0.0</v>
      </c>
      <c r="AJ32" s="125">
        <v>33.0</v>
      </c>
      <c r="AK32" s="125">
        <v>0.0</v>
      </c>
      <c r="AL32" s="125">
        <v>31.0</v>
      </c>
      <c r="AM32" s="125" t="s">
        <v>198</v>
      </c>
      <c r="AN32" s="125">
        <v>46.0</v>
      </c>
      <c r="AO32" s="125">
        <v>63.0</v>
      </c>
    </row>
    <row r="33">
      <c r="A33" s="126" t="s">
        <v>189</v>
      </c>
      <c r="B33" s="125" t="s">
        <v>198</v>
      </c>
      <c r="C33" s="125">
        <v>22.0</v>
      </c>
      <c r="D33" s="125" t="s">
        <v>198</v>
      </c>
      <c r="E33" s="125">
        <v>175.0</v>
      </c>
      <c r="F33" s="125" t="s">
        <v>198</v>
      </c>
      <c r="G33" s="125">
        <v>14.0</v>
      </c>
      <c r="H33" s="125">
        <v>47.0</v>
      </c>
      <c r="I33" s="125">
        <v>46.0</v>
      </c>
      <c r="J33" s="125" t="s">
        <v>198</v>
      </c>
      <c r="K33" s="125">
        <v>25.0</v>
      </c>
      <c r="L33" s="125" t="s">
        <v>198</v>
      </c>
      <c r="M33" s="125" t="s">
        <v>198</v>
      </c>
      <c r="N33" s="125" t="s">
        <v>198</v>
      </c>
      <c r="O33" s="125">
        <v>0.0</v>
      </c>
      <c r="P33" s="125" t="s">
        <v>198</v>
      </c>
      <c r="Q33" s="125">
        <v>38.0</v>
      </c>
      <c r="R33" s="125">
        <v>23.0</v>
      </c>
      <c r="S33" s="125">
        <v>0.0</v>
      </c>
      <c r="T33" s="125">
        <v>0.0</v>
      </c>
      <c r="U33" s="125">
        <v>103.0</v>
      </c>
      <c r="V33" s="125" t="s">
        <v>198</v>
      </c>
      <c r="W33" s="125" t="s">
        <v>198</v>
      </c>
      <c r="X33" s="125">
        <v>31.0</v>
      </c>
      <c r="Y33" s="125">
        <v>52.0</v>
      </c>
      <c r="Z33" s="125">
        <v>0.0</v>
      </c>
      <c r="AA33" s="125">
        <v>79.0</v>
      </c>
      <c r="AB33" s="125" t="s">
        <v>198</v>
      </c>
      <c r="AC33" s="125">
        <v>121.0</v>
      </c>
      <c r="AD33" s="125" t="s">
        <v>198</v>
      </c>
      <c r="AE33" s="125" t="s">
        <v>198</v>
      </c>
      <c r="AF33" s="125">
        <v>42.0</v>
      </c>
      <c r="AG33" s="125">
        <v>42.0</v>
      </c>
      <c r="AH33" s="125">
        <v>0.0</v>
      </c>
      <c r="AI33" s="125">
        <v>0.0</v>
      </c>
      <c r="AJ33" s="125">
        <v>27.0</v>
      </c>
      <c r="AK33" s="125">
        <v>0.0</v>
      </c>
      <c r="AL33" s="125">
        <v>48.0</v>
      </c>
      <c r="AM33" s="125">
        <v>0.0</v>
      </c>
      <c r="AN33" s="125">
        <v>46.0</v>
      </c>
      <c r="AO33" s="125">
        <v>55.0</v>
      </c>
    </row>
    <row r="34">
      <c r="A34" s="126" t="s">
        <v>190</v>
      </c>
      <c r="B34" s="125">
        <v>0.0</v>
      </c>
      <c r="C34" s="125">
        <v>72.0</v>
      </c>
      <c r="D34" s="125" t="s">
        <v>198</v>
      </c>
      <c r="E34" s="125">
        <v>186.0</v>
      </c>
      <c r="F34" s="125">
        <v>0.0</v>
      </c>
      <c r="G34" s="125">
        <v>26.0</v>
      </c>
      <c r="H34" s="125">
        <v>59.0</v>
      </c>
      <c r="I34" s="125">
        <v>63.0</v>
      </c>
      <c r="J34" s="125">
        <v>69.0</v>
      </c>
      <c r="K34" s="125">
        <v>30.0</v>
      </c>
      <c r="L34" s="125" t="s">
        <v>198</v>
      </c>
      <c r="M34" s="125" t="s">
        <v>198</v>
      </c>
      <c r="N34" s="125" t="s">
        <v>198</v>
      </c>
      <c r="O34" s="125" t="s">
        <v>198</v>
      </c>
      <c r="P34" s="125" t="s">
        <v>198</v>
      </c>
      <c r="Q34" s="125">
        <v>72.0</v>
      </c>
      <c r="R34" s="125">
        <v>32.0</v>
      </c>
      <c r="S34" s="125">
        <v>0.0</v>
      </c>
      <c r="T34" s="125">
        <v>31.0</v>
      </c>
      <c r="U34" s="125">
        <v>58.0</v>
      </c>
      <c r="V34" s="125">
        <v>0.0</v>
      </c>
      <c r="W34" s="125" t="s">
        <v>198</v>
      </c>
      <c r="X34" s="125">
        <v>50.0</v>
      </c>
      <c r="Y34" s="125">
        <v>55.0</v>
      </c>
      <c r="Z34" s="125" t="s">
        <v>198</v>
      </c>
      <c r="AA34" s="125">
        <v>71.0</v>
      </c>
      <c r="AB34" s="125" t="s">
        <v>198</v>
      </c>
      <c r="AC34" s="125">
        <v>120.0</v>
      </c>
      <c r="AD34" s="125">
        <v>0.0</v>
      </c>
      <c r="AE34" s="125" t="s">
        <v>198</v>
      </c>
      <c r="AF34" s="125">
        <v>37.0</v>
      </c>
      <c r="AG34" s="125" t="s">
        <v>198</v>
      </c>
      <c r="AH34" s="125">
        <v>44.0</v>
      </c>
      <c r="AI34" s="125" t="s">
        <v>198</v>
      </c>
      <c r="AJ34" s="125">
        <v>43.0</v>
      </c>
      <c r="AK34" s="125" t="s">
        <v>198</v>
      </c>
      <c r="AL34" s="125" t="s">
        <v>198</v>
      </c>
      <c r="AM34" s="125" t="s">
        <v>198</v>
      </c>
      <c r="AN34" s="125">
        <v>36.0</v>
      </c>
      <c r="AO34" s="125">
        <v>60.0</v>
      </c>
    </row>
    <row r="35">
      <c r="A35" s="126" t="s">
        <v>191</v>
      </c>
      <c r="B35" s="125" t="s">
        <v>198</v>
      </c>
      <c r="C35" s="125">
        <v>31.0</v>
      </c>
      <c r="D35" s="125" t="s">
        <v>198</v>
      </c>
      <c r="E35" s="125">
        <v>108.0</v>
      </c>
      <c r="F35" s="125" t="s">
        <v>198</v>
      </c>
      <c r="G35" s="125">
        <v>26.0</v>
      </c>
      <c r="H35" s="125">
        <v>53.0</v>
      </c>
      <c r="I35" s="125">
        <v>29.0</v>
      </c>
      <c r="J35" s="125">
        <v>54.0</v>
      </c>
      <c r="K35" s="125">
        <v>11.0</v>
      </c>
      <c r="L35" s="125">
        <v>0.0</v>
      </c>
      <c r="M35" s="125" t="s">
        <v>198</v>
      </c>
      <c r="N35" s="125" t="s">
        <v>198</v>
      </c>
      <c r="O35" s="125" t="s">
        <v>198</v>
      </c>
      <c r="P35" s="125">
        <v>0.0</v>
      </c>
      <c r="Q35" s="125">
        <v>48.0</v>
      </c>
      <c r="R35" s="125">
        <v>37.0</v>
      </c>
      <c r="S35" s="125">
        <v>0.0</v>
      </c>
      <c r="T35" s="125" t="s">
        <v>198</v>
      </c>
      <c r="U35" s="125">
        <v>32.0</v>
      </c>
      <c r="V35" s="125">
        <v>0.0</v>
      </c>
      <c r="W35" s="125">
        <v>20.0</v>
      </c>
      <c r="X35" s="125">
        <v>27.0</v>
      </c>
      <c r="Y35" s="125">
        <v>55.0</v>
      </c>
      <c r="Z35" s="125" t="s">
        <v>198</v>
      </c>
      <c r="AA35" s="125">
        <v>56.0</v>
      </c>
      <c r="AB35" s="125">
        <v>29.0</v>
      </c>
      <c r="AC35" s="125">
        <v>104.0</v>
      </c>
      <c r="AD35" s="125" t="s">
        <v>198</v>
      </c>
      <c r="AE35" s="125" t="s">
        <v>198</v>
      </c>
      <c r="AF35" s="125">
        <v>37.0</v>
      </c>
      <c r="AG35" s="125" t="s">
        <v>198</v>
      </c>
      <c r="AH35" s="125">
        <v>32.0</v>
      </c>
      <c r="AI35" s="125" t="s">
        <v>198</v>
      </c>
      <c r="AJ35" s="125">
        <v>16.0</v>
      </c>
      <c r="AK35" s="125" t="s">
        <v>198</v>
      </c>
      <c r="AL35" s="125">
        <v>21.0</v>
      </c>
      <c r="AM35" s="125" t="s">
        <v>198</v>
      </c>
      <c r="AN35" s="125">
        <v>43.0</v>
      </c>
      <c r="AO35" s="125">
        <v>47.0</v>
      </c>
    </row>
    <row r="36">
      <c r="A36" s="126" t="s">
        <v>192</v>
      </c>
      <c r="B36" s="125" t="s">
        <v>198</v>
      </c>
      <c r="C36" s="125" t="s">
        <v>198</v>
      </c>
      <c r="D36" s="125" t="s">
        <v>198</v>
      </c>
      <c r="E36" s="125">
        <v>31.0</v>
      </c>
      <c r="F36" s="125">
        <v>0.0</v>
      </c>
      <c r="G36" s="125" t="s">
        <v>198</v>
      </c>
      <c r="H36" s="125">
        <v>43.0</v>
      </c>
      <c r="I36" s="125">
        <v>43.0</v>
      </c>
      <c r="J36" s="125">
        <v>0.0</v>
      </c>
      <c r="K36" s="125">
        <v>21.0</v>
      </c>
      <c r="L36" s="125">
        <v>0.0</v>
      </c>
      <c r="M36" s="125" t="s">
        <v>198</v>
      </c>
      <c r="N36" s="125" t="s">
        <v>198</v>
      </c>
      <c r="O36" s="125">
        <v>0.0</v>
      </c>
      <c r="P36" s="125" t="s">
        <v>198</v>
      </c>
      <c r="Q36" s="125">
        <v>44.0</v>
      </c>
      <c r="R36" s="125">
        <v>28.0</v>
      </c>
      <c r="S36" s="125">
        <v>0.0</v>
      </c>
      <c r="T36" s="125" t="s">
        <v>198</v>
      </c>
      <c r="U36" s="125" t="s">
        <v>198</v>
      </c>
      <c r="V36" s="125">
        <v>0.0</v>
      </c>
      <c r="W36" s="125">
        <v>24.0</v>
      </c>
      <c r="X36" s="125">
        <v>19.0</v>
      </c>
      <c r="Y36" s="125">
        <v>83.0</v>
      </c>
      <c r="Z36" s="125" t="s">
        <v>198</v>
      </c>
      <c r="AA36" s="125">
        <v>53.0</v>
      </c>
      <c r="AB36" s="125" t="s">
        <v>198</v>
      </c>
      <c r="AC36" s="125">
        <v>98.0</v>
      </c>
      <c r="AD36" s="125">
        <v>0.0</v>
      </c>
      <c r="AE36" s="125" t="s">
        <v>198</v>
      </c>
      <c r="AF36" s="125">
        <v>28.0</v>
      </c>
      <c r="AG36" s="125">
        <v>0.0</v>
      </c>
      <c r="AH36" s="125">
        <v>38.0</v>
      </c>
      <c r="AI36" s="125" t="s">
        <v>198</v>
      </c>
      <c r="AJ36" s="125">
        <v>31.0</v>
      </c>
      <c r="AK36" s="125">
        <v>0.0</v>
      </c>
      <c r="AL36" s="125" t="s">
        <v>198</v>
      </c>
      <c r="AM36" s="125" t="s">
        <v>198</v>
      </c>
      <c r="AN36" s="125">
        <v>31.0</v>
      </c>
      <c r="AO36" s="125">
        <v>43.0</v>
      </c>
    </row>
    <row r="37">
      <c r="A37" s="126" t="s">
        <v>193</v>
      </c>
      <c r="B37" s="125">
        <v>31.0</v>
      </c>
      <c r="C37" s="125">
        <v>40.0</v>
      </c>
      <c r="D37" s="125">
        <v>43.0</v>
      </c>
      <c r="E37" s="125">
        <v>98.0</v>
      </c>
      <c r="F37" s="125" t="s">
        <v>198</v>
      </c>
      <c r="G37" s="125">
        <v>14.0</v>
      </c>
      <c r="H37" s="125">
        <v>43.0</v>
      </c>
      <c r="I37" s="125">
        <v>84.0</v>
      </c>
      <c r="J37" s="125" t="s">
        <v>198</v>
      </c>
      <c r="K37" s="125">
        <v>25.0</v>
      </c>
      <c r="L37" s="125" t="s">
        <v>198</v>
      </c>
      <c r="M37" s="125" t="s">
        <v>198</v>
      </c>
      <c r="N37" s="125" t="s">
        <v>198</v>
      </c>
      <c r="O37" s="125">
        <v>0.0</v>
      </c>
      <c r="P37" s="125">
        <v>0.0</v>
      </c>
      <c r="Q37" s="125">
        <v>31.0</v>
      </c>
      <c r="R37" s="125" t="s">
        <v>198</v>
      </c>
      <c r="S37" s="125">
        <v>0.0</v>
      </c>
      <c r="T37" s="125" t="s">
        <v>198</v>
      </c>
      <c r="U37" s="125" t="s">
        <v>198</v>
      </c>
      <c r="V37" s="125">
        <v>0.0</v>
      </c>
      <c r="W37" s="125">
        <v>52.0</v>
      </c>
      <c r="X37" s="125">
        <v>23.0</v>
      </c>
      <c r="Y37" s="125">
        <v>40.0</v>
      </c>
      <c r="Z37" s="125" t="s">
        <v>198</v>
      </c>
      <c r="AA37" s="125">
        <v>75.0</v>
      </c>
      <c r="AB37" s="125" t="s">
        <v>198</v>
      </c>
      <c r="AC37" s="125">
        <v>80.0</v>
      </c>
      <c r="AD37" s="125">
        <v>0.0</v>
      </c>
      <c r="AE37" s="125" t="s">
        <v>198</v>
      </c>
      <c r="AF37" s="125">
        <v>51.0</v>
      </c>
      <c r="AG37" s="125" t="s">
        <v>198</v>
      </c>
      <c r="AH37" s="125" t="s">
        <v>198</v>
      </c>
      <c r="AI37" s="125">
        <v>0.0</v>
      </c>
      <c r="AJ37" s="125">
        <v>28.0</v>
      </c>
      <c r="AK37" s="125" t="s">
        <v>198</v>
      </c>
      <c r="AL37" s="125">
        <v>35.0</v>
      </c>
      <c r="AM37" s="125">
        <v>22.0</v>
      </c>
      <c r="AN37" s="125">
        <v>39.0</v>
      </c>
      <c r="AO37" s="125">
        <v>45.0</v>
      </c>
    </row>
    <row r="38">
      <c r="A38" s="126" t="s">
        <v>194</v>
      </c>
      <c r="B38" s="125" t="s">
        <v>198</v>
      </c>
      <c r="C38" s="125">
        <v>31.0</v>
      </c>
      <c r="D38" s="125">
        <v>55.0</v>
      </c>
      <c r="E38" s="125">
        <v>114.0</v>
      </c>
      <c r="F38" s="125" t="s">
        <v>198</v>
      </c>
      <c r="G38" s="125">
        <v>58.0</v>
      </c>
      <c r="H38" s="125">
        <v>44.0</v>
      </c>
      <c r="I38" s="125">
        <v>43.0</v>
      </c>
      <c r="J38" s="125" t="s">
        <v>198</v>
      </c>
      <c r="K38" s="125">
        <v>17.0</v>
      </c>
      <c r="L38" s="125" t="s">
        <v>198</v>
      </c>
      <c r="M38" s="125">
        <v>0.0</v>
      </c>
      <c r="N38" s="125">
        <v>0.0</v>
      </c>
      <c r="O38" s="125">
        <v>0.0</v>
      </c>
      <c r="P38" s="125" t="s">
        <v>198</v>
      </c>
      <c r="Q38" s="125">
        <v>72.0</v>
      </c>
      <c r="R38" s="125">
        <v>32.0</v>
      </c>
      <c r="S38" s="125">
        <v>0.0</v>
      </c>
      <c r="T38" s="125">
        <v>0.0</v>
      </c>
      <c r="U38" s="125">
        <v>167.0</v>
      </c>
      <c r="V38" s="125">
        <v>0.0</v>
      </c>
      <c r="W38" s="125">
        <v>20.0</v>
      </c>
      <c r="X38" s="125">
        <v>19.0</v>
      </c>
      <c r="Y38" s="125">
        <v>59.0</v>
      </c>
      <c r="Z38" s="125">
        <v>57.0</v>
      </c>
      <c r="AA38" s="125">
        <v>53.0</v>
      </c>
      <c r="AB38" s="125" t="s">
        <v>198</v>
      </c>
      <c r="AC38" s="125">
        <v>135.0</v>
      </c>
      <c r="AD38" s="125">
        <v>0.0</v>
      </c>
      <c r="AE38" s="125" t="s">
        <v>198</v>
      </c>
      <c r="AF38" s="125">
        <v>42.0</v>
      </c>
      <c r="AG38" s="125">
        <v>16.0</v>
      </c>
      <c r="AH38" s="125">
        <v>32.0</v>
      </c>
      <c r="AI38" s="125" t="s">
        <v>198</v>
      </c>
      <c r="AJ38" s="125">
        <v>41.0</v>
      </c>
      <c r="AK38" s="125" t="s">
        <v>198</v>
      </c>
      <c r="AL38" s="125">
        <v>35.0</v>
      </c>
      <c r="AM38" s="125">
        <v>31.0</v>
      </c>
      <c r="AN38" s="125">
        <v>31.0</v>
      </c>
      <c r="AO38" s="125">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5" t="s">
        <v>199</v>
      </c>
      <c r="B1" s="127"/>
      <c r="C1" s="127"/>
      <c r="D1" s="127"/>
      <c r="E1" s="127"/>
      <c r="F1" s="127"/>
      <c r="G1" s="127"/>
      <c r="H1" s="127"/>
      <c r="I1" s="127"/>
      <c r="J1" s="127"/>
      <c r="K1" s="127"/>
      <c r="L1" s="127"/>
      <c r="M1" s="127"/>
      <c r="N1" s="128"/>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row>
    <row r="2">
      <c r="A2" s="94" t="s">
        <v>200</v>
      </c>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row>
    <row r="3">
      <c r="A3" s="94" t="s">
        <v>201</v>
      </c>
      <c r="I3" s="129"/>
      <c r="J3" s="129"/>
      <c r="K3" s="129"/>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row>
    <row r="4">
      <c r="A4" s="94" t="s">
        <v>0</v>
      </c>
      <c r="B4" s="130">
        <v>44097.0</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row>
    <row r="5">
      <c r="A5" s="98"/>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row>
    <row r="6">
      <c r="A6" s="100" t="s">
        <v>202</v>
      </c>
      <c r="B6" s="101"/>
      <c r="C6" s="101"/>
      <c r="D6" s="101"/>
      <c r="E6" s="101"/>
      <c r="F6" s="101"/>
      <c r="G6" s="101"/>
      <c r="H6" s="101"/>
      <c r="I6" s="101"/>
      <c r="J6" s="101"/>
      <c r="K6" s="39"/>
      <c r="L6" s="131"/>
      <c r="M6" s="131"/>
      <c r="N6" s="131"/>
      <c r="O6" s="131"/>
      <c r="P6" s="131"/>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row>
    <row r="7">
      <c r="A7" s="91"/>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row>
    <row r="8">
      <c r="A8" s="132" t="s">
        <v>125</v>
      </c>
      <c r="B8" s="133" t="s">
        <v>126</v>
      </c>
      <c r="C8" s="133" t="s">
        <v>127</v>
      </c>
      <c r="D8" s="133" t="s">
        <v>128</v>
      </c>
      <c r="E8" s="133" t="s">
        <v>129</v>
      </c>
      <c r="F8" s="133" t="s">
        <v>130</v>
      </c>
      <c r="G8" s="133" t="s">
        <v>131</v>
      </c>
      <c r="H8" s="133" t="s">
        <v>132</v>
      </c>
      <c r="I8" s="133" t="s">
        <v>133</v>
      </c>
      <c r="J8" s="133" t="s">
        <v>134</v>
      </c>
      <c r="K8" s="133" t="s">
        <v>135</v>
      </c>
      <c r="L8" s="133" t="s">
        <v>136</v>
      </c>
      <c r="M8" s="133" t="s">
        <v>137</v>
      </c>
      <c r="N8" s="133" t="s">
        <v>138</v>
      </c>
      <c r="O8" s="133" t="s">
        <v>139</v>
      </c>
      <c r="P8" s="133" t="s">
        <v>140</v>
      </c>
      <c r="Q8" s="133" t="s">
        <v>141</v>
      </c>
      <c r="R8" s="133" t="s">
        <v>142</v>
      </c>
      <c r="S8" s="133" t="s">
        <v>143</v>
      </c>
      <c r="T8" s="133" t="s">
        <v>144</v>
      </c>
      <c r="U8" s="133" t="s">
        <v>145</v>
      </c>
      <c r="V8" s="133" t="s">
        <v>146</v>
      </c>
      <c r="W8" s="133" t="s">
        <v>147</v>
      </c>
      <c r="X8" s="133" t="s">
        <v>148</v>
      </c>
      <c r="Y8" s="133" t="s">
        <v>149</v>
      </c>
      <c r="Z8" s="133" t="s">
        <v>150</v>
      </c>
      <c r="AA8" s="133" t="s">
        <v>151</v>
      </c>
      <c r="AB8" s="133" t="s">
        <v>152</v>
      </c>
      <c r="AC8" s="133" t="s">
        <v>153</v>
      </c>
      <c r="AD8" s="133" t="s">
        <v>154</v>
      </c>
      <c r="AE8" s="133" t="s">
        <v>155</v>
      </c>
      <c r="AF8" s="133" t="s">
        <v>156</v>
      </c>
      <c r="AG8" s="133" t="s">
        <v>157</v>
      </c>
      <c r="AH8" s="133" t="s">
        <v>158</v>
      </c>
      <c r="AI8" s="133" t="s">
        <v>159</v>
      </c>
      <c r="AJ8" s="133" t="s">
        <v>160</v>
      </c>
      <c r="AK8" s="133" t="s">
        <v>161</v>
      </c>
      <c r="AL8" s="133" t="s">
        <v>162</v>
      </c>
      <c r="AM8" s="133" t="s">
        <v>163</v>
      </c>
      <c r="AN8" s="133" t="s">
        <v>164</v>
      </c>
      <c r="AO8" s="133" t="s">
        <v>165</v>
      </c>
      <c r="AP8" s="133" t="s">
        <v>118</v>
      </c>
    </row>
    <row r="9">
      <c r="A9" s="134" t="s">
        <v>166</v>
      </c>
      <c r="B9" s="135" t="s">
        <v>30</v>
      </c>
      <c r="C9" s="135" t="s">
        <v>30</v>
      </c>
      <c r="D9" s="135" t="s">
        <v>30</v>
      </c>
      <c r="E9" s="135" t="s">
        <v>30</v>
      </c>
      <c r="F9" s="135" t="s">
        <v>30</v>
      </c>
      <c r="G9" s="135" t="s">
        <v>30</v>
      </c>
      <c r="H9" s="135" t="s">
        <v>30</v>
      </c>
      <c r="I9" s="135" t="s">
        <v>30</v>
      </c>
      <c r="J9" s="135" t="s">
        <v>30</v>
      </c>
      <c r="K9" s="135" t="s">
        <v>30</v>
      </c>
      <c r="L9" s="135" t="s">
        <v>30</v>
      </c>
      <c r="M9" s="135" t="s">
        <v>30</v>
      </c>
      <c r="N9" s="135" t="s">
        <v>30</v>
      </c>
      <c r="O9" s="135" t="s">
        <v>30</v>
      </c>
      <c r="P9" s="135" t="s">
        <v>30</v>
      </c>
      <c r="Q9" s="135" t="s">
        <v>30</v>
      </c>
      <c r="R9" s="135" t="s">
        <v>30</v>
      </c>
      <c r="S9" s="135" t="s">
        <v>30</v>
      </c>
      <c r="T9" s="135" t="s">
        <v>30</v>
      </c>
      <c r="U9" s="135" t="s">
        <v>30</v>
      </c>
      <c r="V9" s="135" t="s">
        <v>30</v>
      </c>
      <c r="W9" s="135" t="s">
        <v>30</v>
      </c>
      <c r="X9" s="135" t="s">
        <v>30</v>
      </c>
      <c r="Y9" s="135" t="s">
        <v>30</v>
      </c>
      <c r="Z9" s="135" t="s">
        <v>30</v>
      </c>
      <c r="AA9" s="135" t="s">
        <v>30</v>
      </c>
      <c r="AB9" s="135" t="s">
        <v>30</v>
      </c>
      <c r="AC9" s="135" t="s">
        <v>30</v>
      </c>
      <c r="AD9" s="135" t="s">
        <v>30</v>
      </c>
      <c r="AE9" s="135" t="s">
        <v>30</v>
      </c>
      <c r="AF9" s="135" t="s">
        <v>30</v>
      </c>
      <c r="AG9" s="135" t="s">
        <v>30</v>
      </c>
      <c r="AH9" s="135" t="s">
        <v>30</v>
      </c>
      <c r="AI9" s="135" t="s">
        <v>30</v>
      </c>
      <c r="AJ9" s="135" t="s">
        <v>30</v>
      </c>
      <c r="AK9" s="135" t="s">
        <v>30</v>
      </c>
      <c r="AL9" s="135" t="s">
        <v>30</v>
      </c>
      <c r="AM9" s="135" t="s">
        <v>30</v>
      </c>
      <c r="AN9" s="135" t="s">
        <v>30</v>
      </c>
      <c r="AO9" s="135" t="s">
        <v>30</v>
      </c>
      <c r="AP9" s="135" t="s">
        <v>30</v>
      </c>
    </row>
    <row r="10">
      <c r="A10" s="134" t="s">
        <v>167</v>
      </c>
      <c r="B10" s="135" t="s">
        <v>30</v>
      </c>
      <c r="C10" s="135" t="s">
        <v>30</v>
      </c>
      <c r="D10" s="135" t="s">
        <v>30</v>
      </c>
      <c r="E10" s="135" t="s">
        <v>30</v>
      </c>
      <c r="F10" s="135" t="s">
        <v>30</v>
      </c>
      <c r="G10" s="135" t="s">
        <v>30</v>
      </c>
      <c r="H10" s="135" t="s">
        <v>30</v>
      </c>
      <c r="I10" s="135" t="s">
        <v>30</v>
      </c>
      <c r="J10" s="135" t="s">
        <v>30</v>
      </c>
      <c r="K10" s="135" t="s">
        <v>30</v>
      </c>
      <c r="L10" s="135" t="s">
        <v>30</v>
      </c>
      <c r="M10" s="135" t="s">
        <v>30</v>
      </c>
      <c r="N10" s="135" t="s">
        <v>30</v>
      </c>
      <c r="O10" s="135" t="s">
        <v>30</v>
      </c>
      <c r="P10" s="135" t="s">
        <v>30</v>
      </c>
      <c r="Q10" s="135" t="s">
        <v>30</v>
      </c>
      <c r="R10" s="135" t="s">
        <v>30</v>
      </c>
      <c r="S10" s="135" t="s">
        <v>30</v>
      </c>
      <c r="T10" s="135" t="s">
        <v>30</v>
      </c>
      <c r="U10" s="135" t="s">
        <v>30</v>
      </c>
      <c r="V10" s="135" t="s">
        <v>30</v>
      </c>
      <c r="W10" s="135" t="s">
        <v>30</v>
      </c>
      <c r="X10" s="135" t="s">
        <v>30</v>
      </c>
      <c r="Y10" s="135" t="s">
        <v>30</v>
      </c>
      <c r="Z10" s="135" t="s">
        <v>30</v>
      </c>
      <c r="AA10" s="135" t="s">
        <v>30</v>
      </c>
      <c r="AB10" s="135" t="s">
        <v>30</v>
      </c>
      <c r="AC10" s="135" t="s">
        <v>30</v>
      </c>
      <c r="AD10" s="135" t="s">
        <v>30</v>
      </c>
      <c r="AE10" s="135" t="s">
        <v>30</v>
      </c>
      <c r="AF10" s="135" t="s">
        <v>30</v>
      </c>
      <c r="AG10" s="135" t="s">
        <v>30</v>
      </c>
      <c r="AH10" s="135" t="s">
        <v>30</v>
      </c>
      <c r="AI10" s="135" t="s">
        <v>30</v>
      </c>
      <c r="AJ10" s="135" t="s">
        <v>30</v>
      </c>
      <c r="AK10" s="135" t="s">
        <v>30</v>
      </c>
      <c r="AL10" s="135" t="s">
        <v>30</v>
      </c>
      <c r="AM10" s="135" t="s">
        <v>30</v>
      </c>
      <c r="AN10" s="135" t="s">
        <v>30</v>
      </c>
      <c r="AO10" s="135" t="s">
        <v>30</v>
      </c>
      <c r="AP10" s="135" t="s">
        <v>30</v>
      </c>
    </row>
    <row r="11">
      <c r="A11" s="134" t="s">
        <v>168</v>
      </c>
      <c r="B11" s="135" t="s">
        <v>30</v>
      </c>
      <c r="C11" s="135" t="s">
        <v>30</v>
      </c>
      <c r="D11" s="135" t="s">
        <v>30</v>
      </c>
      <c r="E11" s="135" t="s">
        <v>30</v>
      </c>
      <c r="F11" s="135" t="s">
        <v>30</v>
      </c>
      <c r="G11" s="135" t="s">
        <v>30</v>
      </c>
      <c r="H11" s="135" t="s">
        <v>30</v>
      </c>
      <c r="I11" s="135" t="s">
        <v>30</v>
      </c>
      <c r="J11" s="135" t="s">
        <v>30</v>
      </c>
      <c r="K11" s="135" t="s">
        <v>30</v>
      </c>
      <c r="L11" s="135" t="s">
        <v>30</v>
      </c>
      <c r="M11" s="135" t="s">
        <v>30</v>
      </c>
      <c r="N11" s="135" t="s">
        <v>30</v>
      </c>
      <c r="O11" s="135" t="s">
        <v>30</v>
      </c>
      <c r="P11" s="135" t="s">
        <v>30</v>
      </c>
      <c r="Q11" s="135" t="s">
        <v>30</v>
      </c>
      <c r="R11" s="135" t="s">
        <v>30</v>
      </c>
      <c r="S11" s="135" t="s">
        <v>30</v>
      </c>
      <c r="T11" s="135" t="s">
        <v>30</v>
      </c>
      <c r="U11" s="135" t="s">
        <v>30</v>
      </c>
      <c r="V11" s="135" t="s">
        <v>30</v>
      </c>
      <c r="W11" s="135" t="s">
        <v>30</v>
      </c>
      <c r="X11" s="135" t="s">
        <v>30</v>
      </c>
      <c r="Y11" s="135" t="s">
        <v>30</v>
      </c>
      <c r="Z11" s="135" t="s">
        <v>30</v>
      </c>
      <c r="AA11" s="135" t="s">
        <v>30</v>
      </c>
      <c r="AB11" s="135" t="s">
        <v>30</v>
      </c>
      <c r="AC11" s="135" t="s">
        <v>30</v>
      </c>
      <c r="AD11" s="135" t="s">
        <v>30</v>
      </c>
      <c r="AE11" s="135" t="s">
        <v>30</v>
      </c>
      <c r="AF11" s="135" t="s">
        <v>30</v>
      </c>
      <c r="AG11" s="135" t="s">
        <v>30</v>
      </c>
      <c r="AH11" s="135" t="s">
        <v>30</v>
      </c>
      <c r="AI11" s="135" t="s">
        <v>30</v>
      </c>
      <c r="AJ11" s="135" t="s">
        <v>30</v>
      </c>
      <c r="AK11" s="135" t="s">
        <v>30</v>
      </c>
      <c r="AL11" s="135" t="s">
        <v>30</v>
      </c>
      <c r="AM11" s="135" t="s">
        <v>30</v>
      </c>
      <c r="AN11" s="135" t="s">
        <v>30</v>
      </c>
      <c r="AO11" s="135" t="s">
        <v>30</v>
      </c>
      <c r="AP11" s="135" t="s">
        <v>30</v>
      </c>
    </row>
    <row r="12">
      <c r="A12" s="134" t="s">
        <v>169</v>
      </c>
      <c r="B12" s="135" t="s">
        <v>30</v>
      </c>
      <c r="C12" s="135" t="s">
        <v>30</v>
      </c>
      <c r="D12" s="135" t="s">
        <v>30</v>
      </c>
      <c r="E12" s="135" t="s">
        <v>30</v>
      </c>
      <c r="F12" s="135" t="s">
        <v>30</v>
      </c>
      <c r="G12" s="135" t="s">
        <v>30</v>
      </c>
      <c r="H12" s="135" t="s">
        <v>30</v>
      </c>
      <c r="I12" s="135" t="s">
        <v>30</v>
      </c>
      <c r="J12" s="135" t="s">
        <v>30</v>
      </c>
      <c r="K12" s="135" t="s">
        <v>30</v>
      </c>
      <c r="L12" s="135" t="s">
        <v>30</v>
      </c>
      <c r="M12" s="135" t="s">
        <v>30</v>
      </c>
      <c r="N12" s="135" t="s">
        <v>30</v>
      </c>
      <c r="O12" s="135" t="s">
        <v>30</v>
      </c>
      <c r="P12" s="135" t="s">
        <v>30</v>
      </c>
      <c r="Q12" s="135" t="s">
        <v>30</v>
      </c>
      <c r="R12" s="135" t="s">
        <v>30</v>
      </c>
      <c r="S12" s="135" t="s">
        <v>30</v>
      </c>
      <c r="T12" s="135" t="s">
        <v>30</v>
      </c>
      <c r="U12" s="135" t="s">
        <v>30</v>
      </c>
      <c r="V12" s="135" t="s">
        <v>30</v>
      </c>
      <c r="W12" s="135" t="s">
        <v>30</v>
      </c>
      <c r="X12" s="135" t="s">
        <v>30</v>
      </c>
      <c r="Y12" s="135" t="s">
        <v>30</v>
      </c>
      <c r="Z12" s="135" t="s">
        <v>30</v>
      </c>
      <c r="AA12" s="135" t="s">
        <v>30</v>
      </c>
      <c r="AB12" s="135" t="s">
        <v>30</v>
      </c>
      <c r="AC12" s="135" t="s">
        <v>30</v>
      </c>
      <c r="AD12" s="135" t="s">
        <v>30</v>
      </c>
      <c r="AE12" s="135" t="s">
        <v>30</v>
      </c>
      <c r="AF12" s="135" t="s">
        <v>30</v>
      </c>
      <c r="AG12" s="135" t="s">
        <v>30</v>
      </c>
      <c r="AH12" s="135" t="s">
        <v>30</v>
      </c>
      <c r="AI12" s="135" t="s">
        <v>30</v>
      </c>
      <c r="AJ12" s="135" t="s">
        <v>30</v>
      </c>
      <c r="AK12" s="135" t="s">
        <v>30</v>
      </c>
      <c r="AL12" s="135" t="s">
        <v>30</v>
      </c>
      <c r="AM12" s="135" t="s">
        <v>30</v>
      </c>
      <c r="AN12" s="135" t="s">
        <v>30</v>
      </c>
      <c r="AO12" s="135" t="s">
        <v>30</v>
      </c>
      <c r="AP12" s="135" t="s">
        <v>30</v>
      </c>
    </row>
    <row r="13">
      <c r="A13" s="134" t="s">
        <v>170</v>
      </c>
      <c r="B13" s="135" t="s">
        <v>30</v>
      </c>
      <c r="C13" s="135" t="s">
        <v>30</v>
      </c>
      <c r="D13" s="135" t="s">
        <v>30</v>
      </c>
      <c r="E13" s="135" t="s">
        <v>30</v>
      </c>
      <c r="F13" s="135" t="s">
        <v>30</v>
      </c>
      <c r="G13" s="135" t="s">
        <v>30</v>
      </c>
      <c r="H13" s="135" t="s">
        <v>30</v>
      </c>
      <c r="I13" s="135" t="s">
        <v>30</v>
      </c>
      <c r="J13" s="135" t="s">
        <v>30</v>
      </c>
      <c r="K13" s="135" t="s">
        <v>30</v>
      </c>
      <c r="L13" s="135" t="s">
        <v>30</v>
      </c>
      <c r="M13" s="135" t="s">
        <v>30</v>
      </c>
      <c r="N13" s="135" t="s">
        <v>30</v>
      </c>
      <c r="O13" s="135" t="s">
        <v>30</v>
      </c>
      <c r="P13" s="135" t="s">
        <v>30</v>
      </c>
      <c r="Q13" s="135" t="s">
        <v>30</v>
      </c>
      <c r="R13" s="135" t="s">
        <v>30</v>
      </c>
      <c r="S13" s="135" t="s">
        <v>30</v>
      </c>
      <c r="T13" s="135" t="s">
        <v>30</v>
      </c>
      <c r="U13" s="135" t="s">
        <v>30</v>
      </c>
      <c r="V13" s="135" t="s">
        <v>30</v>
      </c>
      <c r="W13" s="135" t="s">
        <v>30</v>
      </c>
      <c r="X13" s="135" t="s">
        <v>30</v>
      </c>
      <c r="Y13" s="135" t="s">
        <v>30</v>
      </c>
      <c r="Z13" s="135" t="s">
        <v>30</v>
      </c>
      <c r="AA13" s="135" t="s">
        <v>30</v>
      </c>
      <c r="AB13" s="135" t="s">
        <v>30</v>
      </c>
      <c r="AC13" s="135" t="s">
        <v>30</v>
      </c>
      <c r="AD13" s="135" t="s">
        <v>30</v>
      </c>
      <c r="AE13" s="135" t="s">
        <v>30</v>
      </c>
      <c r="AF13" s="135" t="s">
        <v>30</v>
      </c>
      <c r="AG13" s="135" t="s">
        <v>30</v>
      </c>
      <c r="AH13" s="135" t="s">
        <v>30</v>
      </c>
      <c r="AI13" s="135" t="s">
        <v>30</v>
      </c>
      <c r="AJ13" s="135" t="s">
        <v>30</v>
      </c>
      <c r="AK13" s="135" t="s">
        <v>30</v>
      </c>
      <c r="AL13" s="135" t="s">
        <v>30</v>
      </c>
      <c r="AM13" s="135" t="s">
        <v>30</v>
      </c>
      <c r="AN13" s="135" t="s">
        <v>30</v>
      </c>
      <c r="AO13" s="135" t="s">
        <v>30</v>
      </c>
      <c r="AP13" s="135" t="s">
        <v>30</v>
      </c>
    </row>
    <row r="14">
      <c r="A14" s="134" t="s">
        <v>171</v>
      </c>
      <c r="B14" s="135" t="s">
        <v>30</v>
      </c>
      <c r="C14" s="135" t="s">
        <v>30</v>
      </c>
      <c r="D14" s="135" t="s">
        <v>30</v>
      </c>
      <c r="E14" s="135" t="s">
        <v>30</v>
      </c>
      <c r="F14" s="135" t="s">
        <v>30</v>
      </c>
      <c r="G14" s="135" t="s">
        <v>30</v>
      </c>
      <c r="H14" s="135" t="s">
        <v>30</v>
      </c>
      <c r="I14" s="135" t="s">
        <v>30</v>
      </c>
      <c r="J14" s="135" t="s">
        <v>30</v>
      </c>
      <c r="K14" s="135" t="s">
        <v>30</v>
      </c>
      <c r="L14" s="135" t="s">
        <v>30</v>
      </c>
      <c r="M14" s="135" t="s">
        <v>30</v>
      </c>
      <c r="N14" s="135" t="s">
        <v>30</v>
      </c>
      <c r="O14" s="135" t="s">
        <v>30</v>
      </c>
      <c r="P14" s="135" t="s">
        <v>30</v>
      </c>
      <c r="Q14" s="135" t="s">
        <v>30</v>
      </c>
      <c r="R14" s="135" t="s">
        <v>30</v>
      </c>
      <c r="S14" s="135" t="s">
        <v>30</v>
      </c>
      <c r="T14" s="135" t="s">
        <v>30</v>
      </c>
      <c r="U14" s="135" t="s">
        <v>30</v>
      </c>
      <c r="V14" s="135" t="s">
        <v>30</v>
      </c>
      <c r="W14" s="135" t="s">
        <v>30</v>
      </c>
      <c r="X14" s="135" t="s">
        <v>30</v>
      </c>
      <c r="Y14" s="135" t="s">
        <v>30</v>
      </c>
      <c r="Z14" s="135" t="s">
        <v>30</v>
      </c>
      <c r="AA14" s="135" t="s">
        <v>30</v>
      </c>
      <c r="AB14" s="135" t="s">
        <v>30</v>
      </c>
      <c r="AC14" s="135" t="s">
        <v>30</v>
      </c>
      <c r="AD14" s="135" t="s">
        <v>30</v>
      </c>
      <c r="AE14" s="135" t="s">
        <v>30</v>
      </c>
      <c r="AF14" s="135" t="s">
        <v>30</v>
      </c>
      <c r="AG14" s="135" t="s">
        <v>30</v>
      </c>
      <c r="AH14" s="135" t="s">
        <v>30</v>
      </c>
      <c r="AI14" s="135" t="s">
        <v>30</v>
      </c>
      <c r="AJ14" s="135" t="s">
        <v>30</v>
      </c>
      <c r="AK14" s="135" t="s">
        <v>30</v>
      </c>
      <c r="AL14" s="135" t="s">
        <v>30</v>
      </c>
      <c r="AM14" s="135" t="s">
        <v>30</v>
      </c>
      <c r="AN14" s="135" t="s">
        <v>30</v>
      </c>
      <c r="AO14" s="135" t="s">
        <v>30</v>
      </c>
      <c r="AP14" s="135" t="s">
        <v>30</v>
      </c>
    </row>
    <row r="15">
      <c r="A15" s="134" t="s">
        <v>172</v>
      </c>
      <c r="B15" s="135" t="s">
        <v>30</v>
      </c>
      <c r="C15" s="135" t="s">
        <v>30</v>
      </c>
      <c r="D15" s="135" t="s">
        <v>30</v>
      </c>
      <c r="E15" s="135" t="s">
        <v>30</v>
      </c>
      <c r="F15" s="135" t="s">
        <v>30</v>
      </c>
      <c r="G15" s="135" t="s">
        <v>30</v>
      </c>
      <c r="H15" s="135" t="s">
        <v>30</v>
      </c>
      <c r="I15" s="135" t="s">
        <v>30</v>
      </c>
      <c r="J15" s="135" t="s">
        <v>30</v>
      </c>
      <c r="K15" s="135" t="s">
        <v>30</v>
      </c>
      <c r="L15" s="135" t="s">
        <v>30</v>
      </c>
      <c r="M15" s="135" t="s">
        <v>30</v>
      </c>
      <c r="N15" s="135" t="s">
        <v>30</v>
      </c>
      <c r="O15" s="135" t="s">
        <v>30</v>
      </c>
      <c r="P15" s="135" t="s">
        <v>30</v>
      </c>
      <c r="Q15" s="135" t="s">
        <v>30</v>
      </c>
      <c r="R15" s="135" t="s">
        <v>30</v>
      </c>
      <c r="S15" s="135" t="s">
        <v>30</v>
      </c>
      <c r="T15" s="135" t="s">
        <v>30</v>
      </c>
      <c r="U15" s="135" t="s">
        <v>30</v>
      </c>
      <c r="V15" s="135" t="s">
        <v>30</v>
      </c>
      <c r="W15" s="135" t="s">
        <v>30</v>
      </c>
      <c r="X15" s="135" t="s">
        <v>30</v>
      </c>
      <c r="Y15" s="135" t="s">
        <v>30</v>
      </c>
      <c r="Z15" s="135" t="s">
        <v>30</v>
      </c>
      <c r="AA15" s="135" t="s">
        <v>30</v>
      </c>
      <c r="AB15" s="135" t="s">
        <v>30</v>
      </c>
      <c r="AC15" s="135" t="s">
        <v>30</v>
      </c>
      <c r="AD15" s="135" t="s">
        <v>30</v>
      </c>
      <c r="AE15" s="135" t="s">
        <v>30</v>
      </c>
      <c r="AF15" s="135" t="s">
        <v>30</v>
      </c>
      <c r="AG15" s="135" t="s">
        <v>30</v>
      </c>
      <c r="AH15" s="135" t="s">
        <v>30</v>
      </c>
      <c r="AI15" s="135" t="s">
        <v>30</v>
      </c>
      <c r="AJ15" s="135" t="s">
        <v>30</v>
      </c>
      <c r="AK15" s="135" t="s">
        <v>30</v>
      </c>
      <c r="AL15" s="135" t="s">
        <v>30</v>
      </c>
      <c r="AM15" s="135" t="s">
        <v>30</v>
      </c>
      <c r="AN15" s="135" t="s">
        <v>30</v>
      </c>
      <c r="AO15" s="135" t="s">
        <v>30</v>
      </c>
      <c r="AP15" s="135" t="s">
        <v>30</v>
      </c>
    </row>
    <row r="16">
      <c r="A16" s="134" t="s">
        <v>173</v>
      </c>
      <c r="B16" s="135" t="s">
        <v>30</v>
      </c>
      <c r="C16" s="135" t="s">
        <v>30</v>
      </c>
      <c r="D16" s="135" t="s">
        <v>30</v>
      </c>
      <c r="E16" s="135" t="s">
        <v>30</v>
      </c>
      <c r="F16" s="135" t="s">
        <v>30</v>
      </c>
      <c r="G16" s="135" t="s">
        <v>30</v>
      </c>
      <c r="H16" s="135" t="s">
        <v>30</v>
      </c>
      <c r="I16" s="135" t="s">
        <v>30</v>
      </c>
      <c r="J16" s="135" t="s">
        <v>30</v>
      </c>
      <c r="K16" s="135" t="s">
        <v>30</v>
      </c>
      <c r="L16" s="135" t="s">
        <v>30</v>
      </c>
      <c r="M16" s="135" t="s">
        <v>30</v>
      </c>
      <c r="N16" s="135" t="s">
        <v>30</v>
      </c>
      <c r="O16" s="135" t="s">
        <v>30</v>
      </c>
      <c r="P16" s="135" t="s">
        <v>30</v>
      </c>
      <c r="Q16" s="135" t="s">
        <v>30</v>
      </c>
      <c r="R16" s="135" t="s">
        <v>30</v>
      </c>
      <c r="S16" s="135" t="s">
        <v>30</v>
      </c>
      <c r="T16" s="135" t="s">
        <v>30</v>
      </c>
      <c r="U16" s="135" t="s">
        <v>30</v>
      </c>
      <c r="V16" s="135" t="s">
        <v>30</v>
      </c>
      <c r="W16" s="135" t="s">
        <v>30</v>
      </c>
      <c r="X16" s="135" t="s">
        <v>30</v>
      </c>
      <c r="Y16" s="135" t="s">
        <v>30</v>
      </c>
      <c r="Z16" s="135" t="s">
        <v>30</v>
      </c>
      <c r="AA16" s="135" t="s">
        <v>30</v>
      </c>
      <c r="AB16" s="135" t="s">
        <v>30</v>
      </c>
      <c r="AC16" s="135" t="s">
        <v>30</v>
      </c>
      <c r="AD16" s="135" t="s">
        <v>30</v>
      </c>
      <c r="AE16" s="135" t="s">
        <v>30</v>
      </c>
      <c r="AF16" s="135" t="s">
        <v>30</v>
      </c>
      <c r="AG16" s="135" t="s">
        <v>30</v>
      </c>
      <c r="AH16" s="135" t="s">
        <v>30</v>
      </c>
      <c r="AI16" s="135" t="s">
        <v>30</v>
      </c>
      <c r="AJ16" s="135" t="s">
        <v>30</v>
      </c>
      <c r="AK16" s="135" t="s">
        <v>30</v>
      </c>
      <c r="AL16" s="135" t="s">
        <v>30</v>
      </c>
      <c r="AM16" s="135" t="s">
        <v>30</v>
      </c>
      <c r="AN16" s="135" t="s">
        <v>30</v>
      </c>
      <c r="AO16" s="135" t="s">
        <v>30</v>
      </c>
      <c r="AP16" s="135" t="s">
        <v>30</v>
      </c>
    </row>
    <row r="17">
      <c r="A17" s="134" t="s">
        <v>174</v>
      </c>
      <c r="B17" s="136">
        <v>128.0</v>
      </c>
      <c r="C17" s="136">
        <v>196.0</v>
      </c>
      <c r="D17" s="136">
        <v>191.0</v>
      </c>
      <c r="E17" s="136">
        <v>590.0</v>
      </c>
      <c r="F17" s="136">
        <v>48.0</v>
      </c>
      <c r="G17" s="136">
        <v>275.0</v>
      </c>
      <c r="H17" s="137">
        <v>1063.0</v>
      </c>
      <c r="I17" s="136">
        <v>426.0</v>
      </c>
      <c r="J17" s="136">
        <v>150.0</v>
      </c>
      <c r="K17" s="136">
        <v>749.0</v>
      </c>
      <c r="L17" s="136">
        <v>56.0</v>
      </c>
      <c r="M17" s="136">
        <v>39.0</v>
      </c>
      <c r="N17" s="136">
        <v>72.0</v>
      </c>
      <c r="O17" s="136">
        <v>56.0</v>
      </c>
      <c r="P17" s="136">
        <v>35.0</v>
      </c>
      <c r="Q17" s="136">
        <v>352.0</v>
      </c>
      <c r="R17" s="136">
        <v>259.0</v>
      </c>
      <c r="S17" s="136">
        <v>17.0</v>
      </c>
      <c r="T17" s="136">
        <v>170.0</v>
      </c>
      <c r="U17" s="136">
        <v>93.0</v>
      </c>
      <c r="V17" s="136">
        <v>5.0</v>
      </c>
      <c r="W17" s="136">
        <v>214.0</v>
      </c>
      <c r="X17" s="136">
        <v>239.0</v>
      </c>
      <c r="Y17" s="136">
        <v>580.0</v>
      </c>
      <c r="Z17" s="136">
        <v>144.0</v>
      </c>
      <c r="AA17" s="137">
        <v>1299.0</v>
      </c>
      <c r="AB17" s="136">
        <v>127.0</v>
      </c>
      <c r="AC17" s="137">
        <v>3549.0</v>
      </c>
      <c r="AD17" s="136">
        <v>43.0</v>
      </c>
      <c r="AE17" s="136">
        <v>114.0</v>
      </c>
      <c r="AF17" s="136">
        <v>200.0</v>
      </c>
      <c r="AG17" s="136">
        <v>169.0</v>
      </c>
      <c r="AH17" s="136">
        <v>142.0</v>
      </c>
      <c r="AI17" s="136">
        <v>114.0</v>
      </c>
      <c r="AJ17" s="136">
        <v>767.0</v>
      </c>
      <c r="AK17" s="136">
        <v>38.0</v>
      </c>
      <c r="AL17" s="136">
        <v>293.0</v>
      </c>
      <c r="AM17" s="136">
        <v>95.0</v>
      </c>
      <c r="AN17" s="136">
        <v>507.0</v>
      </c>
      <c r="AO17" s="136">
        <v>772.0</v>
      </c>
      <c r="AP17" s="138">
        <v>14376.0</v>
      </c>
    </row>
    <row r="18">
      <c r="A18" s="134" t="s">
        <v>175</v>
      </c>
      <c r="B18" s="136">
        <v>109.0</v>
      </c>
      <c r="C18" s="136">
        <v>231.0</v>
      </c>
      <c r="D18" s="136">
        <v>139.0</v>
      </c>
      <c r="E18" s="136">
        <v>653.0</v>
      </c>
      <c r="F18" s="136">
        <v>63.0</v>
      </c>
      <c r="G18" s="136">
        <v>323.0</v>
      </c>
      <c r="H18" s="137">
        <v>1155.0</v>
      </c>
      <c r="I18" s="136">
        <v>343.0</v>
      </c>
      <c r="J18" s="136">
        <v>151.0</v>
      </c>
      <c r="K18" s="136">
        <v>745.0</v>
      </c>
      <c r="L18" s="136">
        <v>40.0</v>
      </c>
      <c r="M18" s="136">
        <v>25.0</v>
      </c>
      <c r="N18" s="136">
        <v>76.0</v>
      </c>
      <c r="O18" s="136">
        <v>55.0</v>
      </c>
      <c r="P18" s="136">
        <v>49.0</v>
      </c>
      <c r="Q18" s="136">
        <v>431.0</v>
      </c>
      <c r="R18" s="136">
        <v>302.0</v>
      </c>
      <c r="S18" s="136">
        <v>22.0</v>
      </c>
      <c r="T18" s="136">
        <v>162.0</v>
      </c>
      <c r="U18" s="136">
        <v>78.0</v>
      </c>
      <c r="V18" s="136">
        <v>7.0</v>
      </c>
      <c r="W18" s="136">
        <v>225.0</v>
      </c>
      <c r="X18" s="136">
        <v>229.0</v>
      </c>
      <c r="Y18" s="136">
        <v>572.0</v>
      </c>
      <c r="Z18" s="136">
        <v>104.0</v>
      </c>
      <c r="AA18" s="137">
        <v>1499.0</v>
      </c>
      <c r="AB18" s="136">
        <v>123.0</v>
      </c>
      <c r="AC18" s="137">
        <v>3837.0</v>
      </c>
      <c r="AD18" s="136">
        <v>51.0</v>
      </c>
      <c r="AE18" s="136">
        <v>116.0</v>
      </c>
      <c r="AF18" s="136">
        <v>189.0</v>
      </c>
      <c r="AG18" s="136">
        <v>238.0</v>
      </c>
      <c r="AH18" s="136">
        <v>173.0</v>
      </c>
      <c r="AI18" s="136">
        <v>152.0</v>
      </c>
      <c r="AJ18" s="136">
        <v>913.0</v>
      </c>
      <c r="AK18" s="136">
        <v>53.0</v>
      </c>
      <c r="AL18" s="136">
        <v>331.0</v>
      </c>
      <c r="AM18" s="136">
        <v>188.0</v>
      </c>
      <c r="AN18" s="136">
        <v>497.0</v>
      </c>
      <c r="AO18" s="136">
        <v>885.0</v>
      </c>
      <c r="AP18" s="138">
        <v>15534.0</v>
      </c>
    </row>
    <row r="19">
      <c r="A19" s="134" t="s">
        <v>176</v>
      </c>
      <c r="B19" s="136">
        <v>121.0</v>
      </c>
      <c r="C19" s="136">
        <v>212.0</v>
      </c>
      <c r="D19" s="136">
        <v>249.0</v>
      </c>
      <c r="E19" s="136">
        <v>608.0</v>
      </c>
      <c r="F19" s="136">
        <v>106.0</v>
      </c>
      <c r="G19" s="136">
        <v>473.0</v>
      </c>
      <c r="H19" s="137">
        <v>1153.0</v>
      </c>
      <c r="I19" s="136">
        <v>379.0</v>
      </c>
      <c r="J19" s="136">
        <v>208.0</v>
      </c>
      <c r="K19" s="136">
        <v>788.0</v>
      </c>
      <c r="L19" s="136">
        <v>49.0</v>
      </c>
      <c r="M19" s="136">
        <v>48.0</v>
      </c>
      <c r="N19" s="136">
        <v>103.0</v>
      </c>
      <c r="O19" s="136">
        <v>131.0</v>
      </c>
      <c r="P19" s="136">
        <v>45.0</v>
      </c>
      <c r="Q19" s="136">
        <v>434.0</v>
      </c>
      <c r="R19" s="136">
        <v>305.0</v>
      </c>
      <c r="S19" s="136">
        <v>28.0</v>
      </c>
      <c r="T19" s="136">
        <v>295.0</v>
      </c>
      <c r="U19" s="136">
        <v>131.0</v>
      </c>
      <c r="V19" s="136" t="s">
        <v>47</v>
      </c>
      <c r="W19" s="136">
        <v>281.0</v>
      </c>
      <c r="X19" s="136">
        <v>311.0</v>
      </c>
      <c r="Y19" s="136">
        <v>637.0</v>
      </c>
      <c r="Z19" s="136">
        <v>293.0</v>
      </c>
      <c r="AA19" s="137">
        <v>1424.0</v>
      </c>
      <c r="AB19" s="136">
        <v>154.0</v>
      </c>
      <c r="AC19" s="137">
        <v>3982.0</v>
      </c>
      <c r="AD19" s="136">
        <v>65.0</v>
      </c>
      <c r="AE19" s="136">
        <v>137.0</v>
      </c>
      <c r="AF19" s="136">
        <v>222.0</v>
      </c>
      <c r="AG19" s="136">
        <v>276.0</v>
      </c>
      <c r="AH19" s="136">
        <v>137.0</v>
      </c>
      <c r="AI19" s="136">
        <v>169.0</v>
      </c>
      <c r="AJ19" s="136">
        <v>990.0</v>
      </c>
      <c r="AK19" s="136">
        <v>55.0</v>
      </c>
      <c r="AL19" s="136">
        <v>341.0</v>
      </c>
      <c r="AM19" s="136">
        <v>378.0</v>
      </c>
      <c r="AN19" s="136">
        <v>530.0</v>
      </c>
      <c r="AO19" s="136">
        <v>776.0</v>
      </c>
      <c r="AP19" s="138">
        <v>17028.0</v>
      </c>
    </row>
    <row r="20">
      <c r="A20" s="134" t="s">
        <v>177</v>
      </c>
      <c r="B20" s="136">
        <v>134.0</v>
      </c>
      <c r="C20" s="136">
        <v>281.0</v>
      </c>
      <c r="D20" s="136">
        <v>227.0</v>
      </c>
      <c r="E20" s="136">
        <v>526.0</v>
      </c>
      <c r="F20" s="136">
        <v>74.0</v>
      </c>
      <c r="G20" s="136">
        <v>406.0</v>
      </c>
      <c r="H20" s="137">
        <v>1281.0</v>
      </c>
      <c r="I20" s="136">
        <v>433.0</v>
      </c>
      <c r="J20" s="136">
        <v>247.0</v>
      </c>
      <c r="K20" s="136">
        <v>744.0</v>
      </c>
      <c r="L20" s="136">
        <v>53.0</v>
      </c>
      <c r="M20" s="136">
        <v>72.0</v>
      </c>
      <c r="N20" s="136">
        <v>133.0</v>
      </c>
      <c r="O20" s="136">
        <v>68.0</v>
      </c>
      <c r="P20" s="136">
        <v>80.0</v>
      </c>
      <c r="Q20" s="136">
        <v>418.0</v>
      </c>
      <c r="R20" s="136">
        <v>314.0</v>
      </c>
      <c r="S20" s="136">
        <v>34.0</v>
      </c>
      <c r="T20" s="136">
        <v>271.0</v>
      </c>
      <c r="U20" s="136">
        <v>117.0</v>
      </c>
      <c r="V20" s="136">
        <v>6.0</v>
      </c>
      <c r="W20" s="136">
        <v>383.0</v>
      </c>
      <c r="X20" s="136">
        <v>290.0</v>
      </c>
      <c r="Y20" s="136">
        <v>582.0</v>
      </c>
      <c r="Z20" s="136">
        <v>170.0</v>
      </c>
      <c r="AA20" s="137">
        <v>1568.0</v>
      </c>
      <c r="AB20" s="136">
        <v>150.0</v>
      </c>
      <c r="AC20" s="137">
        <v>4064.0</v>
      </c>
      <c r="AD20" s="136">
        <v>57.0</v>
      </c>
      <c r="AE20" s="136">
        <v>125.0</v>
      </c>
      <c r="AF20" s="136">
        <v>220.0</v>
      </c>
      <c r="AG20" s="136">
        <v>282.0</v>
      </c>
      <c r="AH20" s="136">
        <v>171.0</v>
      </c>
      <c r="AI20" s="136">
        <v>176.0</v>
      </c>
      <c r="AJ20" s="136">
        <v>943.0</v>
      </c>
      <c r="AK20" s="136">
        <v>55.0</v>
      </c>
      <c r="AL20" s="136">
        <v>348.0</v>
      </c>
      <c r="AM20" s="136">
        <v>145.0</v>
      </c>
      <c r="AN20" s="136">
        <v>603.0</v>
      </c>
      <c r="AO20" s="136">
        <v>400.0</v>
      </c>
      <c r="AP20" s="138">
        <v>16651.0</v>
      </c>
    </row>
    <row r="21">
      <c r="A21" s="134" t="s">
        <v>178</v>
      </c>
      <c r="B21" s="136">
        <v>95.0</v>
      </c>
      <c r="C21" s="136">
        <v>311.0</v>
      </c>
      <c r="D21" s="136">
        <v>197.0</v>
      </c>
      <c r="E21" s="136">
        <v>352.0</v>
      </c>
      <c r="F21" s="136">
        <v>94.0</v>
      </c>
      <c r="G21" s="136">
        <v>455.0</v>
      </c>
      <c r="H21" s="137">
        <v>1030.0</v>
      </c>
      <c r="I21" s="136">
        <v>320.0</v>
      </c>
      <c r="J21" s="136">
        <v>157.0</v>
      </c>
      <c r="K21" s="136">
        <v>657.0</v>
      </c>
      <c r="L21" s="136">
        <v>65.0</v>
      </c>
      <c r="M21" s="136">
        <v>56.0</v>
      </c>
      <c r="N21" s="136">
        <v>84.0</v>
      </c>
      <c r="O21" s="136">
        <v>103.0</v>
      </c>
      <c r="P21" s="136">
        <v>47.0</v>
      </c>
      <c r="Q21" s="136">
        <v>364.0</v>
      </c>
      <c r="R21" s="136">
        <v>215.0</v>
      </c>
      <c r="S21" s="136">
        <v>26.0</v>
      </c>
      <c r="T21" s="136">
        <v>200.0</v>
      </c>
      <c r="U21" s="136">
        <v>127.0</v>
      </c>
      <c r="V21" s="136">
        <v>30.0</v>
      </c>
      <c r="W21" s="136">
        <v>218.0</v>
      </c>
      <c r="X21" s="136">
        <v>318.0</v>
      </c>
      <c r="Y21" s="136">
        <v>443.0</v>
      </c>
      <c r="Z21" s="136">
        <v>160.0</v>
      </c>
      <c r="AA21" s="137">
        <v>1075.0</v>
      </c>
      <c r="AB21" s="136">
        <v>145.0</v>
      </c>
      <c r="AC21" s="137">
        <v>3113.0</v>
      </c>
      <c r="AD21" s="136">
        <v>71.0</v>
      </c>
      <c r="AE21" s="136">
        <v>132.0</v>
      </c>
      <c r="AF21" s="136">
        <v>205.0</v>
      </c>
      <c r="AG21" s="136">
        <v>268.0</v>
      </c>
      <c r="AH21" s="136">
        <v>153.0</v>
      </c>
      <c r="AI21" s="136">
        <v>192.0</v>
      </c>
      <c r="AJ21" s="137">
        <v>1003.0</v>
      </c>
      <c r="AK21" s="136">
        <v>65.0</v>
      </c>
      <c r="AL21" s="136">
        <v>351.0</v>
      </c>
      <c r="AM21" s="136">
        <v>237.0</v>
      </c>
      <c r="AN21" s="136">
        <v>555.0</v>
      </c>
      <c r="AO21" s="136">
        <v>165.0</v>
      </c>
      <c r="AP21" s="138">
        <v>13854.0</v>
      </c>
    </row>
    <row r="22">
      <c r="A22" s="134" t="s">
        <v>179</v>
      </c>
      <c r="B22" s="136">
        <v>135.0</v>
      </c>
      <c r="C22" s="136">
        <v>236.0</v>
      </c>
      <c r="D22" s="136">
        <v>221.0</v>
      </c>
      <c r="E22" s="136">
        <v>339.0</v>
      </c>
      <c r="F22" s="136">
        <v>95.0</v>
      </c>
      <c r="G22" s="136">
        <v>540.0</v>
      </c>
      <c r="H22" s="137">
        <v>1125.0</v>
      </c>
      <c r="I22" s="136">
        <v>370.0</v>
      </c>
      <c r="J22" s="136">
        <v>229.0</v>
      </c>
      <c r="K22" s="136">
        <v>865.0</v>
      </c>
      <c r="L22" s="136">
        <v>97.0</v>
      </c>
      <c r="M22" s="136">
        <v>59.0</v>
      </c>
      <c r="N22" s="136">
        <v>101.0</v>
      </c>
      <c r="O22" s="136">
        <v>78.0</v>
      </c>
      <c r="P22" s="136">
        <v>71.0</v>
      </c>
      <c r="Q22" s="136">
        <v>427.0</v>
      </c>
      <c r="R22" s="136">
        <v>326.0</v>
      </c>
      <c r="S22" s="136">
        <v>32.0</v>
      </c>
      <c r="T22" s="136">
        <v>305.0</v>
      </c>
      <c r="U22" s="136">
        <v>137.0</v>
      </c>
      <c r="V22" s="136">
        <v>11.0</v>
      </c>
      <c r="W22" s="136">
        <v>359.0</v>
      </c>
      <c r="X22" s="136">
        <v>364.0</v>
      </c>
      <c r="Y22" s="136">
        <v>557.0</v>
      </c>
      <c r="Z22" s="136">
        <v>165.0</v>
      </c>
      <c r="AA22" s="137">
        <v>1242.0</v>
      </c>
      <c r="AB22" s="136">
        <v>188.0</v>
      </c>
      <c r="AC22" s="137">
        <v>3553.0</v>
      </c>
      <c r="AD22" s="136">
        <v>85.0</v>
      </c>
      <c r="AE22" s="136">
        <v>138.0</v>
      </c>
      <c r="AF22" s="136">
        <v>260.0</v>
      </c>
      <c r="AG22" s="136">
        <v>334.0</v>
      </c>
      <c r="AH22" s="136">
        <v>165.0</v>
      </c>
      <c r="AI22" s="136">
        <v>147.0</v>
      </c>
      <c r="AJ22" s="137">
        <v>1129.0</v>
      </c>
      <c r="AK22" s="136">
        <v>52.0</v>
      </c>
      <c r="AL22" s="136">
        <v>442.0</v>
      </c>
      <c r="AM22" s="136">
        <v>168.0</v>
      </c>
      <c r="AN22" s="136">
        <v>587.0</v>
      </c>
      <c r="AO22" s="136">
        <v>147.0</v>
      </c>
      <c r="AP22" s="138">
        <v>15881.0</v>
      </c>
    </row>
    <row r="23">
      <c r="A23" s="134" t="s">
        <v>180</v>
      </c>
      <c r="B23" s="136">
        <v>159.0</v>
      </c>
      <c r="C23" s="136">
        <v>290.0</v>
      </c>
      <c r="D23" s="136">
        <v>139.0</v>
      </c>
      <c r="E23" s="136">
        <v>280.0</v>
      </c>
      <c r="F23" s="136">
        <v>75.0</v>
      </c>
      <c r="G23" s="136">
        <v>363.0</v>
      </c>
      <c r="H23" s="136">
        <v>987.0</v>
      </c>
      <c r="I23" s="136">
        <v>449.0</v>
      </c>
      <c r="J23" s="136">
        <v>250.0</v>
      </c>
      <c r="K23" s="136">
        <v>638.0</v>
      </c>
      <c r="L23" s="136">
        <v>55.0</v>
      </c>
      <c r="M23" s="136">
        <v>53.0</v>
      </c>
      <c r="N23" s="136">
        <v>82.0</v>
      </c>
      <c r="O23" s="136">
        <v>44.0</v>
      </c>
      <c r="P23" s="136">
        <v>82.0</v>
      </c>
      <c r="Q23" s="136">
        <v>407.0</v>
      </c>
      <c r="R23" s="136">
        <v>336.0</v>
      </c>
      <c r="S23" s="136">
        <v>35.0</v>
      </c>
      <c r="T23" s="136">
        <v>253.0</v>
      </c>
      <c r="U23" s="136">
        <v>115.0</v>
      </c>
      <c r="V23" s="136">
        <v>6.0</v>
      </c>
      <c r="W23" s="136">
        <v>426.0</v>
      </c>
      <c r="X23" s="136">
        <v>259.0</v>
      </c>
      <c r="Y23" s="136">
        <v>491.0</v>
      </c>
      <c r="Z23" s="136">
        <v>140.0</v>
      </c>
      <c r="AA23" s="137">
        <v>1117.0</v>
      </c>
      <c r="AB23" s="136">
        <v>187.0</v>
      </c>
      <c r="AC23" s="137">
        <v>3354.0</v>
      </c>
      <c r="AD23" s="136">
        <v>35.0</v>
      </c>
      <c r="AE23" s="136">
        <v>111.0</v>
      </c>
      <c r="AF23" s="136">
        <v>237.0</v>
      </c>
      <c r="AG23" s="136">
        <v>264.0</v>
      </c>
      <c r="AH23" s="136">
        <v>169.0</v>
      </c>
      <c r="AI23" s="136">
        <v>146.0</v>
      </c>
      <c r="AJ23" s="136">
        <v>936.0</v>
      </c>
      <c r="AK23" s="136">
        <v>47.0</v>
      </c>
      <c r="AL23" s="136">
        <v>295.0</v>
      </c>
      <c r="AM23" s="136">
        <v>115.0</v>
      </c>
      <c r="AN23" s="136">
        <v>512.0</v>
      </c>
      <c r="AO23" s="136">
        <v>238.0</v>
      </c>
      <c r="AP23" s="138">
        <v>14177.0</v>
      </c>
    </row>
    <row r="24">
      <c r="A24" s="134" t="s">
        <v>181</v>
      </c>
      <c r="B24" s="136">
        <v>180.0</v>
      </c>
      <c r="C24" s="136">
        <v>231.0</v>
      </c>
      <c r="D24" s="136">
        <v>149.0</v>
      </c>
      <c r="E24" s="136">
        <v>302.0</v>
      </c>
      <c r="F24" s="136">
        <v>93.0</v>
      </c>
      <c r="G24" s="136">
        <v>363.0</v>
      </c>
      <c r="H24" s="136">
        <v>925.0</v>
      </c>
      <c r="I24" s="136">
        <v>320.0</v>
      </c>
      <c r="J24" s="136">
        <v>281.0</v>
      </c>
      <c r="K24" s="136">
        <v>574.0</v>
      </c>
      <c r="L24" s="136">
        <v>61.0</v>
      </c>
      <c r="M24" s="136">
        <v>54.0</v>
      </c>
      <c r="N24" s="136">
        <v>84.0</v>
      </c>
      <c r="O24" s="136">
        <v>77.0</v>
      </c>
      <c r="P24" s="136">
        <v>71.0</v>
      </c>
      <c r="Q24" s="136">
        <v>398.0</v>
      </c>
      <c r="R24" s="136">
        <v>207.0</v>
      </c>
      <c r="S24" s="136">
        <v>27.0</v>
      </c>
      <c r="T24" s="136">
        <v>306.0</v>
      </c>
      <c r="U24" s="136">
        <v>158.0</v>
      </c>
      <c r="V24" s="136">
        <v>8.0</v>
      </c>
      <c r="W24" s="136">
        <v>439.0</v>
      </c>
      <c r="X24" s="136">
        <v>417.0</v>
      </c>
      <c r="Y24" s="136">
        <v>452.0</v>
      </c>
      <c r="Z24" s="136">
        <v>141.0</v>
      </c>
      <c r="AA24" s="136">
        <v>813.0</v>
      </c>
      <c r="AB24" s="136">
        <v>219.0</v>
      </c>
      <c r="AC24" s="137">
        <v>3240.0</v>
      </c>
      <c r="AD24" s="136">
        <v>62.0</v>
      </c>
      <c r="AE24" s="136">
        <v>132.0</v>
      </c>
      <c r="AF24" s="136">
        <v>204.0</v>
      </c>
      <c r="AG24" s="136">
        <v>410.0</v>
      </c>
      <c r="AH24" s="136">
        <v>110.0</v>
      </c>
      <c r="AI24" s="136">
        <v>157.0</v>
      </c>
      <c r="AJ24" s="136">
        <v>857.0</v>
      </c>
      <c r="AK24" s="136">
        <v>48.0</v>
      </c>
      <c r="AL24" s="136">
        <v>373.0</v>
      </c>
      <c r="AM24" s="136">
        <v>242.0</v>
      </c>
      <c r="AN24" s="136">
        <v>442.0</v>
      </c>
      <c r="AO24" s="136">
        <v>215.0</v>
      </c>
      <c r="AP24" s="138">
        <v>13842.0</v>
      </c>
    </row>
    <row r="25">
      <c r="A25" s="134" t="s">
        <v>182</v>
      </c>
      <c r="B25" s="136">
        <v>193.0</v>
      </c>
      <c r="C25" s="136">
        <v>257.0</v>
      </c>
      <c r="D25" s="136">
        <v>171.0</v>
      </c>
      <c r="E25" s="136">
        <v>277.0</v>
      </c>
      <c r="F25" s="136">
        <v>129.0</v>
      </c>
      <c r="G25" s="136">
        <v>486.0</v>
      </c>
      <c r="H25" s="137">
        <v>1069.0</v>
      </c>
      <c r="I25" s="136">
        <v>457.0</v>
      </c>
      <c r="J25" s="136">
        <v>326.0</v>
      </c>
      <c r="K25" s="136">
        <v>736.0</v>
      </c>
      <c r="L25" s="136">
        <v>59.0</v>
      </c>
      <c r="M25" s="136">
        <v>51.0</v>
      </c>
      <c r="N25" s="136">
        <v>96.0</v>
      </c>
      <c r="O25" s="136">
        <v>82.0</v>
      </c>
      <c r="P25" s="136">
        <v>87.0</v>
      </c>
      <c r="Q25" s="136">
        <v>424.0</v>
      </c>
      <c r="R25" s="136">
        <v>307.0</v>
      </c>
      <c r="S25" s="136">
        <v>28.0</v>
      </c>
      <c r="T25" s="136">
        <v>241.0</v>
      </c>
      <c r="U25" s="136">
        <v>173.0</v>
      </c>
      <c r="V25" s="136">
        <v>19.0</v>
      </c>
      <c r="W25" s="136">
        <v>414.0</v>
      </c>
      <c r="X25" s="136">
        <v>405.0</v>
      </c>
      <c r="Y25" s="136">
        <v>534.0</v>
      </c>
      <c r="Z25" s="136">
        <v>155.0</v>
      </c>
      <c r="AA25" s="137">
        <v>1064.0</v>
      </c>
      <c r="AB25" s="136">
        <v>189.0</v>
      </c>
      <c r="AC25" s="137">
        <v>3581.0</v>
      </c>
      <c r="AD25" s="136">
        <v>55.0</v>
      </c>
      <c r="AE25" s="136">
        <v>187.0</v>
      </c>
      <c r="AF25" s="136">
        <v>295.0</v>
      </c>
      <c r="AG25" s="136">
        <v>481.0</v>
      </c>
      <c r="AH25" s="136">
        <v>149.0</v>
      </c>
      <c r="AI25" s="136">
        <v>137.0</v>
      </c>
      <c r="AJ25" s="137">
        <v>1119.0</v>
      </c>
      <c r="AK25" s="136">
        <v>94.0</v>
      </c>
      <c r="AL25" s="136">
        <v>372.0</v>
      </c>
      <c r="AM25" s="136">
        <v>319.0</v>
      </c>
      <c r="AN25" s="136">
        <v>617.0</v>
      </c>
      <c r="AO25" s="136">
        <v>188.0</v>
      </c>
      <c r="AP25" s="138">
        <v>16023.0</v>
      </c>
    </row>
    <row r="26">
      <c r="A26" s="134" t="s">
        <v>183</v>
      </c>
      <c r="B26" s="136">
        <v>207.0</v>
      </c>
      <c r="C26" s="136">
        <v>322.0</v>
      </c>
      <c r="D26" s="136">
        <v>163.0</v>
      </c>
      <c r="E26" s="136">
        <v>252.0</v>
      </c>
      <c r="F26" s="136">
        <v>107.0</v>
      </c>
      <c r="G26" s="136">
        <v>430.0</v>
      </c>
      <c r="H26" s="136">
        <v>880.0</v>
      </c>
      <c r="I26" s="136">
        <v>307.0</v>
      </c>
      <c r="J26" s="136">
        <v>380.0</v>
      </c>
      <c r="K26" s="136">
        <v>633.0</v>
      </c>
      <c r="L26" s="136">
        <v>59.0</v>
      </c>
      <c r="M26" s="136">
        <v>44.0</v>
      </c>
      <c r="N26" s="136">
        <v>84.0</v>
      </c>
      <c r="O26" s="136">
        <v>80.0</v>
      </c>
      <c r="P26" s="136">
        <v>86.0</v>
      </c>
      <c r="Q26" s="136">
        <v>303.0</v>
      </c>
      <c r="R26" s="136">
        <v>202.0</v>
      </c>
      <c r="S26" s="136">
        <v>22.0</v>
      </c>
      <c r="T26" s="136">
        <v>260.0</v>
      </c>
      <c r="U26" s="136">
        <v>190.0</v>
      </c>
      <c r="V26" s="136">
        <v>21.0</v>
      </c>
      <c r="W26" s="136">
        <v>462.0</v>
      </c>
      <c r="X26" s="136">
        <v>369.0</v>
      </c>
      <c r="Y26" s="136">
        <v>384.0</v>
      </c>
      <c r="Z26" s="136">
        <v>180.0</v>
      </c>
      <c r="AA26" s="136">
        <v>858.0</v>
      </c>
      <c r="AB26" s="136">
        <v>158.0</v>
      </c>
      <c r="AC26" s="137">
        <v>2972.0</v>
      </c>
      <c r="AD26" s="136">
        <v>49.0</v>
      </c>
      <c r="AE26" s="136">
        <v>149.0</v>
      </c>
      <c r="AF26" s="136">
        <v>208.0</v>
      </c>
      <c r="AG26" s="136">
        <v>367.0</v>
      </c>
      <c r="AH26" s="136">
        <v>85.0</v>
      </c>
      <c r="AI26" s="136">
        <v>143.0</v>
      </c>
      <c r="AJ26" s="136">
        <v>967.0</v>
      </c>
      <c r="AK26" s="136">
        <v>63.0</v>
      </c>
      <c r="AL26" s="136">
        <v>395.0</v>
      </c>
      <c r="AM26" s="136">
        <v>286.0</v>
      </c>
      <c r="AN26" s="136">
        <v>512.0</v>
      </c>
      <c r="AO26" s="136">
        <v>197.0</v>
      </c>
      <c r="AP26" s="138">
        <v>13836.0</v>
      </c>
    </row>
    <row r="27">
      <c r="A27" s="134" t="s">
        <v>184</v>
      </c>
      <c r="B27" s="136">
        <v>263.0</v>
      </c>
      <c r="C27" s="136">
        <v>411.0</v>
      </c>
      <c r="D27" s="136">
        <v>184.0</v>
      </c>
      <c r="E27" s="136">
        <v>327.0</v>
      </c>
      <c r="F27" s="136">
        <v>156.0</v>
      </c>
      <c r="G27" s="136">
        <v>597.0</v>
      </c>
      <c r="H27" s="137">
        <v>1271.0</v>
      </c>
      <c r="I27" s="136">
        <v>483.0</v>
      </c>
      <c r="J27" s="136">
        <v>432.0</v>
      </c>
      <c r="K27" s="136">
        <v>913.0</v>
      </c>
      <c r="L27" s="136">
        <v>78.0</v>
      </c>
      <c r="M27" s="136">
        <v>77.0</v>
      </c>
      <c r="N27" s="136">
        <v>108.0</v>
      </c>
      <c r="O27" s="136">
        <v>105.0</v>
      </c>
      <c r="P27" s="136">
        <v>119.0</v>
      </c>
      <c r="Q27" s="136">
        <v>430.0</v>
      </c>
      <c r="R27" s="136">
        <v>309.0</v>
      </c>
      <c r="S27" s="136">
        <v>43.0</v>
      </c>
      <c r="T27" s="136">
        <v>374.0</v>
      </c>
      <c r="U27" s="136">
        <v>236.0</v>
      </c>
      <c r="V27" s="136">
        <v>31.0</v>
      </c>
      <c r="W27" s="136">
        <v>642.0</v>
      </c>
      <c r="X27" s="136">
        <v>483.0</v>
      </c>
      <c r="Y27" s="136">
        <v>576.0</v>
      </c>
      <c r="Z27" s="136">
        <v>146.0</v>
      </c>
      <c r="AA27" s="137">
        <v>1166.0</v>
      </c>
      <c r="AB27" s="136">
        <v>271.0</v>
      </c>
      <c r="AC27" s="137">
        <v>3987.0</v>
      </c>
      <c r="AD27" s="136">
        <v>59.0</v>
      </c>
      <c r="AE27" s="136">
        <v>190.0</v>
      </c>
      <c r="AF27" s="136">
        <v>343.0</v>
      </c>
      <c r="AG27" s="136">
        <v>597.0</v>
      </c>
      <c r="AH27" s="136">
        <v>135.0</v>
      </c>
      <c r="AI27" s="136">
        <v>174.0</v>
      </c>
      <c r="AJ27" s="137">
        <v>1203.0</v>
      </c>
      <c r="AK27" s="136">
        <v>102.0</v>
      </c>
      <c r="AL27" s="136">
        <v>494.0</v>
      </c>
      <c r="AM27" s="136">
        <v>274.0</v>
      </c>
      <c r="AN27" s="136">
        <v>581.0</v>
      </c>
      <c r="AO27" s="136">
        <v>443.0</v>
      </c>
      <c r="AP27" s="138">
        <v>18813.0</v>
      </c>
    </row>
    <row r="28">
      <c r="A28" s="134" t="s">
        <v>185</v>
      </c>
      <c r="B28" s="136">
        <v>278.0</v>
      </c>
      <c r="C28" s="136">
        <v>353.0</v>
      </c>
      <c r="D28" s="136">
        <v>173.0</v>
      </c>
      <c r="E28" s="136">
        <v>348.0</v>
      </c>
      <c r="F28" s="136">
        <v>171.0</v>
      </c>
      <c r="G28" s="136">
        <v>567.0</v>
      </c>
      <c r="H28" s="137">
        <v>1125.0</v>
      </c>
      <c r="I28" s="136">
        <v>478.0</v>
      </c>
      <c r="J28" s="136">
        <v>406.0</v>
      </c>
      <c r="K28" s="136">
        <v>743.0</v>
      </c>
      <c r="L28" s="136">
        <v>78.0</v>
      </c>
      <c r="M28" s="136">
        <v>75.0</v>
      </c>
      <c r="N28" s="136">
        <v>98.0</v>
      </c>
      <c r="O28" s="136">
        <v>94.0</v>
      </c>
      <c r="P28" s="136">
        <v>108.0</v>
      </c>
      <c r="Q28" s="136">
        <v>395.0</v>
      </c>
      <c r="R28" s="136">
        <v>292.0</v>
      </c>
      <c r="S28" s="136">
        <v>50.0</v>
      </c>
      <c r="T28" s="136">
        <v>343.0</v>
      </c>
      <c r="U28" s="136">
        <v>186.0</v>
      </c>
      <c r="V28" s="136">
        <v>40.0</v>
      </c>
      <c r="W28" s="136">
        <v>437.0</v>
      </c>
      <c r="X28" s="136">
        <v>463.0</v>
      </c>
      <c r="Y28" s="136">
        <v>528.0</v>
      </c>
      <c r="Z28" s="136">
        <v>131.0</v>
      </c>
      <c r="AA28" s="137">
        <v>1300.0</v>
      </c>
      <c r="AB28" s="136">
        <v>217.0</v>
      </c>
      <c r="AC28" s="137">
        <v>3546.0</v>
      </c>
      <c r="AD28" s="136">
        <v>73.0</v>
      </c>
      <c r="AE28" s="136">
        <v>175.0</v>
      </c>
      <c r="AF28" s="136">
        <v>311.0</v>
      </c>
      <c r="AG28" s="136">
        <v>526.0</v>
      </c>
      <c r="AH28" s="136">
        <v>154.0</v>
      </c>
      <c r="AI28" s="136">
        <v>178.0</v>
      </c>
      <c r="AJ28" s="137">
        <v>1161.0</v>
      </c>
      <c r="AK28" s="136">
        <v>79.0</v>
      </c>
      <c r="AL28" s="136">
        <v>466.0</v>
      </c>
      <c r="AM28" s="136">
        <v>306.0</v>
      </c>
      <c r="AN28" s="136">
        <v>551.0</v>
      </c>
      <c r="AO28" s="136">
        <v>571.0</v>
      </c>
      <c r="AP28" s="138">
        <v>17574.0</v>
      </c>
    </row>
    <row r="29">
      <c r="A29" s="139" t="s">
        <v>186</v>
      </c>
      <c r="B29" s="136">
        <v>276.0</v>
      </c>
      <c r="C29" s="136">
        <v>460.0</v>
      </c>
      <c r="D29" s="136">
        <v>197.0</v>
      </c>
      <c r="E29" s="136">
        <v>456.0</v>
      </c>
      <c r="F29" s="136">
        <v>151.0</v>
      </c>
      <c r="G29" s="136">
        <v>845.0</v>
      </c>
      <c r="H29" s="137">
        <v>1495.0</v>
      </c>
      <c r="I29" s="136">
        <v>498.0</v>
      </c>
      <c r="J29" s="136">
        <v>556.0</v>
      </c>
      <c r="K29" s="137">
        <v>1052.0</v>
      </c>
      <c r="L29" s="136">
        <v>106.0</v>
      </c>
      <c r="M29" s="136">
        <v>88.0</v>
      </c>
      <c r="N29" s="136">
        <v>129.0</v>
      </c>
      <c r="O29" s="136">
        <v>120.0</v>
      </c>
      <c r="P29" s="136">
        <v>113.0</v>
      </c>
      <c r="Q29" s="136">
        <v>525.0</v>
      </c>
      <c r="R29" s="136">
        <v>332.0</v>
      </c>
      <c r="S29" s="136">
        <v>53.0</v>
      </c>
      <c r="T29" s="136">
        <v>402.0</v>
      </c>
      <c r="U29" s="136">
        <v>268.0</v>
      </c>
      <c r="V29" s="136">
        <v>49.0</v>
      </c>
      <c r="W29" s="136">
        <v>636.0</v>
      </c>
      <c r="X29" s="136">
        <v>589.0</v>
      </c>
      <c r="Y29" s="136">
        <v>647.0</v>
      </c>
      <c r="Z29" s="136">
        <v>157.0</v>
      </c>
      <c r="AA29" s="137">
        <v>1623.0</v>
      </c>
      <c r="AB29" s="136">
        <v>207.0</v>
      </c>
      <c r="AC29" s="137">
        <v>4528.0</v>
      </c>
      <c r="AD29" s="136">
        <v>68.0</v>
      </c>
      <c r="AE29" s="136">
        <v>219.0</v>
      </c>
      <c r="AF29" s="136">
        <v>354.0</v>
      </c>
      <c r="AG29" s="136">
        <v>669.0</v>
      </c>
      <c r="AH29" s="136">
        <v>175.0</v>
      </c>
      <c r="AI29" s="136">
        <v>235.0</v>
      </c>
      <c r="AJ29" s="137">
        <v>1498.0</v>
      </c>
      <c r="AK29" s="136">
        <v>129.0</v>
      </c>
      <c r="AL29" s="136">
        <v>600.0</v>
      </c>
      <c r="AM29" s="136">
        <v>395.0</v>
      </c>
      <c r="AN29" s="136">
        <v>741.0</v>
      </c>
      <c r="AO29" s="137">
        <v>1129.0</v>
      </c>
      <c r="AP29" s="138">
        <v>22770.0</v>
      </c>
    </row>
    <row r="30">
      <c r="A30" s="140" t="s">
        <v>187</v>
      </c>
      <c r="B30" s="138">
        <v>337.0</v>
      </c>
      <c r="C30" s="138">
        <v>429.0</v>
      </c>
      <c r="D30" s="138">
        <v>200.0</v>
      </c>
      <c r="E30" s="138">
        <v>540.0</v>
      </c>
      <c r="F30" s="138">
        <v>145.0</v>
      </c>
      <c r="G30" s="138">
        <v>869.0</v>
      </c>
      <c r="H30" s="138">
        <v>1436.0</v>
      </c>
      <c r="I30" s="138">
        <v>597.0</v>
      </c>
      <c r="J30" s="138">
        <v>319.0</v>
      </c>
      <c r="K30" s="138">
        <v>1127.0</v>
      </c>
      <c r="L30" s="138">
        <v>84.0</v>
      </c>
      <c r="M30" s="135">
        <v>68.0</v>
      </c>
      <c r="N30" s="138">
        <v>88.0</v>
      </c>
      <c r="O30" s="138">
        <v>120.0</v>
      </c>
      <c r="P30" s="138">
        <v>95.0</v>
      </c>
      <c r="Q30" s="138">
        <v>429.0</v>
      </c>
      <c r="R30" s="138">
        <v>317.0</v>
      </c>
      <c r="S30" s="135">
        <v>42.0</v>
      </c>
      <c r="T30" s="138">
        <v>326.0</v>
      </c>
      <c r="U30" s="138">
        <v>216.0</v>
      </c>
      <c r="V30" s="135">
        <v>39.0</v>
      </c>
      <c r="W30" s="138">
        <v>534.0</v>
      </c>
      <c r="X30" s="138">
        <v>451.0</v>
      </c>
      <c r="Y30" s="138">
        <v>632.0</v>
      </c>
      <c r="Z30" s="138">
        <v>161.0</v>
      </c>
      <c r="AA30" s="138">
        <v>1841.0</v>
      </c>
      <c r="AB30" s="138">
        <v>244.0</v>
      </c>
      <c r="AC30" s="138">
        <v>4623.0</v>
      </c>
      <c r="AD30" s="135">
        <v>94.0</v>
      </c>
      <c r="AE30" s="138">
        <v>222.0</v>
      </c>
      <c r="AF30" s="138">
        <v>325.0</v>
      </c>
      <c r="AG30" s="138">
        <v>536.0</v>
      </c>
      <c r="AH30" s="138">
        <v>185.0</v>
      </c>
      <c r="AI30" s="138">
        <v>229.0</v>
      </c>
      <c r="AJ30" s="138">
        <v>1717.0</v>
      </c>
      <c r="AK30" s="138">
        <v>127.0</v>
      </c>
      <c r="AL30" s="138">
        <v>614.0</v>
      </c>
      <c r="AM30" s="138">
        <v>351.0</v>
      </c>
      <c r="AN30" s="138">
        <v>885.0</v>
      </c>
      <c r="AO30" s="141">
        <v>1803.0</v>
      </c>
      <c r="AP30" s="138">
        <v>23397.0</v>
      </c>
    </row>
    <row r="31">
      <c r="A31" s="109" t="s">
        <v>188</v>
      </c>
      <c r="B31" s="138">
        <v>378.0</v>
      </c>
      <c r="C31" s="138">
        <v>1069.0</v>
      </c>
      <c r="D31" s="138">
        <v>225.0</v>
      </c>
      <c r="E31" s="138">
        <v>547.0</v>
      </c>
      <c r="F31" s="138">
        <v>158.0</v>
      </c>
      <c r="G31" s="138">
        <v>755.0</v>
      </c>
      <c r="H31" s="138">
        <v>1553.0</v>
      </c>
      <c r="I31" s="138">
        <v>626.0</v>
      </c>
      <c r="J31" s="138">
        <v>319.0</v>
      </c>
      <c r="K31" s="138">
        <v>1102.0</v>
      </c>
      <c r="L31" s="138">
        <v>82.0</v>
      </c>
      <c r="M31" s="135">
        <v>83.0</v>
      </c>
      <c r="N31" s="138">
        <v>112.0</v>
      </c>
      <c r="O31" s="138">
        <v>98.0</v>
      </c>
      <c r="P31" s="138">
        <v>96.0</v>
      </c>
      <c r="Q31" s="138">
        <v>508.0</v>
      </c>
      <c r="R31" s="138">
        <v>391.0</v>
      </c>
      <c r="S31" s="135">
        <v>53.0</v>
      </c>
      <c r="T31" s="138">
        <v>516.0</v>
      </c>
      <c r="U31" s="138">
        <v>217.0</v>
      </c>
      <c r="V31" s="135">
        <v>32.0</v>
      </c>
      <c r="W31" s="138">
        <v>651.0</v>
      </c>
      <c r="X31" s="138">
        <v>471.0</v>
      </c>
      <c r="Y31" s="138">
        <v>640.0</v>
      </c>
      <c r="Z31" s="138">
        <v>171.0</v>
      </c>
      <c r="AA31" s="138">
        <v>1659.0</v>
      </c>
      <c r="AB31" s="138">
        <v>260.0</v>
      </c>
      <c r="AC31" s="138">
        <v>5091.0</v>
      </c>
      <c r="AD31" s="135">
        <v>74.0</v>
      </c>
      <c r="AE31" s="138">
        <v>208.0</v>
      </c>
      <c r="AF31" s="138">
        <v>324.0</v>
      </c>
      <c r="AG31" s="138">
        <v>549.0</v>
      </c>
      <c r="AH31" s="138">
        <v>249.0</v>
      </c>
      <c r="AI31" s="138">
        <v>224.0</v>
      </c>
      <c r="AJ31" s="138">
        <v>1446.0</v>
      </c>
      <c r="AK31" s="138">
        <v>91.0</v>
      </c>
      <c r="AL31" s="138">
        <v>525.0</v>
      </c>
      <c r="AM31" s="138">
        <v>391.0</v>
      </c>
      <c r="AN31" s="138">
        <v>773.0</v>
      </c>
      <c r="AO31" s="141">
        <v>2503.0</v>
      </c>
      <c r="AP31" s="138">
        <v>25220.0</v>
      </c>
    </row>
    <row r="32">
      <c r="A32" s="109" t="s">
        <v>189</v>
      </c>
      <c r="B32" s="138">
        <v>401.0</v>
      </c>
      <c r="C32" s="138">
        <v>712.0</v>
      </c>
      <c r="D32" s="138">
        <v>302.0</v>
      </c>
      <c r="E32" s="138">
        <v>540.0</v>
      </c>
      <c r="F32" s="138">
        <v>147.0</v>
      </c>
      <c r="G32" s="138">
        <v>555.0</v>
      </c>
      <c r="H32" s="138">
        <v>1437.0</v>
      </c>
      <c r="I32" s="138">
        <v>743.0</v>
      </c>
      <c r="J32" s="138">
        <v>351.0</v>
      </c>
      <c r="K32" s="138">
        <v>1016.0</v>
      </c>
      <c r="L32" s="138">
        <v>79.0</v>
      </c>
      <c r="M32" s="135">
        <v>70.0</v>
      </c>
      <c r="N32" s="138">
        <v>116.0</v>
      </c>
      <c r="O32" s="138">
        <v>127.0</v>
      </c>
      <c r="P32" s="138">
        <v>122.0</v>
      </c>
      <c r="Q32" s="138">
        <v>489.0</v>
      </c>
      <c r="R32" s="138">
        <v>407.0</v>
      </c>
      <c r="S32" s="135">
        <v>58.0</v>
      </c>
      <c r="T32" s="138">
        <v>369.0</v>
      </c>
      <c r="U32" s="138">
        <v>251.0</v>
      </c>
      <c r="V32" s="135">
        <v>56.0</v>
      </c>
      <c r="W32" s="138">
        <v>547.0</v>
      </c>
      <c r="X32" s="138">
        <v>471.0</v>
      </c>
      <c r="Y32" s="138">
        <v>702.0</v>
      </c>
      <c r="Z32" s="138">
        <v>176.0</v>
      </c>
      <c r="AA32" s="138">
        <v>1679.0</v>
      </c>
      <c r="AB32" s="138">
        <v>300.0</v>
      </c>
      <c r="AC32" s="138">
        <v>4717.0</v>
      </c>
      <c r="AD32" s="135">
        <v>77.0</v>
      </c>
      <c r="AE32" s="138">
        <v>179.0</v>
      </c>
      <c r="AF32" s="138">
        <v>414.0</v>
      </c>
      <c r="AG32" s="138">
        <v>525.0</v>
      </c>
      <c r="AH32" s="138">
        <v>191.0</v>
      </c>
      <c r="AI32" s="138">
        <v>218.0</v>
      </c>
      <c r="AJ32" s="138">
        <v>1402.0</v>
      </c>
      <c r="AK32" s="138">
        <v>84.0</v>
      </c>
      <c r="AL32" s="138">
        <v>536.0</v>
      </c>
      <c r="AM32" s="138">
        <v>354.0</v>
      </c>
      <c r="AN32" s="138">
        <v>921.0</v>
      </c>
      <c r="AO32" s="141">
        <v>2256.0</v>
      </c>
      <c r="AP32" s="138">
        <v>24097.0</v>
      </c>
    </row>
    <row r="33">
      <c r="A33" s="109" t="s">
        <v>190</v>
      </c>
      <c r="B33" s="138">
        <v>441.0</v>
      </c>
      <c r="C33" s="138">
        <v>3650.0</v>
      </c>
      <c r="D33" s="138">
        <v>364.0</v>
      </c>
      <c r="E33" s="138">
        <v>440.0</v>
      </c>
      <c r="F33" s="138">
        <v>144.0</v>
      </c>
      <c r="G33" s="138">
        <v>569.0</v>
      </c>
      <c r="H33" s="138">
        <v>1396.0</v>
      </c>
      <c r="I33" s="138">
        <v>837.0</v>
      </c>
      <c r="J33" s="138">
        <v>404.0</v>
      </c>
      <c r="K33" s="138">
        <v>1008.0</v>
      </c>
      <c r="L33" s="138">
        <v>100.0</v>
      </c>
      <c r="M33" s="135">
        <v>85.0</v>
      </c>
      <c r="N33" s="138">
        <v>174.0</v>
      </c>
      <c r="O33" s="138">
        <v>122.0</v>
      </c>
      <c r="P33" s="138">
        <v>119.0</v>
      </c>
      <c r="Q33" s="138">
        <v>463.0</v>
      </c>
      <c r="R33" s="138">
        <v>439.0</v>
      </c>
      <c r="S33" s="135">
        <v>79.0</v>
      </c>
      <c r="T33" s="138">
        <v>392.0</v>
      </c>
      <c r="U33" s="138">
        <v>316.0</v>
      </c>
      <c r="V33" s="135">
        <v>47.0</v>
      </c>
      <c r="W33" s="138">
        <v>535.0</v>
      </c>
      <c r="X33" s="138">
        <v>719.0</v>
      </c>
      <c r="Y33" s="138">
        <v>599.0</v>
      </c>
      <c r="Z33" s="138">
        <v>217.0</v>
      </c>
      <c r="AA33" s="138">
        <v>1608.0</v>
      </c>
      <c r="AB33" s="138">
        <v>284.0</v>
      </c>
      <c r="AC33" s="138">
        <v>5422.0</v>
      </c>
      <c r="AD33" s="135">
        <v>71.0</v>
      </c>
      <c r="AE33" s="138">
        <v>208.0</v>
      </c>
      <c r="AF33" s="138">
        <v>2094.0</v>
      </c>
      <c r="AG33" s="138">
        <v>519.0</v>
      </c>
      <c r="AH33" s="138">
        <v>257.0</v>
      </c>
      <c r="AI33" s="138">
        <v>234.0</v>
      </c>
      <c r="AJ33" s="138">
        <v>1484.0</v>
      </c>
      <c r="AK33" s="138">
        <v>87.0</v>
      </c>
      <c r="AL33" s="138">
        <v>510.0</v>
      </c>
      <c r="AM33" s="138">
        <v>396.0</v>
      </c>
      <c r="AN33" s="138">
        <v>790.0</v>
      </c>
      <c r="AO33" s="141">
        <v>2212.0</v>
      </c>
      <c r="AP33" s="138">
        <v>29835.0</v>
      </c>
    </row>
    <row r="34">
      <c r="A34" s="109" t="s">
        <v>191</v>
      </c>
      <c r="B34" s="138">
        <v>458.0</v>
      </c>
      <c r="C34" s="138">
        <v>6356.0</v>
      </c>
      <c r="D34" s="138">
        <v>260.0</v>
      </c>
      <c r="E34" s="138">
        <v>460.0</v>
      </c>
      <c r="F34" s="138">
        <v>182.0</v>
      </c>
      <c r="G34" s="138">
        <v>696.0</v>
      </c>
      <c r="H34" s="138">
        <v>1559.0</v>
      </c>
      <c r="I34" s="138">
        <v>792.0</v>
      </c>
      <c r="J34" s="138">
        <v>466.0</v>
      </c>
      <c r="K34" s="138">
        <v>1012.0</v>
      </c>
      <c r="L34" s="138">
        <v>85.0</v>
      </c>
      <c r="M34" s="135">
        <v>110.0</v>
      </c>
      <c r="N34" s="138">
        <v>142.0</v>
      </c>
      <c r="O34" s="138">
        <v>130.0</v>
      </c>
      <c r="P34" s="138">
        <v>138.0</v>
      </c>
      <c r="Q34" s="138">
        <v>521.0</v>
      </c>
      <c r="R34" s="138">
        <v>476.0</v>
      </c>
      <c r="S34" s="135">
        <v>59.0</v>
      </c>
      <c r="T34" s="138">
        <v>292.0</v>
      </c>
      <c r="U34" s="138">
        <v>285.0</v>
      </c>
      <c r="V34" s="135">
        <v>44.0</v>
      </c>
      <c r="W34" s="138">
        <v>795.0</v>
      </c>
      <c r="X34" s="138">
        <v>616.0</v>
      </c>
      <c r="Y34" s="138">
        <v>630.0</v>
      </c>
      <c r="Z34" s="138">
        <v>326.0</v>
      </c>
      <c r="AA34" s="138">
        <v>1502.0</v>
      </c>
      <c r="AB34" s="138">
        <v>259.0</v>
      </c>
      <c r="AC34" s="138">
        <v>7182.0</v>
      </c>
      <c r="AD34" s="135">
        <v>66.0</v>
      </c>
      <c r="AE34" s="138">
        <v>243.0</v>
      </c>
      <c r="AF34" s="138">
        <v>4274.0</v>
      </c>
      <c r="AG34" s="138">
        <v>652.0</v>
      </c>
      <c r="AH34" s="138">
        <v>227.0</v>
      </c>
      <c r="AI34" s="138">
        <v>196.0</v>
      </c>
      <c r="AJ34" s="138">
        <v>1543.0</v>
      </c>
      <c r="AK34" s="138">
        <v>107.0</v>
      </c>
      <c r="AL34" s="138">
        <v>542.0</v>
      </c>
      <c r="AM34" s="138">
        <v>374.0</v>
      </c>
      <c r="AN34" s="138">
        <v>860.0</v>
      </c>
      <c r="AO34" s="141">
        <v>2053.0</v>
      </c>
      <c r="AP34" s="138">
        <v>36970.0</v>
      </c>
    </row>
    <row r="35">
      <c r="A35" s="109" t="s">
        <v>192</v>
      </c>
      <c r="B35" s="138">
        <v>576.0</v>
      </c>
      <c r="C35" s="138">
        <v>6994.0</v>
      </c>
      <c r="D35" s="138">
        <v>395.0</v>
      </c>
      <c r="E35" s="138">
        <v>400.0</v>
      </c>
      <c r="F35" s="138">
        <v>167.0</v>
      </c>
      <c r="G35" s="138">
        <v>674.0</v>
      </c>
      <c r="H35" s="138">
        <v>1733.0</v>
      </c>
      <c r="I35" s="138">
        <v>944.0</v>
      </c>
      <c r="J35" s="138">
        <v>530.0</v>
      </c>
      <c r="K35" s="138">
        <v>1133.0</v>
      </c>
      <c r="L35" s="138">
        <v>105.0</v>
      </c>
      <c r="M35" s="135">
        <v>124.0</v>
      </c>
      <c r="N35" s="138">
        <v>167.0</v>
      </c>
      <c r="O35" s="138">
        <v>136.0</v>
      </c>
      <c r="P35" s="138">
        <v>163.0</v>
      </c>
      <c r="Q35" s="138">
        <v>604.0</v>
      </c>
      <c r="R35" s="138">
        <v>556.0</v>
      </c>
      <c r="S35" s="135">
        <v>72.0</v>
      </c>
      <c r="T35" s="138">
        <v>406.0</v>
      </c>
      <c r="U35" s="138">
        <v>302.0</v>
      </c>
      <c r="V35" s="135">
        <v>28.0</v>
      </c>
      <c r="W35" s="138">
        <v>1127.0</v>
      </c>
      <c r="X35" s="138">
        <v>712.0</v>
      </c>
      <c r="Y35" s="138">
        <v>725.0</v>
      </c>
      <c r="Z35" s="138">
        <v>405.0</v>
      </c>
      <c r="AA35" s="138">
        <v>1809.0</v>
      </c>
      <c r="AB35" s="138">
        <v>358.0</v>
      </c>
      <c r="AC35" s="138">
        <v>12377.0</v>
      </c>
      <c r="AD35" s="135">
        <v>77.0</v>
      </c>
      <c r="AE35" s="138">
        <v>281.0</v>
      </c>
      <c r="AF35" s="138">
        <v>3400.0</v>
      </c>
      <c r="AG35" s="138">
        <v>638.0</v>
      </c>
      <c r="AH35" s="138">
        <v>270.0</v>
      </c>
      <c r="AI35" s="138">
        <v>259.0</v>
      </c>
      <c r="AJ35" s="138">
        <v>1534.0</v>
      </c>
      <c r="AK35" s="138">
        <v>134.0</v>
      </c>
      <c r="AL35" s="138">
        <v>486.0</v>
      </c>
      <c r="AM35" s="138">
        <v>361.0</v>
      </c>
      <c r="AN35" s="138">
        <v>1077.0</v>
      </c>
      <c r="AO35" s="141">
        <v>792.0</v>
      </c>
      <c r="AP35" s="138">
        <v>43031.0</v>
      </c>
    </row>
    <row r="36">
      <c r="A36" s="109" t="s">
        <v>193</v>
      </c>
      <c r="B36" s="138">
        <v>505.0</v>
      </c>
      <c r="C36" s="138">
        <v>7500.0</v>
      </c>
      <c r="D36" s="138">
        <v>255.0</v>
      </c>
      <c r="E36" s="138">
        <v>361.0</v>
      </c>
      <c r="F36" s="138">
        <v>141.0</v>
      </c>
      <c r="G36" s="138">
        <v>617.0</v>
      </c>
      <c r="H36" s="138">
        <v>1474.0</v>
      </c>
      <c r="I36" s="138">
        <v>736.0</v>
      </c>
      <c r="J36" s="138">
        <v>405.0</v>
      </c>
      <c r="K36" s="138">
        <v>1081.0</v>
      </c>
      <c r="L36" s="138">
        <v>78.0</v>
      </c>
      <c r="M36" s="135">
        <v>94.0</v>
      </c>
      <c r="N36" s="138">
        <v>170.0</v>
      </c>
      <c r="O36" s="138">
        <v>118.0</v>
      </c>
      <c r="P36" s="138">
        <v>125.0</v>
      </c>
      <c r="Q36" s="138">
        <v>466.0</v>
      </c>
      <c r="R36" s="138">
        <v>462.0</v>
      </c>
      <c r="S36" s="135">
        <v>48.0</v>
      </c>
      <c r="T36" s="138">
        <v>495.0</v>
      </c>
      <c r="U36" s="138">
        <v>263.0</v>
      </c>
      <c r="V36" s="135">
        <v>61.0</v>
      </c>
      <c r="W36" s="138">
        <v>1682.0</v>
      </c>
      <c r="X36" s="138">
        <v>574.0</v>
      </c>
      <c r="Y36" s="138">
        <v>591.0</v>
      </c>
      <c r="Z36" s="138">
        <v>258.0</v>
      </c>
      <c r="AA36" s="138">
        <v>1654.0</v>
      </c>
      <c r="AB36" s="138">
        <v>276.0</v>
      </c>
      <c r="AC36" s="138">
        <v>10197.0</v>
      </c>
      <c r="AD36" s="135">
        <v>69.0</v>
      </c>
      <c r="AE36" s="138">
        <v>229.0</v>
      </c>
      <c r="AF36" s="138">
        <v>3656.0</v>
      </c>
      <c r="AG36" s="138">
        <v>527.0</v>
      </c>
      <c r="AH36" s="138">
        <v>264.0</v>
      </c>
      <c r="AI36" s="138">
        <v>215.0</v>
      </c>
      <c r="AJ36" s="138">
        <v>1387.0</v>
      </c>
      <c r="AK36" s="138">
        <v>102.0</v>
      </c>
      <c r="AL36" s="138">
        <v>445.0</v>
      </c>
      <c r="AM36" s="138">
        <v>324.0</v>
      </c>
      <c r="AN36" s="138">
        <v>609.0</v>
      </c>
      <c r="AO36" s="141">
        <v>1184.0</v>
      </c>
      <c r="AP36" s="138">
        <v>39698.0</v>
      </c>
    </row>
    <row r="37">
      <c r="A37" s="109" t="s">
        <v>194</v>
      </c>
      <c r="B37" s="138">
        <v>552.0</v>
      </c>
      <c r="C37" s="138">
        <v>8165.0</v>
      </c>
      <c r="D37" s="138">
        <v>294.0</v>
      </c>
      <c r="E37" s="138">
        <v>430.0</v>
      </c>
      <c r="F37" s="138">
        <v>146.0</v>
      </c>
      <c r="G37" s="138">
        <v>712.0</v>
      </c>
      <c r="H37" s="138">
        <v>1743.0</v>
      </c>
      <c r="I37" s="138">
        <v>785.0</v>
      </c>
      <c r="J37" s="138">
        <v>472.0</v>
      </c>
      <c r="K37" s="138">
        <v>1134.0</v>
      </c>
      <c r="L37" s="138">
        <v>111.0</v>
      </c>
      <c r="M37" s="135">
        <v>128.0</v>
      </c>
      <c r="N37" s="138">
        <v>180.0</v>
      </c>
      <c r="O37" s="138">
        <v>146.0</v>
      </c>
      <c r="P37" s="138">
        <v>159.0</v>
      </c>
      <c r="Q37" s="138">
        <v>657.0</v>
      </c>
      <c r="R37" s="138">
        <v>575.0</v>
      </c>
      <c r="S37" s="135">
        <v>51.0</v>
      </c>
      <c r="T37" s="138">
        <v>295.0</v>
      </c>
      <c r="U37" s="138">
        <v>307.0</v>
      </c>
      <c r="V37" s="135">
        <v>37.0</v>
      </c>
      <c r="W37" s="138">
        <v>770.0</v>
      </c>
      <c r="X37" s="138">
        <v>700.0</v>
      </c>
      <c r="Y37" s="138">
        <v>704.0</v>
      </c>
      <c r="Z37" s="138">
        <v>310.0</v>
      </c>
      <c r="AA37" s="138">
        <v>1725.0</v>
      </c>
      <c r="AB37" s="138">
        <v>338.0</v>
      </c>
      <c r="AC37" s="138">
        <v>12321.0</v>
      </c>
      <c r="AD37" s="135">
        <v>70.0</v>
      </c>
      <c r="AE37" s="138">
        <v>280.0</v>
      </c>
      <c r="AF37" s="138">
        <v>3723.0</v>
      </c>
      <c r="AG37" s="138">
        <v>584.0</v>
      </c>
      <c r="AH37" s="138">
        <v>271.0</v>
      </c>
      <c r="AI37" s="138">
        <v>252.0</v>
      </c>
      <c r="AJ37" s="138">
        <v>1571.0</v>
      </c>
      <c r="AK37" s="138">
        <v>139.0</v>
      </c>
      <c r="AL37" s="138">
        <v>572.0</v>
      </c>
      <c r="AM37" s="138">
        <v>375.0</v>
      </c>
      <c r="AN37" s="138">
        <v>795.0</v>
      </c>
      <c r="AO37" s="141">
        <v>1456.0</v>
      </c>
      <c r="AP37" s="138">
        <v>44035.0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5" t="s">
        <v>203</v>
      </c>
      <c r="B1" s="92"/>
      <c r="C1" s="92"/>
      <c r="D1" s="92"/>
      <c r="E1" s="92"/>
      <c r="F1" s="92"/>
      <c r="G1" s="92"/>
      <c r="H1" s="92"/>
      <c r="I1" s="92"/>
      <c r="J1" s="92"/>
      <c r="K1" s="92"/>
      <c r="L1" s="92"/>
      <c r="M1" s="92"/>
      <c r="N1" s="93"/>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row>
    <row r="2">
      <c r="A2" s="94" t="s">
        <v>204</v>
      </c>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row>
    <row r="3">
      <c r="A3" s="142" t="s">
        <v>205</v>
      </c>
      <c r="L3" s="94"/>
      <c r="M3" s="94"/>
      <c r="N3" s="94"/>
      <c r="O3" s="94"/>
      <c r="P3" s="94"/>
      <c r="Q3" s="91"/>
      <c r="R3" s="91"/>
      <c r="S3" s="91"/>
      <c r="T3" s="91"/>
      <c r="U3" s="91"/>
      <c r="V3" s="91"/>
      <c r="W3" s="91"/>
      <c r="X3" s="91"/>
      <c r="Y3" s="91"/>
      <c r="Z3" s="91"/>
      <c r="AA3" s="91"/>
      <c r="AB3" s="91"/>
      <c r="AC3" s="91"/>
      <c r="AD3" s="91"/>
      <c r="AE3" s="91"/>
      <c r="AF3" s="91"/>
      <c r="AG3" s="91"/>
      <c r="AH3" s="91"/>
      <c r="AI3" s="91"/>
      <c r="AJ3" s="91"/>
      <c r="AK3" s="91"/>
      <c r="AL3" s="91"/>
      <c r="AM3" s="91"/>
      <c r="AN3" s="91"/>
      <c r="AO3" s="91"/>
    </row>
    <row r="4">
      <c r="A4" s="94" t="s">
        <v>0</v>
      </c>
      <c r="B4" s="97">
        <v>44097.0</v>
      </c>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row>
    <row r="5">
      <c r="A5" s="98"/>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row>
    <row r="6">
      <c r="A6" s="100" t="s">
        <v>206</v>
      </c>
      <c r="B6" s="101"/>
      <c r="C6" s="101"/>
      <c r="D6" s="101"/>
      <c r="E6" s="101"/>
      <c r="F6" s="101"/>
      <c r="G6" s="101"/>
      <c r="H6" s="101"/>
      <c r="I6" s="101"/>
      <c r="J6" s="101"/>
      <c r="K6" s="39"/>
      <c r="L6" s="103"/>
      <c r="M6" s="103"/>
      <c r="N6" s="103"/>
      <c r="O6" s="103"/>
      <c r="P6" s="103"/>
      <c r="Q6" s="91"/>
      <c r="R6" s="91"/>
      <c r="S6" s="91"/>
      <c r="T6" s="91"/>
      <c r="U6" s="91"/>
      <c r="V6" s="91"/>
      <c r="W6" s="91"/>
      <c r="X6" s="91"/>
      <c r="Y6" s="91"/>
      <c r="Z6" s="91"/>
      <c r="AA6" s="91"/>
      <c r="AB6" s="91"/>
      <c r="AC6" s="91"/>
      <c r="AD6" s="91"/>
      <c r="AE6" s="91"/>
      <c r="AF6" s="91"/>
      <c r="AG6" s="91"/>
      <c r="AH6" s="91"/>
      <c r="AI6" s="91"/>
      <c r="AJ6" s="91"/>
      <c r="AK6" s="91"/>
      <c r="AL6" s="91"/>
      <c r="AM6" s="91"/>
      <c r="AN6" s="91"/>
      <c r="AO6" s="91"/>
    </row>
    <row r="7">
      <c r="A7" s="91"/>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row>
    <row r="8">
      <c r="A8" s="132" t="s">
        <v>125</v>
      </c>
      <c r="B8" s="143" t="s">
        <v>126</v>
      </c>
      <c r="C8" s="143" t="s">
        <v>127</v>
      </c>
      <c r="D8" s="143" t="s">
        <v>128</v>
      </c>
      <c r="E8" s="143" t="s">
        <v>129</v>
      </c>
      <c r="F8" s="143" t="s">
        <v>130</v>
      </c>
      <c r="G8" s="143" t="s">
        <v>131</v>
      </c>
      <c r="H8" s="143" t="s">
        <v>132</v>
      </c>
      <c r="I8" s="143" t="s">
        <v>133</v>
      </c>
      <c r="J8" s="143" t="s">
        <v>134</v>
      </c>
      <c r="K8" s="143" t="s">
        <v>135</v>
      </c>
      <c r="L8" s="143" t="s">
        <v>136</v>
      </c>
      <c r="M8" s="143" t="s">
        <v>137</v>
      </c>
      <c r="N8" s="143" t="s">
        <v>138</v>
      </c>
      <c r="O8" s="143" t="s">
        <v>139</v>
      </c>
      <c r="P8" s="143" t="s">
        <v>140</v>
      </c>
      <c r="Q8" s="143" t="s">
        <v>141</v>
      </c>
      <c r="R8" s="143" t="s">
        <v>142</v>
      </c>
      <c r="S8" s="143" t="s">
        <v>143</v>
      </c>
      <c r="T8" s="143" t="s">
        <v>144</v>
      </c>
      <c r="U8" s="143" t="s">
        <v>145</v>
      </c>
      <c r="V8" s="143" t="s">
        <v>146</v>
      </c>
      <c r="W8" s="143" t="s">
        <v>147</v>
      </c>
      <c r="X8" s="143" t="s">
        <v>148</v>
      </c>
      <c r="Y8" s="143" t="s">
        <v>149</v>
      </c>
      <c r="Z8" s="143" t="s">
        <v>150</v>
      </c>
      <c r="AA8" s="143" t="s">
        <v>151</v>
      </c>
      <c r="AB8" s="143" t="s">
        <v>152</v>
      </c>
      <c r="AC8" s="143" t="s">
        <v>153</v>
      </c>
      <c r="AD8" s="143" t="s">
        <v>154</v>
      </c>
      <c r="AE8" s="143" t="s">
        <v>155</v>
      </c>
      <c r="AF8" s="143" t="s">
        <v>156</v>
      </c>
      <c r="AG8" s="143" t="s">
        <v>157</v>
      </c>
      <c r="AH8" s="143" t="s">
        <v>158</v>
      </c>
      <c r="AI8" s="143" t="s">
        <v>159</v>
      </c>
      <c r="AJ8" s="143" t="s">
        <v>160</v>
      </c>
      <c r="AK8" s="143" t="s">
        <v>161</v>
      </c>
      <c r="AL8" s="143" t="s">
        <v>162</v>
      </c>
      <c r="AM8" s="143" t="s">
        <v>163</v>
      </c>
      <c r="AN8" s="143" t="s">
        <v>164</v>
      </c>
      <c r="AO8" s="143" t="s">
        <v>118</v>
      </c>
    </row>
    <row r="9">
      <c r="A9" s="140" t="s">
        <v>166</v>
      </c>
      <c r="B9" s="144" t="s">
        <v>30</v>
      </c>
      <c r="C9" s="145" t="s">
        <v>30</v>
      </c>
      <c r="D9" s="145" t="s">
        <v>30</v>
      </c>
      <c r="E9" s="145" t="s">
        <v>30</v>
      </c>
      <c r="F9" s="145" t="s">
        <v>30</v>
      </c>
      <c r="G9" s="145" t="s">
        <v>30</v>
      </c>
      <c r="H9" s="145" t="s">
        <v>30</v>
      </c>
      <c r="I9" s="145" t="s">
        <v>30</v>
      </c>
      <c r="J9" s="145" t="s">
        <v>30</v>
      </c>
      <c r="K9" s="145" t="s">
        <v>30</v>
      </c>
      <c r="L9" s="145" t="s">
        <v>30</v>
      </c>
      <c r="M9" s="145" t="s">
        <v>30</v>
      </c>
      <c r="N9" s="145" t="s">
        <v>30</v>
      </c>
      <c r="O9" s="145" t="s">
        <v>30</v>
      </c>
      <c r="P9" s="145" t="s">
        <v>30</v>
      </c>
      <c r="Q9" s="145" t="s">
        <v>30</v>
      </c>
      <c r="R9" s="145" t="s">
        <v>30</v>
      </c>
      <c r="S9" s="145" t="s">
        <v>30</v>
      </c>
      <c r="T9" s="145" t="s">
        <v>30</v>
      </c>
      <c r="U9" s="145" t="s">
        <v>30</v>
      </c>
      <c r="V9" s="145" t="s">
        <v>30</v>
      </c>
      <c r="W9" s="145" t="s">
        <v>30</v>
      </c>
      <c r="X9" s="145" t="s">
        <v>30</v>
      </c>
      <c r="Y9" s="145" t="s">
        <v>30</v>
      </c>
      <c r="Z9" s="145" t="s">
        <v>30</v>
      </c>
      <c r="AA9" s="145" t="s">
        <v>30</v>
      </c>
      <c r="AB9" s="145" t="s">
        <v>30</v>
      </c>
      <c r="AC9" s="145" t="s">
        <v>30</v>
      </c>
      <c r="AD9" s="145" t="s">
        <v>30</v>
      </c>
      <c r="AE9" s="145" t="s">
        <v>30</v>
      </c>
      <c r="AF9" s="145" t="s">
        <v>30</v>
      </c>
      <c r="AG9" s="145" t="s">
        <v>30</v>
      </c>
      <c r="AH9" s="145" t="s">
        <v>30</v>
      </c>
      <c r="AI9" s="145" t="s">
        <v>30</v>
      </c>
      <c r="AJ9" s="145" t="s">
        <v>30</v>
      </c>
      <c r="AK9" s="145" t="s">
        <v>30</v>
      </c>
      <c r="AL9" s="145" t="s">
        <v>30</v>
      </c>
      <c r="AM9" s="145" t="s">
        <v>30</v>
      </c>
      <c r="AN9" s="145" t="s">
        <v>30</v>
      </c>
      <c r="AO9" s="145" t="s">
        <v>30</v>
      </c>
    </row>
    <row r="10">
      <c r="A10" s="140" t="s">
        <v>167</v>
      </c>
      <c r="B10" s="145" t="s">
        <v>30</v>
      </c>
      <c r="C10" s="145" t="s">
        <v>30</v>
      </c>
      <c r="D10" s="145" t="s">
        <v>30</v>
      </c>
      <c r="E10" s="145" t="s">
        <v>30</v>
      </c>
      <c r="F10" s="145" t="s">
        <v>30</v>
      </c>
      <c r="G10" s="145" t="s">
        <v>30</v>
      </c>
      <c r="H10" s="145" t="s">
        <v>30</v>
      </c>
      <c r="I10" s="145" t="s">
        <v>30</v>
      </c>
      <c r="J10" s="145" t="s">
        <v>30</v>
      </c>
      <c r="K10" s="145" t="s">
        <v>30</v>
      </c>
      <c r="L10" s="145" t="s">
        <v>30</v>
      </c>
      <c r="M10" s="145" t="s">
        <v>30</v>
      </c>
      <c r="N10" s="145" t="s">
        <v>30</v>
      </c>
      <c r="O10" s="145" t="s">
        <v>30</v>
      </c>
      <c r="P10" s="145" t="s">
        <v>30</v>
      </c>
      <c r="Q10" s="145" t="s">
        <v>30</v>
      </c>
      <c r="R10" s="145" t="s">
        <v>30</v>
      </c>
      <c r="S10" s="145" t="s">
        <v>30</v>
      </c>
      <c r="T10" s="145" t="s">
        <v>30</v>
      </c>
      <c r="U10" s="145" t="s">
        <v>30</v>
      </c>
      <c r="V10" s="145" t="s">
        <v>30</v>
      </c>
      <c r="W10" s="145" t="s">
        <v>30</v>
      </c>
      <c r="X10" s="145" t="s">
        <v>30</v>
      </c>
      <c r="Y10" s="145" t="s">
        <v>30</v>
      </c>
      <c r="Z10" s="145" t="s">
        <v>30</v>
      </c>
      <c r="AA10" s="145" t="s">
        <v>30</v>
      </c>
      <c r="AB10" s="145" t="s">
        <v>30</v>
      </c>
      <c r="AC10" s="145" t="s">
        <v>30</v>
      </c>
      <c r="AD10" s="145" t="s">
        <v>30</v>
      </c>
      <c r="AE10" s="145" t="s">
        <v>30</v>
      </c>
      <c r="AF10" s="145" t="s">
        <v>30</v>
      </c>
      <c r="AG10" s="145" t="s">
        <v>30</v>
      </c>
      <c r="AH10" s="145" t="s">
        <v>30</v>
      </c>
      <c r="AI10" s="145" t="s">
        <v>30</v>
      </c>
      <c r="AJ10" s="145" t="s">
        <v>30</v>
      </c>
      <c r="AK10" s="145" t="s">
        <v>30</v>
      </c>
      <c r="AL10" s="145" t="s">
        <v>30</v>
      </c>
      <c r="AM10" s="145" t="s">
        <v>30</v>
      </c>
      <c r="AN10" s="145" t="s">
        <v>30</v>
      </c>
      <c r="AO10" s="145" t="s">
        <v>30</v>
      </c>
    </row>
    <row r="11">
      <c r="A11" s="140" t="s">
        <v>168</v>
      </c>
      <c r="B11" s="145" t="s">
        <v>30</v>
      </c>
      <c r="C11" s="145" t="s">
        <v>30</v>
      </c>
      <c r="D11" s="145" t="s">
        <v>30</v>
      </c>
      <c r="E11" s="145" t="s">
        <v>30</v>
      </c>
      <c r="F11" s="145" t="s">
        <v>30</v>
      </c>
      <c r="G11" s="145" t="s">
        <v>30</v>
      </c>
      <c r="H11" s="145" t="s">
        <v>30</v>
      </c>
      <c r="I11" s="145" t="s">
        <v>30</v>
      </c>
      <c r="J11" s="145" t="s">
        <v>30</v>
      </c>
      <c r="K11" s="145" t="s">
        <v>30</v>
      </c>
      <c r="L11" s="145" t="s">
        <v>30</v>
      </c>
      <c r="M11" s="145" t="s">
        <v>30</v>
      </c>
      <c r="N11" s="145" t="s">
        <v>30</v>
      </c>
      <c r="O11" s="145" t="s">
        <v>30</v>
      </c>
      <c r="P11" s="145" t="s">
        <v>30</v>
      </c>
      <c r="Q11" s="145" t="s">
        <v>30</v>
      </c>
      <c r="R11" s="145" t="s">
        <v>30</v>
      </c>
      <c r="S11" s="145" t="s">
        <v>30</v>
      </c>
      <c r="T11" s="145" t="s">
        <v>30</v>
      </c>
      <c r="U11" s="145" t="s">
        <v>30</v>
      </c>
      <c r="V11" s="145" t="s">
        <v>30</v>
      </c>
      <c r="W11" s="145" t="s">
        <v>30</v>
      </c>
      <c r="X11" s="145" t="s">
        <v>30</v>
      </c>
      <c r="Y11" s="145" t="s">
        <v>30</v>
      </c>
      <c r="Z11" s="145" t="s">
        <v>30</v>
      </c>
      <c r="AA11" s="145" t="s">
        <v>30</v>
      </c>
      <c r="AB11" s="145" t="s">
        <v>30</v>
      </c>
      <c r="AC11" s="145" t="s">
        <v>30</v>
      </c>
      <c r="AD11" s="145" t="s">
        <v>30</v>
      </c>
      <c r="AE11" s="145" t="s">
        <v>30</v>
      </c>
      <c r="AF11" s="145" t="s">
        <v>30</v>
      </c>
      <c r="AG11" s="145" t="s">
        <v>30</v>
      </c>
      <c r="AH11" s="145" t="s">
        <v>30</v>
      </c>
      <c r="AI11" s="145" t="s">
        <v>30</v>
      </c>
      <c r="AJ11" s="145" t="s">
        <v>30</v>
      </c>
      <c r="AK11" s="145" t="s">
        <v>30</v>
      </c>
      <c r="AL11" s="145" t="s">
        <v>30</v>
      </c>
      <c r="AM11" s="145" t="s">
        <v>30</v>
      </c>
      <c r="AN11" s="145" t="s">
        <v>30</v>
      </c>
      <c r="AO11" s="145" t="s">
        <v>30</v>
      </c>
    </row>
    <row r="12">
      <c r="A12" s="140" t="s">
        <v>169</v>
      </c>
      <c r="B12" s="145" t="s">
        <v>30</v>
      </c>
      <c r="C12" s="145" t="s">
        <v>30</v>
      </c>
      <c r="D12" s="145" t="s">
        <v>30</v>
      </c>
      <c r="E12" s="145" t="s">
        <v>30</v>
      </c>
      <c r="F12" s="145" t="s">
        <v>30</v>
      </c>
      <c r="G12" s="145" t="s">
        <v>30</v>
      </c>
      <c r="H12" s="145" t="s">
        <v>30</v>
      </c>
      <c r="I12" s="145" t="s">
        <v>30</v>
      </c>
      <c r="J12" s="145" t="s">
        <v>30</v>
      </c>
      <c r="K12" s="145" t="s">
        <v>30</v>
      </c>
      <c r="L12" s="145" t="s">
        <v>30</v>
      </c>
      <c r="M12" s="145" t="s">
        <v>30</v>
      </c>
      <c r="N12" s="145" t="s">
        <v>30</v>
      </c>
      <c r="O12" s="145" t="s">
        <v>30</v>
      </c>
      <c r="P12" s="145" t="s">
        <v>30</v>
      </c>
      <c r="Q12" s="145" t="s">
        <v>30</v>
      </c>
      <c r="R12" s="145" t="s">
        <v>30</v>
      </c>
      <c r="S12" s="145" t="s">
        <v>30</v>
      </c>
      <c r="T12" s="145" t="s">
        <v>30</v>
      </c>
      <c r="U12" s="145" t="s">
        <v>30</v>
      </c>
      <c r="V12" s="145" t="s">
        <v>30</v>
      </c>
      <c r="W12" s="145" t="s">
        <v>30</v>
      </c>
      <c r="X12" s="145" t="s">
        <v>30</v>
      </c>
      <c r="Y12" s="145" t="s">
        <v>30</v>
      </c>
      <c r="Z12" s="145" t="s">
        <v>30</v>
      </c>
      <c r="AA12" s="145" t="s">
        <v>30</v>
      </c>
      <c r="AB12" s="145" t="s">
        <v>30</v>
      </c>
      <c r="AC12" s="145" t="s">
        <v>30</v>
      </c>
      <c r="AD12" s="145" t="s">
        <v>30</v>
      </c>
      <c r="AE12" s="145" t="s">
        <v>30</v>
      </c>
      <c r="AF12" s="145" t="s">
        <v>30</v>
      </c>
      <c r="AG12" s="145" t="s">
        <v>30</v>
      </c>
      <c r="AH12" s="145" t="s">
        <v>30</v>
      </c>
      <c r="AI12" s="145" t="s">
        <v>30</v>
      </c>
      <c r="AJ12" s="145" t="s">
        <v>30</v>
      </c>
      <c r="AK12" s="145" t="s">
        <v>30</v>
      </c>
      <c r="AL12" s="145" t="s">
        <v>30</v>
      </c>
      <c r="AM12" s="145" t="s">
        <v>30</v>
      </c>
      <c r="AN12" s="145" t="s">
        <v>30</v>
      </c>
      <c r="AO12" s="145" t="s">
        <v>30</v>
      </c>
    </row>
    <row r="13">
      <c r="A13" s="140" t="s">
        <v>170</v>
      </c>
      <c r="B13" s="145" t="s">
        <v>30</v>
      </c>
      <c r="C13" s="145" t="s">
        <v>30</v>
      </c>
      <c r="D13" s="145" t="s">
        <v>30</v>
      </c>
      <c r="E13" s="145" t="s">
        <v>30</v>
      </c>
      <c r="F13" s="145" t="s">
        <v>30</v>
      </c>
      <c r="G13" s="145" t="s">
        <v>30</v>
      </c>
      <c r="H13" s="145" t="s">
        <v>30</v>
      </c>
      <c r="I13" s="145" t="s">
        <v>30</v>
      </c>
      <c r="J13" s="145" t="s">
        <v>30</v>
      </c>
      <c r="K13" s="145" t="s">
        <v>30</v>
      </c>
      <c r="L13" s="145" t="s">
        <v>30</v>
      </c>
      <c r="M13" s="145" t="s">
        <v>30</v>
      </c>
      <c r="N13" s="145" t="s">
        <v>30</v>
      </c>
      <c r="O13" s="145" t="s">
        <v>30</v>
      </c>
      <c r="P13" s="145" t="s">
        <v>30</v>
      </c>
      <c r="Q13" s="145" t="s">
        <v>30</v>
      </c>
      <c r="R13" s="145" t="s">
        <v>30</v>
      </c>
      <c r="S13" s="145" t="s">
        <v>30</v>
      </c>
      <c r="T13" s="145" t="s">
        <v>30</v>
      </c>
      <c r="U13" s="145" t="s">
        <v>30</v>
      </c>
      <c r="V13" s="145" t="s">
        <v>30</v>
      </c>
      <c r="W13" s="145" t="s">
        <v>30</v>
      </c>
      <c r="X13" s="145" t="s">
        <v>30</v>
      </c>
      <c r="Y13" s="145" t="s">
        <v>30</v>
      </c>
      <c r="Z13" s="145" t="s">
        <v>30</v>
      </c>
      <c r="AA13" s="145" t="s">
        <v>30</v>
      </c>
      <c r="AB13" s="145" t="s">
        <v>30</v>
      </c>
      <c r="AC13" s="145" t="s">
        <v>30</v>
      </c>
      <c r="AD13" s="145" t="s">
        <v>30</v>
      </c>
      <c r="AE13" s="145" t="s">
        <v>30</v>
      </c>
      <c r="AF13" s="145" t="s">
        <v>30</v>
      </c>
      <c r="AG13" s="145" t="s">
        <v>30</v>
      </c>
      <c r="AH13" s="145" t="s">
        <v>30</v>
      </c>
      <c r="AI13" s="145" t="s">
        <v>30</v>
      </c>
      <c r="AJ13" s="145" t="s">
        <v>30</v>
      </c>
      <c r="AK13" s="145" t="s">
        <v>30</v>
      </c>
      <c r="AL13" s="145" t="s">
        <v>30</v>
      </c>
      <c r="AM13" s="145" t="s">
        <v>30</v>
      </c>
      <c r="AN13" s="145" t="s">
        <v>30</v>
      </c>
      <c r="AO13" s="145" t="s">
        <v>30</v>
      </c>
    </row>
    <row r="14">
      <c r="A14" s="140" t="s">
        <v>171</v>
      </c>
      <c r="B14" s="145" t="s">
        <v>30</v>
      </c>
      <c r="C14" s="145" t="s">
        <v>30</v>
      </c>
      <c r="D14" s="145" t="s">
        <v>30</v>
      </c>
      <c r="E14" s="145" t="s">
        <v>30</v>
      </c>
      <c r="F14" s="145" t="s">
        <v>30</v>
      </c>
      <c r="G14" s="145" t="s">
        <v>30</v>
      </c>
      <c r="H14" s="145" t="s">
        <v>30</v>
      </c>
      <c r="I14" s="145" t="s">
        <v>30</v>
      </c>
      <c r="J14" s="145" t="s">
        <v>30</v>
      </c>
      <c r="K14" s="145" t="s">
        <v>30</v>
      </c>
      <c r="L14" s="145" t="s">
        <v>30</v>
      </c>
      <c r="M14" s="145" t="s">
        <v>30</v>
      </c>
      <c r="N14" s="145" t="s">
        <v>30</v>
      </c>
      <c r="O14" s="145" t="s">
        <v>30</v>
      </c>
      <c r="P14" s="145" t="s">
        <v>30</v>
      </c>
      <c r="Q14" s="145" t="s">
        <v>30</v>
      </c>
      <c r="R14" s="145" t="s">
        <v>30</v>
      </c>
      <c r="S14" s="145" t="s">
        <v>30</v>
      </c>
      <c r="T14" s="145" t="s">
        <v>30</v>
      </c>
      <c r="U14" s="145" t="s">
        <v>30</v>
      </c>
      <c r="V14" s="145" t="s">
        <v>30</v>
      </c>
      <c r="W14" s="145" t="s">
        <v>30</v>
      </c>
      <c r="X14" s="145" t="s">
        <v>30</v>
      </c>
      <c r="Y14" s="145" t="s">
        <v>30</v>
      </c>
      <c r="Z14" s="145" t="s">
        <v>30</v>
      </c>
      <c r="AA14" s="145" t="s">
        <v>30</v>
      </c>
      <c r="AB14" s="145" t="s">
        <v>30</v>
      </c>
      <c r="AC14" s="145" t="s">
        <v>30</v>
      </c>
      <c r="AD14" s="145" t="s">
        <v>30</v>
      </c>
      <c r="AE14" s="145" t="s">
        <v>30</v>
      </c>
      <c r="AF14" s="145" t="s">
        <v>30</v>
      </c>
      <c r="AG14" s="145" t="s">
        <v>30</v>
      </c>
      <c r="AH14" s="145" t="s">
        <v>30</v>
      </c>
      <c r="AI14" s="145" t="s">
        <v>30</v>
      </c>
      <c r="AJ14" s="145" t="s">
        <v>30</v>
      </c>
      <c r="AK14" s="145" t="s">
        <v>30</v>
      </c>
      <c r="AL14" s="145" t="s">
        <v>30</v>
      </c>
      <c r="AM14" s="145" t="s">
        <v>30</v>
      </c>
      <c r="AN14" s="145" t="s">
        <v>30</v>
      </c>
      <c r="AO14" s="145" t="s">
        <v>30</v>
      </c>
    </row>
    <row r="15">
      <c r="A15" s="140" t="s">
        <v>172</v>
      </c>
      <c r="B15" s="145" t="s">
        <v>30</v>
      </c>
      <c r="C15" s="145" t="s">
        <v>30</v>
      </c>
      <c r="D15" s="145" t="s">
        <v>30</v>
      </c>
      <c r="E15" s="145" t="s">
        <v>30</v>
      </c>
      <c r="F15" s="145" t="s">
        <v>30</v>
      </c>
      <c r="G15" s="145" t="s">
        <v>30</v>
      </c>
      <c r="H15" s="145" t="s">
        <v>30</v>
      </c>
      <c r="I15" s="145" t="s">
        <v>30</v>
      </c>
      <c r="J15" s="145" t="s">
        <v>30</v>
      </c>
      <c r="K15" s="145" t="s">
        <v>30</v>
      </c>
      <c r="L15" s="145" t="s">
        <v>30</v>
      </c>
      <c r="M15" s="145" t="s">
        <v>30</v>
      </c>
      <c r="N15" s="145" t="s">
        <v>30</v>
      </c>
      <c r="O15" s="145" t="s">
        <v>30</v>
      </c>
      <c r="P15" s="145" t="s">
        <v>30</v>
      </c>
      <c r="Q15" s="145" t="s">
        <v>30</v>
      </c>
      <c r="R15" s="145" t="s">
        <v>30</v>
      </c>
      <c r="S15" s="145" t="s">
        <v>30</v>
      </c>
      <c r="T15" s="145" t="s">
        <v>30</v>
      </c>
      <c r="U15" s="145" t="s">
        <v>30</v>
      </c>
      <c r="V15" s="145" t="s">
        <v>30</v>
      </c>
      <c r="W15" s="145" t="s">
        <v>30</v>
      </c>
      <c r="X15" s="145" t="s">
        <v>30</v>
      </c>
      <c r="Y15" s="145" t="s">
        <v>30</v>
      </c>
      <c r="Z15" s="145" t="s">
        <v>30</v>
      </c>
      <c r="AA15" s="145" t="s">
        <v>30</v>
      </c>
      <c r="AB15" s="145" t="s">
        <v>30</v>
      </c>
      <c r="AC15" s="145" t="s">
        <v>30</v>
      </c>
      <c r="AD15" s="145" t="s">
        <v>30</v>
      </c>
      <c r="AE15" s="145" t="s">
        <v>30</v>
      </c>
      <c r="AF15" s="145" t="s">
        <v>30</v>
      </c>
      <c r="AG15" s="145" t="s">
        <v>30</v>
      </c>
      <c r="AH15" s="145" t="s">
        <v>30</v>
      </c>
      <c r="AI15" s="145" t="s">
        <v>30</v>
      </c>
      <c r="AJ15" s="145" t="s">
        <v>30</v>
      </c>
      <c r="AK15" s="145" t="s">
        <v>30</v>
      </c>
      <c r="AL15" s="145" t="s">
        <v>30</v>
      </c>
      <c r="AM15" s="145" t="s">
        <v>30</v>
      </c>
      <c r="AN15" s="145" t="s">
        <v>30</v>
      </c>
      <c r="AO15" s="145" t="s">
        <v>30</v>
      </c>
    </row>
    <row r="16">
      <c r="A16" s="140" t="s">
        <v>173</v>
      </c>
      <c r="B16" s="145" t="s">
        <v>30</v>
      </c>
      <c r="C16" s="145" t="s">
        <v>30</v>
      </c>
      <c r="D16" s="145" t="s">
        <v>30</v>
      </c>
      <c r="E16" s="145" t="s">
        <v>30</v>
      </c>
      <c r="F16" s="145" t="s">
        <v>30</v>
      </c>
      <c r="G16" s="145" t="s">
        <v>30</v>
      </c>
      <c r="H16" s="145" t="s">
        <v>30</v>
      </c>
      <c r="I16" s="145" t="s">
        <v>30</v>
      </c>
      <c r="J16" s="145" t="s">
        <v>30</v>
      </c>
      <c r="K16" s="145" t="s">
        <v>30</v>
      </c>
      <c r="L16" s="145" t="s">
        <v>30</v>
      </c>
      <c r="M16" s="145" t="s">
        <v>30</v>
      </c>
      <c r="N16" s="145" t="s">
        <v>30</v>
      </c>
      <c r="O16" s="145" t="s">
        <v>30</v>
      </c>
      <c r="P16" s="145" t="s">
        <v>30</v>
      </c>
      <c r="Q16" s="145" t="s">
        <v>30</v>
      </c>
      <c r="R16" s="145" t="s">
        <v>30</v>
      </c>
      <c r="S16" s="145" t="s">
        <v>30</v>
      </c>
      <c r="T16" s="145" t="s">
        <v>30</v>
      </c>
      <c r="U16" s="145" t="s">
        <v>30</v>
      </c>
      <c r="V16" s="145" t="s">
        <v>30</v>
      </c>
      <c r="W16" s="145" t="s">
        <v>30</v>
      </c>
      <c r="X16" s="145" t="s">
        <v>30</v>
      </c>
      <c r="Y16" s="145" t="s">
        <v>30</v>
      </c>
      <c r="Z16" s="145" t="s">
        <v>30</v>
      </c>
      <c r="AA16" s="145" t="s">
        <v>30</v>
      </c>
      <c r="AB16" s="145" t="s">
        <v>30</v>
      </c>
      <c r="AC16" s="145" t="s">
        <v>30</v>
      </c>
      <c r="AD16" s="145" t="s">
        <v>30</v>
      </c>
      <c r="AE16" s="145" t="s">
        <v>30</v>
      </c>
      <c r="AF16" s="145" t="s">
        <v>30</v>
      </c>
      <c r="AG16" s="145" t="s">
        <v>30</v>
      </c>
      <c r="AH16" s="145" t="s">
        <v>30</v>
      </c>
      <c r="AI16" s="145" t="s">
        <v>30</v>
      </c>
      <c r="AJ16" s="145" t="s">
        <v>30</v>
      </c>
      <c r="AK16" s="145" t="s">
        <v>30</v>
      </c>
      <c r="AL16" s="145" t="s">
        <v>30</v>
      </c>
      <c r="AM16" s="145" t="s">
        <v>30</v>
      </c>
      <c r="AN16" s="145" t="s">
        <v>30</v>
      </c>
      <c r="AO16" s="145" t="s">
        <v>30</v>
      </c>
    </row>
    <row r="17">
      <c r="A17" s="140" t="s">
        <v>174</v>
      </c>
      <c r="B17" s="145" t="s">
        <v>198</v>
      </c>
      <c r="C17" s="144">
        <v>0.056</v>
      </c>
      <c r="D17" s="144">
        <v>0.052</v>
      </c>
      <c r="E17" s="144">
        <v>0.236</v>
      </c>
      <c r="F17" s="146">
        <v>0.104</v>
      </c>
      <c r="G17" s="144">
        <v>0.044</v>
      </c>
      <c r="H17" s="144">
        <v>0.101</v>
      </c>
      <c r="I17" s="144">
        <v>0.049</v>
      </c>
      <c r="J17" s="144">
        <v>0.073</v>
      </c>
      <c r="K17" s="144">
        <v>0.059</v>
      </c>
      <c r="L17" s="145" t="s">
        <v>198</v>
      </c>
      <c r="M17" s="145" t="s">
        <v>198</v>
      </c>
      <c r="N17" s="145" t="s">
        <v>198</v>
      </c>
      <c r="O17" s="144">
        <v>0.0</v>
      </c>
      <c r="P17" s="144">
        <v>0.0</v>
      </c>
      <c r="Q17" s="144">
        <v>0.071</v>
      </c>
      <c r="R17" s="144">
        <v>0.077</v>
      </c>
      <c r="S17" s="144">
        <v>0.0</v>
      </c>
      <c r="T17" s="145" t="s">
        <v>198</v>
      </c>
      <c r="U17" s="145" t="s">
        <v>198</v>
      </c>
      <c r="V17" s="146">
        <v>0.0</v>
      </c>
      <c r="W17" s="144">
        <v>0.037</v>
      </c>
      <c r="X17" s="144">
        <v>0.021</v>
      </c>
      <c r="Y17" s="144">
        <v>0.095</v>
      </c>
      <c r="Z17" s="145" t="s">
        <v>198</v>
      </c>
      <c r="AA17" s="144">
        <v>0.156</v>
      </c>
      <c r="AB17" s="145" t="s">
        <v>198</v>
      </c>
      <c r="AC17" s="144">
        <v>0.196</v>
      </c>
      <c r="AD17" s="144">
        <v>0.116</v>
      </c>
      <c r="AE17" s="145" t="s">
        <v>198</v>
      </c>
      <c r="AF17" s="144">
        <v>0.06</v>
      </c>
      <c r="AG17" s="145" t="s">
        <v>198</v>
      </c>
      <c r="AH17" s="144">
        <v>0.042</v>
      </c>
      <c r="AI17" s="145" t="s">
        <v>198</v>
      </c>
      <c r="AJ17" s="144">
        <v>0.078</v>
      </c>
      <c r="AK17" s="145" t="s">
        <v>198</v>
      </c>
      <c r="AL17" s="144">
        <v>0.085</v>
      </c>
      <c r="AM17" s="144">
        <v>0.074</v>
      </c>
      <c r="AN17" s="144">
        <v>0.108</v>
      </c>
      <c r="AO17" s="144">
        <v>0.113</v>
      </c>
    </row>
    <row r="18">
      <c r="A18" s="140" t="s">
        <v>175</v>
      </c>
      <c r="B18" s="145" t="s">
        <v>198</v>
      </c>
      <c r="C18" s="144">
        <v>0.043</v>
      </c>
      <c r="D18" s="145" t="s">
        <v>198</v>
      </c>
      <c r="E18" s="144">
        <v>0.201</v>
      </c>
      <c r="F18" s="145" t="s">
        <v>198</v>
      </c>
      <c r="G18" s="144">
        <v>0.04</v>
      </c>
      <c r="H18" s="144">
        <v>0.069</v>
      </c>
      <c r="I18" s="144">
        <v>0.061</v>
      </c>
      <c r="J18" s="144">
        <v>0.053</v>
      </c>
      <c r="K18" s="144">
        <v>0.087</v>
      </c>
      <c r="L18" s="144">
        <v>0.15</v>
      </c>
      <c r="M18" s="145" t="s">
        <v>198</v>
      </c>
      <c r="N18" s="145" t="s">
        <v>198</v>
      </c>
      <c r="O18" s="145" t="s">
        <v>198</v>
      </c>
      <c r="P18" s="145" t="s">
        <v>198</v>
      </c>
      <c r="Q18" s="144">
        <v>0.081</v>
      </c>
      <c r="R18" s="144">
        <v>0.063</v>
      </c>
      <c r="S18" s="145" t="s">
        <v>198</v>
      </c>
      <c r="T18" s="145" t="s">
        <v>198</v>
      </c>
      <c r="U18" s="145" t="s">
        <v>198</v>
      </c>
      <c r="V18" s="144">
        <v>0.0</v>
      </c>
      <c r="W18" s="144">
        <v>0.036</v>
      </c>
      <c r="X18" s="144">
        <v>0.039</v>
      </c>
      <c r="Y18" s="144">
        <v>0.117</v>
      </c>
      <c r="Z18" s="144">
        <v>0.087</v>
      </c>
      <c r="AA18" s="144">
        <v>0.126</v>
      </c>
      <c r="AB18" s="145" t="s">
        <v>198</v>
      </c>
      <c r="AC18" s="144">
        <v>0.142</v>
      </c>
      <c r="AD18" s="145" t="s">
        <v>198</v>
      </c>
      <c r="AE18" s="145" t="s">
        <v>198</v>
      </c>
      <c r="AF18" s="144">
        <v>0.069</v>
      </c>
      <c r="AG18" s="145" t="s">
        <v>198</v>
      </c>
      <c r="AH18" s="144">
        <v>0.035</v>
      </c>
      <c r="AI18" s="144">
        <v>0.033</v>
      </c>
      <c r="AJ18" s="144">
        <v>0.046</v>
      </c>
      <c r="AK18" s="146">
        <v>0.0</v>
      </c>
      <c r="AL18" s="144">
        <v>0.082</v>
      </c>
      <c r="AM18" s="145" t="s">
        <v>198</v>
      </c>
      <c r="AN18" s="144">
        <v>0.137</v>
      </c>
      <c r="AO18" s="144">
        <v>0.094</v>
      </c>
    </row>
    <row r="19">
      <c r="A19" s="140" t="s">
        <v>176</v>
      </c>
      <c r="B19" s="144">
        <v>0.05</v>
      </c>
      <c r="C19" s="144">
        <v>0.028</v>
      </c>
      <c r="D19" s="145" t="s">
        <v>198</v>
      </c>
      <c r="E19" s="144">
        <v>0.16</v>
      </c>
      <c r="F19" s="144">
        <v>0.0</v>
      </c>
      <c r="G19" s="144">
        <v>0.025</v>
      </c>
      <c r="H19" s="144">
        <v>0.063</v>
      </c>
      <c r="I19" s="144">
        <v>0.04</v>
      </c>
      <c r="J19" s="144">
        <v>0.029</v>
      </c>
      <c r="K19" s="144">
        <v>0.067</v>
      </c>
      <c r="L19" s="145" t="s">
        <v>198</v>
      </c>
      <c r="M19" s="145" t="s">
        <v>198</v>
      </c>
      <c r="N19" s="144">
        <v>0.087</v>
      </c>
      <c r="O19" s="145" t="s">
        <v>198</v>
      </c>
      <c r="P19" s="144">
        <v>0.0</v>
      </c>
      <c r="Q19" s="144">
        <v>0.046</v>
      </c>
      <c r="R19" s="144">
        <v>0.039</v>
      </c>
      <c r="S19" s="144">
        <v>0.0</v>
      </c>
      <c r="T19" s="144">
        <v>0.0</v>
      </c>
      <c r="U19" s="145" t="s">
        <v>198</v>
      </c>
      <c r="V19" s="145" t="s">
        <v>198</v>
      </c>
      <c r="W19" s="145" t="s">
        <v>198</v>
      </c>
      <c r="X19" s="144">
        <v>0.032</v>
      </c>
      <c r="Y19" s="144">
        <v>0.078</v>
      </c>
      <c r="Z19" s="144">
        <v>0.055</v>
      </c>
      <c r="AA19" s="144">
        <v>0.081</v>
      </c>
      <c r="AB19" s="145" t="s">
        <v>198</v>
      </c>
      <c r="AC19" s="144">
        <v>0.121</v>
      </c>
      <c r="AD19" s="144">
        <v>0.0</v>
      </c>
      <c r="AE19" s="144">
        <v>0.036</v>
      </c>
      <c r="AF19" s="144">
        <v>0.05</v>
      </c>
      <c r="AG19" s="145" t="s">
        <v>198</v>
      </c>
      <c r="AH19" s="144">
        <v>0.051</v>
      </c>
      <c r="AI19" s="144">
        <v>0.077</v>
      </c>
      <c r="AJ19" s="144">
        <v>0.035</v>
      </c>
      <c r="AK19" s="145" t="s">
        <v>198</v>
      </c>
      <c r="AL19" s="144">
        <v>0.044</v>
      </c>
      <c r="AM19" s="145" t="s">
        <v>198</v>
      </c>
      <c r="AN19" s="144">
        <v>0.113</v>
      </c>
      <c r="AO19" s="144">
        <v>0.07</v>
      </c>
    </row>
    <row r="20">
      <c r="A20" s="140" t="s">
        <v>177</v>
      </c>
      <c r="B20" s="144">
        <v>0.052</v>
      </c>
      <c r="C20" s="144">
        <v>0.032</v>
      </c>
      <c r="D20" s="144">
        <v>0.031</v>
      </c>
      <c r="E20" s="144">
        <v>0.124</v>
      </c>
      <c r="F20" s="144">
        <v>0.0</v>
      </c>
      <c r="G20" s="144">
        <v>0.042</v>
      </c>
      <c r="H20" s="144">
        <v>0.058</v>
      </c>
      <c r="I20" s="144">
        <v>0.03</v>
      </c>
      <c r="J20" s="145" t="s">
        <v>198</v>
      </c>
      <c r="K20" s="144">
        <v>0.039</v>
      </c>
      <c r="L20" s="145" t="s">
        <v>198</v>
      </c>
      <c r="M20" s="145" t="s">
        <v>198</v>
      </c>
      <c r="N20" s="145" t="s">
        <v>198</v>
      </c>
      <c r="O20" s="145" t="s">
        <v>198</v>
      </c>
      <c r="P20" s="145" t="s">
        <v>198</v>
      </c>
      <c r="Q20" s="144">
        <v>0.048</v>
      </c>
      <c r="R20" s="144">
        <v>0.038</v>
      </c>
      <c r="S20" s="145" t="s">
        <v>198</v>
      </c>
      <c r="T20" s="145" t="s">
        <v>198</v>
      </c>
      <c r="U20" s="145" t="s">
        <v>198</v>
      </c>
      <c r="V20" s="144">
        <v>0.0</v>
      </c>
      <c r="W20" s="145" t="s">
        <v>198</v>
      </c>
      <c r="X20" s="144">
        <v>0.021</v>
      </c>
      <c r="Y20" s="144">
        <v>0.046</v>
      </c>
      <c r="Z20" s="144">
        <v>0.035</v>
      </c>
      <c r="AA20" s="144">
        <v>0.075</v>
      </c>
      <c r="AB20" s="144">
        <v>0.047</v>
      </c>
      <c r="AC20" s="144">
        <v>0.103</v>
      </c>
      <c r="AD20" s="145" t="s">
        <v>198</v>
      </c>
      <c r="AE20" s="145" t="s">
        <v>198</v>
      </c>
      <c r="AF20" s="144">
        <v>0.032</v>
      </c>
      <c r="AG20" s="145" t="s">
        <v>198</v>
      </c>
      <c r="AH20" s="144">
        <v>0.053</v>
      </c>
      <c r="AI20" s="144">
        <v>0.028</v>
      </c>
      <c r="AJ20" s="144">
        <v>0.036</v>
      </c>
      <c r="AK20" s="145" t="s">
        <v>198</v>
      </c>
      <c r="AL20" s="144">
        <v>0.034</v>
      </c>
      <c r="AM20" s="145" t="s">
        <v>198</v>
      </c>
      <c r="AN20" s="144">
        <v>0.06</v>
      </c>
      <c r="AO20" s="144">
        <v>0.06</v>
      </c>
    </row>
    <row r="21">
      <c r="A21" s="140" t="s">
        <v>178</v>
      </c>
      <c r="B21" s="145" t="s">
        <v>198</v>
      </c>
      <c r="C21" s="144">
        <v>0.029</v>
      </c>
      <c r="D21" s="145" t="s">
        <v>198</v>
      </c>
      <c r="E21" s="144">
        <v>0.091</v>
      </c>
      <c r="F21" s="145" t="s">
        <v>198</v>
      </c>
      <c r="G21" s="144">
        <v>0.022</v>
      </c>
      <c r="H21" s="144">
        <v>0.045</v>
      </c>
      <c r="I21" s="144">
        <v>0.019</v>
      </c>
      <c r="J21" s="144">
        <v>0.0</v>
      </c>
      <c r="K21" s="144">
        <v>0.05</v>
      </c>
      <c r="L21" s="144">
        <v>0.0</v>
      </c>
      <c r="M21" s="145" t="s">
        <v>198</v>
      </c>
      <c r="N21" s="145" t="s">
        <v>198</v>
      </c>
      <c r="O21" s="144">
        <v>0.0</v>
      </c>
      <c r="P21" s="145" t="s">
        <v>198</v>
      </c>
      <c r="Q21" s="144">
        <v>0.104</v>
      </c>
      <c r="R21" s="144">
        <v>0.047</v>
      </c>
      <c r="S21" s="144">
        <v>0.0</v>
      </c>
      <c r="T21" s="144">
        <v>0.025</v>
      </c>
      <c r="U21" s="145" t="s">
        <v>198</v>
      </c>
      <c r="V21" s="144">
        <v>0.0</v>
      </c>
      <c r="W21" s="144">
        <v>0.037</v>
      </c>
      <c r="X21" s="144">
        <v>0.019</v>
      </c>
      <c r="Y21" s="144">
        <v>0.038</v>
      </c>
      <c r="Z21" s="144">
        <v>0.031</v>
      </c>
      <c r="AA21" s="144">
        <v>0.066</v>
      </c>
      <c r="AB21" s="144">
        <v>0.041</v>
      </c>
      <c r="AC21" s="144">
        <v>0.106</v>
      </c>
      <c r="AD21" s="145" t="s">
        <v>198</v>
      </c>
      <c r="AE21" s="145" t="s">
        <v>198</v>
      </c>
      <c r="AF21" s="144">
        <v>0.0</v>
      </c>
      <c r="AG21" s="144">
        <v>0.0</v>
      </c>
      <c r="AH21" s="145" t="s">
        <v>198</v>
      </c>
      <c r="AI21" s="144">
        <v>0.0</v>
      </c>
      <c r="AJ21" s="144">
        <v>0.019</v>
      </c>
      <c r="AK21" s="145" t="s">
        <v>198</v>
      </c>
      <c r="AL21" s="144">
        <v>0.031</v>
      </c>
      <c r="AM21" s="145" t="s">
        <v>198</v>
      </c>
      <c r="AN21" s="144">
        <v>0.076</v>
      </c>
      <c r="AO21" s="144">
        <v>0.055</v>
      </c>
    </row>
    <row r="22">
      <c r="A22" s="140" t="s">
        <v>179</v>
      </c>
      <c r="B22" s="145" t="s">
        <v>198</v>
      </c>
      <c r="C22" s="145" t="s">
        <v>198</v>
      </c>
      <c r="D22" s="145" t="s">
        <v>198</v>
      </c>
      <c r="E22" s="144">
        <v>0.094</v>
      </c>
      <c r="F22" s="144">
        <v>0.0</v>
      </c>
      <c r="G22" s="145" t="s">
        <v>198</v>
      </c>
      <c r="H22" s="144">
        <v>0.034</v>
      </c>
      <c r="I22" s="144">
        <v>0.03</v>
      </c>
      <c r="J22" s="145" t="s">
        <v>198</v>
      </c>
      <c r="K22" s="144">
        <v>0.02</v>
      </c>
      <c r="L22" s="145" t="s">
        <v>198</v>
      </c>
      <c r="M22" s="144">
        <v>0.0</v>
      </c>
      <c r="N22" s="145" t="s">
        <v>198</v>
      </c>
      <c r="O22" s="144">
        <v>0.0</v>
      </c>
      <c r="P22" s="145" t="s">
        <v>198</v>
      </c>
      <c r="Q22" s="144">
        <v>0.028</v>
      </c>
      <c r="R22" s="145" t="s">
        <v>198</v>
      </c>
      <c r="S22" s="144">
        <v>0.0</v>
      </c>
      <c r="T22" s="145" t="s">
        <v>198</v>
      </c>
      <c r="U22" s="145" t="s">
        <v>198</v>
      </c>
      <c r="V22" s="144">
        <v>0.0</v>
      </c>
      <c r="W22" s="145" t="s">
        <v>198</v>
      </c>
      <c r="X22" s="145" t="s">
        <v>198</v>
      </c>
      <c r="Y22" s="144">
        <v>0.039</v>
      </c>
      <c r="Z22" s="145" t="s">
        <v>198</v>
      </c>
      <c r="AA22" s="144">
        <v>0.042</v>
      </c>
      <c r="AB22" s="144">
        <v>0.027</v>
      </c>
      <c r="AC22" s="144">
        <v>0.078</v>
      </c>
      <c r="AD22" s="144">
        <v>0.0</v>
      </c>
      <c r="AE22" s="145" t="s">
        <v>198</v>
      </c>
      <c r="AF22" s="145" t="s">
        <v>198</v>
      </c>
      <c r="AG22" s="144">
        <v>0.0</v>
      </c>
      <c r="AH22" s="145" t="s">
        <v>198</v>
      </c>
      <c r="AI22" s="145" t="s">
        <v>198</v>
      </c>
      <c r="AJ22" s="144">
        <v>0.018</v>
      </c>
      <c r="AK22" s="144">
        <v>0.0</v>
      </c>
      <c r="AL22" s="144">
        <v>0.023</v>
      </c>
      <c r="AM22" s="144">
        <v>0.0</v>
      </c>
      <c r="AN22" s="144">
        <v>0.051</v>
      </c>
      <c r="AO22" s="144">
        <v>0.036</v>
      </c>
    </row>
    <row r="23">
      <c r="A23" s="140" t="s">
        <v>180</v>
      </c>
      <c r="B23" s="145" t="s">
        <v>198</v>
      </c>
      <c r="C23" s="145" t="s">
        <v>198</v>
      </c>
      <c r="D23" s="145" t="s">
        <v>198</v>
      </c>
      <c r="E23" s="144">
        <v>0.082</v>
      </c>
      <c r="F23" s="145" t="s">
        <v>198</v>
      </c>
      <c r="G23" s="145" t="s">
        <v>198</v>
      </c>
      <c r="H23" s="144">
        <v>0.033</v>
      </c>
      <c r="I23" s="144">
        <v>0.02</v>
      </c>
      <c r="J23" s="145" t="s">
        <v>198</v>
      </c>
      <c r="K23" s="144">
        <v>0.019</v>
      </c>
      <c r="L23" s="145" t="s">
        <v>198</v>
      </c>
      <c r="M23" s="145" t="s">
        <v>198</v>
      </c>
      <c r="N23" s="144">
        <v>0.0</v>
      </c>
      <c r="O23" s="144">
        <v>0.0</v>
      </c>
      <c r="P23" s="144">
        <v>0.0</v>
      </c>
      <c r="Q23" s="144">
        <v>0.034</v>
      </c>
      <c r="R23" s="144">
        <v>0.027</v>
      </c>
      <c r="S23" s="144">
        <v>0.0</v>
      </c>
      <c r="T23" s="145" t="s">
        <v>198</v>
      </c>
      <c r="U23" s="144">
        <v>0.0</v>
      </c>
      <c r="V23" s="144">
        <v>0.0</v>
      </c>
      <c r="W23" s="145" t="s">
        <v>198</v>
      </c>
      <c r="X23" s="145" t="s">
        <v>198</v>
      </c>
      <c r="Y23" s="144">
        <v>0.02</v>
      </c>
      <c r="Z23" s="144">
        <v>0.05</v>
      </c>
      <c r="AA23" s="144">
        <v>0.038</v>
      </c>
      <c r="AB23" s="144">
        <v>0.0</v>
      </c>
      <c r="AC23" s="144">
        <v>0.048</v>
      </c>
      <c r="AD23" s="144">
        <v>0.0</v>
      </c>
      <c r="AE23" s="145" t="s">
        <v>198</v>
      </c>
      <c r="AF23" s="145" t="s">
        <v>198</v>
      </c>
      <c r="AG23" s="145" t="s">
        <v>198</v>
      </c>
      <c r="AH23" s="145" t="s">
        <v>198</v>
      </c>
      <c r="AI23" s="145" t="s">
        <v>198</v>
      </c>
      <c r="AJ23" s="144">
        <v>0.011</v>
      </c>
      <c r="AK23" s="144">
        <v>0.0</v>
      </c>
      <c r="AL23" s="145" t="s">
        <v>198</v>
      </c>
      <c r="AM23" s="144">
        <v>0.0</v>
      </c>
      <c r="AN23" s="144">
        <v>0.039</v>
      </c>
      <c r="AO23" s="144">
        <v>0.028</v>
      </c>
    </row>
    <row r="24">
      <c r="A24" s="140" t="s">
        <v>181</v>
      </c>
      <c r="B24" s="144">
        <v>0.0</v>
      </c>
      <c r="C24" s="145" t="s">
        <v>198</v>
      </c>
      <c r="D24" s="145" t="s">
        <v>198</v>
      </c>
      <c r="E24" s="144">
        <v>0.073</v>
      </c>
      <c r="F24" s="145" t="s">
        <v>198</v>
      </c>
      <c r="G24" s="145" t="s">
        <v>198</v>
      </c>
      <c r="H24" s="144">
        <v>0.018</v>
      </c>
      <c r="I24" s="145" t="s">
        <v>198</v>
      </c>
      <c r="J24" s="145" t="s">
        <v>198</v>
      </c>
      <c r="K24" s="144">
        <v>0.012</v>
      </c>
      <c r="L24" s="144">
        <v>0.0</v>
      </c>
      <c r="M24" s="144">
        <v>0.0</v>
      </c>
      <c r="N24" s="144">
        <v>0.0</v>
      </c>
      <c r="O24" s="144">
        <v>0.0</v>
      </c>
      <c r="P24" s="145" t="s">
        <v>198</v>
      </c>
      <c r="Q24" s="144">
        <v>0.013</v>
      </c>
      <c r="R24" s="145" t="s">
        <v>198</v>
      </c>
      <c r="S24" s="144">
        <v>0.0</v>
      </c>
      <c r="T24" s="145" t="s">
        <v>198</v>
      </c>
      <c r="U24" s="145" t="s">
        <v>198</v>
      </c>
      <c r="V24" s="144">
        <v>0.0</v>
      </c>
      <c r="W24" s="144">
        <v>0.014</v>
      </c>
      <c r="X24" s="145" t="s">
        <v>198</v>
      </c>
      <c r="Y24" s="146">
        <v>0.011</v>
      </c>
      <c r="Z24" s="145" t="s">
        <v>198</v>
      </c>
      <c r="AA24" s="144">
        <v>0.032</v>
      </c>
      <c r="AB24" s="145" t="s">
        <v>198</v>
      </c>
      <c r="AC24" s="144">
        <v>0.04</v>
      </c>
      <c r="AD24" s="144">
        <v>0.0</v>
      </c>
      <c r="AE24" s="145" t="s">
        <v>198</v>
      </c>
      <c r="AF24" s="145" t="s">
        <v>198</v>
      </c>
      <c r="AG24" s="144">
        <v>0.0</v>
      </c>
      <c r="AH24" s="144">
        <v>0.0</v>
      </c>
      <c r="AI24" s="145" t="s">
        <v>198</v>
      </c>
      <c r="AJ24" s="144">
        <v>0.014</v>
      </c>
      <c r="AK24" s="144">
        <v>0.0</v>
      </c>
      <c r="AL24" s="144">
        <v>0.027</v>
      </c>
      <c r="AM24" s="145" t="s">
        <v>198</v>
      </c>
      <c r="AN24" s="144">
        <v>0.032</v>
      </c>
      <c r="AO24" s="144">
        <v>0.022</v>
      </c>
    </row>
    <row r="25">
      <c r="A25" s="140" t="s">
        <v>182</v>
      </c>
      <c r="B25" s="145" t="s">
        <v>198</v>
      </c>
      <c r="C25" s="144">
        <v>0.019</v>
      </c>
      <c r="D25" s="145" t="s">
        <v>198</v>
      </c>
      <c r="E25" s="144">
        <v>0.036</v>
      </c>
      <c r="F25" s="145" t="s">
        <v>198</v>
      </c>
      <c r="G25" s="145" t="s">
        <v>198</v>
      </c>
      <c r="H25" s="144">
        <v>0.013</v>
      </c>
      <c r="I25" s="144">
        <v>0.02</v>
      </c>
      <c r="J25" s="145" t="s">
        <v>198</v>
      </c>
      <c r="K25" s="144">
        <v>0.011</v>
      </c>
      <c r="L25" s="144">
        <v>0.0</v>
      </c>
      <c r="M25" s="145" t="s">
        <v>198</v>
      </c>
      <c r="N25" s="145" t="s">
        <v>198</v>
      </c>
      <c r="O25" s="145" t="s">
        <v>198</v>
      </c>
      <c r="P25" s="144">
        <v>0.0</v>
      </c>
      <c r="Q25" s="144">
        <v>0.024</v>
      </c>
      <c r="R25" s="144">
        <v>0.02</v>
      </c>
      <c r="S25" s="144">
        <v>0.0</v>
      </c>
      <c r="T25" s="144">
        <v>0.025</v>
      </c>
      <c r="U25" s="144">
        <v>0.0</v>
      </c>
      <c r="V25" s="144">
        <v>0.0</v>
      </c>
      <c r="W25" s="144">
        <v>0.027</v>
      </c>
      <c r="X25" s="145" t="s">
        <v>198</v>
      </c>
      <c r="Y25" s="144">
        <v>0.022</v>
      </c>
      <c r="Z25" s="144">
        <v>0.0</v>
      </c>
      <c r="AA25" s="144">
        <v>0.038</v>
      </c>
      <c r="AB25" s="145" t="s">
        <v>198</v>
      </c>
      <c r="AC25" s="144">
        <v>0.035</v>
      </c>
      <c r="AD25" s="144">
        <v>0.0</v>
      </c>
      <c r="AE25" s="145" t="s">
        <v>198</v>
      </c>
      <c r="AF25" s="145" t="s">
        <v>198</v>
      </c>
      <c r="AG25" s="145" t="s">
        <v>198</v>
      </c>
      <c r="AH25" s="145" t="s">
        <v>198</v>
      </c>
      <c r="AI25" s="145" t="s">
        <v>198</v>
      </c>
      <c r="AJ25" s="144">
        <v>0.011</v>
      </c>
      <c r="AK25" s="145" t="s">
        <v>198</v>
      </c>
      <c r="AL25" s="144">
        <v>0.024</v>
      </c>
      <c r="AM25" s="145" t="s">
        <v>198</v>
      </c>
      <c r="AN25" s="144">
        <v>0.024</v>
      </c>
      <c r="AO25" s="144">
        <v>0.021</v>
      </c>
    </row>
    <row r="26">
      <c r="A26" s="140" t="s">
        <v>183</v>
      </c>
      <c r="B26" s="145" t="s">
        <v>198</v>
      </c>
      <c r="C26" s="145" t="s">
        <v>198</v>
      </c>
      <c r="D26" s="145" t="s">
        <v>198</v>
      </c>
      <c r="E26" s="144">
        <v>0.032</v>
      </c>
      <c r="F26" s="145" t="s">
        <v>198</v>
      </c>
      <c r="G26" s="144">
        <v>0.021</v>
      </c>
      <c r="H26" s="144">
        <v>0.038</v>
      </c>
      <c r="I26" s="145" t="s">
        <v>198</v>
      </c>
      <c r="J26" s="145" t="s">
        <v>198</v>
      </c>
      <c r="K26" s="144">
        <v>0.009</v>
      </c>
      <c r="L26" s="144">
        <v>0.0</v>
      </c>
      <c r="M26" s="145" t="s">
        <v>198</v>
      </c>
      <c r="N26" s="145" t="s">
        <v>198</v>
      </c>
      <c r="O26" s="144">
        <v>0.0</v>
      </c>
      <c r="P26" s="145" t="s">
        <v>198</v>
      </c>
      <c r="Q26" s="144">
        <v>0.033</v>
      </c>
      <c r="R26" s="145" t="s">
        <v>198</v>
      </c>
      <c r="S26" s="145" t="s">
        <v>198</v>
      </c>
      <c r="T26" s="144">
        <v>0.019</v>
      </c>
      <c r="U26" s="144">
        <v>0.0</v>
      </c>
      <c r="V26" s="144">
        <v>0.0</v>
      </c>
      <c r="W26" s="144">
        <v>0.019</v>
      </c>
      <c r="X26" s="145" t="s">
        <v>198</v>
      </c>
      <c r="Y26" s="144">
        <v>0.023</v>
      </c>
      <c r="Z26" s="145" t="s">
        <v>198</v>
      </c>
      <c r="AA26" s="144">
        <v>0.015</v>
      </c>
      <c r="AB26" s="145" t="s">
        <v>198</v>
      </c>
      <c r="AC26" s="144">
        <v>0.029</v>
      </c>
      <c r="AD26" s="144">
        <v>0.0</v>
      </c>
      <c r="AE26" s="145" t="s">
        <v>198</v>
      </c>
      <c r="AF26" s="144">
        <v>0.024</v>
      </c>
      <c r="AG26" s="144">
        <v>0.0</v>
      </c>
      <c r="AH26" s="145" t="s">
        <v>198</v>
      </c>
      <c r="AI26" s="145" t="s">
        <v>198</v>
      </c>
      <c r="AJ26" s="144">
        <v>0.009</v>
      </c>
      <c r="AK26" s="144">
        <v>0.0</v>
      </c>
      <c r="AL26" s="144">
        <v>0.02</v>
      </c>
      <c r="AM26" s="145" t="s">
        <v>198</v>
      </c>
      <c r="AN26" s="144">
        <v>0.014</v>
      </c>
      <c r="AO26" s="144">
        <v>0.019</v>
      </c>
    </row>
    <row r="27">
      <c r="A27" s="140" t="s">
        <v>184</v>
      </c>
      <c r="B27" s="145" t="s">
        <v>198</v>
      </c>
      <c r="C27" s="144">
        <v>0.015</v>
      </c>
      <c r="D27" s="145" t="s">
        <v>198</v>
      </c>
      <c r="E27" s="144">
        <v>0.04</v>
      </c>
      <c r="F27" s="145" t="s">
        <v>198</v>
      </c>
      <c r="G27" s="144">
        <v>0.015</v>
      </c>
      <c r="H27" s="144">
        <v>0.02</v>
      </c>
      <c r="I27" s="145" t="s">
        <v>198</v>
      </c>
      <c r="J27" s="144">
        <v>0.016</v>
      </c>
      <c r="K27" s="144">
        <v>0.007</v>
      </c>
      <c r="L27" s="144">
        <v>0.0</v>
      </c>
      <c r="M27" s="144">
        <v>0.0</v>
      </c>
      <c r="N27" s="145" t="s">
        <v>198</v>
      </c>
      <c r="O27" s="145" t="s">
        <v>198</v>
      </c>
      <c r="P27" s="145" t="s">
        <v>198</v>
      </c>
      <c r="Q27" s="144">
        <v>0.016</v>
      </c>
      <c r="R27" s="144">
        <v>0.019</v>
      </c>
      <c r="S27" s="144">
        <v>0.0</v>
      </c>
      <c r="T27" s="144">
        <v>0.021</v>
      </c>
      <c r="U27" s="145" t="s">
        <v>198</v>
      </c>
      <c r="V27" s="145" t="s">
        <v>198</v>
      </c>
      <c r="W27" s="144">
        <v>0.019</v>
      </c>
      <c r="X27" s="144">
        <v>0.0</v>
      </c>
      <c r="Y27" s="144">
        <v>0.026</v>
      </c>
      <c r="Z27" s="145" t="s">
        <v>198</v>
      </c>
      <c r="AA27" s="144">
        <v>0.024</v>
      </c>
      <c r="AB27" s="145" t="s">
        <v>198</v>
      </c>
      <c r="AC27" s="144">
        <v>0.025</v>
      </c>
      <c r="AD27" s="144">
        <v>0.0</v>
      </c>
      <c r="AE27" s="145" t="s">
        <v>198</v>
      </c>
      <c r="AF27" s="145" t="s">
        <v>198</v>
      </c>
      <c r="AG27" s="145" t="s">
        <v>198</v>
      </c>
      <c r="AH27" s="145" t="s">
        <v>198</v>
      </c>
      <c r="AI27" s="145" t="s">
        <v>198</v>
      </c>
      <c r="AJ27" s="144">
        <v>0.013</v>
      </c>
      <c r="AK27" s="145" t="s">
        <v>198</v>
      </c>
      <c r="AL27" s="144">
        <v>0.028</v>
      </c>
      <c r="AM27" s="145" t="s">
        <v>198</v>
      </c>
      <c r="AN27" s="144">
        <v>0.022</v>
      </c>
      <c r="AO27" s="144">
        <v>0.018</v>
      </c>
    </row>
    <row r="28">
      <c r="A28" s="140" t="s">
        <v>185</v>
      </c>
      <c r="B28" s="144">
        <v>0.022</v>
      </c>
      <c r="C28" s="144">
        <v>0.02</v>
      </c>
      <c r="D28" s="145" t="s">
        <v>198</v>
      </c>
      <c r="E28" s="144">
        <v>0.057</v>
      </c>
      <c r="F28" s="145" t="s">
        <v>198</v>
      </c>
      <c r="G28" s="145" t="s">
        <v>198</v>
      </c>
      <c r="H28" s="144">
        <v>0.035</v>
      </c>
      <c r="I28" s="144">
        <v>0.023</v>
      </c>
      <c r="J28" s="145" t="s">
        <v>198</v>
      </c>
      <c r="K28" s="144">
        <v>0.019</v>
      </c>
      <c r="L28" s="144">
        <v>0.0</v>
      </c>
      <c r="M28" s="144">
        <v>0.0</v>
      </c>
      <c r="N28" s="144">
        <v>0.0</v>
      </c>
      <c r="O28" s="144">
        <v>0.0</v>
      </c>
      <c r="P28" s="144">
        <v>0.0</v>
      </c>
      <c r="Q28" s="144">
        <v>0.028</v>
      </c>
      <c r="R28" s="144">
        <v>0.017</v>
      </c>
      <c r="S28" s="145" t="s">
        <v>198</v>
      </c>
      <c r="T28" s="145" t="s">
        <v>198</v>
      </c>
      <c r="U28" s="145" t="s">
        <v>198</v>
      </c>
      <c r="V28" s="144">
        <v>0.0</v>
      </c>
      <c r="W28" s="145" t="s">
        <v>198</v>
      </c>
      <c r="X28" s="145" t="s">
        <v>198</v>
      </c>
      <c r="Y28" s="144">
        <v>0.027</v>
      </c>
      <c r="Z28" s="145" t="s">
        <v>198</v>
      </c>
      <c r="AA28" s="144">
        <v>0.045</v>
      </c>
      <c r="AB28" s="145" t="s">
        <v>198</v>
      </c>
      <c r="AC28" s="144">
        <v>0.034</v>
      </c>
      <c r="AD28" s="144">
        <v>0.0</v>
      </c>
      <c r="AE28" s="145" t="s">
        <v>198</v>
      </c>
      <c r="AF28" s="144">
        <v>0.039</v>
      </c>
      <c r="AG28" s="144">
        <v>0.0</v>
      </c>
      <c r="AH28" s="145" t="s">
        <v>198</v>
      </c>
      <c r="AI28" s="145" t="s">
        <v>198</v>
      </c>
      <c r="AJ28" s="144">
        <v>0.016</v>
      </c>
      <c r="AK28" s="144">
        <v>0.0</v>
      </c>
      <c r="AL28" s="144">
        <v>0.019</v>
      </c>
      <c r="AM28" s="145" t="s">
        <v>198</v>
      </c>
      <c r="AN28" s="144">
        <v>0.025</v>
      </c>
      <c r="AO28" s="144">
        <v>0.024</v>
      </c>
    </row>
    <row r="29">
      <c r="A29" s="147" t="s">
        <v>186</v>
      </c>
      <c r="B29" s="144">
        <v>0.0</v>
      </c>
      <c r="C29" s="144">
        <v>0.015</v>
      </c>
      <c r="D29" s="145" t="s">
        <v>198</v>
      </c>
      <c r="E29" s="144">
        <v>0.081</v>
      </c>
      <c r="F29" s="145" t="s">
        <v>198</v>
      </c>
      <c r="G29" s="144">
        <v>0.013</v>
      </c>
      <c r="H29" s="144">
        <v>0.027</v>
      </c>
      <c r="I29" s="144">
        <v>0.026</v>
      </c>
      <c r="J29" s="144">
        <v>0.011</v>
      </c>
      <c r="K29" s="144">
        <v>0.018</v>
      </c>
      <c r="L29" s="145" t="s">
        <v>198</v>
      </c>
      <c r="M29" s="144">
        <v>0.0</v>
      </c>
      <c r="N29" s="145" t="s">
        <v>198</v>
      </c>
      <c r="O29" s="145" t="s">
        <v>198</v>
      </c>
      <c r="P29" s="145" t="s">
        <v>198</v>
      </c>
      <c r="Q29" s="144">
        <v>0.036</v>
      </c>
      <c r="R29" s="144">
        <v>0.015</v>
      </c>
      <c r="S29" s="144">
        <v>0.0</v>
      </c>
      <c r="T29" s="145" t="s">
        <v>198</v>
      </c>
      <c r="U29" s="145" t="s">
        <v>198</v>
      </c>
      <c r="V29" s="145" t="s">
        <v>198</v>
      </c>
      <c r="W29" s="146">
        <v>0.013</v>
      </c>
      <c r="X29" s="144">
        <v>0.01</v>
      </c>
      <c r="Y29" s="144">
        <v>0.048</v>
      </c>
      <c r="Z29" s="145" t="s">
        <v>198</v>
      </c>
      <c r="AA29" s="144">
        <v>0.055</v>
      </c>
      <c r="AB29" s="145" t="s">
        <v>198</v>
      </c>
      <c r="AC29" s="144">
        <v>0.038</v>
      </c>
      <c r="AD29" s="144">
        <v>0.0</v>
      </c>
      <c r="AE29" s="145" t="s">
        <v>198</v>
      </c>
      <c r="AF29" s="144">
        <v>0.025</v>
      </c>
      <c r="AG29" s="145" t="s">
        <v>198</v>
      </c>
      <c r="AH29" s="145" t="s">
        <v>198</v>
      </c>
      <c r="AI29" s="144">
        <v>0.038</v>
      </c>
      <c r="AJ29" s="144">
        <v>0.023</v>
      </c>
      <c r="AK29" s="145" t="s">
        <v>198</v>
      </c>
      <c r="AL29" s="144">
        <v>0.018</v>
      </c>
      <c r="AM29" s="145" t="s">
        <v>198</v>
      </c>
      <c r="AN29" s="144">
        <v>0.019</v>
      </c>
      <c r="AO29" s="144">
        <v>0.027</v>
      </c>
    </row>
    <row r="30">
      <c r="A30" s="140" t="s">
        <v>187</v>
      </c>
      <c r="B30" s="145" t="s">
        <v>198</v>
      </c>
      <c r="C30" s="144">
        <v>0.014</v>
      </c>
      <c r="D30" s="144">
        <v>0.035</v>
      </c>
      <c r="E30" s="144">
        <v>0.07</v>
      </c>
      <c r="F30" s="145" t="s">
        <v>198</v>
      </c>
      <c r="G30" s="144">
        <v>0.007</v>
      </c>
      <c r="H30" s="144">
        <v>0.056</v>
      </c>
      <c r="I30" s="144">
        <v>0.017</v>
      </c>
      <c r="J30" s="144">
        <v>0.016</v>
      </c>
      <c r="K30" s="144">
        <v>0.012</v>
      </c>
      <c r="L30" s="145" t="s">
        <v>198</v>
      </c>
      <c r="M30" s="145" t="s">
        <v>198</v>
      </c>
      <c r="N30" s="145" t="s">
        <v>198</v>
      </c>
      <c r="O30" s="144">
        <v>0.0</v>
      </c>
      <c r="P30" s="145" t="s">
        <v>198</v>
      </c>
      <c r="Q30" s="144">
        <v>0.021</v>
      </c>
      <c r="R30" s="144">
        <v>0.038</v>
      </c>
      <c r="S30" s="144">
        <v>0.0</v>
      </c>
      <c r="T30" s="144">
        <v>0.018</v>
      </c>
      <c r="U30" s="144">
        <v>0.0</v>
      </c>
      <c r="V30" s="145" t="s">
        <v>198</v>
      </c>
      <c r="W30" s="144">
        <v>0.011</v>
      </c>
      <c r="X30" s="144">
        <v>0.013</v>
      </c>
      <c r="Y30" s="144">
        <v>0.052</v>
      </c>
      <c r="Z30" s="145" t="s">
        <v>198</v>
      </c>
      <c r="AA30" s="144">
        <v>0.055</v>
      </c>
      <c r="AB30" s="144">
        <v>0.0</v>
      </c>
      <c r="AC30" s="144">
        <v>0.041</v>
      </c>
      <c r="AD30" s="145" t="s">
        <v>198</v>
      </c>
      <c r="AE30" s="144">
        <v>0.0</v>
      </c>
      <c r="AF30" s="145" t="s">
        <v>198</v>
      </c>
      <c r="AG30" s="145" t="s">
        <v>198</v>
      </c>
      <c r="AH30" s="145" t="s">
        <v>198</v>
      </c>
      <c r="AI30" s="145" t="s">
        <v>198</v>
      </c>
      <c r="AJ30" s="144">
        <v>0.02</v>
      </c>
      <c r="AK30" s="145" t="s">
        <v>198</v>
      </c>
      <c r="AL30" s="144">
        <v>0.034</v>
      </c>
      <c r="AM30" s="145" t="s">
        <v>198</v>
      </c>
      <c r="AN30" s="144">
        <v>0.02</v>
      </c>
      <c r="AO30" s="144">
        <v>0.029</v>
      </c>
    </row>
    <row r="31">
      <c r="A31" s="148" t="s">
        <v>188</v>
      </c>
      <c r="B31" s="145" t="s">
        <v>198</v>
      </c>
      <c r="C31" s="144">
        <v>0.006</v>
      </c>
      <c r="D31" s="145" t="s">
        <v>198</v>
      </c>
      <c r="E31" s="144">
        <v>0.071</v>
      </c>
      <c r="F31" s="144">
        <v>0.0</v>
      </c>
      <c r="G31" s="144">
        <v>0.008</v>
      </c>
      <c r="H31" s="144">
        <v>0.057</v>
      </c>
      <c r="I31" s="144">
        <v>0.018</v>
      </c>
      <c r="J31" s="145" t="s">
        <v>198</v>
      </c>
      <c r="K31" s="144">
        <v>0.014</v>
      </c>
      <c r="L31" s="145" t="s">
        <v>198</v>
      </c>
      <c r="M31" s="145" t="s">
        <v>198</v>
      </c>
      <c r="N31" s="145" t="s">
        <v>198</v>
      </c>
      <c r="O31" s="144">
        <v>0.0</v>
      </c>
      <c r="P31" s="144">
        <v>0.0</v>
      </c>
      <c r="Q31" s="144">
        <v>0.031</v>
      </c>
      <c r="R31" s="144">
        <v>0.031</v>
      </c>
      <c r="S31" s="144">
        <v>0.0</v>
      </c>
      <c r="T31" s="145" t="s">
        <v>198</v>
      </c>
      <c r="U31" s="145" t="s">
        <v>198</v>
      </c>
      <c r="V31" s="145" t="s">
        <v>198</v>
      </c>
      <c r="W31" s="144">
        <v>0.008</v>
      </c>
      <c r="X31" s="144">
        <v>0.011</v>
      </c>
      <c r="Y31" s="144">
        <v>0.041</v>
      </c>
      <c r="Z31" s="145" t="s">
        <v>198</v>
      </c>
      <c r="AA31" s="144">
        <v>0.051</v>
      </c>
      <c r="AB31" s="145" t="s">
        <v>198</v>
      </c>
      <c r="AC31" s="144">
        <v>0.045</v>
      </c>
      <c r="AD31" s="145" t="s">
        <v>198</v>
      </c>
      <c r="AE31" s="145" t="s">
        <v>198</v>
      </c>
      <c r="AF31" s="144">
        <v>0.022</v>
      </c>
      <c r="AG31" s="144">
        <v>0.0</v>
      </c>
      <c r="AH31" s="144">
        <v>0.0</v>
      </c>
      <c r="AI31" s="144">
        <v>0.0</v>
      </c>
      <c r="AJ31" s="144">
        <v>0.019</v>
      </c>
      <c r="AK31" s="144">
        <v>0.0</v>
      </c>
      <c r="AL31" s="144">
        <v>0.017</v>
      </c>
      <c r="AM31" s="145" t="s">
        <v>198</v>
      </c>
      <c r="AN31" s="144">
        <v>0.025</v>
      </c>
      <c r="AO31" s="144">
        <v>0.027</v>
      </c>
    </row>
    <row r="32">
      <c r="A32" s="148" t="s">
        <v>189</v>
      </c>
      <c r="B32" s="145" t="s">
        <v>198</v>
      </c>
      <c r="C32" s="144">
        <v>0.007</v>
      </c>
      <c r="D32" s="145" t="s">
        <v>198</v>
      </c>
      <c r="E32" s="144">
        <v>0.063</v>
      </c>
      <c r="F32" s="145" t="s">
        <v>198</v>
      </c>
      <c r="G32" s="144">
        <v>0.009</v>
      </c>
      <c r="H32" s="144">
        <v>0.026</v>
      </c>
      <c r="I32" s="144">
        <v>0.022</v>
      </c>
      <c r="J32" s="145" t="s">
        <v>198</v>
      </c>
      <c r="K32" s="144">
        <v>0.012</v>
      </c>
      <c r="L32" s="145" t="s">
        <v>198</v>
      </c>
      <c r="M32" s="145" t="s">
        <v>198</v>
      </c>
      <c r="N32" s="145" t="s">
        <v>198</v>
      </c>
      <c r="O32" s="144">
        <v>0.0</v>
      </c>
      <c r="P32" s="145" t="s">
        <v>198</v>
      </c>
      <c r="Q32" s="144">
        <v>0.022</v>
      </c>
      <c r="R32" s="144">
        <v>0.012</v>
      </c>
      <c r="S32" s="144">
        <v>0.0</v>
      </c>
      <c r="T32" s="144">
        <v>0.0</v>
      </c>
      <c r="U32" s="144">
        <v>0.064</v>
      </c>
      <c r="V32" s="145" t="s">
        <v>198</v>
      </c>
      <c r="W32" s="145" t="s">
        <v>198</v>
      </c>
      <c r="X32" s="144">
        <v>0.017</v>
      </c>
      <c r="Y32" s="144">
        <v>0.024</v>
      </c>
      <c r="Z32" s="144">
        <v>0.0</v>
      </c>
      <c r="AA32" s="144">
        <v>0.034</v>
      </c>
      <c r="AB32" s="145" t="s">
        <v>198</v>
      </c>
      <c r="AC32" s="144">
        <v>0.046</v>
      </c>
      <c r="AD32" s="145" t="s">
        <v>198</v>
      </c>
      <c r="AE32" s="145" t="s">
        <v>198</v>
      </c>
      <c r="AF32" s="144">
        <v>0.022</v>
      </c>
      <c r="AG32" s="144">
        <v>0.025</v>
      </c>
      <c r="AH32" s="144">
        <v>0.0</v>
      </c>
      <c r="AI32" s="144">
        <v>0.0</v>
      </c>
      <c r="AJ32" s="144">
        <v>0.016</v>
      </c>
      <c r="AK32" s="144">
        <v>0.0</v>
      </c>
      <c r="AL32" s="144">
        <v>0.026</v>
      </c>
      <c r="AM32" s="144">
        <v>0.0</v>
      </c>
      <c r="AN32" s="144">
        <v>0.021</v>
      </c>
      <c r="AO32" s="144">
        <v>0.024</v>
      </c>
    </row>
    <row r="33">
      <c r="A33" s="148" t="s">
        <v>190</v>
      </c>
      <c r="B33" s="144">
        <v>0.0</v>
      </c>
      <c r="C33" s="144">
        <v>0.004</v>
      </c>
      <c r="D33" s="145" t="s">
        <v>198</v>
      </c>
      <c r="E33" s="144">
        <v>0.082</v>
      </c>
      <c r="F33" s="144">
        <v>0.0</v>
      </c>
      <c r="G33" s="144">
        <v>0.016</v>
      </c>
      <c r="H33" s="144">
        <v>0.034</v>
      </c>
      <c r="I33" s="144">
        <v>0.026</v>
      </c>
      <c r="J33" s="144">
        <v>0.022</v>
      </c>
      <c r="K33" s="144">
        <v>0.014</v>
      </c>
      <c r="L33" s="145" t="s">
        <v>198</v>
      </c>
      <c r="M33" s="145" t="s">
        <v>198</v>
      </c>
      <c r="N33" s="145" t="s">
        <v>198</v>
      </c>
      <c r="O33" s="145" t="s">
        <v>198</v>
      </c>
      <c r="P33" s="145" t="s">
        <v>198</v>
      </c>
      <c r="Q33" s="144">
        <v>0.045</v>
      </c>
      <c r="R33" s="144">
        <v>0.016</v>
      </c>
      <c r="S33" s="144">
        <v>0.0</v>
      </c>
      <c r="T33" s="144">
        <v>0.013</v>
      </c>
      <c r="U33" s="144">
        <v>0.028</v>
      </c>
      <c r="V33" s="144">
        <v>0.0</v>
      </c>
      <c r="W33" s="145" t="s">
        <v>198</v>
      </c>
      <c r="X33" s="144">
        <v>0.018</v>
      </c>
      <c r="Y33" s="144">
        <v>0.03</v>
      </c>
      <c r="Z33" s="145" t="s">
        <v>198</v>
      </c>
      <c r="AA33" s="144">
        <v>0.032</v>
      </c>
      <c r="AB33" s="145" t="s">
        <v>198</v>
      </c>
      <c r="AC33" s="144">
        <v>0.04</v>
      </c>
      <c r="AD33" s="144">
        <v>0.0</v>
      </c>
      <c r="AE33" s="145" t="s">
        <v>198</v>
      </c>
      <c r="AF33" s="144">
        <v>0.004</v>
      </c>
      <c r="AG33" s="145" t="s">
        <v>198</v>
      </c>
      <c r="AH33" s="144">
        <v>0.027</v>
      </c>
      <c r="AI33" s="145" t="s">
        <v>198</v>
      </c>
      <c r="AJ33" s="144">
        <v>0.024</v>
      </c>
      <c r="AK33" s="145" t="s">
        <v>198</v>
      </c>
      <c r="AL33" s="145" t="s">
        <v>198</v>
      </c>
      <c r="AM33" s="145" t="s">
        <v>198</v>
      </c>
      <c r="AN33" s="144">
        <v>0.019</v>
      </c>
      <c r="AO33" s="144">
        <v>0.021</v>
      </c>
    </row>
    <row r="34">
      <c r="A34" s="148" t="s">
        <v>191</v>
      </c>
      <c r="B34" s="145" t="s">
        <v>198</v>
      </c>
      <c r="C34" s="144">
        <v>0.001</v>
      </c>
      <c r="D34" s="145" t="s">
        <v>198</v>
      </c>
      <c r="E34" s="144">
        <v>0.046</v>
      </c>
      <c r="F34" s="145" t="s">
        <v>198</v>
      </c>
      <c r="G34" s="144">
        <v>0.013</v>
      </c>
      <c r="H34" s="144">
        <v>0.028</v>
      </c>
      <c r="I34" s="144">
        <v>0.013</v>
      </c>
      <c r="J34" s="144">
        <v>0.015</v>
      </c>
      <c r="K34" s="144">
        <v>0.005</v>
      </c>
      <c r="L34" s="144">
        <v>0.0</v>
      </c>
      <c r="M34" s="145" t="s">
        <v>198</v>
      </c>
      <c r="N34" s="145" t="s">
        <v>198</v>
      </c>
      <c r="O34" s="145" t="s">
        <v>198</v>
      </c>
      <c r="P34" s="144">
        <v>0.0</v>
      </c>
      <c r="Q34" s="144">
        <v>0.027</v>
      </c>
      <c r="R34" s="144">
        <v>0.017</v>
      </c>
      <c r="S34" s="144">
        <v>0.0</v>
      </c>
      <c r="T34" s="145" t="s">
        <v>198</v>
      </c>
      <c r="U34" s="144">
        <v>0.018</v>
      </c>
      <c r="V34" s="144">
        <v>0.0</v>
      </c>
      <c r="W34" s="144">
        <v>0.006</v>
      </c>
      <c r="X34" s="144">
        <v>0.011</v>
      </c>
      <c r="Y34" s="144">
        <v>0.029</v>
      </c>
      <c r="Z34" s="145" t="s">
        <v>198</v>
      </c>
      <c r="AA34" s="144">
        <v>0.027</v>
      </c>
      <c r="AB34" s="144">
        <v>0.019</v>
      </c>
      <c r="AC34" s="144">
        <v>0.026</v>
      </c>
      <c r="AD34" s="145" t="s">
        <v>198</v>
      </c>
      <c r="AE34" s="145" t="s">
        <v>198</v>
      </c>
      <c r="AF34" s="144">
        <v>0.002</v>
      </c>
      <c r="AG34" s="145" t="s">
        <v>198</v>
      </c>
      <c r="AH34" s="144">
        <v>0.022</v>
      </c>
      <c r="AI34" s="145" t="s">
        <v>198</v>
      </c>
      <c r="AJ34" s="144">
        <v>0.008</v>
      </c>
      <c r="AK34" s="145" t="s">
        <v>198</v>
      </c>
      <c r="AL34" s="144">
        <v>0.011</v>
      </c>
      <c r="AM34" s="145" t="s">
        <v>198</v>
      </c>
      <c r="AN34" s="144">
        <v>0.021</v>
      </c>
      <c r="AO34" s="144">
        <v>0.013</v>
      </c>
    </row>
    <row r="35">
      <c r="A35" s="148" t="s">
        <v>192</v>
      </c>
      <c r="B35" s="145" t="s">
        <v>198</v>
      </c>
      <c r="C35" s="145" t="s">
        <v>198</v>
      </c>
      <c r="D35" s="145" t="s">
        <v>198</v>
      </c>
      <c r="E35" s="144">
        <v>0.015</v>
      </c>
      <c r="F35" s="144">
        <v>0.0</v>
      </c>
      <c r="G35" s="145" t="s">
        <v>198</v>
      </c>
      <c r="H35" s="144">
        <v>0.02</v>
      </c>
      <c r="I35" s="144">
        <v>0.016</v>
      </c>
      <c r="J35" s="144">
        <v>0.0</v>
      </c>
      <c r="K35" s="144">
        <v>0.009</v>
      </c>
      <c r="L35" s="144">
        <v>0.0</v>
      </c>
      <c r="M35" s="145" t="s">
        <v>198</v>
      </c>
      <c r="N35" s="145" t="s">
        <v>198</v>
      </c>
      <c r="O35" s="144">
        <v>0.0</v>
      </c>
      <c r="P35" s="145" t="s">
        <v>198</v>
      </c>
      <c r="Q35" s="144">
        <v>0.022</v>
      </c>
      <c r="R35" s="144">
        <v>0.011</v>
      </c>
      <c r="S35" s="144">
        <v>0.0</v>
      </c>
      <c r="T35" s="145" t="s">
        <v>198</v>
      </c>
      <c r="U35" s="145" t="s">
        <v>198</v>
      </c>
      <c r="V35" s="144">
        <v>0.0</v>
      </c>
      <c r="W35" s="144">
        <v>0.005</v>
      </c>
      <c r="X35" s="144">
        <v>0.007</v>
      </c>
      <c r="Y35" s="144">
        <v>0.037</v>
      </c>
      <c r="Z35" s="145" t="s">
        <v>198</v>
      </c>
      <c r="AA35" s="144">
        <v>0.021</v>
      </c>
      <c r="AB35" s="145" t="s">
        <v>198</v>
      </c>
      <c r="AC35" s="144">
        <v>0.014</v>
      </c>
      <c r="AD35" s="144">
        <v>0.0</v>
      </c>
      <c r="AE35" s="145" t="s">
        <v>198</v>
      </c>
      <c r="AF35" s="144">
        <v>0.002</v>
      </c>
      <c r="AG35" s="144">
        <v>0.0</v>
      </c>
      <c r="AH35" s="144">
        <v>0.022</v>
      </c>
      <c r="AI35" s="145" t="s">
        <v>198</v>
      </c>
      <c r="AJ35" s="144">
        <v>0.016</v>
      </c>
      <c r="AK35" s="144">
        <v>0.0</v>
      </c>
      <c r="AL35" s="145" t="s">
        <v>198</v>
      </c>
      <c r="AM35" s="145" t="s">
        <v>198</v>
      </c>
      <c r="AN35" s="144">
        <v>0.012</v>
      </c>
      <c r="AO35" s="144">
        <v>0.011</v>
      </c>
    </row>
    <row r="36">
      <c r="A36" s="148" t="s">
        <v>193</v>
      </c>
      <c r="B36" s="144">
        <v>0.01</v>
      </c>
      <c r="C36" s="144">
        <v>0.001</v>
      </c>
      <c r="D36" s="144">
        <v>0.027</v>
      </c>
      <c r="E36" s="144">
        <v>0.053</v>
      </c>
      <c r="F36" s="145" t="s">
        <v>198</v>
      </c>
      <c r="G36" s="144">
        <v>0.008</v>
      </c>
      <c r="H36" s="144">
        <v>0.024</v>
      </c>
      <c r="I36" s="144">
        <v>0.039</v>
      </c>
      <c r="J36" s="145" t="s">
        <v>198</v>
      </c>
      <c r="K36" s="144">
        <v>0.011</v>
      </c>
      <c r="L36" s="145" t="s">
        <v>198</v>
      </c>
      <c r="M36" s="145" t="s">
        <v>198</v>
      </c>
      <c r="N36" s="145" t="s">
        <v>198</v>
      </c>
      <c r="O36" s="144">
        <v>0.0</v>
      </c>
      <c r="P36" s="144">
        <v>0.0</v>
      </c>
      <c r="Q36" s="144">
        <v>0.019</v>
      </c>
      <c r="R36" s="145" t="s">
        <v>198</v>
      </c>
      <c r="S36" s="144">
        <v>0.0</v>
      </c>
      <c r="T36" s="145" t="s">
        <v>198</v>
      </c>
      <c r="U36" s="145" t="s">
        <v>198</v>
      </c>
      <c r="V36" s="144">
        <v>0.0</v>
      </c>
      <c r="W36" s="144">
        <v>0.008</v>
      </c>
      <c r="X36" s="144">
        <v>0.01</v>
      </c>
      <c r="Y36" s="144">
        <v>0.022</v>
      </c>
      <c r="Z36" s="145" t="s">
        <v>198</v>
      </c>
      <c r="AA36" s="144">
        <v>0.033</v>
      </c>
      <c r="AB36" s="145" t="s">
        <v>198</v>
      </c>
      <c r="AC36" s="144">
        <v>0.014</v>
      </c>
      <c r="AD36" s="144">
        <v>0.0</v>
      </c>
      <c r="AE36" s="145" t="s">
        <v>198</v>
      </c>
      <c r="AF36" s="144">
        <v>0.003</v>
      </c>
      <c r="AG36" s="145" t="s">
        <v>198</v>
      </c>
      <c r="AH36" s="145" t="s">
        <v>198</v>
      </c>
      <c r="AI36" s="144">
        <v>0.0</v>
      </c>
      <c r="AJ36" s="144">
        <v>0.017</v>
      </c>
      <c r="AK36" s="145" t="s">
        <v>198</v>
      </c>
      <c r="AL36" s="144">
        <v>0.022</v>
      </c>
      <c r="AM36" s="144">
        <v>0.015</v>
      </c>
      <c r="AN36" s="144">
        <v>0.026</v>
      </c>
      <c r="AO36" s="144">
        <v>0.012</v>
      </c>
    </row>
    <row r="37">
      <c r="A37" s="148" t="s">
        <v>194</v>
      </c>
      <c r="B37" s="145" t="s">
        <v>198</v>
      </c>
      <c r="C37" s="144">
        <v>0.001</v>
      </c>
      <c r="D37" s="144">
        <v>0.031</v>
      </c>
      <c r="E37" s="144">
        <v>0.051</v>
      </c>
      <c r="F37" s="145" t="s">
        <v>198</v>
      </c>
      <c r="G37" s="144">
        <v>0.028</v>
      </c>
      <c r="H37" s="144">
        <v>0.021</v>
      </c>
      <c r="I37" s="144">
        <v>0.019</v>
      </c>
      <c r="J37" s="145" t="s">
        <v>198</v>
      </c>
      <c r="K37" s="144">
        <v>0.007</v>
      </c>
      <c r="L37" s="145" t="s">
        <v>198</v>
      </c>
      <c r="M37" s="144">
        <v>0.0</v>
      </c>
      <c r="N37" s="144">
        <v>0.0</v>
      </c>
      <c r="O37" s="144">
        <v>0.0</v>
      </c>
      <c r="P37" s="145" t="s">
        <v>198</v>
      </c>
      <c r="Q37" s="144">
        <v>0.032</v>
      </c>
      <c r="R37" s="144">
        <v>0.012</v>
      </c>
      <c r="S37" s="144">
        <v>0.0</v>
      </c>
      <c r="T37" s="144">
        <v>0.0</v>
      </c>
      <c r="U37" s="144">
        <v>0.085</v>
      </c>
      <c r="V37" s="144">
        <v>0.0</v>
      </c>
      <c r="W37" s="144">
        <v>0.006</v>
      </c>
      <c r="X37" s="144">
        <v>0.007</v>
      </c>
      <c r="Y37" s="144">
        <v>0.027</v>
      </c>
      <c r="Z37" s="144">
        <v>0.023</v>
      </c>
      <c r="AA37" s="144">
        <v>0.022</v>
      </c>
      <c r="AB37" s="145" t="s">
        <v>198</v>
      </c>
      <c r="AC37" s="144">
        <v>0.02</v>
      </c>
      <c r="AD37" s="144">
        <v>0.0</v>
      </c>
      <c r="AE37" s="145" t="s">
        <v>198</v>
      </c>
      <c r="AF37" s="144">
        <v>0.002</v>
      </c>
      <c r="AG37" s="144">
        <v>0.009</v>
      </c>
      <c r="AH37" s="144">
        <v>0.018</v>
      </c>
      <c r="AI37" s="145" t="s">
        <v>198</v>
      </c>
      <c r="AJ37" s="144">
        <v>0.021</v>
      </c>
      <c r="AK37" s="145" t="s">
        <v>198</v>
      </c>
      <c r="AL37" s="144">
        <v>0.017</v>
      </c>
      <c r="AM37" s="144">
        <v>0.019</v>
      </c>
      <c r="AN37" s="144">
        <v>0.016</v>
      </c>
      <c r="AO37" s="144">
        <v>0.014</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9" t="s">
        <v>207</v>
      </c>
      <c r="B1" s="150" t="s">
        <v>208</v>
      </c>
      <c r="C1" s="151" t="s">
        <v>74</v>
      </c>
      <c r="D1" s="151" t="s">
        <v>75</v>
      </c>
      <c r="E1" s="151" t="s">
        <v>76</v>
      </c>
      <c r="F1" s="151" t="s">
        <v>77</v>
      </c>
      <c r="G1" s="151" t="s">
        <v>25</v>
      </c>
      <c r="H1" s="151" t="s">
        <v>78</v>
      </c>
    </row>
    <row r="2" ht="14.25" customHeight="1">
      <c r="A2" s="152" t="s">
        <v>79</v>
      </c>
      <c r="B2" s="150" t="s">
        <v>126</v>
      </c>
      <c r="C2" s="153">
        <f>Municipality!B2</f>
        <v>79</v>
      </c>
      <c r="D2" s="153">
        <f>Municipality!C2</f>
        <v>488</v>
      </c>
      <c r="E2" s="153">
        <f>Municipality!D2</f>
        <v>7</v>
      </c>
      <c r="F2" s="153">
        <f>Municipality!E2</f>
        <v>43</v>
      </c>
      <c r="G2" s="153">
        <f>Municipality!F2</f>
        <v>0</v>
      </c>
      <c r="H2" s="153">
        <f>Municipality!G2</f>
        <v>0</v>
      </c>
    </row>
    <row r="3" ht="14.25" customHeight="1">
      <c r="A3" s="152" t="s">
        <v>80</v>
      </c>
      <c r="B3" s="150" t="s">
        <v>127</v>
      </c>
      <c r="C3" s="153">
        <f>Municipality!B3</f>
        <v>216</v>
      </c>
      <c r="D3" s="153">
        <f>Municipality!C3</f>
        <v>971</v>
      </c>
      <c r="E3" s="153">
        <f>Municipality!D3</f>
        <v>14</v>
      </c>
      <c r="F3" s="153">
        <f>Municipality!E3</f>
        <v>63</v>
      </c>
      <c r="G3" s="153">
        <f>Municipality!F3</f>
        <v>9</v>
      </c>
      <c r="H3" s="153">
        <f>Municipality!G3</f>
        <v>40</v>
      </c>
    </row>
    <row r="4" ht="14.25" customHeight="1">
      <c r="A4" s="152" t="s">
        <v>81</v>
      </c>
      <c r="B4" s="150" t="s">
        <v>128</v>
      </c>
      <c r="C4" s="153">
        <f>Municipality!B4</f>
        <v>154</v>
      </c>
      <c r="D4" s="153">
        <f>Municipality!C4</f>
        <v>936</v>
      </c>
      <c r="E4" s="153">
        <f>Municipality!D4</f>
        <v>21</v>
      </c>
      <c r="F4" s="153">
        <f>Municipality!E4</f>
        <v>128</v>
      </c>
      <c r="G4" s="153">
        <f>Municipality!F4</f>
        <v>22</v>
      </c>
      <c r="H4" s="153">
        <f>Municipality!G4</f>
        <v>134</v>
      </c>
    </row>
    <row r="5" ht="14.25" customHeight="1">
      <c r="A5" s="152" t="s">
        <v>82</v>
      </c>
      <c r="B5" s="150" t="s">
        <v>129</v>
      </c>
      <c r="C5" s="153">
        <f>Municipality!B5</f>
        <v>1249</v>
      </c>
      <c r="D5" s="153">
        <f>Municipality!C5</f>
        <v>6444</v>
      </c>
      <c r="E5" s="153">
        <f>Municipality!D5</f>
        <v>94</v>
      </c>
      <c r="F5" s="153">
        <f>Municipality!E5</f>
        <v>485</v>
      </c>
      <c r="G5" s="153">
        <f>Municipality!F5</f>
        <v>12</v>
      </c>
      <c r="H5" s="153">
        <f>Municipality!G5</f>
        <v>62</v>
      </c>
    </row>
    <row r="6" ht="14.25" customHeight="1">
      <c r="A6" s="152" t="s">
        <v>83</v>
      </c>
      <c r="B6" s="150" t="s">
        <v>130</v>
      </c>
      <c r="C6" s="153">
        <f>Municipality!B6</f>
        <v>38</v>
      </c>
      <c r="D6" s="153">
        <f>Municipality!C6</f>
        <v>488</v>
      </c>
      <c r="E6" s="153" t="str">
        <f>Municipality!D6</f>
        <v>&lt;5</v>
      </c>
      <c r="F6" s="153" t="str">
        <f>Municipality!E6</f>
        <v>--</v>
      </c>
      <c r="G6" s="153" t="str">
        <f>Municipality!F6</f>
        <v>&lt;5</v>
      </c>
      <c r="H6" s="153" t="str">
        <f>Municipality!G6</f>
        <v>--</v>
      </c>
    </row>
    <row r="7" ht="14.25" customHeight="1">
      <c r="A7" s="152" t="s">
        <v>84</v>
      </c>
      <c r="B7" s="150" t="s">
        <v>131</v>
      </c>
      <c r="C7" s="153">
        <f>Municipality!B7</f>
        <v>331</v>
      </c>
      <c r="D7" s="153">
        <f>Municipality!C7</f>
        <v>957</v>
      </c>
      <c r="E7" s="153">
        <f>Municipality!D7</f>
        <v>26</v>
      </c>
      <c r="F7" s="153">
        <f>Municipality!E7</f>
        <v>75</v>
      </c>
      <c r="G7" s="153">
        <f>Municipality!F7</f>
        <v>13</v>
      </c>
      <c r="H7" s="153">
        <f>Municipality!G7</f>
        <v>38</v>
      </c>
    </row>
    <row r="8" ht="14.25" customHeight="1">
      <c r="A8" s="152" t="s">
        <v>85</v>
      </c>
      <c r="B8" s="150" t="s">
        <v>132</v>
      </c>
      <c r="C8" s="153">
        <f>Municipality!B8</f>
        <v>1567</v>
      </c>
      <c r="D8" s="153">
        <f>Municipality!C8</f>
        <v>1930</v>
      </c>
      <c r="E8" s="153">
        <f>Municipality!D8</f>
        <v>156</v>
      </c>
      <c r="F8" s="153">
        <f>Municipality!E8</f>
        <v>192</v>
      </c>
      <c r="G8" s="153">
        <f>Municipality!F8</f>
        <v>24</v>
      </c>
      <c r="H8" s="153">
        <f>Municipality!G8</f>
        <v>30</v>
      </c>
    </row>
    <row r="9" ht="14.25" customHeight="1">
      <c r="A9" s="152" t="s">
        <v>86</v>
      </c>
      <c r="B9" s="150" t="s">
        <v>133</v>
      </c>
      <c r="C9" s="153">
        <f>Municipality!B9</f>
        <v>491</v>
      </c>
      <c r="D9" s="153">
        <f>Municipality!C9</f>
        <v>1417</v>
      </c>
      <c r="E9" s="153">
        <f>Municipality!D9</f>
        <v>58</v>
      </c>
      <c r="F9" s="153">
        <f>Municipality!E9</f>
        <v>167</v>
      </c>
      <c r="G9" s="153">
        <f>Municipality!F9</f>
        <v>30</v>
      </c>
      <c r="H9" s="153">
        <f>Municipality!G9</f>
        <v>87</v>
      </c>
    </row>
    <row r="10" ht="14.25" customHeight="1">
      <c r="A10" s="152" t="s">
        <v>87</v>
      </c>
      <c r="B10" s="150" t="s">
        <v>134</v>
      </c>
      <c r="C10" s="153">
        <f>Municipality!B10</f>
        <v>139</v>
      </c>
      <c r="D10" s="153">
        <f>Municipality!C10</f>
        <v>1063</v>
      </c>
      <c r="E10" s="153">
        <f>Municipality!D10</f>
        <v>8</v>
      </c>
      <c r="F10" s="153">
        <f>Municipality!E10</f>
        <v>61</v>
      </c>
      <c r="G10" s="153" t="str">
        <f>Municipality!F10</f>
        <v>&lt;5</v>
      </c>
      <c r="H10" s="153" t="str">
        <f>Municipality!G10</f>
        <v>--</v>
      </c>
    </row>
    <row r="11" ht="14.25" customHeight="1">
      <c r="A11" s="152" t="s">
        <v>88</v>
      </c>
      <c r="B11" s="150" t="s">
        <v>135</v>
      </c>
      <c r="C11" s="153">
        <f>Municipality!B11</f>
        <v>915</v>
      </c>
      <c r="D11" s="153">
        <f>Municipality!C11</f>
        <v>1928</v>
      </c>
      <c r="E11" s="153">
        <f>Municipality!D11</f>
        <v>96</v>
      </c>
      <c r="F11" s="153">
        <f>Municipality!E11</f>
        <v>202</v>
      </c>
      <c r="G11" s="153">
        <f>Municipality!F11</f>
        <v>111</v>
      </c>
      <c r="H11" s="153">
        <f>Municipality!G11</f>
        <v>234</v>
      </c>
    </row>
    <row r="12" ht="14.25" customHeight="1">
      <c r="A12" s="152" t="s">
        <v>89</v>
      </c>
      <c r="B12" s="150" t="s">
        <v>136</v>
      </c>
      <c r="C12" s="153">
        <f>Municipality!B12</f>
        <v>50</v>
      </c>
      <c r="D12" s="153">
        <f>Municipality!C12</f>
        <v>737</v>
      </c>
      <c r="E12" s="153">
        <f>Municipality!D12</f>
        <v>6</v>
      </c>
      <c r="F12" s="153">
        <f>Municipality!E12</f>
        <v>88</v>
      </c>
      <c r="G12" s="153" t="str">
        <f>Municipality!F12</f>
        <v>&lt;5</v>
      </c>
      <c r="H12" s="153" t="str">
        <f>Municipality!G12</f>
        <v>--</v>
      </c>
    </row>
    <row r="13" ht="14.25" customHeight="1">
      <c r="A13" s="152" t="s">
        <v>90</v>
      </c>
      <c r="B13" s="150" t="s">
        <v>137</v>
      </c>
      <c r="C13" s="153">
        <f>Municipality!B13</f>
        <v>32</v>
      </c>
      <c r="D13" s="153">
        <f>Municipality!C13</f>
        <v>682</v>
      </c>
      <c r="E13" s="153" t="str">
        <f>Municipality!D13</f>
        <v>&lt;5</v>
      </c>
      <c r="F13" s="153" t="str">
        <f>Municipality!E13</f>
        <v>--</v>
      </c>
      <c r="G13" s="153">
        <f>Municipality!F13</f>
        <v>0</v>
      </c>
      <c r="H13" s="153">
        <f>Municipality!G13</f>
        <v>0</v>
      </c>
    </row>
    <row r="14" ht="14.25" customHeight="1">
      <c r="A14" s="152" t="s">
        <v>91</v>
      </c>
      <c r="B14" s="150" t="s">
        <v>138</v>
      </c>
      <c r="C14" s="153">
        <f>Municipality!B14</f>
        <v>67</v>
      </c>
      <c r="D14" s="153">
        <f>Municipality!C14</f>
        <v>666</v>
      </c>
      <c r="E14" s="153" t="str">
        <f>Municipality!D14</f>
        <v>&lt;5</v>
      </c>
      <c r="F14" s="153" t="str">
        <f>Municipality!E14</f>
        <v>--</v>
      </c>
      <c r="G14" s="153">
        <f>Municipality!F14</f>
        <v>0</v>
      </c>
      <c r="H14" s="153">
        <f>Municipality!G14</f>
        <v>0</v>
      </c>
    </row>
    <row r="15" ht="14.25" customHeight="1">
      <c r="A15" s="152" t="s">
        <v>92</v>
      </c>
      <c r="B15" s="150" t="s">
        <v>139</v>
      </c>
      <c r="C15" s="153">
        <f>Municipality!B15</f>
        <v>17</v>
      </c>
      <c r="D15" s="153">
        <f>Municipality!C15</f>
        <v>210</v>
      </c>
      <c r="E15" s="153" t="str">
        <f>Municipality!D15</f>
        <v>&lt;5</v>
      </c>
      <c r="F15" s="153" t="str">
        <f>Municipality!E15</f>
        <v>--</v>
      </c>
      <c r="G15" s="153" t="str">
        <f>Municipality!F15</f>
        <v>&lt;5</v>
      </c>
      <c r="H15" s="153" t="str">
        <f>Municipality!G15</f>
        <v>--</v>
      </c>
    </row>
    <row r="16" ht="14.25" customHeight="1">
      <c r="A16" s="152" t="s">
        <v>93</v>
      </c>
      <c r="B16" s="150" t="s">
        <v>140</v>
      </c>
      <c r="C16" s="153">
        <f>Municipality!B16</f>
        <v>29</v>
      </c>
      <c r="D16" s="153">
        <f>Municipality!C16</f>
        <v>528</v>
      </c>
      <c r="E16" s="153" t="str">
        <f>Municipality!D16</f>
        <v>&lt;5</v>
      </c>
      <c r="F16" s="153" t="str">
        <f>Municipality!E16</f>
        <v>--</v>
      </c>
      <c r="G16" s="153">
        <f>Municipality!F16</f>
        <v>0</v>
      </c>
      <c r="H16" s="153">
        <f>Municipality!G16</f>
        <v>0</v>
      </c>
    </row>
    <row r="17" ht="14.25" customHeight="1">
      <c r="A17" s="152" t="s">
        <v>94</v>
      </c>
      <c r="B17" s="150" t="s">
        <v>141</v>
      </c>
      <c r="C17" s="153">
        <f>Municipality!B17</f>
        <v>642</v>
      </c>
      <c r="D17" s="153">
        <f>Municipality!C17</f>
        <v>2196</v>
      </c>
      <c r="E17" s="153">
        <f>Municipality!D17</f>
        <v>57</v>
      </c>
      <c r="F17" s="153">
        <f>Municipality!E17</f>
        <v>195</v>
      </c>
      <c r="G17" s="153">
        <f>Municipality!F17</f>
        <v>66</v>
      </c>
      <c r="H17" s="153">
        <f>Municipality!G17</f>
        <v>226</v>
      </c>
    </row>
    <row r="18" ht="14.25" customHeight="1">
      <c r="A18" s="152" t="s">
        <v>95</v>
      </c>
      <c r="B18" s="150" t="s">
        <v>142</v>
      </c>
      <c r="C18" s="153">
        <f>Municipality!B18</f>
        <v>358</v>
      </c>
      <c r="D18" s="153">
        <f>Municipality!C18</f>
        <v>1654</v>
      </c>
      <c r="E18" s="153">
        <f>Municipality!D18</f>
        <v>34</v>
      </c>
      <c r="F18" s="153">
        <f>Municipality!E18</f>
        <v>157</v>
      </c>
      <c r="G18" s="153">
        <f>Municipality!F18</f>
        <v>37</v>
      </c>
      <c r="H18" s="153">
        <f>Municipality!G18</f>
        <v>171</v>
      </c>
    </row>
    <row r="19" ht="14.25" customHeight="1">
      <c r="A19" s="152" t="s">
        <v>96</v>
      </c>
      <c r="B19" s="150" t="s">
        <v>143</v>
      </c>
      <c r="C19" s="153">
        <f>Municipality!B19</f>
        <v>16</v>
      </c>
      <c r="D19" s="153">
        <f>Municipality!C19</f>
        <v>456</v>
      </c>
      <c r="E19" s="153">
        <f>Municipality!D19</f>
        <v>0</v>
      </c>
      <c r="F19" s="153">
        <f>Municipality!E19</f>
        <v>0</v>
      </c>
      <c r="G19" s="153" t="str">
        <f>Municipality!F19</f>
        <v>&lt;5</v>
      </c>
      <c r="H19" s="153" t="str">
        <f>Municipality!G19</f>
        <v>--</v>
      </c>
    </row>
    <row r="20" ht="14.25" customHeight="1">
      <c r="A20" s="152" t="s">
        <v>97</v>
      </c>
      <c r="B20" s="150" t="s">
        <v>144</v>
      </c>
      <c r="C20" s="153">
        <f>Municipality!B20</f>
        <v>90</v>
      </c>
      <c r="D20" s="153">
        <f>Municipality!C20</f>
        <v>560</v>
      </c>
      <c r="E20" s="153">
        <f>Municipality!D20</f>
        <v>8</v>
      </c>
      <c r="F20" s="153">
        <f>Municipality!E20</f>
        <v>50</v>
      </c>
      <c r="G20" s="153" t="str">
        <f>Municipality!F20</f>
        <v>&lt;5</v>
      </c>
      <c r="H20" s="153" t="str">
        <f>Municipality!G20</f>
        <v>--</v>
      </c>
    </row>
    <row r="21" ht="14.25" customHeight="1">
      <c r="A21" s="152" t="s">
        <v>98</v>
      </c>
      <c r="B21" s="150" t="s">
        <v>145</v>
      </c>
      <c r="C21" s="153">
        <f>Municipality!B21</f>
        <v>118</v>
      </c>
      <c r="D21" s="153">
        <f>Municipality!C21</f>
        <v>759</v>
      </c>
      <c r="E21" s="153">
        <f>Municipality!D21</f>
        <v>6</v>
      </c>
      <c r="F21" s="153">
        <f>Municipality!E21</f>
        <v>39</v>
      </c>
      <c r="G21" s="153">
        <f>Municipality!F21</f>
        <v>0</v>
      </c>
      <c r="H21" s="153">
        <f>Municipality!G21</f>
        <v>0</v>
      </c>
    </row>
    <row r="22" ht="14.25" customHeight="1">
      <c r="A22" s="152" t="s">
        <v>99</v>
      </c>
      <c r="B22" s="150" t="s">
        <v>146</v>
      </c>
      <c r="C22" s="153">
        <f>Municipality!B22</f>
        <v>6</v>
      </c>
      <c r="D22" s="153">
        <f>Municipality!C22</f>
        <v>726</v>
      </c>
      <c r="E22" s="153">
        <f>Municipality!D22</f>
        <v>0</v>
      </c>
      <c r="F22" s="153">
        <f>Municipality!E22</f>
        <v>0</v>
      </c>
      <c r="G22" s="153">
        <f>Municipality!F22</f>
        <v>0</v>
      </c>
      <c r="H22" s="153">
        <f>Municipality!G22</f>
        <v>0</v>
      </c>
    </row>
    <row r="23" ht="14.25" customHeight="1">
      <c r="A23" s="152" t="s">
        <v>100</v>
      </c>
      <c r="B23" s="150" t="s">
        <v>147</v>
      </c>
      <c r="C23" s="153">
        <f>Municipality!B23</f>
        <v>173</v>
      </c>
      <c r="D23" s="153">
        <f>Municipality!C23</f>
        <v>699</v>
      </c>
      <c r="E23" s="153">
        <f>Municipality!D23</f>
        <v>14</v>
      </c>
      <c r="F23" s="153">
        <f>Municipality!E23</f>
        <v>57</v>
      </c>
      <c r="G23" s="153" t="str">
        <f>Municipality!F23</f>
        <v>&lt;5</v>
      </c>
      <c r="H23" s="153" t="str">
        <f>Municipality!G23</f>
        <v>--</v>
      </c>
    </row>
    <row r="24" ht="14.25" customHeight="1">
      <c r="A24" s="152" t="s">
        <v>101</v>
      </c>
      <c r="B24" s="150" t="s">
        <v>148</v>
      </c>
      <c r="C24" s="153">
        <f>Municipality!B24</f>
        <v>304</v>
      </c>
      <c r="D24" s="153">
        <f>Municipality!C24</f>
        <v>1160</v>
      </c>
      <c r="E24" s="153">
        <f>Municipality!D24</f>
        <v>33</v>
      </c>
      <c r="F24" s="153">
        <f>Municipality!E24</f>
        <v>126</v>
      </c>
      <c r="G24" s="153">
        <f>Municipality!F24</f>
        <v>51</v>
      </c>
      <c r="H24" s="153">
        <f>Municipality!G24</f>
        <v>195</v>
      </c>
    </row>
    <row r="25" ht="15.75" customHeight="1">
      <c r="A25" s="152" t="s">
        <v>102</v>
      </c>
      <c r="B25" s="150" t="s">
        <v>149</v>
      </c>
      <c r="C25" s="153">
        <f>Municipality!B25</f>
        <v>1005</v>
      </c>
      <c r="D25" s="153">
        <f>Municipality!C25</f>
        <v>3096</v>
      </c>
      <c r="E25" s="153">
        <f>Municipality!D25</f>
        <v>118</v>
      </c>
      <c r="F25" s="153">
        <f>Municipality!E25</f>
        <v>364</v>
      </c>
      <c r="G25" s="153">
        <f>Municipality!F25</f>
        <v>80</v>
      </c>
      <c r="H25" s="153">
        <f>Municipality!G25</f>
        <v>246</v>
      </c>
    </row>
    <row r="26" ht="14.25" customHeight="1">
      <c r="A26" s="152" t="s">
        <v>103</v>
      </c>
      <c r="B26" s="150" t="s">
        <v>150</v>
      </c>
      <c r="C26" s="153">
        <f>Municipality!B26</f>
        <v>160</v>
      </c>
      <c r="D26" s="153">
        <f>Municipality!C26</f>
        <v>1296</v>
      </c>
      <c r="E26" s="153">
        <f>Municipality!D26</f>
        <v>17</v>
      </c>
      <c r="F26" s="153">
        <f>Municipality!E26</f>
        <v>138</v>
      </c>
      <c r="G26" s="153">
        <f>Municipality!F26</f>
        <v>27</v>
      </c>
      <c r="H26" s="153">
        <f>Municipality!G26</f>
        <v>219</v>
      </c>
    </row>
    <row r="27" ht="14.25" customHeight="1">
      <c r="A27" s="152" t="s">
        <v>104</v>
      </c>
      <c r="B27" s="150" t="s">
        <v>151</v>
      </c>
      <c r="C27" s="153">
        <f>Municipality!B27</f>
        <v>2344</v>
      </c>
      <c r="D27" s="153">
        <f>Municipality!C27</f>
        <v>3267</v>
      </c>
      <c r="E27" s="153">
        <f>Municipality!D27</f>
        <v>210</v>
      </c>
      <c r="F27" s="153">
        <f>Municipality!E27</f>
        <v>293</v>
      </c>
      <c r="G27" s="153">
        <f>Municipality!F27</f>
        <v>49</v>
      </c>
      <c r="H27" s="153">
        <f>Municipality!G27</f>
        <v>68</v>
      </c>
    </row>
    <row r="28" ht="14.25" customHeight="1">
      <c r="A28" s="152" t="s">
        <v>105</v>
      </c>
      <c r="B28" s="150" t="s">
        <v>152</v>
      </c>
      <c r="C28" s="153">
        <f>Municipality!B28</f>
        <v>83</v>
      </c>
      <c r="D28" s="153">
        <f>Municipality!C28</f>
        <v>477</v>
      </c>
      <c r="E28" s="153" t="str">
        <f>Municipality!D28</f>
        <v>&lt;5</v>
      </c>
      <c r="F28" s="153" t="str">
        <f>Municipality!E28</f>
        <v>--</v>
      </c>
      <c r="G28" s="153">
        <f>Municipality!F28</f>
        <v>0</v>
      </c>
      <c r="H28" s="153">
        <f>Municipality!G28</f>
        <v>0</v>
      </c>
    </row>
    <row r="29" ht="14.25" customHeight="1">
      <c r="A29" s="152" t="s">
        <v>106</v>
      </c>
      <c r="B29" s="150" t="s">
        <v>153</v>
      </c>
      <c r="C29" s="153">
        <f>Municipality!B29</f>
        <v>8132</v>
      </c>
      <c r="D29" s="153">
        <f>Municipality!C29</f>
        <v>4532</v>
      </c>
      <c r="E29" s="153">
        <f>Municipality!D29</f>
        <v>837</v>
      </c>
      <c r="F29" s="153">
        <f>Municipality!E29</f>
        <v>466</v>
      </c>
      <c r="G29" s="153">
        <f>Municipality!F29</f>
        <v>290</v>
      </c>
      <c r="H29" s="153">
        <f>Municipality!G29</f>
        <v>162</v>
      </c>
    </row>
    <row r="30" ht="14.25" customHeight="1">
      <c r="A30" s="152" t="s">
        <v>107</v>
      </c>
      <c r="B30" s="150" t="s">
        <v>154</v>
      </c>
      <c r="C30" s="153">
        <f>Municipality!B30</f>
        <v>33</v>
      </c>
      <c r="D30" s="153">
        <f>Municipality!C30</f>
        <v>433</v>
      </c>
      <c r="E30" s="153" t="str">
        <f>Municipality!D30</f>
        <v>&lt;5</v>
      </c>
      <c r="F30" s="153" t="str">
        <f>Municipality!E30</f>
        <v>--</v>
      </c>
      <c r="G30" s="153">
        <f>Municipality!F30</f>
        <v>0</v>
      </c>
      <c r="H30" s="153">
        <f>Municipality!G30</f>
        <v>0</v>
      </c>
    </row>
    <row r="31" ht="14.25" customHeight="1">
      <c r="A31" s="152" t="s">
        <v>108</v>
      </c>
      <c r="B31" s="150" t="s">
        <v>155</v>
      </c>
      <c r="C31" s="153">
        <f>Municipality!B31</f>
        <v>71</v>
      </c>
      <c r="D31" s="153">
        <f>Municipality!C31</f>
        <v>670</v>
      </c>
      <c r="E31" s="153" t="str">
        <f>Municipality!D31</f>
        <v>&lt;5</v>
      </c>
      <c r="F31" s="153" t="str">
        <f>Municipality!E31</f>
        <v>--</v>
      </c>
      <c r="G31" s="153" t="str">
        <f>Municipality!F31</f>
        <v>&lt;5</v>
      </c>
      <c r="H31" s="153" t="str">
        <f>Municipality!G31</f>
        <v>--</v>
      </c>
    </row>
    <row r="32" ht="14.25" customHeight="1">
      <c r="A32" s="152" t="s">
        <v>109</v>
      </c>
      <c r="B32" s="150" t="s">
        <v>156</v>
      </c>
      <c r="C32" s="153">
        <f>Municipality!B32</f>
        <v>379</v>
      </c>
      <c r="D32" s="153">
        <f>Municipality!C32</f>
        <v>1752</v>
      </c>
      <c r="E32" s="153">
        <f>Municipality!D32</f>
        <v>70</v>
      </c>
      <c r="F32" s="153">
        <f>Municipality!E32</f>
        <v>324</v>
      </c>
      <c r="G32" s="153">
        <f>Municipality!F32</f>
        <v>50</v>
      </c>
      <c r="H32" s="153">
        <f>Municipality!G32</f>
        <v>231</v>
      </c>
    </row>
    <row r="33" ht="14.25" customHeight="1">
      <c r="A33" s="152" t="s">
        <v>110</v>
      </c>
      <c r="B33" s="150" t="s">
        <v>157</v>
      </c>
      <c r="C33" s="153">
        <f>Municipality!B33</f>
        <v>131</v>
      </c>
      <c r="D33" s="153">
        <f>Municipality!C33</f>
        <v>426</v>
      </c>
      <c r="E33" s="153">
        <f>Municipality!D33</f>
        <v>14</v>
      </c>
      <c r="F33" s="153">
        <f>Municipality!E33</f>
        <v>46</v>
      </c>
      <c r="G33" s="153">
        <f>Municipality!F33</f>
        <v>16</v>
      </c>
      <c r="H33" s="153">
        <f>Municipality!G33</f>
        <v>52</v>
      </c>
    </row>
    <row r="34" ht="14.25" customHeight="1">
      <c r="A34" s="152" t="s">
        <v>111</v>
      </c>
      <c r="B34" s="150" t="s">
        <v>158</v>
      </c>
      <c r="C34" s="153">
        <f>Municipality!B34</f>
        <v>127</v>
      </c>
      <c r="D34" s="153">
        <f>Municipality!C34</f>
        <v>803</v>
      </c>
      <c r="E34" s="153" t="str">
        <f>Municipality!D34</f>
        <v>&lt;5</v>
      </c>
      <c r="F34" s="153" t="str">
        <f>Municipality!E34</f>
        <v>--</v>
      </c>
      <c r="G34" s="153">
        <f>Municipality!F34</f>
        <v>5</v>
      </c>
      <c r="H34" s="153" t="str">
        <f>Municipality!G34</f>
        <v>--</v>
      </c>
    </row>
    <row r="35" ht="14.25" customHeight="1">
      <c r="A35" s="152" t="s">
        <v>112</v>
      </c>
      <c r="B35" s="150" t="s">
        <v>159</v>
      </c>
      <c r="C35" s="153">
        <f>Municipality!B35</f>
        <v>109</v>
      </c>
      <c r="D35" s="153">
        <f>Municipality!C35</f>
        <v>1039</v>
      </c>
      <c r="E35" s="153">
        <f>Municipality!D35</f>
        <v>7</v>
      </c>
      <c r="F35" s="153">
        <f>Municipality!E35</f>
        <v>67</v>
      </c>
      <c r="G35" s="153">
        <f>Municipality!F35</f>
        <v>7</v>
      </c>
      <c r="H35" s="153">
        <f>Municipality!G35</f>
        <v>67</v>
      </c>
    </row>
    <row r="36" ht="14.25" customHeight="1">
      <c r="A36" s="152" t="s">
        <v>113</v>
      </c>
      <c r="B36" s="150" t="s">
        <v>160</v>
      </c>
      <c r="C36" s="153">
        <f>Municipality!B36</f>
        <v>946</v>
      </c>
      <c r="D36" s="153">
        <f>Municipality!C36</f>
        <v>1167</v>
      </c>
      <c r="E36" s="153">
        <f>Municipality!D36</f>
        <v>84</v>
      </c>
      <c r="F36" s="153">
        <f>Municipality!E36</f>
        <v>104</v>
      </c>
      <c r="G36" s="153">
        <f>Municipality!F36</f>
        <v>74</v>
      </c>
      <c r="H36" s="153">
        <f>Municipality!G36</f>
        <v>91</v>
      </c>
    </row>
    <row r="37" ht="14.25" customHeight="1">
      <c r="A37" s="152" t="s">
        <v>114</v>
      </c>
      <c r="B37" s="150" t="s">
        <v>161</v>
      </c>
      <c r="C37" s="153">
        <f>Municipality!B37</f>
        <v>32</v>
      </c>
      <c r="D37" s="153">
        <f>Municipality!C37</f>
        <v>518</v>
      </c>
      <c r="E37" s="153">
        <f>Municipality!D37</f>
        <v>0</v>
      </c>
      <c r="F37" s="153">
        <f>Municipality!E37</f>
        <v>0</v>
      </c>
      <c r="G37" s="153">
        <f>Municipality!F37</f>
        <v>0</v>
      </c>
      <c r="H37" s="153">
        <f>Municipality!G37</f>
        <v>0</v>
      </c>
    </row>
    <row r="38" ht="14.25" customHeight="1">
      <c r="A38" s="152" t="s">
        <v>115</v>
      </c>
      <c r="B38" s="150" t="s">
        <v>162</v>
      </c>
      <c r="C38" s="153">
        <f>Municipality!B38</f>
        <v>419</v>
      </c>
      <c r="D38" s="153">
        <f>Municipality!C38</f>
        <v>1447</v>
      </c>
      <c r="E38" s="153">
        <f>Municipality!D38</f>
        <v>42</v>
      </c>
      <c r="F38" s="153">
        <f>Municipality!E38</f>
        <v>145</v>
      </c>
      <c r="G38" s="153">
        <f>Municipality!F38</f>
        <v>22</v>
      </c>
      <c r="H38" s="153">
        <f>Municipality!G38</f>
        <v>76</v>
      </c>
    </row>
    <row r="39" ht="14.25" customHeight="1">
      <c r="A39" s="152" t="s">
        <v>116</v>
      </c>
      <c r="B39" s="150" t="s">
        <v>163</v>
      </c>
      <c r="C39" s="153">
        <f>Municipality!B39</f>
        <v>106</v>
      </c>
      <c r="D39" s="153">
        <f>Municipality!C39</f>
        <v>469</v>
      </c>
      <c r="E39" s="153">
        <f>Municipality!D39</f>
        <v>11</v>
      </c>
      <c r="F39" s="153">
        <f>Municipality!E39</f>
        <v>49</v>
      </c>
      <c r="G39" s="153" t="str">
        <f>Municipality!F39</f>
        <v>&lt;5</v>
      </c>
      <c r="H39" s="153" t="str">
        <f>Municipality!G39</f>
        <v>--</v>
      </c>
    </row>
    <row r="40" ht="14.25" customHeight="1">
      <c r="A40" s="152" t="s">
        <v>117</v>
      </c>
      <c r="B40" s="150" t="s">
        <v>164</v>
      </c>
      <c r="C40" s="153">
        <f>Municipality!B40</f>
        <v>871</v>
      </c>
      <c r="D40" s="153">
        <f>Municipality!C40</f>
        <v>2097</v>
      </c>
      <c r="E40" s="153">
        <f>Municipality!D40</f>
        <v>108</v>
      </c>
      <c r="F40" s="153">
        <f>Municipality!E40</f>
        <v>260</v>
      </c>
      <c r="G40" s="153">
        <f>Municipality!F40</f>
        <v>83</v>
      </c>
      <c r="H40" s="153">
        <f>Municipality!G40</f>
        <v>200</v>
      </c>
    </row>
  </sheetData>
  <printOptions/>
  <pageMargins bottom="0.75" footer="0.0" header="0.0" left="0.7" right="0.7" top="0.75"/>
  <pageSetup orientation="portrait"/>
  <drawing r:id="rId1"/>
</worksheet>
</file>