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s/Documents/Uni Stuff/master/arches/nvidia/ptx/a100/"/>
    </mc:Choice>
  </mc:AlternateContent>
  <xr:revisionPtr revIDLastSave="0" documentId="13_ncr:1_{38D0B2E1-799A-7E46-B0ED-B26BB6DCF39E}" xr6:coauthVersionLast="47" xr6:coauthVersionMax="47" xr10:uidLastSave="{00000000-0000-0000-0000-000000000000}"/>
  <bookViews>
    <workbookView xWindow="0" yWindow="860" windowWidth="36000" windowHeight="22520" xr2:uid="{2FDBF94C-C074-2C4C-AFE8-E230BBDEFF9F}"/>
  </bookViews>
  <sheets>
    <sheet name="delays" sheetId="1" r:id="rId1"/>
    <sheet name="intro. example" sheetId="7" r:id="rId2"/>
    <sheet name="vec_elmntwise" sheetId="6" r:id="rId3"/>
    <sheet name="mat mul" sheetId="4" r:id="rId4"/>
    <sheet name="Conv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7" l="1"/>
  <c r="F2" i="7" s="1"/>
  <c r="G2" i="7" s="1"/>
  <c r="R2" i="6"/>
  <c r="Q2" i="6"/>
  <c r="P2" i="6"/>
  <c r="O2" i="6"/>
  <c r="N2" i="6"/>
  <c r="M2" i="6"/>
  <c r="L2" i="6"/>
  <c r="H2" i="6"/>
  <c r="V16" i="6"/>
  <c r="U6" i="6"/>
  <c r="W25" i="6" s="1" a="1"/>
  <c r="W25" i="6" s="1"/>
  <c r="U7" i="6"/>
  <c r="U9" i="6"/>
  <c r="U10" i="6"/>
  <c r="U11" i="6"/>
  <c r="U12" i="6"/>
  <c r="U13" i="6"/>
  <c r="U14" i="6"/>
  <c r="U15" i="6"/>
  <c r="U17" i="6"/>
  <c r="U18" i="6"/>
  <c r="U19" i="6"/>
  <c r="U20" i="6"/>
  <c r="U21" i="6"/>
  <c r="U22" i="6"/>
  <c r="V23" i="6"/>
  <c r="U24" i="6"/>
  <c r="R24" i="6"/>
  <c r="Q7" i="6"/>
  <c r="R7" i="6" s="1"/>
  <c r="Q8" i="6"/>
  <c r="R8" i="6" s="1"/>
  <c r="Q9" i="6"/>
  <c r="R9" i="6" s="1"/>
  <c r="Q10" i="6"/>
  <c r="R10" i="6" s="1"/>
  <c r="Q11" i="6"/>
  <c r="R11" i="6" s="1"/>
  <c r="Q12" i="6"/>
  <c r="R12" i="6" s="1"/>
  <c r="Q13" i="6"/>
  <c r="R13" i="6" s="1"/>
  <c r="Q14" i="6"/>
  <c r="R14" i="6" s="1"/>
  <c r="Q15" i="6"/>
  <c r="R15" i="6" s="1"/>
  <c r="Q16" i="6"/>
  <c r="R16" i="6" s="1"/>
  <c r="Q17" i="6"/>
  <c r="R17" i="6" s="1"/>
  <c r="Q18" i="6"/>
  <c r="R18" i="6" s="1"/>
  <c r="Q19" i="6"/>
  <c r="R19" i="6" s="1"/>
  <c r="Q20" i="6"/>
  <c r="R20" i="6" s="1"/>
  <c r="Q21" i="6"/>
  <c r="R21" i="6" s="1"/>
  <c r="Q22" i="6"/>
  <c r="R22" i="6" s="1"/>
  <c r="Q23" i="6"/>
  <c r="R23" i="6" s="1"/>
  <c r="Q24" i="6"/>
  <c r="Q6" i="6"/>
  <c r="R6" i="6" s="1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6" i="6"/>
  <c r="K24" i="6"/>
  <c r="L24" i="6"/>
  <c r="M24" i="6"/>
  <c r="N24" i="6"/>
  <c r="O24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6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I2" i="6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508" i="3"/>
  <c r="Q509" i="3"/>
  <c r="Q510" i="3"/>
  <c r="Q511" i="3"/>
  <c r="Q512" i="3"/>
  <c r="Q513" i="3"/>
  <c r="Q514" i="3"/>
  <c r="Q515" i="3"/>
  <c r="Q516" i="3"/>
  <c r="Q517" i="3"/>
  <c r="Q518" i="3"/>
  <c r="Q519" i="3"/>
  <c r="Q520" i="3"/>
  <c r="Q521" i="3"/>
  <c r="Q522" i="3"/>
  <c r="Q523" i="3"/>
  <c r="Q524" i="3"/>
  <c r="Q525" i="3"/>
  <c r="Q526" i="3"/>
  <c r="Q527" i="3"/>
  <c r="Q528" i="3"/>
  <c r="Q529" i="3"/>
  <c r="Q530" i="3"/>
  <c r="Q531" i="3"/>
  <c r="Q532" i="3"/>
  <c r="Q533" i="3"/>
  <c r="Q534" i="3"/>
  <c r="Q535" i="3"/>
  <c r="Q536" i="3"/>
  <c r="Q537" i="3"/>
  <c r="Q538" i="3"/>
  <c r="Q539" i="3"/>
  <c r="Q540" i="3"/>
  <c r="Q541" i="3"/>
  <c r="Q542" i="3"/>
  <c r="Q543" i="3"/>
  <c r="Q544" i="3"/>
  <c r="Q545" i="3"/>
  <c r="Q546" i="3"/>
  <c r="Q547" i="3"/>
  <c r="Q548" i="3"/>
  <c r="Q549" i="3"/>
  <c r="Q550" i="3"/>
  <c r="Q551" i="3"/>
  <c r="Q552" i="3"/>
  <c r="Q553" i="3"/>
  <c r="Q554" i="3"/>
  <c r="Q555" i="3"/>
  <c r="Q556" i="3"/>
  <c r="Q557" i="3"/>
  <c r="Q558" i="3"/>
  <c r="Q559" i="3"/>
  <c r="Q560" i="3"/>
  <c r="Q561" i="3"/>
  <c r="Q562" i="3"/>
  <c r="Q563" i="3"/>
  <c r="Q564" i="3"/>
  <c r="Q565" i="3"/>
  <c r="Q566" i="3"/>
  <c r="Q567" i="3"/>
  <c r="Q568" i="3"/>
  <c r="Q569" i="3"/>
  <c r="Q570" i="3"/>
  <c r="Q571" i="3"/>
  <c r="Q572" i="3"/>
  <c r="Q573" i="3"/>
  <c r="Q574" i="3"/>
  <c r="Q575" i="3"/>
  <c r="Q576" i="3"/>
  <c r="Q577" i="3"/>
  <c r="Q578" i="3"/>
  <c r="Q579" i="3"/>
  <c r="Q580" i="3"/>
  <c r="Q581" i="3"/>
  <c r="Q582" i="3"/>
  <c r="Q583" i="3"/>
  <c r="Q584" i="3"/>
  <c r="Q585" i="3"/>
  <c r="Q586" i="3"/>
  <c r="Q587" i="3"/>
  <c r="Q588" i="3"/>
  <c r="Q589" i="3"/>
  <c r="Q590" i="3"/>
  <c r="Q591" i="3"/>
  <c r="Q592" i="3"/>
  <c r="Q593" i="3"/>
  <c r="Q594" i="3"/>
  <c r="Q595" i="3"/>
  <c r="Q596" i="3"/>
  <c r="Q597" i="3"/>
  <c r="Q598" i="3"/>
  <c r="Q599" i="3"/>
  <c r="Q600" i="3"/>
  <c r="Q601" i="3"/>
  <c r="Q602" i="3"/>
  <c r="Q603" i="3"/>
  <c r="Q604" i="3"/>
  <c r="Q605" i="3"/>
  <c r="Q606" i="3"/>
  <c r="Q607" i="3"/>
  <c r="Q608" i="3"/>
  <c r="Q609" i="3"/>
  <c r="Q610" i="3"/>
  <c r="Q611" i="3"/>
  <c r="Q612" i="3"/>
  <c r="Q613" i="3"/>
  <c r="Q614" i="3"/>
  <c r="Q615" i="3"/>
  <c r="Q616" i="3"/>
  <c r="Q617" i="3"/>
  <c r="Q618" i="3"/>
  <c r="Q619" i="3"/>
  <c r="Q620" i="3"/>
  <c r="Q621" i="3"/>
  <c r="Q622" i="3"/>
  <c r="Q623" i="3"/>
  <c r="Q624" i="3"/>
  <c r="Q625" i="3"/>
  <c r="Q626" i="3"/>
  <c r="Q627" i="3"/>
  <c r="Q628" i="3"/>
  <c r="Q629" i="3"/>
  <c r="Q630" i="3"/>
  <c r="Q631" i="3"/>
  <c r="Q632" i="3"/>
  <c r="Q633" i="3"/>
  <c r="Q634" i="3"/>
  <c r="Q635" i="3"/>
  <c r="Q636" i="3"/>
  <c r="Q637" i="3"/>
  <c r="Q638" i="3"/>
  <c r="Q639" i="3"/>
  <c r="Q640" i="3"/>
  <c r="Q641" i="3"/>
  <c r="Q642" i="3"/>
  <c r="Q643" i="3"/>
  <c r="Q644" i="3"/>
  <c r="Q645" i="3"/>
  <c r="Q646" i="3"/>
  <c r="Q647" i="3"/>
  <c r="Q648" i="3"/>
  <c r="Q649" i="3"/>
  <c r="Q650" i="3"/>
  <c r="Q651" i="3"/>
  <c r="Q652" i="3"/>
  <c r="Q653" i="3"/>
  <c r="Q654" i="3"/>
  <c r="Q655" i="3"/>
  <c r="Q656" i="3"/>
  <c r="Q657" i="3"/>
  <c r="Q658" i="3"/>
  <c r="Q659" i="3"/>
  <c r="Q660" i="3"/>
  <c r="Q661" i="3"/>
  <c r="Q662" i="3"/>
  <c r="Q663" i="3"/>
  <c r="Q664" i="3"/>
  <c r="Q665" i="3"/>
  <c r="Q666" i="3"/>
  <c r="Q667" i="3"/>
  <c r="Q668" i="3"/>
  <c r="Q669" i="3"/>
  <c r="Q670" i="3"/>
  <c r="Q671" i="3"/>
  <c r="Q672" i="3"/>
  <c r="Q673" i="3"/>
  <c r="Q674" i="3"/>
  <c r="Q675" i="3"/>
  <c r="Q676" i="3"/>
  <c r="Q677" i="3"/>
  <c r="Q678" i="3"/>
  <c r="Q679" i="3"/>
  <c r="Q680" i="3"/>
  <c r="Q681" i="3"/>
  <c r="Q682" i="3"/>
  <c r="Q683" i="3"/>
  <c r="Q684" i="3"/>
  <c r="Q685" i="3"/>
  <c r="Q686" i="3"/>
  <c r="Q687" i="3"/>
  <c r="Q688" i="3"/>
  <c r="Q689" i="3"/>
  <c r="Q690" i="3"/>
  <c r="Q691" i="3"/>
  <c r="Q692" i="3"/>
  <c r="Q693" i="3"/>
  <c r="Q694" i="3"/>
  <c r="Q695" i="3"/>
  <c r="Q696" i="3"/>
  <c r="Q697" i="3"/>
  <c r="Q698" i="3"/>
  <c r="Q699" i="3"/>
  <c r="Q700" i="3"/>
  <c r="Q701" i="3"/>
  <c r="Q702" i="3"/>
  <c r="Q703" i="3"/>
  <c r="Q704" i="3"/>
  <c r="Q705" i="3"/>
  <c r="Q706" i="3"/>
  <c r="Q707" i="3"/>
  <c r="Q708" i="3"/>
  <c r="Q709" i="3"/>
  <c r="Q710" i="3"/>
  <c r="Q711" i="3"/>
  <c r="Q712" i="3"/>
  <c r="Q713" i="3"/>
  <c r="Q714" i="3"/>
  <c r="Q715" i="3"/>
  <c r="Q716" i="3"/>
  <c r="Q717" i="3"/>
  <c r="Q718" i="3"/>
  <c r="Q719" i="3"/>
  <c r="Q720" i="3"/>
  <c r="Q721" i="3"/>
  <c r="Q722" i="3"/>
  <c r="Q723" i="3"/>
  <c r="Q724" i="3"/>
  <c r="Q725" i="3"/>
  <c r="Q726" i="3"/>
  <c r="Q727" i="3"/>
  <c r="Q728" i="3"/>
  <c r="Q729" i="3"/>
  <c r="Q730" i="3"/>
  <c r="Q731" i="3"/>
  <c r="Q732" i="3"/>
  <c r="Q733" i="3"/>
  <c r="Q734" i="3"/>
  <c r="Q735" i="3"/>
  <c r="Q736" i="3"/>
  <c r="Q737" i="3"/>
  <c r="Q738" i="3"/>
  <c r="Q739" i="3"/>
  <c r="Q740" i="3"/>
  <c r="Q741" i="3"/>
  <c r="Q742" i="3"/>
  <c r="Q743" i="3"/>
  <c r="Q744" i="3"/>
  <c r="Q745" i="3"/>
  <c r="Q746" i="3"/>
  <c r="Q747" i="3"/>
  <c r="Q748" i="3"/>
  <c r="Q749" i="3"/>
  <c r="Q750" i="3"/>
  <c r="Q751" i="3"/>
  <c r="Q752" i="3"/>
  <c r="Q753" i="3"/>
  <c r="Q754" i="3"/>
  <c r="Q755" i="3"/>
  <c r="Q756" i="3"/>
  <c r="Q757" i="3"/>
  <c r="Q758" i="3"/>
  <c r="Q759" i="3"/>
  <c r="Q760" i="3"/>
  <c r="Q761" i="3"/>
  <c r="Q762" i="3"/>
  <c r="Q763" i="3"/>
  <c r="Q764" i="3"/>
  <c r="Q765" i="3"/>
  <c r="Q766" i="3"/>
  <c r="Q767" i="3"/>
  <c r="Q768" i="3"/>
  <c r="Q769" i="3"/>
  <c r="Q770" i="3"/>
  <c r="Q771" i="3"/>
  <c r="Q772" i="3"/>
  <c r="Q773" i="3"/>
  <c r="Q774" i="3"/>
  <c r="Q775" i="3"/>
  <c r="Q776" i="3"/>
  <c r="Q777" i="3"/>
  <c r="Q778" i="3"/>
  <c r="Q779" i="3"/>
  <c r="Q780" i="3"/>
  <c r="Q781" i="3"/>
  <c r="Q782" i="3"/>
  <c r="Q783" i="3"/>
  <c r="Q784" i="3"/>
  <c r="Q785" i="3"/>
  <c r="Q786" i="3"/>
  <c r="Q787" i="3"/>
  <c r="Q788" i="3"/>
  <c r="Q789" i="3"/>
  <c r="Q790" i="3"/>
  <c r="Q791" i="3"/>
  <c r="Q792" i="3"/>
  <c r="Q793" i="3"/>
  <c r="Q794" i="3"/>
  <c r="Q795" i="3"/>
  <c r="Q796" i="3"/>
  <c r="Q797" i="3"/>
  <c r="Q798" i="3"/>
  <c r="Q799" i="3"/>
  <c r="Q800" i="3"/>
  <c r="Q801" i="3"/>
  <c r="Q802" i="3"/>
  <c r="Q803" i="3"/>
  <c r="Q804" i="3"/>
  <c r="Q805" i="3"/>
  <c r="Q806" i="3"/>
  <c r="Q807" i="3"/>
  <c r="Q808" i="3"/>
  <c r="Q809" i="3"/>
  <c r="Q810" i="3"/>
  <c r="Q811" i="3"/>
  <c r="Q812" i="3"/>
  <c r="Q813" i="3"/>
  <c r="Q814" i="3"/>
  <c r="Q815" i="3"/>
  <c r="Q816" i="3"/>
  <c r="Q817" i="3"/>
  <c r="Q818" i="3"/>
  <c r="Q819" i="3"/>
  <c r="Q820" i="3"/>
  <c r="Q821" i="3"/>
  <c r="Q822" i="3"/>
  <c r="Q823" i="3"/>
  <c r="Q824" i="3"/>
  <c r="Q825" i="3"/>
  <c r="Q826" i="3"/>
  <c r="Q827" i="3"/>
  <c r="Q828" i="3"/>
  <c r="Q829" i="3"/>
  <c r="Q830" i="3"/>
  <c r="Q831" i="3"/>
  <c r="Q832" i="3"/>
  <c r="Q833" i="3"/>
  <c r="Q834" i="3"/>
  <c r="Q835" i="3"/>
  <c r="Q836" i="3"/>
  <c r="Q837" i="3"/>
  <c r="Q838" i="3"/>
  <c r="Q839" i="3"/>
  <c r="Q840" i="3"/>
  <c r="Q841" i="3"/>
  <c r="Q842" i="3"/>
  <c r="Q843" i="3"/>
  <c r="Q844" i="3"/>
  <c r="Q845" i="3"/>
  <c r="Q846" i="3"/>
  <c r="Q847" i="3"/>
  <c r="Q848" i="3"/>
  <c r="Q849" i="3"/>
  <c r="Q850" i="3"/>
  <c r="Q851" i="3"/>
  <c r="Q852" i="3"/>
  <c r="Q853" i="3"/>
  <c r="Q854" i="3"/>
  <c r="Q855" i="3"/>
  <c r="Q856" i="3"/>
  <c r="Q857" i="3"/>
  <c r="Q858" i="3"/>
  <c r="Q859" i="3"/>
  <c r="Q860" i="3"/>
  <c r="Q861" i="3"/>
  <c r="Q862" i="3"/>
  <c r="Q863" i="3"/>
  <c r="Q864" i="3"/>
  <c r="Q865" i="3"/>
  <c r="Q866" i="3"/>
  <c r="Q867" i="3"/>
  <c r="Q868" i="3"/>
  <c r="Q869" i="3"/>
  <c r="Q870" i="3"/>
  <c r="Q871" i="3"/>
  <c r="Q872" i="3"/>
  <c r="Q873" i="3"/>
  <c r="Q874" i="3"/>
  <c r="Q875" i="3"/>
  <c r="Q876" i="3"/>
  <c r="Q877" i="3"/>
  <c r="Q878" i="3"/>
  <c r="Q879" i="3"/>
  <c r="Q880" i="3"/>
  <c r="Q881" i="3"/>
  <c r="Q882" i="3"/>
  <c r="Q883" i="3"/>
  <c r="Q884" i="3"/>
  <c r="Q885" i="3"/>
  <c r="Q886" i="3"/>
  <c r="Q887" i="3"/>
  <c r="Q888" i="3"/>
  <c r="Q889" i="3"/>
  <c r="Q890" i="3"/>
  <c r="Q6" i="3"/>
  <c r="L7" i="3" a="1"/>
  <c r="L7" i="3" s="1"/>
  <c r="L8" i="3" a="1"/>
  <c r="L8" i="3" s="1"/>
  <c r="L9" i="3" a="1"/>
  <c r="L9" i="3" s="1"/>
  <c r="L10" i="3" a="1"/>
  <c r="L10" i="3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L16" i="3" a="1"/>
  <c r="L16" i="3" s="1"/>
  <c r="L17" i="3" a="1"/>
  <c r="L17" i="3" s="1"/>
  <c r="L18" i="3" a="1"/>
  <c r="L18" i="3" s="1"/>
  <c r="L19" i="3" a="1"/>
  <c r="L19" i="3"/>
  <c r="L20" i="3" a="1"/>
  <c r="L20" i="3" s="1"/>
  <c r="L21" i="3" a="1"/>
  <c r="L21" i="3"/>
  <c r="L22" i="3" a="1"/>
  <c r="L22" i="3" s="1"/>
  <c r="L23" i="3" a="1"/>
  <c r="L23" i="3" s="1"/>
  <c r="L24" i="3" a="1"/>
  <c r="L24" i="3" s="1"/>
  <c r="L25" i="3" a="1"/>
  <c r="L25" i="3" s="1"/>
  <c r="L26" i="3" a="1"/>
  <c r="L26" i="3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L33" i="3" a="1"/>
  <c r="L33" i="3" s="1"/>
  <c r="L34" i="3" a="1"/>
  <c r="L34" i="3"/>
  <c r="L35" i="3" a="1"/>
  <c r="L35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/>
  <c r="L42" i="3" a="1"/>
  <c r="L42" i="3" s="1"/>
  <c r="L43" i="3" a="1"/>
  <c r="L43" i="3"/>
  <c r="L44" i="3" a="1"/>
  <c r="L44" i="3" s="1"/>
  <c r="L45" i="3" a="1"/>
  <c r="L45" i="3"/>
  <c r="L47" i="3" a="1"/>
  <c r="L47" i="3" s="1"/>
  <c r="L48" i="3" a="1"/>
  <c r="L48" i="3" s="1"/>
  <c r="L49" i="3" a="1"/>
  <c r="L49" i="3"/>
  <c r="L50" i="3" a="1"/>
  <c r="L50" i="3" s="1"/>
  <c r="L51" i="3" a="1"/>
  <c r="L51" i="3" s="1"/>
  <c r="L52" i="3" a="1"/>
  <c r="L52" i="3" s="1"/>
  <c r="L53" i="3" a="1"/>
  <c r="L53" i="3" s="1"/>
  <c r="L54" i="3" a="1"/>
  <c r="L54" i="3"/>
  <c r="L55" i="3" a="1"/>
  <c r="L55" i="3" s="1"/>
  <c r="L56" i="3" a="1"/>
  <c r="L56" i="3"/>
  <c r="L57" i="3" a="1"/>
  <c r="L57" i="3" s="1"/>
  <c r="L58" i="3" a="1"/>
  <c r="L58" i="3" s="1"/>
  <c r="L59" i="3" a="1"/>
  <c r="L59" i="3" s="1"/>
  <c r="L60" i="3" a="1"/>
  <c r="L60" i="3" s="1"/>
  <c r="L61" i="3" a="1"/>
  <c r="L61" i="3" s="1"/>
  <c r="L62" i="3" a="1"/>
  <c r="L62" i="3" s="1"/>
  <c r="L63" i="3" a="1"/>
  <c r="L63" i="3" s="1"/>
  <c r="L64" i="3" a="1"/>
  <c r="L64" i="3"/>
  <c r="L65" i="3" a="1"/>
  <c r="L65" i="3" s="1"/>
  <c r="L66" i="3" a="1"/>
  <c r="L66" i="3" s="1"/>
  <c r="L67" i="3" a="1"/>
  <c r="L67" i="3" s="1"/>
  <c r="L68" i="3" a="1"/>
  <c r="L68" i="3" s="1"/>
  <c r="L69" i="3" a="1"/>
  <c r="L69" i="3"/>
  <c r="L70" i="3" a="1"/>
  <c r="L70" i="3" s="1"/>
  <c r="L71" i="3" a="1"/>
  <c r="L71" i="3"/>
  <c r="L72" i="3" a="1"/>
  <c r="L72" i="3" s="1"/>
  <c r="L73" i="3" a="1"/>
  <c r="L73" i="3" s="1"/>
  <c r="L74" i="3" a="1"/>
  <c r="L74" i="3" s="1"/>
  <c r="L75" i="3" a="1"/>
  <c r="L75" i="3" s="1"/>
  <c r="L76" i="3" a="1"/>
  <c r="L76" i="3"/>
  <c r="L77" i="3" a="1"/>
  <c r="L77" i="3" s="1"/>
  <c r="L78" i="3" a="1"/>
  <c r="L78" i="3" s="1"/>
  <c r="L79" i="3" a="1"/>
  <c r="L79" i="3" s="1"/>
  <c r="L80" i="3" a="1"/>
  <c r="L80" i="3" s="1"/>
  <c r="L81" i="3" a="1"/>
  <c r="L81" i="3" s="1"/>
  <c r="L82" i="3" a="1"/>
  <c r="L82" i="3" s="1"/>
  <c r="L83" i="3" a="1"/>
  <c r="L83" i="3" s="1"/>
  <c r="L84" i="3" a="1"/>
  <c r="L84" i="3"/>
  <c r="L85" i="3" a="1"/>
  <c r="L85" i="3" s="1"/>
  <c r="L86" i="3" a="1"/>
  <c r="L86" i="3" s="1"/>
  <c r="L87" i="3" a="1"/>
  <c r="L87" i="3" s="1"/>
  <c r="L88" i="3" a="1"/>
  <c r="L88" i="3" s="1"/>
  <c r="L89" i="3" a="1"/>
  <c r="L89" i="3" s="1"/>
  <c r="L90" i="3" a="1"/>
  <c r="L90" i="3" s="1"/>
  <c r="L91" i="3" a="1"/>
  <c r="L91" i="3"/>
  <c r="L92" i="3" a="1"/>
  <c r="L92" i="3" s="1"/>
  <c r="L93" i="3" a="1"/>
  <c r="L93" i="3"/>
  <c r="L94" i="3" a="1"/>
  <c r="L94" i="3" s="1"/>
  <c r="L95" i="3" a="1"/>
  <c r="L95" i="3"/>
  <c r="L96" i="3" a="1"/>
  <c r="L96" i="3" s="1"/>
  <c r="L97" i="3" a="1"/>
  <c r="L97" i="3" s="1"/>
  <c r="L98" i="3" a="1"/>
  <c r="L98" i="3" s="1"/>
  <c r="L99" i="3" a="1"/>
  <c r="L99" i="3"/>
  <c r="L100" i="3" a="1"/>
  <c r="L100" i="3" s="1"/>
  <c r="L101" i="3" a="1"/>
  <c r="L101" i="3" s="1"/>
  <c r="L102" i="3" a="1"/>
  <c r="L102" i="3" s="1"/>
  <c r="L103" i="3" a="1"/>
  <c r="L103" i="3" s="1"/>
  <c r="L104" i="3" a="1"/>
  <c r="L104" i="3"/>
  <c r="L105" i="3" a="1"/>
  <c r="L105" i="3"/>
  <c r="L106" i="3" a="1"/>
  <c r="L106" i="3"/>
  <c r="L107" i="3" a="1"/>
  <c r="L107" i="3" s="1"/>
  <c r="L108" i="3" a="1"/>
  <c r="L108" i="3" s="1"/>
  <c r="L109" i="3" a="1"/>
  <c r="L109" i="3" s="1"/>
  <c r="L110" i="3" a="1"/>
  <c r="L110" i="3"/>
  <c r="L111" i="3" a="1"/>
  <c r="L111" i="3" s="1"/>
  <c r="L112" i="3" a="1"/>
  <c r="L112" i="3" s="1"/>
  <c r="L113" i="3" a="1"/>
  <c r="L113" i="3" s="1"/>
  <c r="L114" i="3" a="1"/>
  <c r="L114" i="3" s="1"/>
  <c r="L115" i="3" a="1"/>
  <c r="L115" i="3" s="1"/>
  <c r="L116" i="3" a="1"/>
  <c r="L116" i="3" s="1"/>
  <c r="L117" i="3" a="1"/>
  <c r="L117" i="3" s="1"/>
  <c r="L118" i="3" a="1"/>
  <c r="L118" i="3" s="1"/>
  <c r="L119" i="3" a="1"/>
  <c r="L119" i="3"/>
  <c r="L120" i="3" a="1"/>
  <c r="L120" i="3" s="1"/>
  <c r="L121" i="3" a="1"/>
  <c r="L121" i="3"/>
  <c r="L122" i="3" a="1"/>
  <c r="L122" i="3" s="1"/>
  <c r="L123" i="3" a="1"/>
  <c r="L123" i="3" s="1"/>
  <c r="L124" i="3" a="1"/>
  <c r="L124" i="3" s="1"/>
  <c r="L125" i="3" a="1"/>
  <c r="L125" i="3" s="1"/>
  <c r="L126" i="3" a="1"/>
  <c r="L126" i="3"/>
  <c r="L127" i="3" a="1"/>
  <c r="L127" i="3" s="1"/>
  <c r="L128" i="3" a="1"/>
  <c r="L128" i="3" s="1"/>
  <c r="L129" i="3" a="1"/>
  <c r="L129" i="3" s="1"/>
  <c r="L130" i="3" a="1"/>
  <c r="L130" i="3" s="1"/>
  <c r="L131" i="3" a="1"/>
  <c r="L131" i="3" s="1"/>
  <c r="L132" i="3" a="1"/>
  <c r="L132" i="3" s="1"/>
  <c r="L133" i="3" a="1"/>
  <c r="L133" i="3" s="1"/>
  <c r="L134" i="3" a="1"/>
  <c r="L134" i="3"/>
  <c r="L135" i="3" a="1"/>
  <c r="L135" i="3" s="1"/>
  <c r="L136" i="3" a="1"/>
  <c r="L136" i="3" s="1"/>
  <c r="L137" i="3" a="1"/>
  <c r="L137" i="3" s="1"/>
  <c r="L138" i="3" a="1"/>
  <c r="L138" i="3" s="1"/>
  <c r="L139" i="3" a="1"/>
  <c r="L139" i="3" s="1"/>
  <c r="L140" i="3" a="1"/>
  <c r="L140" i="3" s="1"/>
  <c r="L141" i="3" a="1"/>
  <c r="L141" i="3"/>
  <c r="L142" i="3" a="1"/>
  <c r="L142" i="3" s="1"/>
  <c r="L143" i="3" a="1"/>
  <c r="L143" i="3"/>
  <c r="L144" i="3" a="1"/>
  <c r="L144" i="3" s="1"/>
  <c r="L145" i="3" a="1"/>
  <c r="L145" i="3"/>
  <c r="L146" i="3" a="1"/>
  <c r="L146" i="3" s="1"/>
  <c r="L147" i="3" a="1"/>
  <c r="L147" i="3" s="1"/>
  <c r="L148" i="3" a="1"/>
  <c r="L148" i="3" s="1"/>
  <c r="L149" i="3" a="1"/>
  <c r="L149" i="3" s="1"/>
  <c r="L151" i="3" a="1"/>
  <c r="L151" i="3" s="1"/>
  <c r="L152" i="3" a="1"/>
  <c r="L152" i="3" s="1"/>
  <c r="L154" i="3" a="1"/>
  <c r="L154" i="3" s="1"/>
  <c r="L155" i="3" a="1"/>
  <c r="L155" i="3"/>
  <c r="L156" i="3" a="1"/>
  <c r="L156" i="3"/>
  <c r="L157" i="3" a="1"/>
  <c r="L157" i="3" s="1"/>
  <c r="L158" i="3" a="1"/>
  <c r="L158" i="3"/>
  <c r="L159" i="3" a="1"/>
  <c r="L159" i="3" s="1"/>
  <c r="L160" i="3" a="1"/>
  <c r="L160" i="3" s="1"/>
  <c r="L161" i="3" a="1"/>
  <c r="L161" i="3" s="1"/>
  <c r="L162" i="3" a="1"/>
  <c r="L162" i="3" s="1"/>
  <c r="L163" i="3" a="1"/>
  <c r="L163" i="3" s="1"/>
  <c r="L164" i="3" a="1"/>
  <c r="L164" i="3" s="1"/>
  <c r="L165" i="3" a="1"/>
  <c r="L165" i="3" s="1"/>
  <c r="L166" i="3" a="1"/>
  <c r="L166" i="3" s="1"/>
  <c r="L168" i="3" a="1"/>
  <c r="L168" i="3" s="1"/>
  <c r="L170" i="3" a="1"/>
  <c r="L170" i="3" s="1"/>
  <c r="L172" i="3" a="1"/>
  <c r="L172" i="3" s="1"/>
  <c r="L173" i="3" a="1"/>
  <c r="L173" i="3" s="1"/>
  <c r="L175" i="3" a="1"/>
  <c r="L175" i="3" s="1"/>
  <c r="L176" i="3" a="1"/>
  <c r="L176" i="3" s="1"/>
  <c r="L177" i="3" a="1"/>
  <c r="L177" i="3" s="1"/>
  <c r="L178" i="3" a="1"/>
  <c r="L178" i="3" s="1"/>
  <c r="L179" i="3" a="1"/>
  <c r="L179" i="3" s="1"/>
  <c r="L180" i="3" a="1"/>
  <c r="L180" i="3"/>
  <c r="L181" i="3" a="1"/>
  <c r="L181" i="3" s="1"/>
  <c r="L182" i="3" a="1"/>
  <c r="L182" i="3" s="1"/>
  <c r="L183" i="3" a="1"/>
  <c r="L183" i="3"/>
  <c r="L184" i="3" a="1"/>
  <c r="L184" i="3"/>
  <c r="L185" i="3" a="1"/>
  <c r="L185" i="3" s="1"/>
  <c r="L186" i="3" a="1"/>
  <c r="L186" i="3" s="1"/>
  <c r="L187" i="3" a="1"/>
  <c r="L187" i="3" s="1"/>
  <c r="L188" i="3" a="1"/>
  <c r="L188" i="3"/>
  <c r="L189" i="3" a="1"/>
  <c r="L189" i="3" s="1"/>
  <c r="L190" i="3" a="1"/>
  <c r="L190" i="3" s="1"/>
  <c r="L191" i="3" a="1"/>
  <c r="L191" i="3" s="1"/>
  <c r="L193" i="3" a="1"/>
  <c r="L193" i="3" s="1"/>
  <c r="L196" i="3" a="1"/>
  <c r="L196" i="3" s="1"/>
  <c r="L198" i="3" a="1"/>
  <c r="L198" i="3" s="1"/>
  <c r="L199" i="3" a="1"/>
  <c r="L199" i="3"/>
  <c r="L200" i="3" a="1"/>
  <c r="L200" i="3" s="1"/>
  <c r="L201" i="3" a="1"/>
  <c r="L201" i="3"/>
  <c r="L202" i="3" a="1"/>
  <c r="L202" i="3" s="1"/>
  <c r="L203" i="3" a="1"/>
  <c r="L203" i="3" s="1"/>
  <c r="L204" i="3" a="1"/>
  <c r="L204" i="3"/>
  <c r="L206" i="3" a="1"/>
  <c r="L206" i="3" s="1"/>
  <c r="L207" i="3" a="1"/>
  <c r="L207" i="3" s="1"/>
  <c r="L208" i="3" a="1"/>
  <c r="L208" i="3" s="1"/>
  <c r="L209" i="3" a="1"/>
  <c r="L209" i="3" s="1"/>
  <c r="L210" i="3" a="1"/>
  <c r="L210" i="3" s="1"/>
  <c r="L211" i="3" a="1"/>
  <c r="L211" i="3" s="1"/>
  <c r="L212" i="3" a="1"/>
  <c r="L212" i="3" s="1"/>
  <c r="L213" i="3" a="1"/>
  <c r="L213" i="3" s="1"/>
  <c r="L214" i="3" a="1"/>
  <c r="L214" i="3" s="1"/>
  <c r="L215" i="3" a="1"/>
  <c r="L215" i="3"/>
  <c r="L216" i="3" a="1"/>
  <c r="L216" i="3" s="1"/>
  <c r="L217" i="3" a="1"/>
  <c r="L217" i="3" s="1"/>
  <c r="L218" i="3" a="1"/>
  <c r="L218" i="3" s="1"/>
  <c r="L219" i="3" a="1"/>
  <c r="L219" i="3" s="1"/>
  <c r="L220" i="3" a="1"/>
  <c r="L220" i="3" s="1"/>
  <c r="L221" i="3" a="1"/>
  <c r="L221" i="3" s="1"/>
  <c r="L222" i="3" a="1"/>
  <c r="L222" i="3" s="1"/>
  <c r="L223" i="3" a="1"/>
  <c r="L223" i="3" s="1"/>
  <c r="L224" i="3" a="1"/>
  <c r="L224" i="3" s="1"/>
  <c r="L225" i="3" a="1"/>
  <c r="L225" i="3" s="1"/>
  <c r="L226" i="3" a="1"/>
  <c r="L226" i="3" s="1"/>
  <c r="L227" i="3" a="1"/>
  <c r="L227" i="3" s="1"/>
  <c r="L229" i="3" a="1"/>
  <c r="L229" i="3" s="1"/>
  <c r="L230" i="3" a="1"/>
  <c r="L230" i="3"/>
  <c r="L231" i="3" a="1"/>
  <c r="L231" i="3" s="1"/>
  <c r="L232" i="3" a="1"/>
  <c r="L232" i="3" s="1"/>
  <c r="L233" i="3" a="1"/>
  <c r="L233" i="3" s="1"/>
  <c r="L235" i="3" a="1"/>
  <c r="L235" i="3" s="1"/>
  <c r="L236" i="3" a="1"/>
  <c r="L236" i="3" s="1"/>
  <c r="L237" i="3" a="1"/>
  <c r="L237" i="3" s="1"/>
  <c r="L239" i="3" a="1"/>
  <c r="L239" i="3" s="1"/>
  <c r="L240" i="3" a="1"/>
  <c r="L240" i="3" s="1"/>
  <c r="L241" i="3" a="1"/>
  <c r="L241" i="3" s="1"/>
  <c r="L243" i="3" a="1"/>
  <c r="L243" i="3"/>
  <c r="L244" i="3" a="1"/>
  <c r="L244" i="3" s="1"/>
  <c r="L245" i="3" a="1"/>
  <c r="L245" i="3" s="1"/>
  <c r="L246" i="3" a="1"/>
  <c r="L246" i="3" s="1"/>
  <c r="L247" i="3" a="1"/>
  <c r="L247" i="3" s="1"/>
  <c r="L248" i="3" a="1"/>
  <c r="L248" i="3" s="1"/>
  <c r="L249" i="3" a="1"/>
  <c r="L249" i="3" s="1"/>
  <c r="L251" i="3" a="1"/>
  <c r="L251" i="3" s="1"/>
  <c r="L254" i="3" a="1"/>
  <c r="L254" i="3" s="1"/>
  <c r="L255" i="3" a="1"/>
  <c r="L255" i="3" s="1"/>
  <c r="L256" i="3" a="1"/>
  <c r="L256" i="3"/>
  <c r="L257" i="3" a="1"/>
  <c r="L257" i="3" s="1"/>
  <c r="L258" i="3" a="1"/>
  <c r="L258" i="3" s="1"/>
  <c r="L259" i="3" a="1"/>
  <c r="L259" i="3"/>
  <c r="L260" i="3" a="1"/>
  <c r="L260" i="3" s="1"/>
  <c r="L261" i="3" a="1"/>
  <c r="L261" i="3" s="1"/>
  <c r="L262" i="3" a="1"/>
  <c r="L262" i="3" s="1"/>
  <c r="L263" i="3" a="1"/>
  <c r="L263" i="3" s="1"/>
  <c r="L264" i="3" a="1"/>
  <c r="L264" i="3" s="1"/>
  <c r="L265" i="3" a="1"/>
  <c r="L265" i="3" s="1"/>
  <c r="L266" i="3" a="1"/>
  <c r="L266" i="3" s="1"/>
  <c r="L267" i="3" a="1"/>
  <c r="L267" i="3" s="1"/>
  <c r="L268" i="3" a="1"/>
  <c r="L268" i="3" s="1"/>
  <c r="L269" i="3" a="1"/>
  <c r="L269" i="3"/>
  <c r="L270" i="3" a="1"/>
  <c r="L270" i="3" s="1"/>
  <c r="L271" i="3" a="1"/>
  <c r="L271" i="3" s="1"/>
  <c r="L272" i="3" a="1"/>
  <c r="L272" i="3" s="1"/>
  <c r="L273" i="3" a="1"/>
  <c r="L273" i="3" s="1"/>
  <c r="L274" i="3" a="1"/>
  <c r="L274" i="3" s="1"/>
  <c r="L275" i="3" a="1"/>
  <c r="L275" i="3" s="1"/>
  <c r="L276" i="3" a="1"/>
  <c r="L276" i="3"/>
  <c r="L277" i="3" a="1"/>
  <c r="L277" i="3" s="1"/>
  <c r="L278" i="3" a="1"/>
  <c r="L278" i="3" s="1"/>
  <c r="L279" i="3" a="1"/>
  <c r="L279" i="3" s="1"/>
  <c r="L280" i="3" a="1"/>
  <c r="L280" i="3"/>
  <c r="L281" i="3" a="1"/>
  <c r="L281" i="3" s="1"/>
  <c r="L282" i="3" a="1"/>
  <c r="L282" i="3" s="1"/>
  <c r="L283" i="3" a="1"/>
  <c r="L283" i="3" s="1"/>
  <c r="L284" i="3" a="1"/>
  <c r="L284" i="3" s="1"/>
  <c r="L285" i="3" a="1"/>
  <c r="L285" i="3" s="1"/>
  <c r="L286" i="3" a="1"/>
  <c r="L286" i="3" s="1"/>
  <c r="L287" i="3" a="1"/>
  <c r="L287" i="3" s="1"/>
  <c r="L288" i="3" a="1"/>
  <c r="L288" i="3" s="1"/>
  <c r="L289" i="3" a="1"/>
  <c r="L289" i="3" s="1"/>
  <c r="L290" i="3" a="1"/>
  <c r="L290" i="3" s="1"/>
  <c r="L291" i="3" a="1"/>
  <c r="L291" i="3"/>
  <c r="L292" i="3" a="1"/>
  <c r="L292" i="3" s="1"/>
  <c r="L293" i="3" a="1"/>
  <c r="L293" i="3" s="1"/>
  <c r="L294" i="3" a="1"/>
  <c r="L294" i="3" s="1"/>
  <c r="L295" i="3" a="1"/>
  <c r="L295" i="3" s="1"/>
  <c r="L296" i="3" a="1"/>
  <c r="L296" i="3" s="1"/>
  <c r="L297" i="3" a="1"/>
  <c r="L297" i="3" s="1"/>
  <c r="L298" i="3" a="1"/>
  <c r="L298" i="3" s="1"/>
  <c r="L299" i="3" a="1"/>
  <c r="L299" i="3" s="1"/>
  <c r="L301" i="3" a="1"/>
  <c r="L301" i="3" s="1"/>
  <c r="L302" i="3" a="1"/>
  <c r="L302" i="3" s="1"/>
  <c r="L303" i="3" a="1"/>
  <c r="L303" i="3" s="1"/>
  <c r="L304" i="3" a="1"/>
  <c r="L304" i="3" s="1"/>
  <c r="L305" i="3" a="1"/>
  <c r="L305" i="3" s="1"/>
  <c r="L306" i="3" a="1"/>
  <c r="L306" i="3"/>
  <c r="L308" i="3" a="1"/>
  <c r="L308" i="3" s="1"/>
  <c r="L309" i="3" a="1"/>
  <c r="L309" i="3" s="1"/>
  <c r="L310" i="3" a="1"/>
  <c r="L310" i="3"/>
  <c r="L311" i="3" a="1"/>
  <c r="L311" i="3" s="1"/>
  <c r="L312" i="3" a="1"/>
  <c r="L312" i="3" s="1"/>
  <c r="L313" i="3" a="1"/>
  <c r="L313" i="3" s="1"/>
  <c r="L314" i="3" a="1"/>
  <c r="L314" i="3" s="1"/>
  <c r="L315" i="3" a="1"/>
  <c r="L315" i="3"/>
  <c r="L316" i="3" a="1"/>
  <c r="L316" i="3"/>
  <c r="L317" i="3" a="1"/>
  <c r="L317" i="3" s="1"/>
  <c r="L318" i="3" a="1"/>
  <c r="L318" i="3" s="1"/>
  <c r="L319" i="3" a="1"/>
  <c r="L319" i="3" s="1"/>
  <c r="L320" i="3" a="1"/>
  <c r="L320" i="3"/>
  <c r="L321" i="3" a="1"/>
  <c r="L321" i="3" s="1"/>
  <c r="L322" i="3" a="1"/>
  <c r="L322" i="3" s="1"/>
  <c r="L323" i="3" a="1"/>
  <c r="L323" i="3"/>
  <c r="L324" i="3" a="1"/>
  <c r="L324" i="3" s="1"/>
  <c r="L325" i="3" a="1"/>
  <c r="L325" i="3" s="1"/>
  <c r="L326" i="3" a="1"/>
  <c r="L326" i="3" s="1"/>
  <c r="L327" i="3" a="1"/>
  <c r="L327" i="3" s="1"/>
  <c r="L328" i="3" a="1"/>
  <c r="L328" i="3" s="1"/>
  <c r="L329" i="3" a="1"/>
  <c r="L329" i="3"/>
  <c r="L330" i="3" a="1"/>
  <c r="L330" i="3"/>
  <c r="L331" i="3" a="1"/>
  <c r="L331" i="3" s="1"/>
  <c r="L332" i="3" a="1"/>
  <c r="L332" i="3" s="1"/>
  <c r="L333" i="3" a="1"/>
  <c r="L333" i="3"/>
  <c r="L334" i="3" a="1"/>
  <c r="L334" i="3" s="1"/>
  <c r="L335" i="3" a="1"/>
  <c r="L335" i="3" s="1"/>
  <c r="L336" i="3" a="1"/>
  <c r="L336" i="3" s="1"/>
  <c r="L337" i="3" a="1"/>
  <c r="L337" i="3" s="1"/>
  <c r="L338" i="3" a="1"/>
  <c r="L338" i="3" s="1"/>
  <c r="L339" i="3" a="1"/>
  <c r="L339" i="3" s="1"/>
  <c r="L340" i="3" a="1"/>
  <c r="L340" i="3"/>
  <c r="L341" i="3" a="1"/>
  <c r="L341" i="3" s="1"/>
  <c r="L342" i="3" a="1"/>
  <c r="L342" i="3" s="1"/>
  <c r="L343" i="3" a="1"/>
  <c r="L343" i="3"/>
  <c r="L344" i="3" a="1"/>
  <c r="L344" i="3" s="1"/>
  <c r="L345" i="3" a="1"/>
  <c r="L345" i="3" s="1"/>
  <c r="L346" i="3" a="1"/>
  <c r="L346" i="3" s="1"/>
  <c r="L347" i="3" a="1"/>
  <c r="L347" i="3" s="1"/>
  <c r="L348" i="3" a="1"/>
  <c r="L348" i="3" s="1"/>
  <c r="L349" i="3" a="1"/>
  <c r="L349" i="3"/>
  <c r="L350" i="3" a="1"/>
  <c r="L350" i="3" s="1"/>
  <c r="L351" i="3" a="1"/>
  <c r="L351" i="3" s="1"/>
  <c r="L352" i="3" a="1"/>
  <c r="L352" i="3" s="1"/>
  <c r="L353" i="3" a="1"/>
  <c r="L353" i="3" s="1"/>
  <c r="L354" i="3" a="1"/>
  <c r="L354" i="3" s="1"/>
  <c r="L355" i="3" a="1"/>
  <c r="L355" i="3"/>
  <c r="L356" i="3" a="1"/>
  <c r="L356" i="3"/>
  <c r="L357" i="3" a="1"/>
  <c r="L357" i="3" s="1"/>
  <c r="L358" i="3" a="1"/>
  <c r="L358" i="3"/>
  <c r="L359" i="3" a="1"/>
  <c r="L359" i="3" s="1"/>
  <c r="L360" i="3" a="1"/>
  <c r="L360" i="3" s="1"/>
  <c r="L361" i="3" a="1"/>
  <c r="L361" i="3" s="1"/>
  <c r="L362" i="3" a="1"/>
  <c r="L362" i="3" s="1"/>
  <c r="L363" i="3" a="1"/>
  <c r="L363" i="3" s="1"/>
  <c r="L364" i="3" a="1"/>
  <c r="L364" i="3" s="1"/>
  <c r="L365" i="3" a="1"/>
  <c r="L365" i="3"/>
  <c r="L366" i="3" a="1"/>
  <c r="L366" i="3" s="1"/>
  <c r="L367" i="3" a="1"/>
  <c r="L367" i="3" s="1"/>
  <c r="L368" i="3" a="1"/>
  <c r="L368" i="3"/>
  <c r="L369" i="3" a="1"/>
  <c r="L369" i="3" s="1"/>
  <c r="L370" i="3" a="1"/>
  <c r="L370" i="3" s="1"/>
  <c r="L371" i="3" a="1"/>
  <c r="L371" i="3" s="1"/>
  <c r="L372" i="3" a="1"/>
  <c r="L372" i="3" s="1"/>
  <c r="L373" i="3" a="1"/>
  <c r="L373" i="3" s="1"/>
  <c r="L374" i="3" a="1"/>
  <c r="L374" i="3" s="1"/>
  <c r="L375" i="3" a="1"/>
  <c r="L375" i="3" s="1"/>
  <c r="L376" i="3" a="1"/>
  <c r="L376" i="3" s="1"/>
  <c r="L377" i="3" a="1"/>
  <c r="L377" i="3" s="1"/>
  <c r="L378" i="3" a="1"/>
  <c r="L378" i="3" s="1"/>
  <c r="L379" i="3" a="1"/>
  <c r="L379" i="3" s="1"/>
  <c r="L380" i="3" a="1"/>
  <c r="L380" i="3" s="1"/>
  <c r="L381" i="3" a="1"/>
  <c r="L381" i="3" s="1"/>
  <c r="L382" i="3" a="1"/>
  <c r="L382" i="3" s="1"/>
  <c r="L383" i="3" a="1"/>
  <c r="L383" i="3" s="1"/>
  <c r="L384" i="3" a="1"/>
  <c r="L384" i="3" s="1"/>
  <c r="L385" i="3" a="1"/>
  <c r="L385" i="3" s="1"/>
  <c r="L386" i="3" a="1"/>
  <c r="L386" i="3" s="1"/>
  <c r="L387" i="3" a="1"/>
  <c r="L387" i="3" s="1"/>
  <c r="L388" i="3" a="1"/>
  <c r="L388" i="3" s="1"/>
  <c r="L389" i="3" a="1"/>
  <c r="L389" i="3" s="1"/>
  <c r="L390" i="3" a="1"/>
  <c r="L390" i="3" s="1"/>
  <c r="L391" i="3" a="1"/>
  <c r="L391" i="3"/>
  <c r="L392" i="3" a="1"/>
  <c r="L392" i="3" s="1"/>
  <c r="L393" i="3" a="1"/>
  <c r="L393" i="3" s="1"/>
  <c r="L394" i="3" a="1"/>
  <c r="L394" i="3" s="1"/>
  <c r="L395" i="3" a="1"/>
  <c r="L395" i="3" s="1"/>
  <c r="L396" i="3" a="1"/>
  <c r="L396" i="3" s="1"/>
  <c r="L397" i="3" a="1"/>
  <c r="L397" i="3" s="1"/>
  <c r="L398" i="3" a="1"/>
  <c r="L398" i="3" s="1"/>
  <c r="L399" i="3" a="1"/>
  <c r="L399" i="3" s="1"/>
  <c r="L400" i="3" a="1"/>
  <c r="L400" i="3" s="1"/>
  <c r="L401" i="3" a="1"/>
  <c r="L401" i="3" s="1"/>
  <c r="L402" i="3" a="1"/>
  <c r="L402" i="3" s="1"/>
  <c r="L403" i="3" a="1"/>
  <c r="L403" i="3" s="1"/>
  <c r="L404" i="3" a="1"/>
  <c r="L404" i="3" s="1"/>
  <c r="L405" i="3" a="1"/>
  <c r="L405" i="3" s="1"/>
  <c r="L406" i="3" a="1"/>
  <c r="L406" i="3"/>
  <c r="L407" i="3" a="1"/>
  <c r="L407" i="3" s="1"/>
  <c r="L408" i="3" a="1"/>
  <c r="L408" i="3" s="1"/>
  <c r="L409" i="3" a="1"/>
  <c r="L409" i="3" s="1"/>
  <c r="L410" i="3" a="1"/>
  <c r="L410" i="3" s="1"/>
  <c r="L411" i="3" a="1"/>
  <c r="L411" i="3" s="1"/>
  <c r="L412" i="3" a="1"/>
  <c r="L412" i="3" s="1"/>
  <c r="L413" i="3" a="1"/>
  <c r="L413" i="3" s="1"/>
  <c r="L414" i="3" a="1"/>
  <c r="L414" i="3" s="1"/>
  <c r="L415" i="3" a="1"/>
  <c r="L415" i="3"/>
  <c r="L416" i="3" a="1"/>
  <c r="L416" i="3"/>
  <c r="L417" i="3" a="1"/>
  <c r="L417" i="3" s="1"/>
  <c r="L418" i="3" a="1"/>
  <c r="L418" i="3" s="1"/>
  <c r="L419" i="3" a="1"/>
  <c r="L419" i="3"/>
  <c r="L420" i="3" a="1"/>
  <c r="L420" i="3" s="1"/>
  <c r="L421" i="3" a="1"/>
  <c r="L421" i="3" s="1"/>
  <c r="L422" i="3" a="1"/>
  <c r="L422" i="3" s="1"/>
  <c r="L423" i="3" a="1"/>
  <c r="L423" i="3" s="1"/>
  <c r="L424" i="3" a="1"/>
  <c r="L424" i="3" s="1"/>
  <c r="L425" i="3" a="1"/>
  <c r="L425" i="3" s="1"/>
  <c r="L426" i="3" a="1"/>
  <c r="L426" i="3" s="1"/>
  <c r="L427" i="3" a="1"/>
  <c r="L427" i="3" s="1"/>
  <c r="L428" i="3" a="1"/>
  <c r="L428" i="3" s="1"/>
  <c r="L429" i="3" a="1"/>
  <c r="L429" i="3"/>
  <c r="L430" i="3" a="1"/>
  <c r="L430" i="3" s="1"/>
  <c r="L431" i="3" a="1"/>
  <c r="L431" i="3" s="1"/>
  <c r="L432" i="3" a="1"/>
  <c r="L432" i="3" s="1"/>
  <c r="L433" i="3" a="1"/>
  <c r="L433" i="3" s="1"/>
  <c r="L434" i="3" a="1"/>
  <c r="L434" i="3" s="1"/>
  <c r="L435" i="3" a="1"/>
  <c r="L435" i="3"/>
  <c r="L436" i="3" a="1"/>
  <c r="L436" i="3" s="1"/>
  <c r="L437" i="3" a="1"/>
  <c r="L437" i="3" s="1"/>
  <c r="L438" i="3" a="1"/>
  <c r="L438" i="3" s="1"/>
  <c r="L439" i="3" a="1"/>
  <c r="L439" i="3" s="1"/>
  <c r="L440" i="3" a="1"/>
  <c r="L440" i="3" s="1"/>
  <c r="L441" i="3" a="1"/>
  <c r="L441" i="3" s="1"/>
  <c r="L442" i="3" a="1"/>
  <c r="L442" i="3" s="1"/>
  <c r="L443" i="3" a="1"/>
  <c r="L443" i="3" s="1"/>
  <c r="L444" i="3" a="1"/>
  <c r="L444" i="3" s="1"/>
  <c r="L445" i="3" a="1"/>
  <c r="L445" i="3" s="1"/>
  <c r="L446" i="3" a="1"/>
  <c r="L446" i="3" s="1"/>
  <c r="L447" i="3" a="1"/>
  <c r="L447" i="3" s="1"/>
  <c r="L448" i="3" a="1"/>
  <c r="L448" i="3" s="1"/>
  <c r="L449" i="3" a="1"/>
  <c r="L449" i="3"/>
  <c r="L450" i="3" a="1"/>
  <c r="L450" i="3"/>
  <c r="L451" i="3" a="1"/>
  <c r="L451" i="3" s="1"/>
  <c r="L452" i="3" a="1"/>
  <c r="L452" i="3"/>
  <c r="L453" i="3" a="1"/>
  <c r="L453" i="3" s="1"/>
  <c r="L454" i="3" a="1"/>
  <c r="L454" i="3" s="1"/>
  <c r="L455" i="3" a="1"/>
  <c r="L455" i="3"/>
  <c r="L456" i="3" a="1"/>
  <c r="L456" i="3" s="1"/>
  <c r="L457" i="3" a="1"/>
  <c r="L457" i="3" s="1"/>
  <c r="L458" i="3" a="1"/>
  <c r="L458" i="3" s="1"/>
  <c r="L459" i="3" a="1"/>
  <c r="L459" i="3" s="1"/>
  <c r="L460" i="3" a="1"/>
  <c r="L460" i="3" s="1"/>
  <c r="L461" i="3" a="1"/>
  <c r="L461" i="3" s="1"/>
  <c r="L462" i="3" a="1"/>
  <c r="L462" i="3" s="1"/>
  <c r="L463" i="3" a="1"/>
  <c r="L463" i="3" s="1"/>
  <c r="L464" i="3" a="1"/>
  <c r="L464" i="3" s="1"/>
  <c r="L465" i="3" a="1"/>
  <c r="L465" i="3" s="1"/>
  <c r="L466" i="3" a="1"/>
  <c r="L466" i="3" s="1"/>
  <c r="L467" i="3" a="1"/>
  <c r="L467" i="3" s="1"/>
  <c r="L468" i="3" a="1"/>
  <c r="L468" i="3" s="1"/>
  <c r="L469" i="3" a="1"/>
  <c r="L469" i="3" s="1"/>
  <c r="L470" i="3" a="1"/>
  <c r="L470" i="3" s="1"/>
  <c r="L471" i="3" a="1"/>
  <c r="L471" i="3" s="1"/>
  <c r="L472" i="3" a="1"/>
  <c r="L472" i="3" s="1"/>
  <c r="L473" i="3" a="1"/>
  <c r="L473" i="3" s="1"/>
  <c r="L474" i="3" a="1"/>
  <c r="L474" i="3" s="1"/>
  <c r="L475" i="3" a="1"/>
  <c r="L475" i="3" s="1"/>
  <c r="L476" i="3" a="1"/>
  <c r="L476" i="3" s="1"/>
  <c r="L477" i="3" a="1"/>
  <c r="L477" i="3" s="1"/>
  <c r="L478" i="3" a="1"/>
  <c r="L478" i="3" s="1"/>
  <c r="L479" i="3" a="1"/>
  <c r="L479" i="3" s="1"/>
  <c r="L480" i="3" a="1"/>
  <c r="L480" i="3"/>
  <c r="L481" i="3" a="1"/>
  <c r="L481" i="3" s="1"/>
  <c r="L482" i="3" a="1"/>
  <c r="L482" i="3" s="1"/>
  <c r="L483" i="3" a="1"/>
  <c r="L483" i="3" s="1"/>
  <c r="L484" i="3" a="1"/>
  <c r="L484" i="3" s="1"/>
  <c r="L485" i="3" a="1"/>
  <c r="L485" i="3" s="1"/>
  <c r="L486" i="3" a="1"/>
  <c r="L486" i="3" s="1"/>
  <c r="L487" i="3" a="1"/>
  <c r="L487" i="3"/>
  <c r="L488" i="3" a="1"/>
  <c r="L488" i="3" s="1"/>
  <c r="L489" i="3" a="1"/>
  <c r="L489" i="3" s="1"/>
  <c r="L490" i="3" a="1"/>
  <c r="L490" i="3" s="1"/>
  <c r="L491" i="3" a="1"/>
  <c r="L491" i="3" s="1"/>
  <c r="L492" i="3" a="1"/>
  <c r="L492" i="3" s="1"/>
  <c r="L493" i="3" a="1"/>
  <c r="L493" i="3" s="1"/>
  <c r="L494" i="3" a="1"/>
  <c r="L494" i="3" s="1"/>
  <c r="L495" i="3" a="1"/>
  <c r="L495" i="3"/>
  <c r="L496" i="3" a="1"/>
  <c r="L496" i="3" s="1"/>
  <c r="L497" i="3" a="1"/>
  <c r="L497" i="3" s="1"/>
  <c r="L498" i="3" a="1"/>
  <c r="L498" i="3" s="1"/>
  <c r="L499" i="3" a="1"/>
  <c r="L499" i="3"/>
  <c r="L500" i="3" a="1"/>
  <c r="L500" i="3" s="1"/>
  <c r="L501" i="3" a="1"/>
  <c r="L501" i="3" s="1"/>
  <c r="L502" i="3" a="1"/>
  <c r="L502" i="3"/>
  <c r="L503" i="3" a="1"/>
  <c r="L503" i="3" s="1"/>
  <c r="L504" i="3" a="1"/>
  <c r="L504" i="3" s="1"/>
  <c r="L505" i="3" a="1"/>
  <c r="L505" i="3" s="1"/>
  <c r="L506" i="3" a="1"/>
  <c r="L506" i="3" s="1"/>
  <c r="L507" i="3" a="1"/>
  <c r="L507" i="3" s="1"/>
  <c r="L508" i="3" a="1"/>
  <c r="L508" i="3" s="1"/>
  <c r="L509" i="3" a="1"/>
  <c r="L509" i="3" s="1"/>
  <c r="L510" i="3" a="1"/>
  <c r="L510" i="3" s="1"/>
  <c r="L511" i="3" a="1"/>
  <c r="L511" i="3" s="1"/>
  <c r="L512" i="3" a="1"/>
  <c r="L512" i="3" s="1"/>
  <c r="L513" i="3" a="1"/>
  <c r="L513" i="3" s="1"/>
  <c r="L514" i="3" a="1"/>
  <c r="L514" i="3" s="1"/>
  <c r="L515" i="3" a="1"/>
  <c r="L515" i="3" s="1"/>
  <c r="L516" i="3" a="1"/>
  <c r="L516" i="3" s="1"/>
  <c r="L517" i="3" a="1"/>
  <c r="L517" i="3" s="1"/>
  <c r="L518" i="3" a="1"/>
  <c r="L518" i="3" s="1"/>
  <c r="L519" i="3" a="1"/>
  <c r="L519" i="3" s="1"/>
  <c r="L520" i="3" a="1"/>
  <c r="L520" i="3" s="1"/>
  <c r="L521" i="3" a="1"/>
  <c r="L521" i="3"/>
  <c r="L522" i="3" a="1"/>
  <c r="L522" i="3" s="1"/>
  <c r="L523" i="3" a="1"/>
  <c r="L523" i="3" s="1"/>
  <c r="L524" i="3" a="1"/>
  <c r="L524" i="3" s="1"/>
  <c r="L525" i="3" a="1"/>
  <c r="L525" i="3" s="1"/>
  <c r="L526" i="3" a="1"/>
  <c r="L526" i="3" s="1"/>
  <c r="L527" i="3" a="1"/>
  <c r="L527" i="3" s="1"/>
  <c r="L528" i="3" a="1"/>
  <c r="L528" i="3" s="1"/>
  <c r="L529" i="3" a="1"/>
  <c r="L529" i="3" s="1"/>
  <c r="L530" i="3" a="1"/>
  <c r="L530" i="3"/>
  <c r="L531" i="3" a="1"/>
  <c r="L531" i="3" s="1"/>
  <c r="L532" i="3" a="1"/>
  <c r="L532" i="3"/>
  <c r="L533" i="3" a="1"/>
  <c r="L533" i="3" s="1"/>
  <c r="L534" i="3" a="1"/>
  <c r="L534" i="3"/>
  <c r="L535" i="3" a="1"/>
  <c r="L535" i="3" s="1"/>
  <c r="L536" i="3" a="1"/>
  <c r="L536" i="3" s="1"/>
  <c r="L537" i="3" a="1"/>
  <c r="L537" i="3"/>
  <c r="L538" i="3" a="1"/>
  <c r="L538" i="3" s="1"/>
  <c r="L539" i="3" a="1"/>
  <c r="L539" i="3" s="1"/>
  <c r="L540" i="3" a="1"/>
  <c r="L540" i="3" s="1"/>
  <c r="L541" i="3" a="1"/>
  <c r="L541" i="3"/>
  <c r="L542" i="3" a="1"/>
  <c r="L542" i="3" s="1"/>
  <c r="L543" i="3" a="1"/>
  <c r="L543" i="3" s="1"/>
  <c r="L544" i="3" a="1"/>
  <c r="L544" i="3" s="1"/>
  <c r="L545" i="3" a="1"/>
  <c r="L545" i="3"/>
  <c r="L546" i="3" a="1"/>
  <c r="L546" i="3" s="1"/>
  <c r="L547" i="3" a="1"/>
  <c r="L547" i="3" s="1"/>
  <c r="L548" i="3" a="1"/>
  <c r="L548" i="3" s="1"/>
  <c r="L549" i="3" a="1"/>
  <c r="L549" i="3"/>
  <c r="L550" i="3" a="1"/>
  <c r="L550" i="3" s="1"/>
  <c r="L551" i="3" a="1"/>
  <c r="L551" i="3" s="1"/>
  <c r="L552" i="3" a="1"/>
  <c r="L552" i="3"/>
  <c r="L553" i="3" a="1"/>
  <c r="L553" i="3" s="1"/>
  <c r="L554" i="3" a="1"/>
  <c r="L554" i="3" s="1"/>
  <c r="L555" i="3" a="1"/>
  <c r="L555" i="3" s="1"/>
  <c r="L556" i="3" a="1"/>
  <c r="L556" i="3" s="1"/>
  <c r="L557" i="3" a="1"/>
  <c r="L557" i="3" s="1"/>
  <c r="L558" i="3" a="1"/>
  <c r="L558" i="3" s="1"/>
  <c r="L559" i="3" a="1"/>
  <c r="L559" i="3" s="1"/>
  <c r="L560" i="3" a="1"/>
  <c r="L560" i="3" s="1"/>
  <c r="L561" i="3" a="1"/>
  <c r="L561" i="3" s="1"/>
  <c r="L562" i="3" a="1"/>
  <c r="L562" i="3"/>
  <c r="L563" i="3" a="1"/>
  <c r="L563" i="3" s="1"/>
  <c r="L564" i="3" a="1"/>
  <c r="L564" i="3" s="1"/>
  <c r="L565" i="3" a="1"/>
  <c r="L565" i="3" s="1"/>
  <c r="L566" i="3" a="1"/>
  <c r="L566" i="3" s="1"/>
  <c r="L567" i="3" a="1"/>
  <c r="L567" i="3" s="1"/>
  <c r="L568" i="3" a="1"/>
  <c r="L568" i="3" s="1"/>
  <c r="L569" i="3" a="1"/>
  <c r="L569" i="3" s="1"/>
  <c r="L570" i="3" a="1"/>
  <c r="L570" i="3" s="1"/>
  <c r="L571" i="3" a="1"/>
  <c r="L571" i="3" s="1"/>
  <c r="L572" i="3" a="1"/>
  <c r="L572" i="3" s="1"/>
  <c r="L573" i="3" a="1"/>
  <c r="L573" i="3" s="1"/>
  <c r="L574" i="3" a="1"/>
  <c r="L574" i="3" s="1"/>
  <c r="L575" i="3" a="1"/>
  <c r="L575" i="3" s="1"/>
  <c r="L576" i="3" a="1"/>
  <c r="L576" i="3" s="1"/>
  <c r="L577" i="3" a="1"/>
  <c r="L577" i="3" s="1"/>
  <c r="L578" i="3" a="1"/>
  <c r="L578" i="3" s="1"/>
  <c r="L579" i="3" a="1"/>
  <c r="L579" i="3" s="1"/>
  <c r="L580" i="3" a="1"/>
  <c r="L580" i="3"/>
  <c r="L581" i="3" a="1"/>
  <c r="L581" i="3" s="1"/>
  <c r="L582" i="3" a="1"/>
  <c r="L582" i="3"/>
  <c r="L583" i="3" a="1"/>
  <c r="L583" i="3" s="1"/>
  <c r="L584" i="3" a="1"/>
  <c r="L584" i="3"/>
  <c r="L585" i="3" a="1"/>
  <c r="L585" i="3" s="1"/>
  <c r="L586" i="3" a="1"/>
  <c r="L586" i="3" s="1"/>
  <c r="L587" i="3" a="1"/>
  <c r="L587" i="3"/>
  <c r="L588" i="3" a="1"/>
  <c r="L588" i="3" s="1"/>
  <c r="L589" i="3" a="1"/>
  <c r="L589" i="3" s="1"/>
  <c r="L590" i="3" a="1"/>
  <c r="L590" i="3" s="1"/>
  <c r="L591" i="3" a="1"/>
  <c r="L591" i="3"/>
  <c r="L592" i="3" a="1"/>
  <c r="L592" i="3" s="1"/>
  <c r="L593" i="3" a="1"/>
  <c r="L593" i="3" s="1"/>
  <c r="L594" i="3" a="1"/>
  <c r="L594" i="3" s="1"/>
  <c r="L595" i="3" a="1"/>
  <c r="L595" i="3"/>
  <c r="L596" i="3" a="1"/>
  <c r="L596" i="3" s="1"/>
  <c r="L597" i="3" a="1"/>
  <c r="L597" i="3" s="1"/>
  <c r="L598" i="3" a="1"/>
  <c r="L598" i="3" s="1"/>
  <c r="L599" i="3" a="1"/>
  <c r="L599" i="3"/>
  <c r="L600" i="3" a="1"/>
  <c r="L600" i="3" s="1"/>
  <c r="L601" i="3" a="1"/>
  <c r="L601" i="3" s="1"/>
  <c r="L602" i="3" a="1"/>
  <c r="L602" i="3"/>
  <c r="L603" i="3" a="1"/>
  <c r="L603" i="3" s="1"/>
  <c r="L604" i="3" a="1"/>
  <c r="L604" i="3" s="1"/>
  <c r="L605" i="3" a="1"/>
  <c r="L605" i="3" s="1"/>
  <c r="L606" i="3" a="1"/>
  <c r="L606" i="3" s="1"/>
  <c r="L607" i="3" a="1"/>
  <c r="L607" i="3" s="1"/>
  <c r="L608" i="3" a="1"/>
  <c r="L608" i="3" s="1"/>
  <c r="L609" i="3" a="1"/>
  <c r="L609" i="3" s="1"/>
  <c r="L610" i="3" a="1"/>
  <c r="L610" i="3"/>
  <c r="L611" i="3" a="1"/>
  <c r="L611" i="3"/>
  <c r="L612" i="3" a="1"/>
  <c r="L612" i="3"/>
  <c r="L613" i="3" a="1"/>
  <c r="L613" i="3" s="1"/>
  <c r="L614" i="3" a="1"/>
  <c r="L614" i="3" s="1"/>
  <c r="L615" i="3" a="1"/>
  <c r="L615" i="3" s="1"/>
  <c r="L616" i="3" a="1"/>
  <c r="L616" i="3" s="1"/>
  <c r="L617" i="3" a="1"/>
  <c r="L617" i="3"/>
  <c r="L618" i="3" a="1"/>
  <c r="L618" i="3" s="1"/>
  <c r="L619" i="3" a="1"/>
  <c r="L619" i="3" s="1"/>
  <c r="L620" i="3" a="1"/>
  <c r="L620" i="3" s="1"/>
  <c r="L621" i="3" a="1"/>
  <c r="L621" i="3" s="1"/>
  <c r="L622" i="3" a="1"/>
  <c r="L622" i="3" s="1"/>
  <c r="L623" i="3" a="1"/>
  <c r="L623" i="3" s="1"/>
  <c r="L624" i="3" a="1"/>
  <c r="L624" i="3" s="1"/>
  <c r="L625" i="3" a="1"/>
  <c r="L625" i="3" s="1"/>
  <c r="L626" i="3" a="1"/>
  <c r="L626" i="3" s="1"/>
  <c r="L627" i="3" a="1"/>
  <c r="L627" i="3" s="1"/>
  <c r="L628" i="3" a="1"/>
  <c r="L628" i="3" s="1"/>
  <c r="L629" i="3" a="1"/>
  <c r="L629" i="3" s="1"/>
  <c r="L630" i="3" a="1"/>
  <c r="L630" i="3"/>
  <c r="L631" i="3" a="1"/>
  <c r="L631" i="3" s="1"/>
  <c r="L632" i="3" a="1"/>
  <c r="L632" i="3"/>
  <c r="L633" i="3" a="1"/>
  <c r="L633" i="3" s="1"/>
  <c r="L634" i="3" a="1"/>
  <c r="L634" i="3" s="1"/>
  <c r="L635" i="3" a="1"/>
  <c r="L635" i="3" s="1"/>
  <c r="L636" i="3" a="1"/>
  <c r="L636" i="3" s="1"/>
  <c r="L637" i="3" a="1"/>
  <c r="L637" i="3" s="1"/>
  <c r="L638" i="3" a="1"/>
  <c r="L638" i="3" s="1"/>
  <c r="L639" i="3" a="1"/>
  <c r="L639" i="3" s="1"/>
  <c r="L640" i="3" a="1"/>
  <c r="L640" i="3" s="1"/>
  <c r="L641" i="3" a="1"/>
  <c r="L641" i="3"/>
  <c r="L642" i="3" a="1"/>
  <c r="L642" i="3" s="1"/>
  <c r="L643" i="3" a="1"/>
  <c r="L643" i="3" s="1"/>
  <c r="L644" i="3" a="1"/>
  <c r="L644" i="3" s="1"/>
  <c r="L645" i="3" a="1"/>
  <c r="L645" i="3" s="1"/>
  <c r="L646" i="3" a="1"/>
  <c r="L646" i="3" s="1"/>
  <c r="L647" i="3" a="1"/>
  <c r="L647" i="3" s="1"/>
  <c r="L648" i="3" a="1"/>
  <c r="L648" i="3" s="1"/>
  <c r="L649" i="3" a="1"/>
  <c r="L649" i="3"/>
  <c r="L650" i="3" a="1"/>
  <c r="L650" i="3" s="1"/>
  <c r="L651" i="3" a="1"/>
  <c r="L651" i="3" s="1"/>
  <c r="L652" i="3" a="1"/>
  <c r="L652" i="3"/>
  <c r="L653" i="3" a="1"/>
  <c r="L653" i="3" s="1"/>
  <c r="L654" i="3" a="1"/>
  <c r="L654" i="3" s="1"/>
  <c r="L655" i="3" a="1"/>
  <c r="L655" i="3" s="1"/>
  <c r="L656" i="3" a="1"/>
  <c r="L656" i="3" s="1"/>
  <c r="L657" i="3" a="1"/>
  <c r="L657" i="3" s="1"/>
  <c r="L658" i="3" a="1"/>
  <c r="L658" i="3" s="1"/>
  <c r="L659" i="3" a="1"/>
  <c r="L659" i="3" s="1"/>
  <c r="L660" i="3" a="1"/>
  <c r="L660" i="3" s="1"/>
  <c r="L661" i="3" a="1"/>
  <c r="L661" i="3" s="1"/>
  <c r="L662" i="3" a="1"/>
  <c r="L662" i="3" s="1"/>
  <c r="L663" i="3" a="1"/>
  <c r="L663" i="3" s="1"/>
  <c r="L664" i="3" a="1"/>
  <c r="L664" i="3" s="1"/>
  <c r="L665" i="3" a="1"/>
  <c r="L665" i="3" s="1"/>
  <c r="L666" i="3" a="1"/>
  <c r="L666" i="3" s="1"/>
  <c r="L667" i="3" a="1"/>
  <c r="L667" i="3" s="1"/>
  <c r="L668" i="3" a="1"/>
  <c r="L668" i="3" s="1"/>
  <c r="L669" i="3" a="1"/>
  <c r="L669" i="3"/>
  <c r="L670" i="3" a="1"/>
  <c r="L670" i="3" s="1"/>
  <c r="L671" i="3" a="1"/>
  <c r="L671" i="3"/>
  <c r="L672" i="3" a="1"/>
  <c r="L672" i="3" s="1"/>
  <c r="L673" i="3" a="1"/>
  <c r="L673" i="3" s="1"/>
  <c r="L674" i="3" a="1"/>
  <c r="L674" i="3" s="1"/>
  <c r="L675" i="3" a="1"/>
  <c r="L675" i="3" s="1"/>
  <c r="L676" i="3" a="1"/>
  <c r="L676" i="3"/>
  <c r="L677" i="3" a="1"/>
  <c r="L677" i="3" s="1"/>
  <c r="L678" i="3" a="1"/>
  <c r="L678" i="3" s="1"/>
  <c r="L679" i="3" a="1"/>
  <c r="L679" i="3"/>
  <c r="L680" i="3" a="1"/>
  <c r="L680" i="3" s="1"/>
  <c r="L681" i="3" a="1"/>
  <c r="L681" i="3" s="1"/>
  <c r="L682" i="3" a="1"/>
  <c r="L682" i="3" s="1"/>
  <c r="L683" i="3" a="1"/>
  <c r="L683" i="3" s="1"/>
  <c r="L684" i="3" a="1"/>
  <c r="L684" i="3" s="1"/>
  <c r="L685" i="3" a="1"/>
  <c r="L685" i="3" s="1"/>
  <c r="L686" i="3" a="1"/>
  <c r="L686" i="3" s="1"/>
  <c r="L687" i="3" a="1"/>
  <c r="L687" i="3" s="1"/>
  <c r="L688" i="3" a="1"/>
  <c r="L688" i="3" s="1"/>
  <c r="L689" i="3" a="1"/>
  <c r="L689" i="3" s="1"/>
  <c r="L690" i="3" a="1"/>
  <c r="L690" i="3" s="1"/>
  <c r="L691" i="3" a="1"/>
  <c r="L691" i="3" s="1"/>
  <c r="L692" i="3" a="1"/>
  <c r="L692" i="3" s="1"/>
  <c r="L693" i="3" a="1"/>
  <c r="L693" i="3" s="1"/>
  <c r="L694" i="3" a="1"/>
  <c r="L694" i="3" s="1"/>
  <c r="L695" i="3" a="1"/>
  <c r="L695" i="3" s="1"/>
  <c r="L696" i="3" a="1"/>
  <c r="L696" i="3" s="1"/>
  <c r="L697" i="3" a="1"/>
  <c r="L697" i="3"/>
  <c r="L698" i="3" a="1"/>
  <c r="L698" i="3" s="1"/>
  <c r="L699" i="3" a="1"/>
  <c r="L699" i="3" s="1"/>
  <c r="L700" i="3" a="1"/>
  <c r="L700" i="3" s="1"/>
  <c r="L701" i="3" a="1"/>
  <c r="L701" i="3" s="1"/>
  <c r="L702" i="3" a="1"/>
  <c r="L702" i="3" s="1"/>
  <c r="L703" i="3" a="1"/>
  <c r="L703" i="3" s="1"/>
  <c r="L704" i="3" a="1"/>
  <c r="L704" i="3" s="1"/>
  <c r="L705" i="3" a="1"/>
  <c r="L705" i="3" s="1"/>
  <c r="L706" i="3" a="1"/>
  <c r="L706" i="3" s="1"/>
  <c r="L707" i="3" a="1"/>
  <c r="L707" i="3" s="1"/>
  <c r="L708" i="3" a="1"/>
  <c r="L708" i="3" s="1"/>
  <c r="L709" i="3" a="1"/>
  <c r="L709" i="3" s="1"/>
  <c r="L710" i="3" a="1"/>
  <c r="L710" i="3" s="1"/>
  <c r="L711" i="3" a="1"/>
  <c r="L711" i="3" s="1"/>
  <c r="L712" i="3" a="1"/>
  <c r="L712" i="3" s="1"/>
  <c r="L713" i="3" a="1"/>
  <c r="L713" i="3" s="1"/>
  <c r="L714" i="3" a="1"/>
  <c r="L714" i="3" s="1"/>
  <c r="L715" i="3" a="1"/>
  <c r="L715" i="3" s="1"/>
  <c r="L716" i="3" a="1"/>
  <c r="L716" i="3" s="1"/>
  <c r="L717" i="3" a="1"/>
  <c r="L717" i="3" s="1"/>
  <c r="L718" i="3" a="1"/>
  <c r="L718" i="3" s="1"/>
  <c r="L719" i="3" a="1"/>
  <c r="L719" i="3" s="1"/>
  <c r="L720" i="3" a="1"/>
  <c r="L720" i="3" s="1"/>
  <c r="L721" i="3" a="1"/>
  <c r="L721" i="3" s="1"/>
  <c r="L722" i="3" a="1"/>
  <c r="L722" i="3" s="1"/>
  <c r="L723" i="3" a="1"/>
  <c r="L723" i="3" s="1"/>
  <c r="L724" i="3" a="1"/>
  <c r="L724" i="3" s="1"/>
  <c r="L725" i="3" a="1"/>
  <c r="L725" i="3" s="1"/>
  <c r="L726" i="3" a="1"/>
  <c r="L726" i="3" s="1"/>
  <c r="L727" i="3" a="1"/>
  <c r="L727" i="3" s="1"/>
  <c r="L728" i="3" a="1"/>
  <c r="L728" i="3" s="1"/>
  <c r="L729" i="3" a="1"/>
  <c r="L729" i="3" s="1"/>
  <c r="L730" i="3" a="1"/>
  <c r="L730" i="3" s="1"/>
  <c r="L731" i="3" a="1"/>
  <c r="L731" i="3" s="1"/>
  <c r="L732" i="3" a="1"/>
  <c r="L732" i="3" s="1"/>
  <c r="L733" i="3" a="1"/>
  <c r="L733" i="3" s="1"/>
  <c r="L734" i="3" a="1"/>
  <c r="L734" i="3" s="1"/>
  <c r="L735" i="3" a="1"/>
  <c r="L735" i="3" s="1"/>
  <c r="L736" i="3" a="1"/>
  <c r="L736" i="3" s="1"/>
  <c r="L737" i="3" a="1"/>
  <c r="L737" i="3" s="1"/>
  <c r="L738" i="3" a="1"/>
  <c r="L738" i="3" s="1"/>
  <c r="L739" i="3" a="1"/>
  <c r="L739" i="3" s="1"/>
  <c r="L740" i="3" a="1"/>
  <c r="L740" i="3" s="1"/>
  <c r="L741" i="3" a="1"/>
  <c r="L741" i="3" s="1"/>
  <c r="L742" i="3" a="1"/>
  <c r="L742" i="3" s="1"/>
  <c r="L743" i="3" a="1"/>
  <c r="L743" i="3" s="1"/>
  <c r="L744" i="3" a="1"/>
  <c r="L744" i="3" s="1"/>
  <c r="L745" i="3" a="1"/>
  <c r="L745" i="3" s="1"/>
  <c r="L746" i="3" a="1"/>
  <c r="L746" i="3" s="1"/>
  <c r="L747" i="3" a="1"/>
  <c r="L747" i="3" s="1"/>
  <c r="L748" i="3" a="1"/>
  <c r="L748" i="3" s="1"/>
  <c r="L749" i="3" a="1"/>
  <c r="L749" i="3" s="1"/>
  <c r="L750" i="3" a="1"/>
  <c r="L750" i="3" s="1"/>
  <c r="L751" i="3" a="1"/>
  <c r="L751" i="3" s="1"/>
  <c r="L752" i="3" a="1"/>
  <c r="L752" i="3" s="1"/>
  <c r="L753" i="3" a="1"/>
  <c r="L753" i="3" s="1"/>
  <c r="L754" i="3" a="1"/>
  <c r="L754" i="3" s="1"/>
  <c r="L755" i="3" a="1"/>
  <c r="L755" i="3" s="1"/>
  <c r="L756" i="3" a="1"/>
  <c r="L756" i="3" s="1"/>
  <c r="L757" i="3" a="1"/>
  <c r="L757" i="3" s="1"/>
  <c r="L758" i="3" a="1"/>
  <c r="L758" i="3" s="1"/>
  <c r="L759" i="3" a="1"/>
  <c r="L759" i="3" s="1"/>
  <c r="L760" i="3" a="1"/>
  <c r="L760" i="3" s="1"/>
  <c r="L761" i="3" a="1"/>
  <c r="L761" i="3" s="1"/>
  <c r="L762" i="3" a="1"/>
  <c r="L762" i="3" s="1"/>
  <c r="L763" i="3" a="1"/>
  <c r="L763" i="3" s="1"/>
  <c r="L764" i="3" a="1"/>
  <c r="L764" i="3" s="1"/>
  <c r="L765" i="3" a="1"/>
  <c r="L765" i="3" s="1"/>
  <c r="L766" i="3" a="1"/>
  <c r="L766" i="3" s="1"/>
  <c r="L767" i="3" a="1"/>
  <c r="L767" i="3" s="1"/>
  <c r="L768" i="3" a="1"/>
  <c r="L768" i="3" s="1"/>
  <c r="L769" i="3" a="1"/>
  <c r="L769" i="3" s="1"/>
  <c r="L770" i="3" a="1"/>
  <c r="L770" i="3" s="1"/>
  <c r="L771" i="3" a="1"/>
  <c r="L771" i="3" s="1"/>
  <c r="L772" i="3" a="1"/>
  <c r="L772" i="3" s="1"/>
  <c r="L773" i="3" a="1"/>
  <c r="L773" i="3" s="1"/>
  <c r="L774" i="3" a="1"/>
  <c r="L774" i="3" s="1"/>
  <c r="L775" i="3" a="1"/>
  <c r="L775" i="3" s="1"/>
  <c r="L776" i="3" a="1"/>
  <c r="L776" i="3" s="1"/>
  <c r="L777" i="3" a="1"/>
  <c r="L777" i="3" s="1"/>
  <c r="L778" i="3" a="1"/>
  <c r="L778" i="3" s="1"/>
  <c r="L779" i="3" a="1"/>
  <c r="L779" i="3" s="1"/>
  <c r="L780" i="3" a="1"/>
  <c r="L780" i="3" s="1"/>
  <c r="L781" i="3" a="1"/>
  <c r="L781" i="3" s="1"/>
  <c r="L782" i="3" a="1"/>
  <c r="L782" i="3" s="1"/>
  <c r="L783" i="3" a="1"/>
  <c r="L783" i="3" s="1"/>
  <c r="L784" i="3" a="1"/>
  <c r="L784" i="3" s="1"/>
  <c r="L785" i="3" a="1"/>
  <c r="L785" i="3" s="1"/>
  <c r="L786" i="3" a="1"/>
  <c r="L786" i="3" s="1"/>
  <c r="L787" i="3" a="1"/>
  <c r="L787" i="3" s="1"/>
  <c r="L788" i="3" a="1"/>
  <c r="L788" i="3" s="1"/>
  <c r="L789" i="3" a="1"/>
  <c r="L789" i="3" s="1"/>
  <c r="L790" i="3" a="1"/>
  <c r="L790" i="3" s="1"/>
  <c r="L791" i="3" a="1"/>
  <c r="L791" i="3" s="1"/>
  <c r="L792" i="3" a="1"/>
  <c r="L792" i="3" s="1"/>
  <c r="L793" i="3" a="1"/>
  <c r="L793" i="3" s="1"/>
  <c r="L794" i="3" a="1"/>
  <c r="L794" i="3" s="1"/>
  <c r="L795" i="3" a="1"/>
  <c r="L795" i="3" s="1"/>
  <c r="L796" i="3" a="1"/>
  <c r="L796" i="3" s="1"/>
  <c r="L797" i="3" a="1"/>
  <c r="L797" i="3" s="1"/>
  <c r="L798" i="3" a="1"/>
  <c r="L798" i="3" s="1"/>
  <c r="L799" i="3" a="1"/>
  <c r="L799" i="3" s="1"/>
  <c r="L800" i="3" a="1"/>
  <c r="L800" i="3" s="1"/>
  <c r="L801" i="3" a="1"/>
  <c r="L801" i="3" s="1"/>
  <c r="L802" i="3" a="1"/>
  <c r="L802" i="3" s="1"/>
  <c r="L803" i="3" a="1"/>
  <c r="L803" i="3" s="1"/>
  <c r="L804" i="3" a="1"/>
  <c r="L804" i="3" s="1"/>
  <c r="L805" i="3" a="1"/>
  <c r="L805" i="3" s="1"/>
  <c r="L806" i="3" a="1"/>
  <c r="L806" i="3" s="1"/>
  <c r="L807" i="3" a="1"/>
  <c r="L807" i="3" s="1"/>
  <c r="L808" i="3" a="1"/>
  <c r="L808" i="3" s="1"/>
  <c r="L809" i="3" a="1"/>
  <c r="L809" i="3" s="1"/>
  <c r="L810" i="3" a="1"/>
  <c r="L810" i="3" s="1"/>
  <c r="L811" i="3" a="1"/>
  <c r="L811" i="3" s="1"/>
  <c r="L812" i="3" a="1"/>
  <c r="L812" i="3" s="1"/>
  <c r="L813" i="3" a="1"/>
  <c r="L813" i="3" s="1"/>
  <c r="L814" i="3" a="1"/>
  <c r="L814" i="3" s="1"/>
  <c r="L815" i="3" a="1"/>
  <c r="L815" i="3" s="1"/>
  <c r="L816" i="3" a="1"/>
  <c r="L816" i="3" s="1"/>
  <c r="L817" i="3" a="1"/>
  <c r="L817" i="3" s="1"/>
  <c r="L818" i="3" a="1"/>
  <c r="L818" i="3" s="1"/>
  <c r="L819" i="3" a="1"/>
  <c r="L819" i="3" s="1"/>
  <c r="L820" i="3" a="1"/>
  <c r="L820" i="3" s="1"/>
  <c r="L821" i="3" a="1"/>
  <c r="L821" i="3" s="1"/>
  <c r="L822" i="3" a="1"/>
  <c r="L822" i="3" s="1"/>
  <c r="L823" i="3" a="1"/>
  <c r="L823" i="3" s="1"/>
  <c r="L824" i="3" a="1"/>
  <c r="L824" i="3" s="1"/>
  <c r="L825" i="3" a="1"/>
  <c r="L825" i="3" s="1"/>
  <c r="L826" i="3" a="1"/>
  <c r="L826" i="3" s="1"/>
  <c r="L827" i="3" a="1"/>
  <c r="L827" i="3" s="1"/>
  <c r="L828" i="3" a="1"/>
  <c r="L828" i="3" s="1"/>
  <c r="L829" i="3" a="1"/>
  <c r="L829" i="3" s="1"/>
  <c r="L830" i="3" a="1"/>
  <c r="L830" i="3" s="1"/>
  <c r="L831" i="3" a="1"/>
  <c r="L831" i="3" s="1"/>
  <c r="L832" i="3" a="1"/>
  <c r="L832" i="3" s="1"/>
  <c r="L833" i="3" a="1"/>
  <c r="L833" i="3" s="1"/>
  <c r="L834" i="3" a="1"/>
  <c r="L834" i="3" s="1"/>
  <c r="L835" i="3" a="1"/>
  <c r="L835" i="3" s="1"/>
  <c r="L836" i="3" a="1"/>
  <c r="L836" i="3" s="1"/>
  <c r="L837" i="3" a="1"/>
  <c r="L837" i="3" s="1"/>
  <c r="L838" i="3" a="1"/>
  <c r="L838" i="3" s="1"/>
  <c r="L839" i="3" a="1"/>
  <c r="L839" i="3" s="1"/>
  <c r="L840" i="3" a="1"/>
  <c r="L840" i="3" s="1"/>
  <c r="L841" i="3" a="1"/>
  <c r="L841" i="3" s="1"/>
  <c r="L842" i="3" a="1"/>
  <c r="L842" i="3" s="1"/>
  <c r="L843" i="3" a="1"/>
  <c r="L843" i="3" s="1"/>
  <c r="L844" i="3" a="1"/>
  <c r="L844" i="3" s="1"/>
  <c r="L845" i="3" a="1"/>
  <c r="L845" i="3" s="1"/>
  <c r="L846" i="3" a="1"/>
  <c r="L846" i="3" s="1"/>
  <c r="L847" i="3" a="1"/>
  <c r="L847" i="3" s="1"/>
  <c r="L848" i="3" a="1"/>
  <c r="L848" i="3" s="1"/>
  <c r="L849" i="3" a="1"/>
  <c r="L849" i="3" s="1"/>
  <c r="L850" i="3" a="1"/>
  <c r="L850" i="3" s="1"/>
  <c r="L851" i="3" a="1"/>
  <c r="L851" i="3" s="1"/>
  <c r="L852" i="3" a="1"/>
  <c r="L852" i="3" s="1"/>
  <c r="L853" i="3" a="1"/>
  <c r="L853" i="3" s="1"/>
  <c r="L854" i="3" a="1"/>
  <c r="L854" i="3" s="1"/>
  <c r="L855" i="3" a="1"/>
  <c r="L855" i="3" s="1"/>
  <c r="L856" i="3" a="1"/>
  <c r="L856" i="3" s="1"/>
  <c r="L857" i="3" a="1"/>
  <c r="L857" i="3" s="1"/>
  <c r="L858" i="3" a="1"/>
  <c r="L858" i="3" s="1"/>
  <c r="L859" i="3" a="1"/>
  <c r="L859" i="3" s="1"/>
  <c r="L860" i="3" a="1"/>
  <c r="L860" i="3" s="1"/>
  <c r="L861" i="3" a="1"/>
  <c r="L861" i="3" s="1"/>
  <c r="L862" i="3" a="1"/>
  <c r="L862" i="3" s="1"/>
  <c r="L863" i="3" a="1"/>
  <c r="L863" i="3" s="1"/>
  <c r="L864" i="3" a="1"/>
  <c r="L864" i="3" s="1"/>
  <c r="L865" i="3" a="1"/>
  <c r="L865" i="3" s="1"/>
  <c r="L866" i="3" a="1"/>
  <c r="L866" i="3" s="1"/>
  <c r="L867" i="3" a="1"/>
  <c r="L867" i="3" s="1"/>
  <c r="L868" i="3" a="1"/>
  <c r="L868" i="3" s="1"/>
  <c r="L869" i="3" a="1"/>
  <c r="L869" i="3" s="1"/>
  <c r="L870" i="3" a="1"/>
  <c r="L870" i="3" s="1"/>
  <c r="L871" i="3" a="1"/>
  <c r="L871" i="3" s="1"/>
  <c r="L872" i="3" a="1"/>
  <c r="L872" i="3" s="1"/>
  <c r="L873" i="3" a="1"/>
  <c r="L873" i="3" s="1"/>
  <c r="L874" i="3" a="1"/>
  <c r="L874" i="3" s="1"/>
  <c r="L875" i="3" a="1"/>
  <c r="L875" i="3" s="1"/>
  <c r="L876" i="3" a="1"/>
  <c r="L876" i="3" s="1"/>
  <c r="L877" i="3" a="1"/>
  <c r="L877" i="3" s="1"/>
  <c r="L878" i="3" a="1"/>
  <c r="L878" i="3" s="1"/>
  <c r="L879" i="3" a="1"/>
  <c r="L879" i="3" s="1"/>
  <c r="L880" i="3" a="1"/>
  <c r="L880" i="3" s="1"/>
  <c r="L881" i="3" a="1"/>
  <c r="L881" i="3" s="1"/>
  <c r="L882" i="3" a="1"/>
  <c r="L882" i="3" s="1"/>
  <c r="L883" i="3" a="1"/>
  <c r="L883" i="3" s="1"/>
  <c r="L884" i="3" a="1"/>
  <c r="L884" i="3" s="1"/>
  <c r="L885" i="3" a="1"/>
  <c r="L885" i="3" s="1"/>
  <c r="L886" i="3" a="1"/>
  <c r="L886" i="3" s="1"/>
  <c r="L887" i="3" a="1"/>
  <c r="L887" i="3" s="1"/>
  <c r="L888" i="3" a="1"/>
  <c r="L888" i="3" s="1"/>
  <c r="L889" i="3" a="1"/>
  <c r="L889" i="3" s="1"/>
  <c r="L890" i="3" a="1"/>
  <c r="L890" i="3" s="1"/>
  <c r="L6" i="3" a="1"/>
  <c r="L6" i="3" s="1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K742" i="3" s="1"/>
  <c r="Y742" i="3" s="1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K762" i="3" s="1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K782" i="3" s="1"/>
  <c r="Y782" i="3" s="1"/>
  <c r="P783" i="3"/>
  <c r="P784" i="3"/>
  <c r="P785" i="3"/>
  <c r="P786" i="3"/>
  <c r="P787" i="3"/>
  <c r="P788" i="3"/>
  <c r="P789" i="3"/>
  <c r="P790" i="3"/>
  <c r="P791" i="3"/>
  <c r="P792" i="3"/>
  <c r="K792" i="3" s="1"/>
  <c r="Y792" i="3" s="1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K832" i="3" s="1"/>
  <c r="Y832" i="3" s="1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K852" i="3" s="1"/>
  <c r="Y852" i="3" s="1"/>
  <c r="P853" i="3"/>
  <c r="P854" i="3"/>
  <c r="P855" i="3"/>
  <c r="P856" i="3"/>
  <c r="P857" i="3"/>
  <c r="P858" i="3"/>
  <c r="P859" i="3"/>
  <c r="P860" i="3"/>
  <c r="P861" i="3"/>
  <c r="P862" i="3"/>
  <c r="K862" i="3" s="1"/>
  <c r="Y862" i="3" s="1"/>
  <c r="P863" i="3"/>
  <c r="P864" i="3"/>
  <c r="P865" i="3"/>
  <c r="P866" i="3"/>
  <c r="P867" i="3"/>
  <c r="P868" i="3"/>
  <c r="P869" i="3"/>
  <c r="P870" i="3"/>
  <c r="P871" i="3"/>
  <c r="P872" i="3"/>
  <c r="K872" i="3" s="1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6" i="3"/>
  <c r="K652" i="3"/>
  <c r="K712" i="3"/>
  <c r="K733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509" i="3"/>
  <c r="O510" i="3"/>
  <c r="O511" i="3"/>
  <c r="O512" i="3"/>
  <c r="O513" i="3"/>
  <c r="O514" i="3"/>
  <c r="O515" i="3"/>
  <c r="O516" i="3"/>
  <c r="O517" i="3"/>
  <c r="O518" i="3"/>
  <c r="O519" i="3"/>
  <c r="O520" i="3"/>
  <c r="O521" i="3"/>
  <c r="O522" i="3"/>
  <c r="O523" i="3"/>
  <c r="O524" i="3"/>
  <c r="O525" i="3"/>
  <c r="O526" i="3"/>
  <c r="O527" i="3"/>
  <c r="O528" i="3"/>
  <c r="O529" i="3"/>
  <c r="O530" i="3"/>
  <c r="O531" i="3"/>
  <c r="O532" i="3"/>
  <c r="O533" i="3"/>
  <c r="O534" i="3"/>
  <c r="O535" i="3"/>
  <c r="O536" i="3"/>
  <c r="O537" i="3"/>
  <c r="O538" i="3"/>
  <c r="O539" i="3"/>
  <c r="O540" i="3"/>
  <c r="O541" i="3"/>
  <c r="O542" i="3"/>
  <c r="O543" i="3"/>
  <c r="O544" i="3"/>
  <c r="O545" i="3"/>
  <c r="O546" i="3"/>
  <c r="O547" i="3"/>
  <c r="O548" i="3"/>
  <c r="O549" i="3"/>
  <c r="O550" i="3"/>
  <c r="O551" i="3"/>
  <c r="O552" i="3"/>
  <c r="O553" i="3"/>
  <c r="O554" i="3"/>
  <c r="O555" i="3"/>
  <c r="O556" i="3"/>
  <c r="O557" i="3"/>
  <c r="O558" i="3"/>
  <c r="O559" i="3"/>
  <c r="O560" i="3"/>
  <c r="O561" i="3"/>
  <c r="O562" i="3"/>
  <c r="O563" i="3"/>
  <c r="O564" i="3"/>
  <c r="O565" i="3"/>
  <c r="O566" i="3"/>
  <c r="O567" i="3"/>
  <c r="O568" i="3"/>
  <c r="O569" i="3"/>
  <c r="O570" i="3"/>
  <c r="O571" i="3"/>
  <c r="O572" i="3"/>
  <c r="O573" i="3"/>
  <c r="O574" i="3"/>
  <c r="O575" i="3"/>
  <c r="O576" i="3"/>
  <c r="O577" i="3"/>
  <c r="O578" i="3"/>
  <c r="O579" i="3"/>
  <c r="O580" i="3"/>
  <c r="O581" i="3"/>
  <c r="O582" i="3"/>
  <c r="O583" i="3"/>
  <c r="O584" i="3"/>
  <c r="O585" i="3"/>
  <c r="O586" i="3"/>
  <c r="O587" i="3"/>
  <c r="O588" i="3"/>
  <c r="O589" i="3"/>
  <c r="O590" i="3"/>
  <c r="O591" i="3"/>
  <c r="O592" i="3"/>
  <c r="O593" i="3"/>
  <c r="O594" i="3"/>
  <c r="O595" i="3"/>
  <c r="O596" i="3"/>
  <c r="O597" i="3"/>
  <c r="O598" i="3"/>
  <c r="O599" i="3"/>
  <c r="O600" i="3"/>
  <c r="O601" i="3"/>
  <c r="O602" i="3"/>
  <c r="O603" i="3"/>
  <c r="O604" i="3"/>
  <c r="O605" i="3"/>
  <c r="O606" i="3"/>
  <c r="O607" i="3"/>
  <c r="O608" i="3"/>
  <c r="O609" i="3"/>
  <c r="O610" i="3"/>
  <c r="O611" i="3"/>
  <c r="O612" i="3"/>
  <c r="O613" i="3"/>
  <c r="O614" i="3"/>
  <c r="O615" i="3"/>
  <c r="O616" i="3"/>
  <c r="O617" i="3"/>
  <c r="O618" i="3"/>
  <c r="O619" i="3"/>
  <c r="O620" i="3"/>
  <c r="O621" i="3"/>
  <c r="O622" i="3"/>
  <c r="O623" i="3"/>
  <c r="O624" i="3"/>
  <c r="O625" i="3"/>
  <c r="O626" i="3"/>
  <c r="O627" i="3"/>
  <c r="O628" i="3"/>
  <c r="O629" i="3"/>
  <c r="O630" i="3"/>
  <c r="O631" i="3"/>
  <c r="O632" i="3"/>
  <c r="O633" i="3"/>
  <c r="O634" i="3"/>
  <c r="O635" i="3"/>
  <c r="O636" i="3"/>
  <c r="O637" i="3"/>
  <c r="O638" i="3"/>
  <c r="O639" i="3"/>
  <c r="O640" i="3"/>
  <c r="O641" i="3"/>
  <c r="O642" i="3"/>
  <c r="O643" i="3"/>
  <c r="O644" i="3"/>
  <c r="O645" i="3"/>
  <c r="O646" i="3"/>
  <c r="O647" i="3"/>
  <c r="O648" i="3"/>
  <c r="O649" i="3"/>
  <c r="O650" i="3"/>
  <c r="O651" i="3"/>
  <c r="O652" i="3"/>
  <c r="O653" i="3"/>
  <c r="O654" i="3"/>
  <c r="O655" i="3"/>
  <c r="O656" i="3"/>
  <c r="O657" i="3"/>
  <c r="O658" i="3"/>
  <c r="O659" i="3"/>
  <c r="O660" i="3"/>
  <c r="O661" i="3"/>
  <c r="O662" i="3"/>
  <c r="O663" i="3"/>
  <c r="O664" i="3"/>
  <c r="O665" i="3"/>
  <c r="O666" i="3"/>
  <c r="O667" i="3"/>
  <c r="O668" i="3"/>
  <c r="O669" i="3"/>
  <c r="O670" i="3"/>
  <c r="O671" i="3"/>
  <c r="O672" i="3"/>
  <c r="O673" i="3"/>
  <c r="O674" i="3"/>
  <c r="O675" i="3"/>
  <c r="O676" i="3"/>
  <c r="O677" i="3"/>
  <c r="O678" i="3"/>
  <c r="O679" i="3"/>
  <c r="O680" i="3"/>
  <c r="O681" i="3"/>
  <c r="O682" i="3"/>
  <c r="O683" i="3"/>
  <c r="O684" i="3"/>
  <c r="O685" i="3"/>
  <c r="O686" i="3"/>
  <c r="O687" i="3"/>
  <c r="O688" i="3"/>
  <c r="O689" i="3"/>
  <c r="O690" i="3"/>
  <c r="O691" i="3"/>
  <c r="O692" i="3"/>
  <c r="O693" i="3"/>
  <c r="O694" i="3"/>
  <c r="O695" i="3"/>
  <c r="O696" i="3"/>
  <c r="O697" i="3"/>
  <c r="O698" i="3"/>
  <c r="O699" i="3"/>
  <c r="O700" i="3"/>
  <c r="O701" i="3"/>
  <c r="O702" i="3"/>
  <c r="O703" i="3"/>
  <c r="O704" i="3"/>
  <c r="O705" i="3"/>
  <c r="K705" i="3" s="1"/>
  <c r="O706" i="3"/>
  <c r="K706" i="3" s="1"/>
  <c r="O707" i="3"/>
  <c r="O708" i="3"/>
  <c r="O709" i="3"/>
  <c r="O710" i="3"/>
  <c r="O711" i="3"/>
  <c r="O712" i="3"/>
  <c r="O713" i="3"/>
  <c r="O714" i="3"/>
  <c r="O715" i="3"/>
  <c r="O716" i="3"/>
  <c r="O717" i="3"/>
  <c r="O718" i="3"/>
  <c r="O719" i="3"/>
  <c r="O720" i="3"/>
  <c r="O721" i="3"/>
  <c r="O722" i="3"/>
  <c r="O723" i="3"/>
  <c r="O724" i="3"/>
  <c r="O725" i="3"/>
  <c r="O726" i="3"/>
  <c r="O727" i="3"/>
  <c r="O728" i="3"/>
  <c r="O729" i="3"/>
  <c r="O730" i="3"/>
  <c r="O731" i="3"/>
  <c r="O732" i="3"/>
  <c r="O733" i="3"/>
  <c r="O734" i="3"/>
  <c r="O735" i="3"/>
  <c r="O736" i="3"/>
  <c r="O737" i="3"/>
  <c r="O738" i="3"/>
  <c r="O739" i="3"/>
  <c r="O740" i="3"/>
  <c r="O741" i="3"/>
  <c r="O742" i="3"/>
  <c r="O743" i="3"/>
  <c r="O744" i="3"/>
  <c r="O745" i="3"/>
  <c r="O746" i="3"/>
  <c r="O747" i="3"/>
  <c r="O748" i="3"/>
  <c r="O749" i="3"/>
  <c r="O750" i="3"/>
  <c r="O751" i="3"/>
  <c r="O752" i="3"/>
  <c r="O753" i="3"/>
  <c r="O754" i="3"/>
  <c r="O755" i="3"/>
  <c r="O756" i="3"/>
  <c r="O757" i="3"/>
  <c r="O758" i="3"/>
  <c r="O759" i="3"/>
  <c r="O760" i="3"/>
  <c r="O761" i="3"/>
  <c r="O762" i="3"/>
  <c r="O763" i="3"/>
  <c r="K763" i="3" s="1"/>
  <c r="O764" i="3"/>
  <c r="O765" i="3"/>
  <c r="O766" i="3"/>
  <c r="O767" i="3"/>
  <c r="O768" i="3"/>
  <c r="O769" i="3"/>
  <c r="O770" i="3"/>
  <c r="O771" i="3"/>
  <c r="O772" i="3"/>
  <c r="O773" i="3"/>
  <c r="O774" i="3"/>
  <c r="O775" i="3"/>
  <c r="O776" i="3"/>
  <c r="O777" i="3"/>
  <c r="O778" i="3"/>
  <c r="O779" i="3"/>
  <c r="O780" i="3"/>
  <c r="O781" i="3"/>
  <c r="O782" i="3"/>
  <c r="O783" i="3"/>
  <c r="O784" i="3"/>
  <c r="O785" i="3"/>
  <c r="K785" i="3" s="1"/>
  <c r="O786" i="3"/>
  <c r="O787" i="3"/>
  <c r="O788" i="3"/>
  <c r="O789" i="3"/>
  <c r="O790" i="3"/>
  <c r="O791" i="3"/>
  <c r="O792" i="3"/>
  <c r="O793" i="3"/>
  <c r="O794" i="3"/>
  <c r="O795" i="3"/>
  <c r="O796" i="3"/>
  <c r="O797" i="3"/>
  <c r="O798" i="3"/>
  <c r="O799" i="3"/>
  <c r="O800" i="3"/>
  <c r="O801" i="3"/>
  <c r="O802" i="3"/>
  <c r="O803" i="3"/>
  <c r="O804" i="3"/>
  <c r="O805" i="3"/>
  <c r="O806" i="3"/>
  <c r="O807" i="3"/>
  <c r="O808" i="3"/>
  <c r="O809" i="3"/>
  <c r="O810" i="3"/>
  <c r="O811" i="3"/>
  <c r="O812" i="3"/>
  <c r="O813" i="3"/>
  <c r="O814" i="3"/>
  <c r="O815" i="3"/>
  <c r="O816" i="3"/>
  <c r="O817" i="3"/>
  <c r="O818" i="3"/>
  <c r="O819" i="3"/>
  <c r="O820" i="3"/>
  <c r="O821" i="3"/>
  <c r="O822" i="3"/>
  <c r="O823" i="3"/>
  <c r="O824" i="3"/>
  <c r="O825" i="3"/>
  <c r="K825" i="3" s="1"/>
  <c r="Z825" i="3" s="1"/>
  <c r="O826" i="3"/>
  <c r="O827" i="3"/>
  <c r="O828" i="3"/>
  <c r="O829" i="3"/>
  <c r="O830" i="3"/>
  <c r="O831" i="3"/>
  <c r="O832" i="3"/>
  <c r="O833" i="3"/>
  <c r="O834" i="3"/>
  <c r="O835" i="3"/>
  <c r="O836" i="3"/>
  <c r="O837" i="3"/>
  <c r="O838" i="3"/>
  <c r="O839" i="3"/>
  <c r="O840" i="3"/>
  <c r="K840" i="3" s="1"/>
  <c r="O841" i="3"/>
  <c r="O842" i="3"/>
  <c r="O843" i="3"/>
  <c r="O844" i="3"/>
  <c r="O845" i="3"/>
  <c r="O846" i="3"/>
  <c r="K846" i="3" s="1"/>
  <c r="O847" i="3"/>
  <c r="O848" i="3"/>
  <c r="O849" i="3"/>
  <c r="O850" i="3"/>
  <c r="O851" i="3"/>
  <c r="O852" i="3"/>
  <c r="O853" i="3"/>
  <c r="O854" i="3"/>
  <c r="O855" i="3"/>
  <c r="O856" i="3"/>
  <c r="O857" i="3"/>
  <c r="O858" i="3"/>
  <c r="O859" i="3"/>
  <c r="O860" i="3"/>
  <c r="O861" i="3"/>
  <c r="O862" i="3"/>
  <c r="O863" i="3"/>
  <c r="O864" i="3"/>
  <c r="O865" i="3"/>
  <c r="O866" i="3"/>
  <c r="O867" i="3"/>
  <c r="O868" i="3"/>
  <c r="O869" i="3"/>
  <c r="O870" i="3"/>
  <c r="O871" i="3"/>
  <c r="O872" i="3"/>
  <c r="O873" i="3"/>
  <c r="O874" i="3"/>
  <c r="O875" i="3"/>
  <c r="O876" i="3"/>
  <c r="O877" i="3"/>
  <c r="O878" i="3"/>
  <c r="O879" i="3"/>
  <c r="O880" i="3"/>
  <c r="O881" i="3"/>
  <c r="O882" i="3"/>
  <c r="O883" i="3"/>
  <c r="O884" i="3"/>
  <c r="O885" i="3"/>
  <c r="O886" i="3"/>
  <c r="O887" i="3"/>
  <c r="O888" i="3"/>
  <c r="O889" i="3"/>
  <c r="O890" i="3"/>
  <c r="O891" i="3"/>
  <c r="O6" i="3"/>
  <c r="K703" i="3"/>
  <c r="AH907" i="3"/>
  <c r="AH908" i="3"/>
  <c r="AJ905" i="3"/>
  <c r="Y18" i="3"/>
  <c r="Y26" i="3"/>
  <c r="Y39" i="3"/>
  <c r="Y45" i="3"/>
  <c r="Y505" i="3"/>
  <c r="Y506" i="3"/>
  <c r="Y511" i="3"/>
  <c r="Y512" i="3"/>
  <c r="Y604" i="3"/>
  <c r="Y609" i="3"/>
  <c r="Y613" i="3"/>
  <c r="Y618" i="3"/>
  <c r="Y700" i="3"/>
  <c r="Z18" i="3"/>
  <c r="Z26" i="3"/>
  <c r="Z39" i="3"/>
  <c r="Z45" i="3"/>
  <c r="Z505" i="3"/>
  <c r="Z506" i="3"/>
  <c r="Z511" i="3"/>
  <c r="Z512" i="3"/>
  <c r="Z604" i="3"/>
  <c r="Z609" i="3"/>
  <c r="Z613" i="3"/>
  <c r="Z618" i="3"/>
  <c r="Z700" i="3"/>
  <c r="K578" i="3"/>
  <c r="K588" i="3"/>
  <c r="Y588" i="3" s="1"/>
  <c r="K598" i="3"/>
  <c r="Y598" i="3" s="1"/>
  <c r="K681" i="3"/>
  <c r="K683" i="3"/>
  <c r="Y683" i="3" s="1"/>
  <c r="K702" i="3"/>
  <c r="Z702" i="3" s="1"/>
  <c r="K818" i="3"/>
  <c r="K841" i="3"/>
  <c r="K860" i="3"/>
  <c r="K889" i="3"/>
  <c r="E108" i="3" a="1"/>
  <c r="E108" i="3" s="1"/>
  <c r="I23" i="4"/>
  <c r="R857" i="3"/>
  <c r="S857" i="3"/>
  <c r="T857" i="3"/>
  <c r="U857" i="3"/>
  <c r="V857" i="3" s="1"/>
  <c r="R858" i="3"/>
  <c r="S858" i="3"/>
  <c r="T858" i="3"/>
  <c r="U858" i="3"/>
  <c r="V858" i="3" s="1"/>
  <c r="R859" i="3"/>
  <c r="S859" i="3"/>
  <c r="T859" i="3"/>
  <c r="U859" i="3"/>
  <c r="V859" i="3" s="1"/>
  <c r="R860" i="3"/>
  <c r="S860" i="3"/>
  <c r="T860" i="3"/>
  <c r="U860" i="3"/>
  <c r="V860" i="3" s="1"/>
  <c r="R861" i="3"/>
  <c r="S861" i="3"/>
  <c r="T861" i="3"/>
  <c r="U861" i="3"/>
  <c r="V861" i="3" s="1"/>
  <c r="R862" i="3"/>
  <c r="S862" i="3"/>
  <c r="T862" i="3"/>
  <c r="U862" i="3"/>
  <c r="V862" i="3" s="1"/>
  <c r="R863" i="3"/>
  <c r="S863" i="3"/>
  <c r="T863" i="3"/>
  <c r="U863" i="3"/>
  <c r="V863" i="3" s="1"/>
  <c r="R864" i="3"/>
  <c r="S864" i="3"/>
  <c r="T864" i="3"/>
  <c r="U864" i="3"/>
  <c r="V864" i="3" s="1"/>
  <c r="R865" i="3"/>
  <c r="S865" i="3"/>
  <c r="T865" i="3"/>
  <c r="U865" i="3"/>
  <c r="V865" i="3" s="1"/>
  <c r="R866" i="3"/>
  <c r="S866" i="3"/>
  <c r="T866" i="3"/>
  <c r="U866" i="3"/>
  <c r="V866" i="3" s="1"/>
  <c r="R867" i="3"/>
  <c r="S867" i="3"/>
  <c r="T867" i="3"/>
  <c r="U867" i="3"/>
  <c r="V867" i="3" s="1"/>
  <c r="R868" i="3"/>
  <c r="S868" i="3"/>
  <c r="T868" i="3"/>
  <c r="U868" i="3"/>
  <c r="V868" i="3" s="1"/>
  <c r="R869" i="3"/>
  <c r="S869" i="3"/>
  <c r="T869" i="3"/>
  <c r="U869" i="3"/>
  <c r="V869" i="3" s="1"/>
  <c r="R870" i="3"/>
  <c r="S870" i="3"/>
  <c r="T870" i="3"/>
  <c r="U870" i="3"/>
  <c r="V870" i="3" s="1"/>
  <c r="R871" i="3"/>
  <c r="S871" i="3"/>
  <c r="T871" i="3"/>
  <c r="U871" i="3"/>
  <c r="V871" i="3" s="1"/>
  <c r="R872" i="3"/>
  <c r="S872" i="3"/>
  <c r="T872" i="3"/>
  <c r="U872" i="3"/>
  <c r="V872" i="3" s="1"/>
  <c r="R873" i="3"/>
  <c r="S873" i="3"/>
  <c r="T873" i="3"/>
  <c r="U873" i="3"/>
  <c r="V873" i="3" s="1"/>
  <c r="R874" i="3"/>
  <c r="S874" i="3"/>
  <c r="T874" i="3"/>
  <c r="U874" i="3"/>
  <c r="V874" i="3" s="1"/>
  <c r="R875" i="3"/>
  <c r="S875" i="3"/>
  <c r="T875" i="3"/>
  <c r="U875" i="3"/>
  <c r="V875" i="3" s="1"/>
  <c r="R876" i="3"/>
  <c r="S876" i="3"/>
  <c r="T876" i="3"/>
  <c r="U876" i="3"/>
  <c r="V876" i="3" s="1"/>
  <c r="R877" i="3"/>
  <c r="S877" i="3"/>
  <c r="T877" i="3"/>
  <c r="U877" i="3"/>
  <c r="V877" i="3" s="1"/>
  <c r="R878" i="3"/>
  <c r="S878" i="3"/>
  <c r="T878" i="3"/>
  <c r="U878" i="3"/>
  <c r="V878" i="3" s="1"/>
  <c r="R879" i="3"/>
  <c r="S879" i="3"/>
  <c r="T879" i="3"/>
  <c r="U879" i="3"/>
  <c r="V879" i="3" s="1"/>
  <c r="R880" i="3"/>
  <c r="S880" i="3"/>
  <c r="T880" i="3"/>
  <c r="U880" i="3"/>
  <c r="V880" i="3" s="1"/>
  <c r="R881" i="3"/>
  <c r="S881" i="3"/>
  <c r="T881" i="3"/>
  <c r="U881" i="3"/>
  <c r="V881" i="3" s="1"/>
  <c r="R882" i="3"/>
  <c r="S882" i="3"/>
  <c r="T882" i="3"/>
  <c r="U882" i="3"/>
  <c r="V882" i="3" s="1"/>
  <c r="R883" i="3"/>
  <c r="S883" i="3"/>
  <c r="T883" i="3"/>
  <c r="U883" i="3"/>
  <c r="V883" i="3" s="1"/>
  <c r="R884" i="3"/>
  <c r="S884" i="3"/>
  <c r="T884" i="3"/>
  <c r="U884" i="3"/>
  <c r="V884" i="3" s="1"/>
  <c r="R885" i="3"/>
  <c r="S885" i="3"/>
  <c r="T885" i="3"/>
  <c r="U885" i="3"/>
  <c r="V885" i="3" s="1"/>
  <c r="R886" i="3"/>
  <c r="S886" i="3"/>
  <c r="T886" i="3"/>
  <c r="U886" i="3"/>
  <c r="V886" i="3" s="1"/>
  <c r="R887" i="3"/>
  <c r="S887" i="3"/>
  <c r="T887" i="3"/>
  <c r="U887" i="3"/>
  <c r="V887" i="3" s="1"/>
  <c r="R888" i="3"/>
  <c r="S888" i="3"/>
  <c r="T888" i="3"/>
  <c r="U888" i="3"/>
  <c r="V888" i="3" s="1"/>
  <c r="R889" i="3"/>
  <c r="S889" i="3"/>
  <c r="T889" i="3"/>
  <c r="U889" i="3"/>
  <c r="V889" i="3" s="1"/>
  <c r="R890" i="3"/>
  <c r="S890" i="3"/>
  <c r="T890" i="3"/>
  <c r="U890" i="3"/>
  <c r="V890" i="3" s="1"/>
  <c r="X30" i="4"/>
  <c r="X45" i="4"/>
  <c r="X98" i="4"/>
  <c r="W45" i="4"/>
  <c r="W98" i="4"/>
  <c r="W30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6" i="4"/>
  <c r="M7" i="4"/>
  <c r="M8" i="4"/>
  <c r="M9" i="4"/>
  <c r="M10" i="4"/>
  <c r="I10" i="4" s="1"/>
  <c r="M11" i="4"/>
  <c r="M12" i="4"/>
  <c r="I12" i="4" s="1"/>
  <c r="M13" i="4"/>
  <c r="I13" i="4" s="1"/>
  <c r="M14" i="4"/>
  <c r="I14" i="4" s="1"/>
  <c r="M15" i="4"/>
  <c r="M16" i="4"/>
  <c r="M17" i="4"/>
  <c r="M18" i="4"/>
  <c r="M19" i="4"/>
  <c r="M20" i="4"/>
  <c r="I20" i="4" s="1"/>
  <c r="M21" i="4"/>
  <c r="I21" i="4" s="1"/>
  <c r="M22" i="4"/>
  <c r="I22" i="4" s="1"/>
  <c r="M23" i="4"/>
  <c r="M24" i="4"/>
  <c r="M25" i="4"/>
  <c r="I25" i="4" s="1"/>
  <c r="M26" i="4"/>
  <c r="M27" i="4"/>
  <c r="M28" i="4"/>
  <c r="M29" i="4"/>
  <c r="M30" i="4"/>
  <c r="M31" i="4"/>
  <c r="I31" i="4" s="1"/>
  <c r="M32" i="4"/>
  <c r="I32" i="4" s="1"/>
  <c r="M33" i="4"/>
  <c r="M34" i="4"/>
  <c r="I34" i="4" s="1"/>
  <c r="M35" i="4"/>
  <c r="I35" i="4" s="1"/>
  <c r="M36" i="4"/>
  <c r="I36" i="4" s="1"/>
  <c r="M37" i="4"/>
  <c r="M38" i="4"/>
  <c r="M39" i="4"/>
  <c r="I39" i="4" s="1"/>
  <c r="M40" i="4"/>
  <c r="I40" i="4" s="1"/>
  <c r="M41" i="4"/>
  <c r="I41" i="4" s="1"/>
  <c r="M42" i="4"/>
  <c r="I42" i="4" s="1"/>
  <c r="M43" i="4"/>
  <c r="M44" i="4"/>
  <c r="M45" i="4"/>
  <c r="M46" i="4"/>
  <c r="I46" i="4" s="1"/>
  <c r="M47" i="4"/>
  <c r="I47" i="4" s="1"/>
  <c r="M48" i="4"/>
  <c r="M49" i="4"/>
  <c r="I49" i="4" s="1"/>
  <c r="M50" i="4"/>
  <c r="I50" i="4" s="1"/>
  <c r="M51" i="4"/>
  <c r="I51" i="4" s="1"/>
  <c r="M52" i="4"/>
  <c r="M53" i="4"/>
  <c r="I53" i="4" s="1"/>
  <c r="M54" i="4"/>
  <c r="M55" i="4"/>
  <c r="M56" i="4"/>
  <c r="I56" i="4" s="1"/>
  <c r="M57" i="4"/>
  <c r="M58" i="4"/>
  <c r="M59" i="4"/>
  <c r="M60" i="4"/>
  <c r="M61" i="4"/>
  <c r="M62" i="4"/>
  <c r="M63" i="4"/>
  <c r="I63" i="4" s="1"/>
  <c r="M64" i="4"/>
  <c r="M65" i="4"/>
  <c r="I65" i="4" s="1"/>
  <c r="M66" i="4"/>
  <c r="M67" i="4"/>
  <c r="M68" i="4"/>
  <c r="M69" i="4"/>
  <c r="I69" i="4" s="1"/>
  <c r="M70" i="4"/>
  <c r="M71" i="4"/>
  <c r="I71" i="4" s="1"/>
  <c r="M72" i="4"/>
  <c r="M73" i="4"/>
  <c r="M74" i="4"/>
  <c r="M75" i="4"/>
  <c r="I75" i="4" s="1"/>
  <c r="M76" i="4"/>
  <c r="M77" i="4"/>
  <c r="I77" i="4" s="1"/>
  <c r="M78" i="4"/>
  <c r="M79" i="4"/>
  <c r="M80" i="4"/>
  <c r="M81" i="4"/>
  <c r="I81" i="4" s="1"/>
  <c r="M82" i="4"/>
  <c r="M83" i="4"/>
  <c r="I83" i="4" s="1"/>
  <c r="M84" i="4"/>
  <c r="M85" i="4"/>
  <c r="M86" i="4"/>
  <c r="M87" i="4"/>
  <c r="I87" i="4" s="1"/>
  <c r="M88" i="4"/>
  <c r="M89" i="4"/>
  <c r="M90" i="4"/>
  <c r="M91" i="4"/>
  <c r="M92" i="4"/>
  <c r="M93" i="4"/>
  <c r="I93" i="4" s="1"/>
  <c r="M94" i="4"/>
  <c r="M95" i="4"/>
  <c r="I95" i="4" s="1"/>
  <c r="M96" i="4"/>
  <c r="M97" i="4"/>
  <c r="M98" i="4"/>
  <c r="M99" i="4"/>
  <c r="M100" i="4"/>
  <c r="I100" i="4" s="1"/>
  <c r="M101" i="4"/>
  <c r="I101" i="4" s="1"/>
  <c r="M102" i="4"/>
  <c r="I102" i="4" s="1"/>
  <c r="M103" i="4"/>
  <c r="M104" i="4"/>
  <c r="M105" i="4"/>
  <c r="M6" i="4"/>
  <c r="S7" i="4"/>
  <c r="T7" i="4" s="1"/>
  <c r="T8" i="4"/>
  <c r="S9" i="4"/>
  <c r="T9" i="4" s="1"/>
  <c r="S10" i="4"/>
  <c r="T10" i="4" s="1"/>
  <c r="S11" i="4"/>
  <c r="T11" i="4" s="1"/>
  <c r="S12" i="4"/>
  <c r="T12" i="4" s="1"/>
  <c r="S13" i="4"/>
  <c r="T13" i="4" s="1"/>
  <c r="S14" i="4"/>
  <c r="T14" i="4" s="1"/>
  <c r="S15" i="4"/>
  <c r="T15" i="4" s="1"/>
  <c r="S16" i="4"/>
  <c r="T16" i="4" s="1"/>
  <c r="S17" i="4"/>
  <c r="T17" i="4" s="1"/>
  <c r="S18" i="4"/>
  <c r="T18" i="4" s="1"/>
  <c r="S19" i="4"/>
  <c r="T19" i="4" s="1"/>
  <c r="S20" i="4"/>
  <c r="T20" i="4" s="1"/>
  <c r="S21" i="4"/>
  <c r="T21" i="4" s="1"/>
  <c r="S22" i="4"/>
  <c r="T22" i="4" s="1"/>
  <c r="S23" i="4"/>
  <c r="T23" i="4" s="1"/>
  <c r="S24" i="4"/>
  <c r="T24" i="4" s="1"/>
  <c r="S25" i="4"/>
  <c r="T25" i="4" s="1"/>
  <c r="S26" i="4"/>
  <c r="T26" i="4" s="1"/>
  <c r="S27" i="4"/>
  <c r="T27" i="4" s="1"/>
  <c r="S28" i="4"/>
  <c r="T28" i="4" s="1"/>
  <c r="S29" i="4"/>
  <c r="T29" i="4" s="1"/>
  <c r="S30" i="4"/>
  <c r="T30" i="4" s="1"/>
  <c r="S31" i="4"/>
  <c r="T31" i="4" s="1"/>
  <c r="S32" i="4"/>
  <c r="T32" i="4" s="1"/>
  <c r="S33" i="4"/>
  <c r="T33" i="4" s="1"/>
  <c r="S34" i="4"/>
  <c r="T34" i="4" s="1"/>
  <c r="S35" i="4"/>
  <c r="T35" i="4" s="1"/>
  <c r="S36" i="4"/>
  <c r="T36" i="4" s="1"/>
  <c r="S37" i="4"/>
  <c r="T37" i="4" s="1"/>
  <c r="S38" i="4"/>
  <c r="T38" i="4" s="1"/>
  <c r="S39" i="4"/>
  <c r="T39" i="4" s="1"/>
  <c r="S40" i="4"/>
  <c r="T40" i="4" s="1"/>
  <c r="S41" i="4"/>
  <c r="T41" i="4" s="1"/>
  <c r="S42" i="4"/>
  <c r="T42" i="4" s="1"/>
  <c r="S43" i="4"/>
  <c r="T43" i="4" s="1"/>
  <c r="S44" i="4"/>
  <c r="T44" i="4" s="1"/>
  <c r="S45" i="4"/>
  <c r="T45" i="4" s="1"/>
  <c r="S46" i="4"/>
  <c r="T46" i="4" s="1"/>
  <c r="S47" i="4"/>
  <c r="T47" i="4" s="1"/>
  <c r="S48" i="4"/>
  <c r="T48" i="4" s="1"/>
  <c r="S49" i="4"/>
  <c r="T49" i="4" s="1"/>
  <c r="S50" i="4"/>
  <c r="T50" i="4" s="1"/>
  <c r="S51" i="4"/>
  <c r="T51" i="4" s="1"/>
  <c r="S52" i="4"/>
  <c r="T52" i="4" s="1"/>
  <c r="S53" i="4"/>
  <c r="T53" i="4" s="1"/>
  <c r="S54" i="4"/>
  <c r="T54" i="4" s="1"/>
  <c r="S55" i="4"/>
  <c r="T55" i="4" s="1"/>
  <c r="S56" i="4"/>
  <c r="T56" i="4" s="1"/>
  <c r="S57" i="4"/>
  <c r="T57" i="4" s="1"/>
  <c r="S58" i="4"/>
  <c r="T58" i="4" s="1"/>
  <c r="S59" i="4"/>
  <c r="T59" i="4" s="1"/>
  <c r="S60" i="4"/>
  <c r="T60" i="4" s="1"/>
  <c r="S61" i="4"/>
  <c r="T61" i="4" s="1"/>
  <c r="S62" i="4"/>
  <c r="T62" i="4" s="1"/>
  <c r="S63" i="4"/>
  <c r="T63" i="4" s="1"/>
  <c r="S64" i="4"/>
  <c r="T64" i="4" s="1"/>
  <c r="S65" i="4"/>
  <c r="T65" i="4" s="1"/>
  <c r="S66" i="4"/>
  <c r="T66" i="4" s="1"/>
  <c r="S67" i="4"/>
  <c r="T67" i="4" s="1"/>
  <c r="S68" i="4"/>
  <c r="T68" i="4" s="1"/>
  <c r="S69" i="4"/>
  <c r="T69" i="4" s="1"/>
  <c r="S70" i="4"/>
  <c r="T70" i="4" s="1"/>
  <c r="S71" i="4"/>
  <c r="T71" i="4" s="1"/>
  <c r="S72" i="4"/>
  <c r="T72" i="4" s="1"/>
  <c r="S73" i="4"/>
  <c r="T73" i="4" s="1"/>
  <c r="S74" i="4"/>
  <c r="T74" i="4" s="1"/>
  <c r="S75" i="4"/>
  <c r="T75" i="4" s="1"/>
  <c r="S76" i="4"/>
  <c r="T76" i="4" s="1"/>
  <c r="S77" i="4"/>
  <c r="T77" i="4" s="1"/>
  <c r="S78" i="4"/>
  <c r="T78" i="4" s="1"/>
  <c r="S79" i="4"/>
  <c r="T79" i="4" s="1"/>
  <c r="S80" i="4"/>
  <c r="T80" i="4" s="1"/>
  <c r="S81" i="4"/>
  <c r="T81" i="4" s="1"/>
  <c r="S82" i="4"/>
  <c r="T82" i="4" s="1"/>
  <c r="S83" i="4"/>
  <c r="T83" i="4" s="1"/>
  <c r="S84" i="4"/>
  <c r="T84" i="4" s="1"/>
  <c r="S85" i="4"/>
  <c r="T85" i="4" s="1"/>
  <c r="S86" i="4"/>
  <c r="T86" i="4" s="1"/>
  <c r="S87" i="4"/>
  <c r="T87" i="4" s="1"/>
  <c r="S88" i="4"/>
  <c r="T88" i="4" s="1"/>
  <c r="S89" i="4"/>
  <c r="T89" i="4" s="1"/>
  <c r="S90" i="4"/>
  <c r="T90" i="4" s="1"/>
  <c r="S91" i="4"/>
  <c r="T91" i="4" s="1"/>
  <c r="S92" i="4"/>
  <c r="T92" i="4" s="1"/>
  <c r="S93" i="4"/>
  <c r="T93" i="4" s="1"/>
  <c r="S94" i="4"/>
  <c r="T94" i="4" s="1"/>
  <c r="S95" i="4"/>
  <c r="T95" i="4" s="1"/>
  <c r="S96" i="4"/>
  <c r="T96" i="4" s="1"/>
  <c r="S97" i="4"/>
  <c r="T97" i="4" s="1"/>
  <c r="S98" i="4"/>
  <c r="T98" i="4" s="1"/>
  <c r="S99" i="4"/>
  <c r="T99" i="4" s="1"/>
  <c r="S100" i="4"/>
  <c r="T100" i="4" s="1"/>
  <c r="S101" i="4"/>
  <c r="T101" i="4" s="1"/>
  <c r="S102" i="4"/>
  <c r="T102" i="4" s="1"/>
  <c r="S103" i="4"/>
  <c r="T103" i="4" s="1"/>
  <c r="S104" i="4"/>
  <c r="T104" i="4" s="1"/>
  <c r="S105" i="4"/>
  <c r="T105" i="4" s="1"/>
  <c r="S6" i="4"/>
  <c r="T6" i="4" s="1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I44" i="4" s="1"/>
  <c r="O45" i="4"/>
  <c r="O46" i="4"/>
  <c r="O47" i="4"/>
  <c r="O48" i="4"/>
  <c r="O49" i="4"/>
  <c r="O50" i="4"/>
  <c r="O51" i="4"/>
  <c r="O52" i="4"/>
  <c r="O53" i="4"/>
  <c r="O54" i="4"/>
  <c r="O55" i="4"/>
  <c r="I55" i="4" s="1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I85" i="4" s="1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6" i="4"/>
  <c r="AG905" i="3"/>
  <c r="AH905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254" i="3"/>
  <c r="R255" i="3"/>
  <c r="R256" i="3"/>
  <c r="R257" i="3"/>
  <c r="R258" i="3"/>
  <c r="R259" i="3"/>
  <c r="R260" i="3"/>
  <c r="R261" i="3"/>
  <c r="R262" i="3"/>
  <c r="R263" i="3"/>
  <c r="R264" i="3"/>
  <c r="R265" i="3"/>
  <c r="R266" i="3"/>
  <c r="R267" i="3"/>
  <c r="R268" i="3"/>
  <c r="R269" i="3"/>
  <c r="R270" i="3"/>
  <c r="R271" i="3"/>
  <c r="R272" i="3"/>
  <c r="R273" i="3"/>
  <c r="R274" i="3"/>
  <c r="R275" i="3"/>
  <c r="R276" i="3"/>
  <c r="R277" i="3"/>
  <c r="R278" i="3"/>
  <c r="R279" i="3"/>
  <c r="R280" i="3"/>
  <c r="R281" i="3"/>
  <c r="R282" i="3"/>
  <c r="R283" i="3"/>
  <c r="R284" i="3"/>
  <c r="R285" i="3"/>
  <c r="R286" i="3"/>
  <c r="R287" i="3"/>
  <c r="R288" i="3"/>
  <c r="R289" i="3"/>
  <c r="R290" i="3"/>
  <c r="R291" i="3"/>
  <c r="R292" i="3"/>
  <c r="R293" i="3"/>
  <c r="R294" i="3"/>
  <c r="R295" i="3"/>
  <c r="R296" i="3"/>
  <c r="R297" i="3"/>
  <c r="R298" i="3"/>
  <c r="R299" i="3"/>
  <c r="R300" i="3"/>
  <c r="R301" i="3"/>
  <c r="R302" i="3"/>
  <c r="R303" i="3"/>
  <c r="R304" i="3"/>
  <c r="R305" i="3"/>
  <c r="R306" i="3"/>
  <c r="R307" i="3"/>
  <c r="R308" i="3"/>
  <c r="R309" i="3"/>
  <c r="R310" i="3"/>
  <c r="R311" i="3"/>
  <c r="R312" i="3"/>
  <c r="R313" i="3"/>
  <c r="R314" i="3"/>
  <c r="R315" i="3"/>
  <c r="R316" i="3"/>
  <c r="R317" i="3"/>
  <c r="R318" i="3"/>
  <c r="R319" i="3"/>
  <c r="R320" i="3"/>
  <c r="R321" i="3"/>
  <c r="R322" i="3"/>
  <c r="R323" i="3"/>
  <c r="R324" i="3"/>
  <c r="R325" i="3"/>
  <c r="R326" i="3"/>
  <c r="R327" i="3"/>
  <c r="R328" i="3"/>
  <c r="R329" i="3"/>
  <c r="R330" i="3"/>
  <c r="R331" i="3"/>
  <c r="R332" i="3"/>
  <c r="R333" i="3"/>
  <c r="R334" i="3"/>
  <c r="R335" i="3"/>
  <c r="R336" i="3"/>
  <c r="R337" i="3"/>
  <c r="R338" i="3"/>
  <c r="R339" i="3"/>
  <c r="R340" i="3"/>
  <c r="R341" i="3"/>
  <c r="R342" i="3"/>
  <c r="R343" i="3"/>
  <c r="R344" i="3"/>
  <c r="R345" i="3"/>
  <c r="R346" i="3"/>
  <c r="R347" i="3"/>
  <c r="R348" i="3"/>
  <c r="R349" i="3"/>
  <c r="R350" i="3"/>
  <c r="R351" i="3"/>
  <c r="R352" i="3"/>
  <c r="R353" i="3"/>
  <c r="R354" i="3"/>
  <c r="R355" i="3"/>
  <c r="R356" i="3"/>
  <c r="R357" i="3"/>
  <c r="R358" i="3"/>
  <c r="R359" i="3"/>
  <c r="R360" i="3"/>
  <c r="R361" i="3"/>
  <c r="R362" i="3"/>
  <c r="R363" i="3"/>
  <c r="R364" i="3"/>
  <c r="R365" i="3"/>
  <c r="R366" i="3"/>
  <c r="R367" i="3"/>
  <c r="R368" i="3"/>
  <c r="R369" i="3"/>
  <c r="R370" i="3"/>
  <c r="R371" i="3"/>
  <c r="R372" i="3"/>
  <c r="R373" i="3"/>
  <c r="R374" i="3"/>
  <c r="R375" i="3"/>
  <c r="R376" i="3"/>
  <c r="R377" i="3"/>
  <c r="R378" i="3"/>
  <c r="R379" i="3"/>
  <c r="R380" i="3"/>
  <c r="R381" i="3"/>
  <c r="R382" i="3"/>
  <c r="R383" i="3"/>
  <c r="R384" i="3"/>
  <c r="R385" i="3"/>
  <c r="R386" i="3"/>
  <c r="R387" i="3"/>
  <c r="R388" i="3"/>
  <c r="R389" i="3"/>
  <c r="R390" i="3"/>
  <c r="R391" i="3"/>
  <c r="R392" i="3"/>
  <c r="R393" i="3"/>
  <c r="R394" i="3"/>
  <c r="R395" i="3"/>
  <c r="R396" i="3"/>
  <c r="R397" i="3"/>
  <c r="R398" i="3"/>
  <c r="R399" i="3"/>
  <c r="R400" i="3"/>
  <c r="R401" i="3"/>
  <c r="R402" i="3"/>
  <c r="R403" i="3"/>
  <c r="R404" i="3"/>
  <c r="R405" i="3"/>
  <c r="R406" i="3"/>
  <c r="R407" i="3"/>
  <c r="R408" i="3"/>
  <c r="R409" i="3"/>
  <c r="R410" i="3"/>
  <c r="R411" i="3"/>
  <c r="R412" i="3"/>
  <c r="R413" i="3"/>
  <c r="R414" i="3"/>
  <c r="R415" i="3"/>
  <c r="R416" i="3"/>
  <c r="R417" i="3"/>
  <c r="R418" i="3"/>
  <c r="R419" i="3"/>
  <c r="R420" i="3"/>
  <c r="R421" i="3"/>
  <c r="R422" i="3"/>
  <c r="R423" i="3"/>
  <c r="R424" i="3"/>
  <c r="R425" i="3"/>
  <c r="R426" i="3"/>
  <c r="R427" i="3"/>
  <c r="R428" i="3"/>
  <c r="R429" i="3"/>
  <c r="R430" i="3"/>
  <c r="R431" i="3"/>
  <c r="R432" i="3"/>
  <c r="R433" i="3"/>
  <c r="R434" i="3"/>
  <c r="R435" i="3"/>
  <c r="R436" i="3"/>
  <c r="R437" i="3"/>
  <c r="R438" i="3"/>
  <c r="R439" i="3"/>
  <c r="R440" i="3"/>
  <c r="R441" i="3"/>
  <c r="R442" i="3"/>
  <c r="R443" i="3"/>
  <c r="R444" i="3"/>
  <c r="R445" i="3"/>
  <c r="R446" i="3"/>
  <c r="R447" i="3"/>
  <c r="R448" i="3"/>
  <c r="R449" i="3"/>
  <c r="R450" i="3"/>
  <c r="R451" i="3"/>
  <c r="R452" i="3"/>
  <c r="R453" i="3"/>
  <c r="R454" i="3"/>
  <c r="R455" i="3"/>
  <c r="R456" i="3"/>
  <c r="R457" i="3"/>
  <c r="R458" i="3"/>
  <c r="R459" i="3"/>
  <c r="R460" i="3"/>
  <c r="R461" i="3"/>
  <c r="R462" i="3"/>
  <c r="R463" i="3"/>
  <c r="R464" i="3"/>
  <c r="R465" i="3"/>
  <c r="R466" i="3"/>
  <c r="R467" i="3"/>
  <c r="R468" i="3"/>
  <c r="R469" i="3"/>
  <c r="R470" i="3"/>
  <c r="R471" i="3"/>
  <c r="R472" i="3"/>
  <c r="R473" i="3"/>
  <c r="R474" i="3"/>
  <c r="R475" i="3"/>
  <c r="R476" i="3"/>
  <c r="R477" i="3"/>
  <c r="R478" i="3"/>
  <c r="R479" i="3"/>
  <c r="R480" i="3"/>
  <c r="R481" i="3"/>
  <c r="R482" i="3"/>
  <c r="R483" i="3"/>
  <c r="R484" i="3"/>
  <c r="R485" i="3"/>
  <c r="R486" i="3"/>
  <c r="R487" i="3"/>
  <c r="R488" i="3"/>
  <c r="R489" i="3"/>
  <c r="R490" i="3"/>
  <c r="R491" i="3"/>
  <c r="R492" i="3"/>
  <c r="R493" i="3"/>
  <c r="R494" i="3"/>
  <c r="R495" i="3"/>
  <c r="R496" i="3"/>
  <c r="R497" i="3"/>
  <c r="R498" i="3"/>
  <c r="R499" i="3"/>
  <c r="R500" i="3"/>
  <c r="R501" i="3"/>
  <c r="R502" i="3"/>
  <c r="R503" i="3"/>
  <c r="R504" i="3"/>
  <c r="R505" i="3"/>
  <c r="R506" i="3"/>
  <c r="R507" i="3"/>
  <c r="R508" i="3"/>
  <c r="R509" i="3"/>
  <c r="R510" i="3"/>
  <c r="R511" i="3"/>
  <c r="R512" i="3"/>
  <c r="R513" i="3"/>
  <c r="R514" i="3"/>
  <c r="R515" i="3"/>
  <c r="R516" i="3"/>
  <c r="R517" i="3"/>
  <c r="R518" i="3"/>
  <c r="R519" i="3"/>
  <c r="R520" i="3"/>
  <c r="R521" i="3"/>
  <c r="R522" i="3"/>
  <c r="R523" i="3"/>
  <c r="R524" i="3"/>
  <c r="R525" i="3"/>
  <c r="R526" i="3"/>
  <c r="R527" i="3"/>
  <c r="R528" i="3"/>
  <c r="R529" i="3"/>
  <c r="R530" i="3"/>
  <c r="R531" i="3"/>
  <c r="R532" i="3"/>
  <c r="R533" i="3"/>
  <c r="R534" i="3"/>
  <c r="R535" i="3"/>
  <c r="R536" i="3"/>
  <c r="R537" i="3"/>
  <c r="R538" i="3"/>
  <c r="R539" i="3"/>
  <c r="R540" i="3"/>
  <c r="R541" i="3"/>
  <c r="R542" i="3"/>
  <c r="R543" i="3"/>
  <c r="R544" i="3"/>
  <c r="R545" i="3"/>
  <c r="R546" i="3"/>
  <c r="R547" i="3"/>
  <c r="R548" i="3"/>
  <c r="R549" i="3"/>
  <c r="R550" i="3"/>
  <c r="R551" i="3"/>
  <c r="R552" i="3"/>
  <c r="R553" i="3"/>
  <c r="R554" i="3"/>
  <c r="R555" i="3"/>
  <c r="R556" i="3"/>
  <c r="R557" i="3"/>
  <c r="R558" i="3"/>
  <c r="R559" i="3"/>
  <c r="R560" i="3"/>
  <c r="R561" i="3"/>
  <c r="R562" i="3"/>
  <c r="R563" i="3"/>
  <c r="R564" i="3"/>
  <c r="R565" i="3"/>
  <c r="R566" i="3"/>
  <c r="R567" i="3"/>
  <c r="R568" i="3"/>
  <c r="R569" i="3"/>
  <c r="R570" i="3"/>
  <c r="R571" i="3"/>
  <c r="R572" i="3"/>
  <c r="R573" i="3"/>
  <c r="R574" i="3"/>
  <c r="R575" i="3"/>
  <c r="R576" i="3"/>
  <c r="R577" i="3"/>
  <c r="R578" i="3"/>
  <c r="R579" i="3"/>
  <c r="R580" i="3"/>
  <c r="R581" i="3"/>
  <c r="R582" i="3"/>
  <c r="R583" i="3"/>
  <c r="R584" i="3"/>
  <c r="R585" i="3"/>
  <c r="R586" i="3"/>
  <c r="R587" i="3"/>
  <c r="R588" i="3"/>
  <c r="R589" i="3"/>
  <c r="R590" i="3"/>
  <c r="R591" i="3"/>
  <c r="R592" i="3"/>
  <c r="R593" i="3"/>
  <c r="R594" i="3"/>
  <c r="R595" i="3"/>
  <c r="R596" i="3"/>
  <c r="R597" i="3"/>
  <c r="R598" i="3"/>
  <c r="R599" i="3"/>
  <c r="R600" i="3"/>
  <c r="R601" i="3"/>
  <c r="R602" i="3"/>
  <c r="R603" i="3"/>
  <c r="R604" i="3"/>
  <c r="R605" i="3"/>
  <c r="R606" i="3"/>
  <c r="R607" i="3"/>
  <c r="R608" i="3"/>
  <c r="R609" i="3"/>
  <c r="R610" i="3"/>
  <c r="R611" i="3"/>
  <c r="R612" i="3"/>
  <c r="R613" i="3"/>
  <c r="R614" i="3"/>
  <c r="R615" i="3"/>
  <c r="R616" i="3"/>
  <c r="R617" i="3"/>
  <c r="R618" i="3"/>
  <c r="R619" i="3"/>
  <c r="R620" i="3"/>
  <c r="R621" i="3"/>
  <c r="R622" i="3"/>
  <c r="R623" i="3"/>
  <c r="R624" i="3"/>
  <c r="R625" i="3"/>
  <c r="R626" i="3"/>
  <c r="R627" i="3"/>
  <c r="R628" i="3"/>
  <c r="R629" i="3"/>
  <c r="R630" i="3"/>
  <c r="R631" i="3"/>
  <c r="R632" i="3"/>
  <c r="R633" i="3"/>
  <c r="R634" i="3"/>
  <c r="R635" i="3"/>
  <c r="R636" i="3"/>
  <c r="R637" i="3"/>
  <c r="R638" i="3"/>
  <c r="R639" i="3"/>
  <c r="R640" i="3"/>
  <c r="R641" i="3"/>
  <c r="R642" i="3"/>
  <c r="R643" i="3"/>
  <c r="R644" i="3"/>
  <c r="R645" i="3"/>
  <c r="R646" i="3"/>
  <c r="R647" i="3"/>
  <c r="R648" i="3"/>
  <c r="R649" i="3"/>
  <c r="R650" i="3"/>
  <c r="R651" i="3"/>
  <c r="R652" i="3"/>
  <c r="R653" i="3"/>
  <c r="R654" i="3"/>
  <c r="R655" i="3"/>
  <c r="R656" i="3"/>
  <c r="R657" i="3"/>
  <c r="R658" i="3"/>
  <c r="R659" i="3"/>
  <c r="R660" i="3"/>
  <c r="R661" i="3"/>
  <c r="R662" i="3"/>
  <c r="R663" i="3"/>
  <c r="R664" i="3"/>
  <c r="R665" i="3"/>
  <c r="R666" i="3"/>
  <c r="R667" i="3"/>
  <c r="R668" i="3"/>
  <c r="R669" i="3"/>
  <c r="R670" i="3"/>
  <c r="R671" i="3"/>
  <c r="R672" i="3"/>
  <c r="R673" i="3"/>
  <c r="R674" i="3"/>
  <c r="R675" i="3"/>
  <c r="R676" i="3"/>
  <c r="R677" i="3"/>
  <c r="R678" i="3"/>
  <c r="R679" i="3"/>
  <c r="R680" i="3"/>
  <c r="R681" i="3"/>
  <c r="R682" i="3"/>
  <c r="R683" i="3"/>
  <c r="R684" i="3"/>
  <c r="R685" i="3"/>
  <c r="R686" i="3"/>
  <c r="R687" i="3"/>
  <c r="R688" i="3"/>
  <c r="R689" i="3"/>
  <c r="R690" i="3"/>
  <c r="R691" i="3"/>
  <c r="R692" i="3"/>
  <c r="R693" i="3"/>
  <c r="R694" i="3"/>
  <c r="R695" i="3"/>
  <c r="R696" i="3"/>
  <c r="R697" i="3"/>
  <c r="R698" i="3"/>
  <c r="R699" i="3"/>
  <c r="R700" i="3"/>
  <c r="R701" i="3"/>
  <c r="R702" i="3"/>
  <c r="R703" i="3"/>
  <c r="R704" i="3"/>
  <c r="R705" i="3"/>
  <c r="R706" i="3"/>
  <c r="R707" i="3"/>
  <c r="R708" i="3"/>
  <c r="R709" i="3"/>
  <c r="R710" i="3"/>
  <c r="R711" i="3"/>
  <c r="R712" i="3"/>
  <c r="R713" i="3"/>
  <c r="R714" i="3"/>
  <c r="R715" i="3"/>
  <c r="R716" i="3"/>
  <c r="R717" i="3"/>
  <c r="R718" i="3"/>
  <c r="R719" i="3"/>
  <c r="R720" i="3"/>
  <c r="R721" i="3"/>
  <c r="R722" i="3"/>
  <c r="R723" i="3"/>
  <c r="R724" i="3"/>
  <c r="R725" i="3"/>
  <c r="R726" i="3"/>
  <c r="R727" i="3"/>
  <c r="R728" i="3"/>
  <c r="R729" i="3"/>
  <c r="R730" i="3"/>
  <c r="R731" i="3"/>
  <c r="R732" i="3"/>
  <c r="R733" i="3"/>
  <c r="R734" i="3"/>
  <c r="R735" i="3"/>
  <c r="R736" i="3"/>
  <c r="R737" i="3"/>
  <c r="R738" i="3"/>
  <c r="R739" i="3"/>
  <c r="R740" i="3"/>
  <c r="R741" i="3"/>
  <c r="R742" i="3"/>
  <c r="R743" i="3"/>
  <c r="R744" i="3"/>
  <c r="R745" i="3"/>
  <c r="R746" i="3"/>
  <c r="R747" i="3"/>
  <c r="R748" i="3"/>
  <c r="R749" i="3"/>
  <c r="R750" i="3"/>
  <c r="R751" i="3"/>
  <c r="R752" i="3"/>
  <c r="R753" i="3"/>
  <c r="R754" i="3"/>
  <c r="R755" i="3"/>
  <c r="R756" i="3"/>
  <c r="R757" i="3"/>
  <c r="R758" i="3"/>
  <c r="R759" i="3"/>
  <c r="R760" i="3"/>
  <c r="R761" i="3"/>
  <c r="R762" i="3"/>
  <c r="R763" i="3"/>
  <c r="R764" i="3"/>
  <c r="R765" i="3"/>
  <c r="R766" i="3"/>
  <c r="R767" i="3"/>
  <c r="R768" i="3"/>
  <c r="R769" i="3"/>
  <c r="R770" i="3"/>
  <c r="R771" i="3"/>
  <c r="R772" i="3"/>
  <c r="R773" i="3"/>
  <c r="R774" i="3"/>
  <c r="R775" i="3"/>
  <c r="R776" i="3"/>
  <c r="R777" i="3"/>
  <c r="R778" i="3"/>
  <c r="R779" i="3"/>
  <c r="R780" i="3"/>
  <c r="R781" i="3"/>
  <c r="R782" i="3"/>
  <c r="R783" i="3"/>
  <c r="R784" i="3"/>
  <c r="R785" i="3"/>
  <c r="R786" i="3"/>
  <c r="R787" i="3"/>
  <c r="R788" i="3"/>
  <c r="R789" i="3"/>
  <c r="R790" i="3"/>
  <c r="R791" i="3"/>
  <c r="R792" i="3"/>
  <c r="R793" i="3"/>
  <c r="R794" i="3"/>
  <c r="R795" i="3"/>
  <c r="R796" i="3"/>
  <c r="R797" i="3"/>
  <c r="R798" i="3"/>
  <c r="R799" i="3"/>
  <c r="R800" i="3"/>
  <c r="R801" i="3"/>
  <c r="R802" i="3"/>
  <c r="R803" i="3"/>
  <c r="R804" i="3"/>
  <c r="R805" i="3"/>
  <c r="R806" i="3"/>
  <c r="R807" i="3"/>
  <c r="R808" i="3"/>
  <c r="R809" i="3"/>
  <c r="R810" i="3"/>
  <c r="R811" i="3"/>
  <c r="R812" i="3"/>
  <c r="R813" i="3"/>
  <c r="R814" i="3"/>
  <c r="R815" i="3"/>
  <c r="R816" i="3"/>
  <c r="R817" i="3"/>
  <c r="R818" i="3"/>
  <c r="R819" i="3"/>
  <c r="R820" i="3"/>
  <c r="R821" i="3"/>
  <c r="R822" i="3"/>
  <c r="R823" i="3"/>
  <c r="R824" i="3"/>
  <c r="R825" i="3"/>
  <c r="R826" i="3"/>
  <c r="R827" i="3"/>
  <c r="R828" i="3"/>
  <c r="R829" i="3"/>
  <c r="R830" i="3"/>
  <c r="R831" i="3"/>
  <c r="R832" i="3"/>
  <c r="R833" i="3"/>
  <c r="R834" i="3"/>
  <c r="R835" i="3"/>
  <c r="R836" i="3"/>
  <c r="R837" i="3"/>
  <c r="R838" i="3"/>
  <c r="R839" i="3"/>
  <c r="R840" i="3"/>
  <c r="R841" i="3"/>
  <c r="R842" i="3"/>
  <c r="R843" i="3"/>
  <c r="R844" i="3"/>
  <c r="R845" i="3"/>
  <c r="R846" i="3"/>
  <c r="R847" i="3"/>
  <c r="R848" i="3"/>
  <c r="R849" i="3"/>
  <c r="R850" i="3"/>
  <c r="R851" i="3"/>
  <c r="R852" i="3"/>
  <c r="R853" i="3"/>
  <c r="R854" i="3"/>
  <c r="R855" i="3"/>
  <c r="R856" i="3"/>
  <c r="R891" i="3"/>
  <c r="R6" i="3"/>
  <c r="U7" i="3"/>
  <c r="V7" i="3" s="1"/>
  <c r="U8" i="3"/>
  <c r="V8" i="3" s="1"/>
  <c r="U9" i="3"/>
  <c r="V9" i="3" s="1"/>
  <c r="U10" i="3"/>
  <c r="V10" i="3" s="1"/>
  <c r="U11" i="3"/>
  <c r="V11" i="3" s="1"/>
  <c r="U12" i="3"/>
  <c r="V12" i="3" s="1"/>
  <c r="U13" i="3"/>
  <c r="V13" i="3" s="1"/>
  <c r="U14" i="3"/>
  <c r="V14" i="3" s="1"/>
  <c r="U15" i="3"/>
  <c r="V15" i="3" s="1"/>
  <c r="U16" i="3"/>
  <c r="V16" i="3" s="1"/>
  <c r="U17" i="3"/>
  <c r="V17" i="3" s="1"/>
  <c r="U18" i="3"/>
  <c r="V18" i="3" s="1"/>
  <c r="U19" i="3"/>
  <c r="V19" i="3" s="1"/>
  <c r="U20" i="3"/>
  <c r="V20" i="3" s="1"/>
  <c r="U21" i="3"/>
  <c r="V21" i="3" s="1"/>
  <c r="U22" i="3"/>
  <c r="V22" i="3" s="1"/>
  <c r="U23" i="3"/>
  <c r="V23" i="3" s="1"/>
  <c r="U24" i="3"/>
  <c r="V24" i="3" s="1"/>
  <c r="U25" i="3"/>
  <c r="V25" i="3" s="1"/>
  <c r="U26" i="3"/>
  <c r="V26" i="3" s="1"/>
  <c r="U27" i="3"/>
  <c r="V27" i="3" s="1"/>
  <c r="U28" i="3"/>
  <c r="V28" i="3" s="1"/>
  <c r="U29" i="3"/>
  <c r="V29" i="3" s="1"/>
  <c r="U30" i="3"/>
  <c r="V30" i="3" s="1"/>
  <c r="U31" i="3"/>
  <c r="V31" i="3" s="1"/>
  <c r="U32" i="3"/>
  <c r="V32" i="3" s="1"/>
  <c r="U33" i="3"/>
  <c r="V33" i="3" s="1"/>
  <c r="U34" i="3"/>
  <c r="V34" i="3" s="1"/>
  <c r="U35" i="3"/>
  <c r="V35" i="3" s="1"/>
  <c r="U36" i="3"/>
  <c r="V36" i="3" s="1"/>
  <c r="U37" i="3"/>
  <c r="V37" i="3" s="1"/>
  <c r="U38" i="3"/>
  <c r="V38" i="3" s="1"/>
  <c r="U39" i="3"/>
  <c r="V39" i="3" s="1"/>
  <c r="U40" i="3"/>
  <c r="V40" i="3" s="1"/>
  <c r="U41" i="3"/>
  <c r="V41" i="3" s="1"/>
  <c r="U42" i="3"/>
  <c r="V42" i="3" s="1"/>
  <c r="U43" i="3"/>
  <c r="V43" i="3" s="1"/>
  <c r="U44" i="3"/>
  <c r="V44" i="3" s="1"/>
  <c r="U45" i="3"/>
  <c r="V45" i="3" s="1"/>
  <c r="U46" i="3"/>
  <c r="V46" i="3" s="1"/>
  <c r="U47" i="3"/>
  <c r="V47" i="3" s="1"/>
  <c r="U48" i="3"/>
  <c r="V48" i="3" s="1"/>
  <c r="U49" i="3"/>
  <c r="V49" i="3" s="1"/>
  <c r="U50" i="3"/>
  <c r="V50" i="3" s="1"/>
  <c r="U51" i="3"/>
  <c r="V51" i="3" s="1"/>
  <c r="U52" i="3"/>
  <c r="V52" i="3" s="1"/>
  <c r="U53" i="3"/>
  <c r="V53" i="3" s="1"/>
  <c r="U54" i="3"/>
  <c r="V54" i="3" s="1"/>
  <c r="U55" i="3"/>
  <c r="V55" i="3" s="1"/>
  <c r="U56" i="3"/>
  <c r="V56" i="3" s="1"/>
  <c r="U57" i="3"/>
  <c r="V57" i="3" s="1"/>
  <c r="U58" i="3"/>
  <c r="V58" i="3" s="1"/>
  <c r="U59" i="3"/>
  <c r="V59" i="3" s="1"/>
  <c r="U60" i="3"/>
  <c r="V60" i="3" s="1"/>
  <c r="U61" i="3"/>
  <c r="V61" i="3" s="1"/>
  <c r="U62" i="3"/>
  <c r="V62" i="3" s="1"/>
  <c r="U63" i="3"/>
  <c r="V63" i="3" s="1"/>
  <c r="U64" i="3"/>
  <c r="U65" i="3"/>
  <c r="V65" i="3" s="1"/>
  <c r="U66" i="3"/>
  <c r="V66" i="3" s="1"/>
  <c r="U67" i="3"/>
  <c r="V67" i="3" s="1"/>
  <c r="U68" i="3"/>
  <c r="V68" i="3" s="1"/>
  <c r="U69" i="3"/>
  <c r="U70" i="3"/>
  <c r="V70" i="3" s="1"/>
  <c r="U71" i="3"/>
  <c r="V71" i="3" s="1"/>
  <c r="U72" i="3"/>
  <c r="V72" i="3" s="1"/>
  <c r="U73" i="3"/>
  <c r="V73" i="3" s="1"/>
  <c r="U74" i="3"/>
  <c r="V74" i="3" s="1"/>
  <c r="U75" i="3"/>
  <c r="V75" i="3" s="1"/>
  <c r="U76" i="3"/>
  <c r="V76" i="3" s="1"/>
  <c r="U77" i="3"/>
  <c r="V77" i="3" s="1"/>
  <c r="U78" i="3"/>
  <c r="V78" i="3" s="1"/>
  <c r="U79" i="3"/>
  <c r="V79" i="3" s="1"/>
  <c r="U80" i="3"/>
  <c r="V80" i="3" s="1"/>
  <c r="U81" i="3"/>
  <c r="V81" i="3" s="1"/>
  <c r="U82" i="3"/>
  <c r="V82" i="3" s="1"/>
  <c r="U83" i="3"/>
  <c r="V83" i="3" s="1"/>
  <c r="U84" i="3"/>
  <c r="V84" i="3" s="1"/>
  <c r="U85" i="3"/>
  <c r="V85" i="3" s="1"/>
  <c r="U86" i="3"/>
  <c r="V86" i="3" s="1"/>
  <c r="U87" i="3"/>
  <c r="V87" i="3" s="1"/>
  <c r="U88" i="3"/>
  <c r="V88" i="3" s="1"/>
  <c r="U89" i="3"/>
  <c r="V89" i="3" s="1"/>
  <c r="U90" i="3"/>
  <c r="V90" i="3" s="1"/>
  <c r="U91" i="3"/>
  <c r="V91" i="3" s="1"/>
  <c r="U92" i="3"/>
  <c r="V92" i="3" s="1"/>
  <c r="U93" i="3"/>
  <c r="U94" i="3"/>
  <c r="V94" i="3" s="1"/>
  <c r="U95" i="3"/>
  <c r="V95" i="3" s="1"/>
  <c r="U96" i="3"/>
  <c r="V96" i="3" s="1"/>
  <c r="U97" i="3"/>
  <c r="V97" i="3" s="1"/>
  <c r="U98" i="3"/>
  <c r="U99" i="3"/>
  <c r="V99" i="3" s="1"/>
  <c r="U100" i="3"/>
  <c r="V100" i="3" s="1"/>
  <c r="U101" i="3"/>
  <c r="V101" i="3" s="1"/>
  <c r="U102" i="3"/>
  <c r="V102" i="3" s="1"/>
  <c r="U103" i="3"/>
  <c r="V103" i="3" s="1"/>
  <c r="U104" i="3"/>
  <c r="V104" i="3" s="1"/>
  <c r="U105" i="3"/>
  <c r="V105" i="3" s="1"/>
  <c r="U106" i="3"/>
  <c r="V106" i="3" s="1"/>
  <c r="U107" i="3"/>
  <c r="V107" i="3" s="1"/>
  <c r="U108" i="3"/>
  <c r="U109" i="3"/>
  <c r="V109" i="3" s="1"/>
  <c r="U110" i="3"/>
  <c r="V110" i="3" s="1"/>
  <c r="U111" i="3"/>
  <c r="V111" i="3" s="1"/>
  <c r="U112" i="3"/>
  <c r="V112" i="3" s="1"/>
  <c r="U113" i="3"/>
  <c r="V113" i="3" s="1"/>
  <c r="U114" i="3"/>
  <c r="V114" i="3" s="1"/>
  <c r="U115" i="3"/>
  <c r="V115" i="3" s="1"/>
  <c r="U116" i="3"/>
  <c r="V116" i="3" s="1"/>
  <c r="U117" i="3"/>
  <c r="V117" i="3" s="1"/>
  <c r="U118" i="3"/>
  <c r="V118" i="3" s="1"/>
  <c r="U119" i="3"/>
  <c r="V119" i="3" s="1"/>
  <c r="U120" i="3"/>
  <c r="V120" i="3" s="1"/>
  <c r="U121" i="3"/>
  <c r="V121" i="3" s="1"/>
  <c r="U122" i="3"/>
  <c r="V122" i="3" s="1"/>
  <c r="U123" i="3"/>
  <c r="V123" i="3" s="1"/>
  <c r="U124" i="3"/>
  <c r="V124" i="3" s="1"/>
  <c r="U125" i="3"/>
  <c r="V125" i="3" s="1"/>
  <c r="U126" i="3"/>
  <c r="V126" i="3" s="1"/>
  <c r="U127" i="3"/>
  <c r="V127" i="3" s="1"/>
  <c r="U128" i="3"/>
  <c r="V128" i="3" s="1"/>
  <c r="U129" i="3"/>
  <c r="V129" i="3" s="1"/>
  <c r="U130" i="3"/>
  <c r="V130" i="3" s="1"/>
  <c r="U131" i="3"/>
  <c r="V131" i="3" s="1"/>
  <c r="U132" i="3"/>
  <c r="U133" i="3"/>
  <c r="V133" i="3" s="1"/>
  <c r="U134" i="3"/>
  <c r="V134" i="3" s="1"/>
  <c r="U135" i="3"/>
  <c r="V135" i="3" s="1"/>
  <c r="U136" i="3"/>
  <c r="V136" i="3" s="1"/>
  <c r="U137" i="3"/>
  <c r="V137" i="3" s="1"/>
  <c r="U138" i="3"/>
  <c r="V138" i="3" s="1"/>
  <c r="U139" i="3"/>
  <c r="V139" i="3" s="1"/>
  <c r="U140" i="3"/>
  <c r="V140" i="3" s="1"/>
  <c r="U141" i="3"/>
  <c r="V141" i="3" s="1"/>
  <c r="U142" i="3"/>
  <c r="V142" i="3" s="1"/>
  <c r="U143" i="3"/>
  <c r="V143" i="3" s="1"/>
  <c r="U144" i="3"/>
  <c r="V144" i="3" s="1"/>
  <c r="U145" i="3"/>
  <c r="V145" i="3" s="1"/>
  <c r="U146" i="3"/>
  <c r="V146" i="3" s="1"/>
  <c r="U147" i="3"/>
  <c r="V147" i="3" s="1"/>
  <c r="U148" i="3"/>
  <c r="V148" i="3" s="1"/>
  <c r="U149" i="3"/>
  <c r="V149" i="3" s="1"/>
  <c r="U150" i="3"/>
  <c r="U151" i="3"/>
  <c r="V151" i="3" s="1"/>
  <c r="U152" i="3"/>
  <c r="V152" i="3" s="1"/>
  <c r="U153" i="3"/>
  <c r="V153" i="3" s="1"/>
  <c r="U154" i="3"/>
  <c r="V154" i="3" s="1"/>
  <c r="U155" i="3"/>
  <c r="V155" i="3" s="1"/>
  <c r="U156" i="3"/>
  <c r="V156" i="3" s="1"/>
  <c r="U157" i="3"/>
  <c r="V157" i="3" s="1"/>
  <c r="U158" i="3"/>
  <c r="V158" i="3" s="1"/>
  <c r="U159" i="3"/>
  <c r="V159" i="3" s="1"/>
  <c r="U160" i="3"/>
  <c r="V160" i="3" s="1"/>
  <c r="U161" i="3"/>
  <c r="V161" i="3" s="1"/>
  <c r="U162" i="3"/>
  <c r="V162" i="3" s="1"/>
  <c r="U163" i="3"/>
  <c r="V163" i="3" s="1"/>
  <c r="U164" i="3"/>
  <c r="V164" i="3" s="1"/>
  <c r="U165" i="3"/>
  <c r="V165" i="3" s="1"/>
  <c r="U166" i="3"/>
  <c r="V166" i="3" s="1"/>
  <c r="U167" i="3"/>
  <c r="V167" i="3" s="1"/>
  <c r="U168" i="3"/>
  <c r="V168" i="3" s="1"/>
  <c r="U169" i="3"/>
  <c r="V169" i="3" s="1"/>
  <c r="U170" i="3"/>
  <c r="V170" i="3" s="1"/>
  <c r="U171" i="3"/>
  <c r="V171" i="3" s="1"/>
  <c r="U172" i="3"/>
  <c r="V172" i="3" s="1"/>
  <c r="U173" i="3"/>
  <c r="V173" i="3" s="1"/>
  <c r="U174" i="3"/>
  <c r="V174" i="3" s="1"/>
  <c r="U175" i="3"/>
  <c r="V175" i="3" s="1"/>
  <c r="U176" i="3"/>
  <c r="V176" i="3" s="1"/>
  <c r="U177" i="3"/>
  <c r="V177" i="3" s="1"/>
  <c r="U178" i="3"/>
  <c r="V178" i="3" s="1"/>
  <c r="U179" i="3"/>
  <c r="V179" i="3" s="1"/>
  <c r="U180" i="3"/>
  <c r="V180" i="3" s="1"/>
  <c r="U181" i="3"/>
  <c r="V181" i="3" s="1"/>
  <c r="U182" i="3"/>
  <c r="V182" i="3" s="1"/>
  <c r="U183" i="3"/>
  <c r="V183" i="3" s="1"/>
  <c r="U184" i="3"/>
  <c r="V184" i="3" s="1"/>
  <c r="U185" i="3"/>
  <c r="V185" i="3" s="1"/>
  <c r="U186" i="3"/>
  <c r="V186" i="3" s="1"/>
  <c r="U187" i="3"/>
  <c r="V187" i="3" s="1"/>
  <c r="U188" i="3"/>
  <c r="V188" i="3" s="1"/>
  <c r="U189" i="3"/>
  <c r="V189" i="3" s="1"/>
  <c r="U190" i="3"/>
  <c r="V190" i="3" s="1"/>
  <c r="U191" i="3"/>
  <c r="V191" i="3" s="1"/>
  <c r="U192" i="3"/>
  <c r="U193" i="3"/>
  <c r="V193" i="3" s="1"/>
  <c r="U194" i="3"/>
  <c r="U195" i="3"/>
  <c r="V195" i="3" s="1"/>
  <c r="U196" i="3"/>
  <c r="V196" i="3" s="1"/>
  <c r="U197" i="3"/>
  <c r="V197" i="3" s="1"/>
  <c r="U198" i="3"/>
  <c r="V198" i="3" s="1"/>
  <c r="U199" i="3"/>
  <c r="V199" i="3" s="1"/>
  <c r="U200" i="3"/>
  <c r="V200" i="3" s="1"/>
  <c r="U201" i="3"/>
  <c r="V201" i="3" s="1"/>
  <c r="U202" i="3"/>
  <c r="V202" i="3" s="1"/>
  <c r="U203" i="3"/>
  <c r="V203" i="3" s="1"/>
  <c r="U204" i="3"/>
  <c r="V204" i="3" s="1"/>
  <c r="U205" i="3"/>
  <c r="V205" i="3" s="1"/>
  <c r="U206" i="3"/>
  <c r="V206" i="3" s="1"/>
  <c r="U207" i="3"/>
  <c r="V207" i="3" s="1"/>
  <c r="U208" i="3"/>
  <c r="V208" i="3" s="1"/>
  <c r="U209" i="3"/>
  <c r="V209" i="3" s="1"/>
  <c r="U210" i="3"/>
  <c r="V210" i="3" s="1"/>
  <c r="U211" i="3"/>
  <c r="V211" i="3" s="1"/>
  <c r="U212" i="3"/>
  <c r="V212" i="3" s="1"/>
  <c r="U213" i="3"/>
  <c r="V213" i="3" s="1"/>
  <c r="U214" i="3"/>
  <c r="V214" i="3" s="1"/>
  <c r="U215" i="3"/>
  <c r="V215" i="3" s="1"/>
  <c r="U216" i="3"/>
  <c r="V216" i="3" s="1"/>
  <c r="U217" i="3"/>
  <c r="V217" i="3" s="1"/>
  <c r="U218" i="3"/>
  <c r="V218" i="3" s="1"/>
  <c r="U219" i="3"/>
  <c r="V219" i="3" s="1"/>
  <c r="U220" i="3"/>
  <c r="V220" i="3" s="1"/>
  <c r="U221" i="3"/>
  <c r="V221" i="3" s="1"/>
  <c r="U222" i="3"/>
  <c r="V222" i="3" s="1"/>
  <c r="U223" i="3"/>
  <c r="V223" i="3" s="1"/>
  <c r="U224" i="3"/>
  <c r="V224" i="3" s="1"/>
  <c r="U225" i="3"/>
  <c r="V225" i="3" s="1"/>
  <c r="U226" i="3"/>
  <c r="V226" i="3" s="1"/>
  <c r="U227" i="3"/>
  <c r="V227" i="3" s="1"/>
  <c r="U228" i="3"/>
  <c r="V228" i="3" s="1"/>
  <c r="U229" i="3"/>
  <c r="V229" i="3" s="1"/>
  <c r="U230" i="3"/>
  <c r="V230" i="3" s="1"/>
  <c r="U231" i="3"/>
  <c r="V231" i="3" s="1"/>
  <c r="U232" i="3"/>
  <c r="V232" i="3" s="1"/>
  <c r="U233" i="3"/>
  <c r="V233" i="3" s="1"/>
  <c r="U234" i="3"/>
  <c r="V234" i="3" s="1"/>
  <c r="U235" i="3"/>
  <c r="V235" i="3" s="1"/>
  <c r="U236" i="3"/>
  <c r="V236" i="3" s="1"/>
  <c r="U237" i="3"/>
  <c r="V237" i="3" s="1"/>
  <c r="U238" i="3"/>
  <c r="V238" i="3" s="1"/>
  <c r="U239" i="3"/>
  <c r="V239" i="3" s="1"/>
  <c r="U240" i="3"/>
  <c r="V240" i="3" s="1"/>
  <c r="U241" i="3"/>
  <c r="V241" i="3" s="1"/>
  <c r="U242" i="3"/>
  <c r="V242" i="3" s="1"/>
  <c r="U243" i="3"/>
  <c r="V243" i="3" s="1"/>
  <c r="U244" i="3"/>
  <c r="U245" i="3"/>
  <c r="V245" i="3" s="1"/>
  <c r="U246" i="3"/>
  <c r="V246" i="3" s="1"/>
  <c r="U247" i="3"/>
  <c r="V247" i="3" s="1"/>
  <c r="U248" i="3"/>
  <c r="V248" i="3" s="1"/>
  <c r="U249" i="3"/>
  <c r="V249" i="3" s="1"/>
  <c r="U250" i="3"/>
  <c r="V250" i="3" s="1"/>
  <c r="U251" i="3"/>
  <c r="V251" i="3" s="1"/>
  <c r="U252" i="3"/>
  <c r="V252" i="3" s="1"/>
  <c r="U253" i="3"/>
  <c r="V253" i="3" s="1"/>
  <c r="U254" i="3"/>
  <c r="V254" i="3" s="1"/>
  <c r="U255" i="3"/>
  <c r="V255" i="3" s="1"/>
  <c r="U256" i="3"/>
  <c r="V256" i="3" s="1"/>
  <c r="U257" i="3"/>
  <c r="V257" i="3" s="1"/>
  <c r="U258" i="3"/>
  <c r="V258" i="3" s="1"/>
  <c r="U259" i="3"/>
  <c r="V259" i="3" s="1"/>
  <c r="U260" i="3"/>
  <c r="V260" i="3" s="1"/>
  <c r="U261" i="3"/>
  <c r="V261" i="3" s="1"/>
  <c r="U262" i="3"/>
  <c r="U263" i="3"/>
  <c r="V263" i="3" s="1"/>
  <c r="U264" i="3"/>
  <c r="U265" i="3"/>
  <c r="V265" i="3" s="1"/>
  <c r="U266" i="3"/>
  <c r="V266" i="3" s="1"/>
  <c r="U267" i="3"/>
  <c r="V267" i="3" s="1"/>
  <c r="U268" i="3"/>
  <c r="V268" i="3" s="1"/>
  <c r="U269" i="3"/>
  <c r="U270" i="3"/>
  <c r="V270" i="3" s="1"/>
  <c r="U271" i="3"/>
  <c r="V271" i="3" s="1"/>
  <c r="U272" i="3"/>
  <c r="V272" i="3" s="1"/>
  <c r="U273" i="3"/>
  <c r="V273" i="3" s="1"/>
  <c r="U274" i="3"/>
  <c r="V274" i="3" s="1"/>
  <c r="U275" i="3"/>
  <c r="V275" i="3" s="1"/>
  <c r="U276" i="3"/>
  <c r="V276" i="3" s="1"/>
  <c r="U277" i="3"/>
  <c r="V277" i="3" s="1"/>
  <c r="U278" i="3"/>
  <c r="V278" i="3" s="1"/>
  <c r="U279" i="3"/>
  <c r="V279" i="3" s="1"/>
  <c r="U280" i="3"/>
  <c r="V280" i="3" s="1"/>
  <c r="U281" i="3"/>
  <c r="V281" i="3" s="1"/>
  <c r="U282" i="3"/>
  <c r="V282" i="3" s="1"/>
  <c r="U283" i="3"/>
  <c r="V283" i="3" s="1"/>
  <c r="U284" i="3"/>
  <c r="V284" i="3" s="1"/>
  <c r="U285" i="3"/>
  <c r="V285" i="3" s="1"/>
  <c r="U286" i="3"/>
  <c r="V286" i="3" s="1"/>
  <c r="U287" i="3"/>
  <c r="V287" i="3" s="1"/>
  <c r="U288" i="3"/>
  <c r="V288" i="3" s="1"/>
  <c r="U289" i="3"/>
  <c r="V289" i="3" s="1"/>
  <c r="U290" i="3"/>
  <c r="V290" i="3" s="1"/>
  <c r="U291" i="3"/>
  <c r="V291" i="3" s="1"/>
  <c r="U292" i="3"/>
  <c r="V292" i="3" s="1"/>
  <c r="U293" i="3"/>
  <c r="V293" i="3" s="1"/>
  <c r="U294" i="3"/>
  <c r="V294" i="3" s="1"/>
  <c r="U295" i="3"/>
  <c r="V295" i="3" s="1"/>
  <c r="U296" i="3"/>
  <c r="V296" i="3" s="1"/>
  <c r="U297" i="3"/>
  <c r="V297" i="3" s="1"/>
  <c r="U298" i="3"/>
  <c r="V298" i="3" s="1"/>
  <c r="U299" i="3"/>
  <c r="V299" i="3" s="1"/>
  <c r="U300" i="3"/>
  <c r="U301" i="3"/>
  <c r="V301" i="3" s="1"/>
  <c r="U302" i="3"/>
  <c r="V302" i="3" s="1"/>
  <c r="U303" i="3"/>
  <c r="V303" i="3" s="1"/>
  <c r="U304" i="3"/>
  <c r="V304" i="3" s="1"/>
  <c r="U305" i="3"/>
  <c r="V305" i="3" s="1"/>
  <c r="U306" i="3"/>
  <c r="V306" i="3" s="1"/>
  <c r="U307" i="3"/>
  <c r="V307" i="3" s="1"/>
  <c r="U308" i="3"/>
  <c r="V308" i="3" s="1"/>
  <c r="U309" i="3"/>
  <c r="V309" i="3" s="1"/>
  <c r="U310" i="3"/>
  <c r="V310" i="3" s="1"/>
  <c r="U311" i="3"/>
  <c r="V311" i="3" s="1"/>
  <c r="U312" i="3"/>
  <c r="V312" i="3" s="1"/>
  <c r="U313" i="3"/>
  <c r="V313" i="3" s="1"/>
  <c r="U314" i="3"/>
  <c r="V314" i="3" s="1"/>
  <c r="U315" i="3"/>
  <c r="V315" i="3" s="1"/>
  <c r="U316" i="3"/>
  <c r="V316" i="3" s="1"/>
  <c r="U317" i="3"/>
  <c r="V317" i="3" s="1"/>
  <c r="U318" i="3"/>
  <c r="V318" i="3" s="1"/>
  <c r="U319" i="3"/>
  <c r="V319" i="3" s="1"/>
  <c r="U320" i="3"/>
  <c r="V320" i="3" s="1"/>
  <c r="U321" i="3"/>
  <c r="V321" i="3" s="1"/>
  <c r="U322" i="3"/>
  <c r="V322" i="3" s="1"/>
  <c r="U323" i="3"/>
  <c r="V323" i="3" s="1"/>
  <c r="U324" i="3"/>
  <c r="V324" i="3" s="1"/>
  <c r="U325" i="3"/>
  <c r="U326" i="3"/>
  <c r="V326" i="3" s="1"/>
  <c r="U327" i="3"/>
  <c r="V327" i="3" s="1"/>
  <c r="U328" i="3"/>
  <c r="V328" i="3" s="1"/>
  <c r="U329" i="3"/>
  <c r="V329" i="3" s="1"/>
  <c r="U330" i="3"/>
  <c r="V330" i="3" s="1"/>
  <c r="U331" i="3"/>
  <c r="V331" i="3" s="1"/>
  <c r="U332" i="3"/>
  <c r="V332" i="3" s="1"/>
  <c r="U333" i="3"/>
  <c r="V333" i="3" s="1"/>
  <c r="U334" i="3"/>
  <c r="V334" i="3" s="1"/>
  <c r="U335" i="3"/>
  <c r="V335" i="3" s="1"/>
  <c r="U336" i="3"/>
  <c r="V336" i="3" s="1"/>
  <c r="U337" i="3"/>
  <c r="V337" i="3" s="1"/>
  <c r="U338" i="3"/>
  <c r="V338" i="3" s="1"/>
  <c r="U339" i="3"/>
  <c r="V339" i="3" s="1"/>
  <c r="U340" i="3"/>
  <c r="V340" i="3" s="1"/>
  <c r="U341" i="3"/>
  <c r="V341" i="3" s="1"/>
  <c r="U342" i="3"/>
  <c r="V342" i="3" s="1"/>
  <c r="U343" i="3"/>
  <c r="V343" i="3" s="1"/>
  <c r="U344" i="3"/>
  <c r="V344" i="3" s="1"/>
  <c r="U345" i="3"/>
  <c r="V345" i="3" s="1"/>
  <c r="U346" i="3"/>
  <c r="V346" i="3" s="1"/>
  <c r="U347" i="3"/>
  <c r="V347" i="3" s="1"/>
  <c r="U348" i="3"/>
  <c r="V348" i="3" s="1"/>
  <c r="U349" i="3"/>
  <c r="V349" i="3" s="1"/>
  <c r="U350" i="3"/>
  <c r="V350" i="3" s="1"/>
  <c r="U351" i="3"/>
  <c r="V351" i="3" s="1"/>
  <c r="U352" i="3"/>
  <c r="V352" i="3" s="1"/>
  <c r="U353" i="3"/>
  <c r="V353" i="3" s="1"/>
  <c r="U354" i="3"/>
  <c r="V354" i="3" s="1"/>
  <c r="U355" i="3"/>
  <c r="V355" i="3" s="1"/>
  <c r="U356" i="3"/>
  <c r="V356" i="3" s="1"/>
  <c r="U357" i="3"/>
  <c r="V357" i="3" s="1"/>
  <c r="U358" i="3"/>
  <c r="V358" i="3" s="1"/>
  <c r="U359" i="3"/>
  <c r="V359" i="3" s="1"/>
  <c r="U360" i="3"/>
  <c r="V360" i="3" s="1"/>
  <c r="U361" i="3"/>
  <c r="V361" i="3" s="1"/>
  <c r="U362" i="3"/>
  <c r="V362" i="3" s="1"/>
  <c r="U363" i="3"/>
  <c r="V363" i="3" s="1"/>
  <c r="U364" i="3"/>
  <c r="V364" i="3" s="1"/>
  <c r="U365" i="3"/>
  <c r="V365" i="3" s="1"/>
  <c r="U366" i="3"/>
  <c r="V366" i="3" s="1"/>
  <c r="U367" i="3"/>
  <c r="V367" i="3" s="1"/>
  <c r="U368" i="3"/>
  <c r="V368" i="3" s="1"/>
  <c r="U369" i="3"/>
  <c r="V369" i="3" s="1"/>
  <c r="U370" i="3"/>
  <c r="V370" i="3" s="1"/>
  <c r="U371" i="3"/>
  <c r="V371" i="3" s="1"/>
  <c r="U372" i="3"/>
  <c r="V372" i="3" s="1"/>
  <c r="U373" i="3"/>
  <c r="V373" i="3" s="1"/>
  <c r="U374" i="3"/>
  <c r="V374" i="3" s="1"/>
  <c r="U375" i="3"/>
  <c r="V375" i="3" s="1"/>
  <c r="U376" i="3"/>
  <c r="V376" i="3" s="1"/>
  <c r="U377" i="3"/>
  <c r="V377" i="3" s="1"/>
  <c r="U378" i="3"/>
  <c r="V378" i="3" s="1"/>
  <c r="U379" i="3"/>
  <c r="V379" i="3" s="1"/>
  <c r="U380" i="3"/>
  <c r="V380" i="3" s="1"/>
  <c r="U381" i="3"/>
  <c r="V381" i="3" s="1"/>
  <c r="U382" i="3"/>
  <c r="V382" i="3" s="1"/>
  <c r="U383" i="3"/>
  <c r="V383" i="3" s="1"/>
  <c r="U384" i="3"/>
  <c r="V384" i="3" s="1"/>
  <c r="U385" i="3"/>
  <c r="V385" i="3" s="1"/>
  <c r="U386" i="3"/>
  <c r="V386" i="3" s="1"/>
  <c r="U387" i="3"/>
  <c r="V387" i="3" s="1"/>
  <c r="U388" i="3"/>
  <c r="V388" i="3" s="1"/>
  <c r="U389" i="3"/>
  <c r="V389" i="3" s="1"/>
  <c r="U390" i="3"/>
  <c r="V390" i="3" s="1"/>
  <c r="U391" i="3"/>
  <c r="V391" i="3" s="1"/>
  <c r="U392" i="3"/>
  <c r="V392" i="3" s="1"/>
  <c r="U393" i="3"/>
  <c r="V393" i="3" s="1"/>
  <c r="U394" i="3"/>
  <c r="V394" i="3" s="1"/>
  <c r="U395" i="3"/>
  <c r="V395" i="3" s="1"/>
  <c r="U396" i="3"/>
  <c r="V396" i="3" s="1"/>
  <c r="U397" i="3"/>
  <c r="V397" i="3" s="1"/>
  <c r="U398" i="3"/>
  <c r="V398" i="3" s="1"/>
  <c r="U399" i="3"/>
  <c r="V399" i="3" s="1"/>
  <c r="U400" i="3"/>
  <c r="V400" i="3" s="1"/>
  <c r="U401" i="3"/>
  <c r="V401" i="3" s="1"/>
  <c r="U402" i="3"/>
  <c r="V402" i="3" s="1"/>
  <c r="U403" i="3"/>
  <c r="V403" i="3" s="1"/>
  <c r="U404" i="3"/>
  <c r="V404" i="3" s="1"/>
  <c r="U405" i="3"/>
  <c r="V405" i="3" s="1"/>
  <c r="U406" i="3"/>
  <c r="V406" i="3" s="1"/>
  <c r="U407" i="3"/>
  <c r="V407" i="3" s="1"/>
  <c r="U408" i="3"/>
  <c r="V408" i="3" s="1"/>
  <c r="U409" i="3"/>
  <c r="V409" i="3" s="1"/>
  <c r="U410" i="3"/>
  <c r="V410" i="3" s="1"/>
  <c r="U411" i="3"/>
  <c r="V411" i="3" s="1"/>
  <c r="U412" i="3"/>
  <c r="V412" i="3" s="1"/>
  <c r="U413" i="3"/>
  <c r="V413" i="3" s="1"/>
  <c r="U414" i="3"/>
  <c r="V414" i="3" s="1"/>
  <c r="U415" i="3"/>
  <c r="V415" i="3" s="1"/>
  <c r="U416" i="3"/>
  <c r="V416" i="3" s="1"/>
  <c r="U417" i="3"/>
  <c r="V417" i="3" s="1"/>
  <c r="U418" i="3"/>
  <c r="V418" i="3" s="1"/>
  <c r="U419" i="3"/>
  <c r="V419" i="3" s="1"/>
  <c r="U420" i="3"/>
  <c r="V420" i="3" s="1"/>
  <c r="U421" i="3"/>
  <c r="V421" i="3" s="1"/>
  <c r="U422" i="3"/>
  <c r="V422" i="3" s="1"/>
  <c r="U423" i="3"/>
  <c r="V423" i="3" s="1"/>
  <c r="U424" i="3"/>
  <c r="V424" i="3" s="1"/>
  <c r="U425" i="3"/>
  <c r="V425" i="3" s="1"/>
  <c r="U426" i="3"/>
  <c r="V426" i="3" s="1"/>
  <c r="U427" i="3"/>
  <c r="V427" i="3" s="1"/>
  <c r="U428" i="3"/>
  <c r="V428" i="3" s="1"/>
  <c r="U429" i="3"/>
  <c r="V429" i="3" s="1"/>
  <c r="U430" i="3"/>
  <c r="V430" i="3" s="1"/>
  <c r="U431" i="3"/>
  <c r="V431" i="3" s="1"/>
  <c r="U432" i="3"/>
  <c r="V432" i="3" s="1"/>
  <c r="U433" i="3"/>
  <c r="V433" i="3" s="1"/>
  <c r="U434" i="3"/>
  <c r="V434" i="3" s="1"/>
  <c r="U435" i="3"/>
  <c r="V435" i="3" s="1"/>
  <c r="U436" i="3"/>
  <c r="V436" i="3" s="1"/>
  <c r="U437" i="3"/>
  <c r="V437" i="3" s="1"/>
  <c r="U438" i="3"/>
  <c r="V438" i="3" s="1"/>
  <c r="U439" i="3"/>
  <c r="V439" i="3" s="1"/>
  <c r="U440" i="3"/>
  <c r="V440" i="3" s="1"/>
  <c r="U441" i="3"/>
  <c r="V441" i="3" s="1"/>
  <c r="U442" i="3"/>
  <c r="V442" i="3" s="1"/>
  <c r="U443" i="3"/>
  <c r="V443" i="3" s="1"/>
  <c r="U444" i="3"/>
  <c r="V444" i="3" s="1"/>
  <c r="U445" i="3"/>
  <c r="V445" i="3" s="1"/>
  <c r="U446" i="3"/>
  <c r="V446" i="3" s="1"/>
  <c r="U447" i="3"/>
  <c r="V447" i="3" s="1"/>
  <c r="U448" i="3"/>
  <c r="V448" i="3" s="1"/>
  <c r="U449" i="3"/>
  <c r="V449" i="3" s="1"/>
  <c r="U450" i="3"/>
  <c r="V450" i="3" s="1"/>
  <c r="U451" i="3"/>
  <c r="V451" i="3" s="1"/>
  <c r="U452" i="3"/>
  <c r="V452" i="3" s="1"/>
  <c r="U453" i="3"/>
  <c r="V453" i="3" s="1"/>
  <c r="U454" i="3"/>
  <c r="V454" i="3" s="1"/>
  <c r="U455" i="3"/>
  <c r="V455" i="3" s="1"/>
  <c r="U456" i="3"/>
  <c r="V456" i="3" s="1"/>
  <c r="U457" i="3"/>
  <c r="V457" i="3" s="1"/>
  <c r="U458" i="3"/>
  <c r="V458" i="3" s="1"/>
  <c r="U459" i="3"/>
  <c r="V459" i="3" s="1"/>
  <c r="U460" i="3"/>
  <c r="V460" i="3" s="1"/>
  <c r="U461" i="3"/>
  <c r="V461" i="3" s="1"/>
  <c r="U462" i="3"/>
  <c r="V462" i="3" s="1"/>
  <c r="U463" i="3"/>
  <c r="V463" i="3" s="1"/>
  <c r="U464" i="3"/>
  <c r="V464" i="3" s="1"/>
  <c r="U465" i="3"/>
  <c r="V465" i="3" s="1"/>
  <c r="U466" i="3"/>
  <c r="V466" i="3" s="1"/>
  <c r="U467" i="3"/>
  <c r="V467" i="3" s="1"/>
  <c r="U468" i="3"/>
  <c r="V468" i="3" s="1"/>
  <c r="U469" i="3"/>
  <c r="V469" i="3" s="1"/>
  <c r="U470" i="3"/>
  <c r="V470" i="3" s="1"/>
  <c r="U471" i="3"/>
  <c r="V471" i="3" s="1"/>
  <c r="U472" i="3"/>
  <c r="V472" i="3" s="1"/>
  <c r="U473" i="3"/>
  <c r="V473" i="3" s="1"/>
  <c r="U474" i="3"/>
  <c r="V474" i="3" s="1"/>
  <c r="U475" i="3"/>
  <c r="V475" i="3" s="1"/>
  <c r="U476" i="3"/>
  <c r="V476" i="3" s="1"/>
  <c r="U477" i="3"/>
  <c r="V477" i="3" s="1"/>
  <c r="U478" i="3"/>
  <c r="V478" i="3" s="1"/>
  <c r="U479" i="3"/>
  <c r="V479" i="3" s="1"/>
  <c r="U480" i="3"/>
  <c r="V480" i="3" s="1"/>
  <c r="U481" i="3"/>
  <c r="V481" i="3" s="1"/>
  <c r="U482" i="3"/>
  <c r="V482" i="3" s="1"/>
  <c r="U483" i="3"/>
  <c r="V483" i="3" s="1"/>
  <c r="U484" i="3"/>
  <c r="V484" i="3" s="1"/>
  <c r="U485" i="3"/>
  <c r="V485" i="3" s="1"/>
  <c r="U486" i="3"/>
  <c r="V486" i="3" s="1"/>
  <c r="U487" i="3"/>
  <c r="V487" i="3" s="1"/>
  <c r="U488" i="3"/>
  <c r="V488" i="3" s="1"/>
  <c r="U489" i="3"/>
  <c r="V489" i="3" s="1"/>
  <c r="U490" i="3"/>
  <c r="V490" i="3" s="1"/>
  <c r="U491" i="3"/>
  <c r="V491" i="3" s="1"/>
  <c r="U492" i="3"/>
  <c r="V492" i="3" s="1"/>
  <c r="U493" i="3"/>
  <c r="V493" i="3" s="1"/>
  <c r="U494" i="3"/>
  <c r="V494" i="3" s="1"/>
  <c r="U495" i="3"/>
  <c r="V495" i="3" s="1"/>
  <c r="U496" i="3"/>
  <c r="V496" i="3" s="1"/>
  <c r="U497" i="3"/>
  <c r="V497" i="3" s="1"/>
  <c r="U498" i="3"/>
  <c r="V498" i="3" s="1"/>
  <c r="U499" i="3"/>
  <c r="V499" i="3" s="1"/>
  <c r="U500" i="3"/>
  <c r="V500" i="3" s="1"/>
  <c r="U501" i="3"/>
  <c r="V501" i="3" s="1"/>
  <c r="U502" i="3"/>
  <c r="V502" i="3" s="1"/>
  <c r="U503" i="3"/>
  <c r="V503" i="3" s="1"/>
  <c r="U504" i="3"/>
  <c r="V504" i="3" s="1"/>
  <c r="U505" i="3"/>
  <c r="V505" i="3" s="1"/>
  <c r="U506" i="3"/>
  <c r="V506" i="3" s="1"/>
  <c r="U507" i="3"/>
  <c r="V507" i="3" s="1"/>
  <c r="U508" i="3"/>
  <c r="V508" i="3" s="1"/>
  <c r="U509" i="3"/>
  <c r="U510" i="3"/>
  <c r="V510" i="3" s="1"/>
  <c r="U511" i="3"/>
  <c r="V511" i="3" s="1"/>
  <c r="U512" i="3"/>
  <c r="V512" i="3" s="1"/>
  <c r="U513" i="3"/>
  <c r="V513" i="3" s="1"/>
  <c r="U514" i="3"/>
  <c r="V514" i="3" s="1"/>
  <c r="U515" i="3"/>
  <c r="V515" i="3" s="1"/>
  <c r="U516" i="3"/>
  <c r="V516" i="3" s="1"/>
  <c r="U517" i="3"/>
  <c r="V517" i="3" s="1"/>
  <c r="U518" i="3"/>
  <c r="V518" i="3" s="1"/>
  <c r="U519" i="3"/>
  <c r="V519" i="3" s="1"/>
  <c r="U520" i="3"/>
  <c r="V520" i="3" s="1"/>
  <c r="U521" i="3"/>
  <c r="V521" i="3" s="1"/>
  <c r="U522" i="3"/>
  <c r="V522" i="3" s="1"/>
  <c r="U523" i="3"/>
  <c r="V523" i="3" s="1"/>
  <c r="U524" i="3"/>
  <c r="V524" i="3" s="1"/>
  <c r="U525" i="3"/>
  <c r="V525" i="3" s="1"/>
  <c r="U526" i="3"/>
  <c r="V526" i="3" s="1"/>
  <c r="U527" i="3"/>
  <c r="V527" i="3" s="1"/>
  <c r="U528" i="3"/>
  <c r="V528" i="3" s="1"/>
  <c r="U529" i="3"/>
  <c r="V529" i="3" s="1"/>
  <c r="U530" i="3"/>
  <c r="V530" i="3" s="1"/>
  <c r="U531" i="3"/>
  <c r="V531" i="3" s="1"/>
  <c r="U532" i="3"/>
  <c r="V532" i="3" s="1"/>
  <c r="U533" i="3"/>
  <c r="V533" i="3" s="1"/>
  <c r="U534" i="3"/>
  <c r="V534" i="3" s="1"/>
  <c r="U535" i="3"/>
  <c r="V535" i="3" s="1"/>
  <c r="U536" i="3"/>
  <c r="V536" i="3" s="1"/>
  <c r="U537" i="3"/>
  <c r="V537" i="3" s="1"/>
  <c r="U538" i="3"/>
  <c r="V538" i="3" s="1"/>
  <c r="U539" i="3"/>
  <c r="V539" i="3" s="1"/>
  <c r="U540" i="3"/>
  <c r="V540" i="3" s="1"/>
  <c r="U541" i="3"/>
  <c r="V541" i="3" s="1"/>
  <c r="U542" i="3"/>
  <c r="V542" i="3" s="1"/>
  <c r="U543" i="3"/>
  <c r="V543" i="3" s="1"/>
  <c r="U544" i="3"/>
  <c r="V544" i="3" s="1"/>
  <c r="U545" i="3"/>
  <c r="V545" i="3" s="1"/>
  <c r="U546" i="3"/>
  <c r="V546" i="3" s="1"/>
  <c r="U547" i="3"/>
  <c r="V547" i="3" s="1"/>
  <c r="U548" i="3"/>
  <c r="V548" i="3" s="1"/>
  <c r="U549" i="3"/>
  <c r="V549" i="3" s="1"/>
  <c r="U550" i="3"/>
  <c r="V550" i="3" s="1"/>
  <c r="U551" i="3"/>
  <c r="V551" i="3" s="1"/>
  <c r="U552" i="3"/>
  <c r="V552" i="3" s="1"/>
  <c r="U553" i="3"/>
  <c r="V553" i="3" s="1"/>
  <c r="U554" i="3"/>
  <c r="V554" i="3" s="1"/>
  <c r="U555" i="3"/>
  <c r="V555" i="3" s="1"/>
  <c r="U556" i="3"/>
  <c r="V556" i="3" s="1"/>
  <c r="U557" i="3"/>
  <c r="V557" i="3" s="1"/>
  <c r="U558" i="3"/>
  <c r="V558" i="3" s="1"/>
  <c r="U559" i="3"/>
  <c r="V559" i="3" s="1"/>
  <c r="U560" i="3"/>
  <c r="V560" i="3" s="1"/>
  <c r="U561" i="3"/>
  <c r="V561" i="3" s="1"/>
  <c r="U562" i="3"/>
  <c r="V562" i="3" s="1"/>
  <c r="U563" i="3"/>
  <c r="V563" i="3" s="1"/>
  <c r="U564" i="3"/>
  <c r="V564" i="3" s="1"/>
  <c r="U565" i="3"/>
  <c r="V565" i="3" s="1"/>
  <c r="U566" i="3"/>
  <c r="V566" i="3" s="1"/>
  <c r="U567" i="3"/>
  <c r="V567" i="3" s="1"/>
  <c r="U568" i="3"/>
  <c r="V568" i="3" s="1"/>
  <c r="U569" i="3"/>
  <c r="V569" i="3" s="1"/>
  <c r="U570" i="3"/>
  <c r="V570" i="3" s="1"/>
  <c r="U571" i="3"/>
  <c r="V571" i="3" s="1"/>
  <c r="U572" i="3"/>
  <c r="V572" i="3" s="1"/>
  <c r="U573" i="3"/>
  <c r="V573" i="3" s="1"/>
  <c r="U574" i="3"/>
  <c r="V574" i="3" s="1"/>
  <c r="U575" i="3"/>
  <c r="V575" i="3" s="1"/>
  <c r="U576" i="3"/>
  <c r="V576" i="3" s="1"/>
  <c r="U577" i="3"/>
  <c r="V577" i="3" s="1"/>
  <c r="U578" i="3"/>
  <c r="V578" i="3" s="1"/>
  <c r="U579" i="3"/>
  <c r="V579" i="3" s="1"/>
  <c r="U580" i="3"/>
  <c r="V580" i="3" s="1"/>
  <c r="U581" i="3"/>
  <c r="V581" i="3" s="1"/>
  <c r="U582" i="3"/>
  <c r="V582" i="3" s="1"/>
  <c r="U583" i="3"/>
  <c r="V583" i="3" s="1"/>
  <c r="U584" i="3"/>
  <c r="V584" i="3" s="1"/>
  <c r="U585" i="3"/>
  <c r="V585" i="3" s="1"/>
  <c r="U586" i="3"/>
  <c r="V586" i="3" s="1"/>
  <c r="U587" i="3"/>
  <c r="V587" i="3" s="1"/>
  <c r="U588" i="3"/>
  <c r="V588" i="3" s="1"/>
  <c r="U589" i="3"/>
  <c r="V589" i="3" s="1"/>
  <c r="U590" i="3"/>
  <c r="V590" i="3" s="1"/>
  <c r="U591" i="3"/>
  <c r="V591" i="3" s="1"/>
  <c r="U592" i="3"/>
  <c r="V592" i="3" s="1"/>
  <c r="U593" i="3"/>
  <c r="V593" i="3" s="1"/>
  <c r="U594" i="3"/>
  <c r="V594" i="3" s="1"/>
  <c r="U595" i="3"/>
  <c r="V595" i="3" s="1"/>
  <c r="U596" i="3"/>
  <c r="V596" i="3" s="1"/>
  <c r="U597" i="3"/>
  <c r="V597" i="3" s="1"/>
  <c r="U598" i="3"/>
  <c r="V598" i="3" s="1"/>
  <c r="U599" i="3"/>
  <c r="V599" i="3" s="1"/>
  <c r="U600" i="3"/>
  <c r="V600" i="3" s="1"/>
  <c r="U601" i="3"/>
  <c r="V601" i="3" s="1"/>
  <c r="U602" i="3"/>
  <c r="V602" i="3" s="1"/>
  <c r="U603" i="3"/>
  <c r="V603" i="3" s="1"/>
  <c r="U604" i="3"/>
  <c r="U605" i="3"/>
  <c r="V605" i="3" s="1"/>
  <c r="U606" i="3"/>
  <c r="V606" i="3" s="1"/>
  <c r="U607" i="3"/>
  <c r="V607" i="3" s="1"/>
  <c r="U608" i="3"/>
  <c r="V608" i="3" s="1"/>
  <c r="U609" i="3"/>
  <c r="V609" i="3" s="1"/>
  <c r="U610" i="3"/>
  <c r="V610" i="3" s="1"/>
  <c r="U611" i="3"/>
  <c r="V611" i="3" s="1"/>
  <c r="U612" i="3"/>
  <c r="V612" i="3" s="1"/>
  <c r="U613" i="3"/>
  <c r="V613" i="3" s="1"/>
  <c r="U614" i="3"/>
  <c r="V614" i="3" s="1"/>
  <c r="U615" i="3"/>
  <c r="V615" i="3" s="1"/>
  <c r="U616" i="3"/>
  <c r="V616" i="3" s="1"/>
  <c r="U617" i="3"/>
  <c r="V617" i="3" s="1"/>
  <c r="U618" i="3"/>
  <c r="V618" i="3" s="1"/>
  <c r="U619" i="3"/>
  <c r="V619" i="3" s="1"/>
  <c r="U620" i="3"/>
  <c r="V620" i="3" s="1"/>
  <c r="U621" i="3"/>
  <c r="V621" i="3" s="1"/>
  <c r="U622" i="3"/>
  <c r="V622" i="3" s="1"/>
  <c r="U623" i="3"/>
  <c r="U624" i="3"/>
  <c r="V624" i="3" s="1"/>
  <c r="U625" i="3"/>
  <c r="V625" i="3" s="1"/>
  <c r="U626" i="3"/>
  <c r="V626" i="3" s="1"/>
  <c r="U627" i="3"/>
  <c r="V627" i="3" s="1"/>
  <c r="U628" i="3"/>
  <c r="V628" i="3" s="1"/>
  <c r="U629" i="3"/>
  <c r="U630" i="3"/>
  <c r="V630" i="3" s="1"/>
  <c r="U631" i="3"/>
  <c r="V631" i="3" s="1"/>
  <c r="U632" i="3"/>
  <c r="V632" i="3" s="1"/>
  <c r="U633" i="3"/>
  <c r="V633" i="3" s="1"/>
  <c r="U634" i="3"/>
  <c r="V634" i="3" s="1"/>
  <c r="U635" i="3"/>
  <c r="V635" i="3" s="1"/>
  <c r="U636" i="3"/>
  <c r="V636" i="3" s="1"/>
  <c r="U637" i="3"/>
  <c r="V637" i="3" s="1"/>
  <c r="U638" i="3"/>
  <c r="V638" i="3" s="1"/>
  <c r="U639" i="3"/>
  <c r="V639" i="3" s="1"/>
  <c r="U640" i="3"/>
  <c r="V640" i="3" s="1"/>
  <c r="U641" i="3"/>
  <c r="V641" i="3" s="1"/>
  <c r="U642" i="3"/>
  <c r="V642" i="3" s="1"/>
  <c r="U643" i="3"/>
  <c r="V643" i="3" s="1"/>
  <c r="U644" i="3"/>
  <c r="V644" i="3" s="1"/>
  <c r="U645" i="3"/>
  <c r="V645" i="3" s="1"/>
  <c r="U646" i="3"/>
  <c r="V646" i="3" s="1"/>
  <c r="U647" i="3"/>
  <c r="V647" i="3" s="1"/>
  <c r="U648" i="3"/>
  <c r="V648" i="3" s="1"/>
  <c r="U649" i="3"/>
  <c r="V649" i="3" s="1"/>
  <c r="U650" i="3"/>
  <c r="V650" i="3" s="1"/>
  <c r="U651" i="3"/>
  <c r="V651" i="3" s="1"/>
  <c r="U652" i="3"/>
  <c r="V652" i="3" s="1"/>
  <c r="U653" i="3"/>
  <c r="V653" i="3" s="1"/>
  <c r="U654" i="3"/>
  <c r="V654" i="3" s="1"/>
  <c r="U655" i="3"/>
  <c r="V655" i="3" s="1"/>
  <c r="U656" i="3"/>
  <c r="V656" i="3" s="1"/>
  <c r="U657" i="3"/>
  <c r="V657" i="3" s="1"/>
  <c r="U658" i="3"/>
  <c r="V658" i="3" s="1"/>
  <c r="U659" i="3"/>
  <c r="V659" i="3" s="1"/>
  <c r="U660" i="3"/>
  <c r="V660" i="3" s="1"/>
  <c r="U661" i="3"/>
  <c r="V661" i="3" s="1"/>
  <c r="U662" i="3"/>
  <c r="V662" i="3" s="1"/>
  <c r="U663" i="3"/>
  <c r="V663" i="3" s="1"/>
  <c r="U664" i="3"/>
  <c r="V664" i="3" s="1"/>
  <c r="U665" i="3"/>
  <c r="V665" i="3" s="1"/>
  <c r="U666" i="3"/>
  <c r="V666" i="3" s="1"/>
  <c r="U667" i="3"/>
  <c r="V667" i="3" s="1"/>
  <c r="U668" i="3"/>
  <c r="V668" i="3" s="1"/>
  <c r="U669" i="3"/>
  <c r="V669" i="3" s="1"/>
  <c r="U670" i="3"/>
  <c r="V670" i="3" s="1"/>
  <c r="U671" i="3"/>
  <c r="V671" i="3" s="1"/>
  <c r="U672" i="3"/>
  <c r="V672" i="3" s="1"/>
  <c r="U673" i="3"/>
  <c r="V673" i="3" s="1"/>
  <c r="U674" i="3"/>
  <c r="V674" i="3" s="1"/>
  <c r="U675" i="3"/>
  <c r="V675" i="3" s="1"/>
  <c r="U676" i="3"/>
  <c r="V676" i="3" s="1"/>
  <c r="U677" i="3"/>
  <c r="V677" i="3" s="1"/>
  <c r="U678" i="3"/>
  <c r="V678" i="3" s="1"/>
  <c r="U679" i="3"/>
  <c r="V679" i="3" s="1"/>
  <c r="U680" i="3"/>
  <c r="V680" i="3" s="1"/>
  <c r="U681" i="3"/>
  <c r="V681" i="3" s="1"/>
  <c r="U682" i="3"/>
  <c r="V682" i="3" s="1"/>
  <c r="U683" i="3"/>
  <c r="V683" i="3" s="1"/>
  <c r="U684" i="3"/>
  <c r="V684" i="3" s="1"/>
  <c r="U685" i="3"/>
  <c r="V685" i="3" s="1"/>
  <c r="U686" i="3"/>
  <c r="V686" i="3" s="1"/>
  <c r="U687" i="3"/>
  <c r="V687" i="3" s="1"/>
  <c r="U688" i="3"/>
  <c r="V688" i="3" s="1"/>
  <c r="U689" i="3"/>
  <c r="V689" i="3" s="1"/>
  <c r="U690" i="3"/>
  <c r="V690" i="3" s="1"/>
  <c r="U691" i="3"/>
  <c r="V691" i="3" s="1"/>
  <c r="U692" i="3"/>
  <c r="V692" i="3" s="1"/>
  <c r="U693" i="3"/>
  <c r="V693" i="3" s="1"/>
  <c r="U694" i="3"/>
  <c r="V694" i="3" s="1"/>
  <c r="U695" i="3"/>
  <c r="V695" i="3" s="1"/>
  <c r="U696" i="3"/>
  <c r="V696" i="3" s="1"/>
  <c r="U697" i="3"/>
  <c r="V697" i="3" s="1"/>
  <c r="U698" i="3"/>
  <c r="V698" i="3" s="1"/>
  <c r="U699" i="3"/>
  <c r="V699" i="3" s="1"/>
  <c r="U700" i="3"/>
  <c r="V700" i="3" s="1"/>
  <c r="U701" i="3"/>
  <c r="V701" i="3" s="1"/>
  <c r="U702" i="3"/>
  <c r="V702" i="3" s="1"/>
  <c r="U703" i="3"/>
  <c r="V703" i="3" s="1"/>
  <c r="U704" i="3"/>
  <c r="V704" i="3" s="1"/>
  <c r="U705" i="3"/>
  <c r="V705" i="3" s="1"/>
  <c r="U706" i="3"/>
  <c r="V706" i="3" s="1"/>
  <c r="U707" i="3"/>
  <c r="V707" i="3" s="1"/>
  <c r="U708" i="3"/>
  <c r="V708" i="3" s="1"/>
  <c r="U709" i="3"/>
  <c r="V709" i="3" s="1"/>
  <c r="U710" i="3"/>
  <c r="V710" i="3" s="1"/>
  <c r="U711" i="3"/>
  <c r="V711" i="3" s="1"/>
  <c r="U712" i="3"/>
  <c r="V712" i="3" s="1"/>
  <c r="U713" i="3"/>
  <c r="V713" i="3" s="1"/>
  <c r="U714" i="3"/>
  <c r="V714" i="3" s="1"/>
  <c r="U715" i="3"/>
  <c r="V715" i="3" s="1"/>
  <c r="U716" i="3"/>
  <c r="V716" i="3" s="1"/>
  <c r="U717" i="3"/>
  <c r="V717" i="3" s="1"/>
  <c r="U718" i="3"/>
  <c r="V718" i="3" s="1"/>
  <c r="U719" i="3"/>
  <c r="V719" i="3" s="1"/>
  <c r="U720" i="3"/>
  <c r="V720" i="3" s="1"/>
  <c r="U721" i="3"/>
  <c r="V721" i="3" s="1"/>
  <c r="U722" i="3"/>
  <c r="V722" i="3" s="1"/>
  <c r="U723" i="3"/>
  <c r="V723" i="3" s="1"/>
  <c r="U724" i="3"/>
  <c r="V724" i="3" s="1"/>
  <c r="U725" i="3"/>
  <c r="V725" i="3" s="1"/>
  <c r="U726" i="3"/>
  <c r="V726" i="3" s="1"/>
  <c r="U727" i="3"/>
  <c r="V727" i="3" s="1"/>
  <c r="U728" i="3"/>
  <c r="V728" i="3" s="1"/>
  <c r="U729" i="3"/>
  <c r="V729" i="3" s="1"/>
  <c r="U730" i="3"/>
  <c r="V730" i="3" s="1"/>
  <c r="U731" i="3"/>
  <c r="V731" i="3" s="1"/>
  <c r="U732" i="3"/>
  <c r="V732" i="3" s="1"/>
  <c r="U733" i="3"/>
  <c r="V733" i="3" s="1"/>
  <c r="U734" i="3"/>
  <c r="V734" i="3" s="1"/>
  <c r="U735" i="3"/>
  <c r="V735" i="3" s="1"/>
  <c r="U736" i="3"/>
  <c r="V736" i="3" s="1"/>
  <c r="U737" i="3"/>
  <c r="V737" i="3" s="1"/>
  <c r="U738" i="3"/>
  <c r="V738" i="3" s="1"/>
  <c r="U739" i="3"/>
  <c r="V739" i="3" s="1"/>
  <c r="U740" i="3"/>
  <c r="V740" i="3" s="1"/>
  <c r="U741" i="3"/>
  <c r="V741" i="3" s="1"/>
  <c r="U742" i="3"/>
  <c r="V742" i="3" s="1"/>
  <c r="U743" i="3"/>
  <c r="V743" i="3" s="1"/>
  <c r="U744" i="3"/>
  <c r="V744" i="3" s="1"/>
  <c r="U745" i="3"/>
  <c r="V745" i="3" s="1"/>
  <c r="U746" i="3"/>
  <c r="V746" i="3" s="1"/>
  <c r="U747" i="3"/>
  <c r="V747" i="3" s="1"/>
  <c r="U748" i="3"/>
  <c r="V748" i="3" s="1"/>
  <c r="U749" i="3"/>
  <c r="V749" i="3" s="1"/>
  <c r="U750" i="3"/>
  <c r="V750" i="3" s="1"/>
  <c r="U751" i="3"/>
  <c r="V751" i="3" s="1"/>
  <c r="U752" i="3"/>
  <c r="V752" i="3" s="1"/>
  <c r="U753" i="3"/>
  <c r="V753" i="3" s="1"/>
  <c r="U754" i="3"/>
  <c r="V754" i="3" s="1"/>
  <c r="U755" i="3"/>
  <c r="V755" i="3" s="1"/>
  <c r="U756" i="3"/>
  <c r="V756" i="3" s="1"/>
  <c r="U757" i="3"/>
  <c r="V757" i="3" s="1"/>
  <c r="U758" i="3"/>
  <c r="V758" i="3" s="1"/>
  <c r="U759" i="3"/>
  <c r="V759" i="3" s="1"/>
  <c r="U760" i="3"/>
  <c r="V760" i="3" s="1"/>
  <c r="U761" i="3"/>
  <c r="V761" i="3" s="1"/>
  <c r="U762" i="3"/>
  <c r="V762" i="3" s="1"/>
  <c r="U763" i="3"/>
  <c r="V763" i="3" s="1"/>
  <c r="U764" i="3"/>
  <c r="V764" i="3" s="1"/>
  <c r="U765" i="3"/>
  <c r="V765" i="3" s="1"/>
  <c r="U766" i="3"/>
  <c r="V766" i="3" s="1"/>
  <c r="U767" i="3"/>
  <c r="V767" i="3" s="1"/>
  <c r="U768" i="3"/>
  <c r="U769" i="3"/>
  <c r="V769" i="3" s="1"/>
  <c r="U770" i="3"/>
  <c r="V770" i="3" s="1"/>
  <c r="U771" i="3"/>
  <c r="V771" i="3" s="1"/>
  <c r="U772" i="3"/>
  <c r="V772" i="3" s="1"/>
  <c r="U773" i="3"/>
  <c r="V773" i="3" s="1"/>
  <c r="U774" i="3"/>
  <c r="U775" i="3"/>
  <c r="V775" i="3" s="1"/>
  <c r="U776" i="3"/>
  <c r="V776" i="3" s="1"/>
  <c r="U777" i="3"/>
  <c r="V777" i="3" s="1"/>
  <c r="U778" i="3"/>
  <c r="V778" i="3" s="1"/>
  <c r="U779" i="3"/>
  <c r="V779" i="3" s="1"/>
  <c r="U780" i="3"/>
  <c r="V780" i="3" s="1"/>
  <c r="U781" i="3"/>
  <c r="V781" i="3" s="1"/>
  <c r="U782" i="3"/>
  <c r="V782" i="3" s="1"/>
  <c r="U783" i="3"/>
  <c r="V783" i="3" s="1"/>
  <c r="U784" i="3"/>
  <c r="V784" i="3" s="1"/>
  <c r="U785" i="3"/>
  <c r="V785" i="3" s="1"/>
  <c r="U786" i="3"/>
  <c r="V786" i="3" s="1"/>
  <c r="U787" i="3"/>
  <c r="V787" i="3" s="1"/>
  <c r="U788" i="3"/>
  <c r="V788" i="3" s="1"/>
  <c r="U789" i="3"/>
  <c r="V789" i="3" s="1"/>
  <c r="U790" i="3"/>
  <c r="V790" i="3" s="1"/>
  <c r="U791" i="3"/>
  <c r="V791" i="3" s="1"/>
  <c r="U792" i="3"/>
  <c r="V792" i="3" s="1"/>
  <c r="U793" i="3"/>
  <c r="V793" i="3" s="1"/>
  <c r="U794" i="3"/>
  <c r="V794" i="3" s="1"/>
  <c r="U795" i="3"/>
  <c r="V795" i="3" s="1"/>
  <c r="U796" i="3"/>
  <c r="V796" i="3" s="1"/>
  <c r="U797" i="3"/>
  <c r="V797" i="3" s="1"/>
  <c r="U798" i="3"/>
  <c r="V798" i="3" s="1"/>
  <c r="U799" i="3"/>
  <c r="V799" i="3" s="1"/>
  <c r="U800" i="3"/>
  <c r="V800" i="3" s="1"/>
  <c r="U801" i="3"/>
  <c r="V801" i="3" s="1"/>
  <c r="U802" i="3"/>
  <c r="V802" i="3" s="1"/>
  <c r="U803" i="3"/>
  <c r="V803" i="3" s="1"/>
  <c r="U804" i="3"/>
  <c r="V804" i="3" s="1"/>
  <c r="U805" i="3"/>
  <c r="V805" i="3" s="1"/>
  <c r="U806" i="3"/>
  <c r="V806" i="3" s="1"/>
  <c r="U807" i="3"/>
  <c r="V807" i="3" s="1"/>
  <c r="U808" i="3"/>
  <c r="V808" i="3" s="1"/>
  <c r="U809" i="3"/>
  <c r="V809" i="3" s="1"/>
  <c r="U810" i="3"/>
  <c r="V810" i="3" s="1"/>
  <c r="U811" i="3"/>
  <c r="V811" i="3" s="1"/>
  <c r="U812" i="3"/>
  <c r="V812" i="3" s="1"/>
  <c r="U813" i="3"/>
  <c r="V813" i="3" s="1"/>
  <c r="U814" i="3"/>
  <c r="V814" i="3" s="1"/>
  <c r="U815" i="3"/>
  <c r="V815" i="3" s="1"/>
  <c r="U816" i="3"/>
  <c r="V816" i="3" s="1"/>
  <c r="U817" i="3"/>
  <c r="V817" i="3" s="1"/>
  <c r="U818" i="3"/>
  <c r="V818" i="3" s="1"/>
  <c r="U819" i="3"/>
  <c r="V819" i="3" s="1"/>
  <c r="U820" i="3"/>
  <c r="V820" i="3" s="1"/>
  <c r="U821" i="3"/>
  <c r="V821" i="3" s="1"/>
  <c r="U822" i="3"/>
  <c r="V822" i="3" s="1"/>
  <c r="U823" i="3"/>
  <c r="V823" i="3" s="1"/>
  <c r="U824" i="3"/>
  <c r="V824" i="3" s="1"/>
  <c r="U825" i="3"/>
  <c r="V825" i="3" s="1"/>
  <c r="U826" i="3"/>
  <c r="V826" i="3" s="1"/>
  <c r="U827" i="3"/>
  <c r="V827" i="3" s="1"/>
  <c r="U828" i="3"/>
  <c r="V828" i="3" s="1"/>
  <c r="U829" i="3"/>
  <c r="V829" i="3" s="1"/>
  <c r="U830" i="3"/>
  <c r="V830" i="3" s="1"/>
  <c r="U831" i="3"/>
  <c r="V831" i="3" s="1"/>
  <c r="U832" i="3"/>
  <c r="V832" i="3" s="1"/>
  <c r="U833" i="3"/>
  <c r="V833" i="3" s="1"/>
  <c r="U834" i="3"/>
  <c r="V834" i="3" s="1"/>
  <c r="U835" i="3"/>
  <c r="V835" i="3" s="1"/>
  <c r="U836" i="3"/>
  <c r="V836" i="3" s="1"/>
  <c r="U837" i="3"/>
  <c r="V837" i="3" s="1"/>
  <c r="U838" i="3"/>
  <c r="V838" i="3" s="1"/>
  <c r="U839" i="3"/>
  <c r="V839" i="3" s="1"/>
  <c r="U840" i="3"/>
  <c r="V840" i="3" s="1"/>
  <c r="U841" i="3"/>
  <c r="V841" i="3" s="1"/>
  <c r="U842" i="3"/>
  <c r="V842" i="3" s="1"/>
  <c r="U843" i="3"/>
  <c r="V843" i="3" s="1"/>
  <c r="U844" i="3"/>
  <c r="V844" i="3" s="1"/>
  <c r="U845" i="3"/>
  <c r="V845" i="3" s="1"/>
  <c r="U846" i="3"/>
  <c r="V846" i="3" s="1"/>
  <c r="U847" i="3"/>
  <c r="V847" i="3" s="1"/>
  <c r="U848" i="3"/>
  <c r="V848" i="3" s="1"/>
  <c r="U849" i="3"/>
  <c r="V849" i="3" s="1"/>
  <c r="U850" i="3"/>
  <c r="V850" i="3" s="1"/>
  <c r="U851" i="3"/>
  <c r="V851" i="3" s="1"/>
  <c r="U852" i="3"/>
  <c r="V852" i="3" s="1"/>
  <c r="U853" i="3"/>
  <c r="V853" i="3" s="1"/>
  <c r="U854" i="3"/>
  <c r="V854" i="3" s="1"/>
  <c r="U855" i="3"/>
  <c r="V855" i="3" s="1"/>
  <c r="U856" i="3"/>
  <c r="V856" i="3" s="1"/>
  <c r="U891" i="3"/>
  <c r="V891" i="3" s="1"/>
  <c r="U6" i="3"/>
  <c r="V6" i="3" s="1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91" i="3"/>
  <c r="T6" i="3"/>
  <c r="S7" i="3"/>
  <c r="S8" i="3"/>
  <c r="S9" i="3"/>
  <c r="S10" i="3"/>
  <c r="E623" i="3" s="1"/>
  <c r="S11" i="3"/>
  <c r="E264" i="3" s="1"/>
  <c r="S12" i="3"/>
  <c r="S13" i="3"/>
  <c r="E244" i="3" s="1"/>
  <c r="S14" i="3"/>
  <c r="E69" i="3" s="1"/>
  <c r="S15" i="3"/>
  <c r="E64" i="3" s="1"/>
  <c r="S16" i="3"/>
  <c r="E98" i="3" s="1"/>
  <c r="S17" i="3"/>
  <c r="S18" i="3"/>
  <c r="S19" i="3"/>
  <c r="S20" i="3"/>
  <c r="E262" i="3" s="1"/>
  <c r="S21" i="3"/>
  <c r="S22" i="3"/>
  <c r="E269" i="3" s="1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E509" i="3" s="1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91" i="3"/>
  <c r="S6" i="3"/>
  <c r="K856" i="3"/>
  <c r="Y856" i="3" s="1"/>
  <c r="K851" i="3"/>
  <c r="K831" i="3"/>
  <c r="K826" i="3"/>
  <c r="K802" i="3"/>
  <c r="K801" i="3"/>
  <c r="K796" i="3"/>
  <c r="K786" i="3"/>
  <c r="Z786" i="3" s="1"/>
  <c r="K781" i="3"/>
  <c r="K766" i="3"/>
  <c r="Y766" i="3" s="1"/>
  <c r="K761" i="3"/>
  <c r="K736" i="3"/>
  <c r="K731" i="3"/>
  <c r="Z731" i="3" s="1"/>
  <c r="K726" i="3"/>
  <c r="K716" i="3"/>
  <c r="Y716" i="3" s="1"/>
  <c r="K711" i="3"/>
  <c r="K656" i="3"/>
  <c r="Y656" i="3" s="1"/>
  <c r="K646" i="3"/>
  <c r="Z646" i="3" s="1"/>
  <c r="K636" i="3"/>
  <c r="K616" i="3"/>
  <c r="Y616" i="3" s="1"/>
  <c r="K612" i="3"/>
  <c r="K611" i="3"/>
  <c r="K606" i="3"/>
  <c r="Y606" i="3" s="1"/>
  <c r="K526" i="3"/>
  <c r="Y526" i="3" s="1"/>
  <c r="K522" i="3"/>
  <c r="K521" i="3"/>
  <c r="K516" i="3"/>
  <c r="K491" i="3"/>
  <c r="Y491" i="3" s="1"/>
  <c r="K301" i="3"/>
  <c r="Y301" i="3" s="1"/>
  <c r="K296" i="3"/>
  <c r="K286" i="3"/>
  <c r="Y286" i="3" s="1"/>
  <c r="K281" i="3"/>
  <c r="K276" i="3"/>
  <c r="Z276" i="3" s="1"/>
  <c r="K271" i="3"/>
  <c r="K266" i="3"/>
  <c r="K256" i="3"/>
  <c r="Z256" i="3" s="1"/>
  <c r="K241" i="3"/>
  <c r="K236" i="3"/>
  <c r="Y236" i="3" s="1"/>
  <c r="K216" i="3"/>
  <c r="Z216" i="3" s="1"/>
  <c r="K176" i="3"/>
  <c r="K166" i="3"/>
  <c r="K151" i="3"/>
  <c r="K101" i="3"/>
  <c r="Y101" i="3" s="1"/>
  <c r="K61" i="3"/>
  <c r="K51" i="3"/>
  <c r="Y51" i="3" s="1"/>
  <c r="K41" i="3"/>
  <c r="K31" i="3"/>
  <c r="K8" i="3"/>
  <c r="K10" i="3"/>
  <c r="K13" i="3"/>
  <c r="K21" i="3"/>
  <c r="K27" i="3"/>
  <c r="K28" i="3"/>
  <c r="K32" i="3"/>
  <c r="Y32" i="3" s="1"/>
  <c r="K35" i="3"/>
  <c r="K38" i="3"/>
  <c r="K43" i="3"/>
  <c r="K47" i="3"/>
  <c r="K48" i="3"/>
  <c r="K50" i="3"/>
  <c r="K52" i="3"/>
  <c r="Y52" i="3" s="1"/>
  <c r="K54" i="3"/>
  <c r="K57" i="3"/>
  <c r="Z57" i="3" s="1"/>
  <c r="K59" i="3"/>
  <c r="K62" i="3"/>
  <c r="K65" i="3"/>
  <c r="K66" i="3"/>
  <c r="K67" i="3"/>
  <c r="Y67" i="3" s="1"/>
  <c r="K70" i="3"/>
  <c r="K71" i="3"/>
  <c r="K73" i="3"/>
  <c r="K77" i="3"/>
  <c r="K79" i="3"/>
  <c r="K80" i="3"/>
  <c r="K81" i="3"/>
  <c r="Y81" i="3" s="1"/>
  <c r="K86" i="3"/>
  <c r="K89" i="3"/>
  <c r="K91" i="3"/>
  <c r="K94" i="3"/>
  <c r="K95" i="3"/>
  <c r="K96" i="3"/>
  <c r="K99" i="3"/>
  <c r="K100" i="3"/>
  <c r="K102" i="3"/>
  <c r="K106" i="3"/>
  <c r="K107" i="3"/>
  <c r="K109" i="3"/>
  <c r="K110" i="3"/>
  <c r="K114" i="3"/>
  <c r="K117" i="3"/>
  <c r="K121" i="3"/>
  <c r="Y121" i="3" s="1"/>
  <c r="K123" i="3"/>
  <c r="K124" i="3"/>
  <c r="K125" i="3"/>
  <c r="K128" i="3"/>
  <c r="K129" i="3"/>
  <c r="K131" i="3"/>
  <c r="K136" i="3"/>
  <c r="K137" i="3"/>
  <c r="K138" i="3"/>
  <c r="K139" i="3"/>
  <c r="K140" i="3"/>
  <c r="Y140" i="3" s="1"/>
  <c r="K152" i="3"/>
  <c r="K154" i="3"/>
  <c r="K155" i="3"/>
  <c r="Y155" i="3" s="1"/>
  <c r="K156" i="3"/>
  <c r="Y156" i="3" s="1"/>
  <c r="K159" i="3"/>
  <c r="K161" i="3"/>
  <c r="K168" i="3"/>
  <c r="Y168" i="3" s="1"/>
  <c r="K170" i="3"/>
  <c r="K173" i="3"/>
  <c r="K175" i="3"/>
  <c r="Y175" i="3" s="1"/>
  <c r="K177" i="3"/>
  <c r="K179" i="3"/>
  <c r="K180" i="3"/>
  <c r="K181" i="3"/>
  <c r="K182" i="3"/>
  <c r="K184" i="3"/>
  <c r="K188" i="3"/>
  <c r="Y188" i="3" s="1"/>
  <c r="K190" i="3"/>
  <c r="K202" i="3"/>
  <c r="K206" i="3"/>
  <c r="K215" i="3"/>
  <c r="K219" i="3"/>
  <c r="K225" i="3"/>
  <c r="K231" i="3"/>
  <c r="K235" i="3"/>
  <c r="Y235" i="3" s="1"/>
  <c r="K237" i="3"/>
  <c r="K240" i="3"/>
  <c r="K243" i="3"/>
  <c r="K246" i="3"/>
  <c r="K248" i="3"/>
  <c r="K249" i="3"/>
  <c r="K251" i="3"/>
  <c r="K254" i="3"/>
  <c r="K257" i="3"/>
  <c r="K259" i="3"/>
  <c r="K263" i="3"/>
  <c r="K265" i="3"/>
  <c r="K267" i="3"/>
  <c r="Y267" i="3" s="1"/>
  <c r="K268" i="3"/>
  <c r="K270" i="3"/>
  <c r="K272" i="3"/>
  <c r="K273" i="3"/>
  <c r="K275" i="3"/>
  <c r="K278" i="3"/>
  <c r="K280" i="3"/>
  <c r="Y280" i="3" s="1"/>
  <c r="K282" i="3"/>
  <c r="K287" i="3"/>
  <c r="Z287" i="3" s="1"/>
  <c r="K289" i="3"/>
  <c r="K291" i="3"/>
  <c r="Z291" i="3" s="1"/>
  <c r="K293" i="3"/>
  <c r="K295" i="3"/>
  <c r="K297" i="3"/>
  <c r="Y297" i="3" s="1"/>
  <c r="K299" i="3"/>
  <c r="K302" i="3"/>
  <c r="K304" i="3"/>
  <c r="K306" i="3"/>
  <c r="K308" i="3"/>
  <c r="K311" i="3"/>
  <c r="K313" i="3"/>
  <c r="Y313" i="3" s="1"/>
  <c r="K314" i="3"/>
  <c r="Y314" i="3" s="1"/>
  <c r="K316" i="3"/>
  <c r="K320" i="3"/>
  <c r="K324" i="3"/>
  <c r="K327" i="3"/>
  <c r="Z327" i="3" s="1"/>
  <c r="K330" i="3"/>
  <c r="Y330" i="3" s="1"/>
  <c r="K332" i="3"/>
  <c r="Y332" i="3" s="1"/>
  <c r="K334" i="3"/>
  <c r="K336" i="3"/>
  <c r="K339" i="3"/>
  <c r="K340" i="3"/>
  <c r="K341" i="3"/>
  <c r="K343" i="3"/>
  <c r="K345" i="3"/>
  <c r="K347" i="3"/>
  <c r="Y347" i="3" s="1"/>
  <c r="K353" i="3"/>
  <c r="K354" i="3"/>
  <c r="K355" i="3"/>
  <c r="K356" i="3"/>
  <c r="Z356" i="3" s="1"/>
  <c r="K357" i="3"/>
  <c r="K358" i="3"/>
  <c r="Y358" i="3" s="1"/>
  <c r="K359" i="3"/>
  <c r="K360" i="3"/>
  <c r="Z360" i="3" s="1"/>
  <c r="K361" i="3"/>
  <c r="K363" i="3"/>
  <c r="Y363" i="3" s="1"/>
  <c r="K364" i="3"/>
  <c r="Y364" i="3" s="1"/>
  <c r="K365" i="3"/>
  <c r="Y365" i="3" s="1"/>
  <c r="K366" i="3"/>
  <c r="K367" i="3"/>
  <c r="K368" i="3"/>
  <c r="K369" i="3"/>
  <c r="K370" i="3"/>
  <c r="K371" i="3"/>
  <c r="K373" i="3"/>
  <c r="K374" i="3"/>
  <c r="K375" i="3"/>
  <c r="K376" i="3"/>
  <c r="K377" i="3"/>
  <c r="Y377" i="3" s="1"/>
  <c r="K378" i="3"/>
  <c r="Y378" i="3" s="1"/>
  <c r="K379" i="3"/>
  <c r="K382" i="3"/>
  <c r="K383" i="3"/>
  <c r="K384" i="3"/>
  <c r="K385" i="3"/>
  <c r="K386" i="3"/>
  <c r="K387" i="3"/>
  <c r="K388" i="3"/>
  <c r="K389" i="3"/>
  <c r="K391" i="3"/>
  <c r="Y391" i="3" s="1"/>
  <c r="K393" i="3"/>
  <c r="K394" i="3"/>
  <c r="K395" i="3"/>
  <c r="K396" i="3"/>
  <c r="K397" i="3"/>
  <c r="K400" i="3"/>
  <c r="K401" i="3"/>
  <c r="K402" i="3"/>
  <c r="K403" i="3"/>
  <c r="Y403" i="3" s="1"/>
  <c r="K404" i="3"/>
  <c r="K405" i="3"/>
  <c r="K406" i="3"/>
  <c r="K407" i="3"/>
  <c r="Y407" i="3" s="1"/>
  <c r="K408" i="3"/>
  <c r="K409" i="3"/>
  <c r="K410" i="3"/>
  <c r="Z410" i="3" s="1"/>
  <c r="K411" i="3"/>
  <c r="K413" i="3"/>
  <c r="K414" i="3"/>
  <c r="K415" i="3"/>
  <c r="K418" i="3"/>
  <c r="K419" i="3"/>
  <c r="K420" i="3"/>
  <c r="Y420" i="3" s="1"/>
  <c r="K421" i="3"/>
  <c r="K422" i="3"/>
  <c r="Y422" i="3" s="1"/>
  <c r="K423" i="3"/>
  <c r="K424" i="3"/>
  <c r="K425" i="3"/>
  <c r="K426" i="3"/>
  <c r="K427" i="3"/>
  <c r="K428" i="3"/>
  <c r="K429" i="3"/>
  <c r="K430" i="3"/>
  <c r="K431" i="3"/>
  <c r="K432" i="3"/>
  <c r="K433" i="3"/>
  <c r="Y433" i="3" s="1"/>
  <c r="K436" i="3"/>
  <c r="K437" i="3"/>
  <c r="K438" i="3"/>
  <c r="K439" i="3"/>
  <c r="K440" i="3"/>
  <c r="K441" i="3"/>
  <c r="K442" i="3"/>
  <c r="Z442" i="3" s="1"/>
  <c r="K443" i="3"/>
  <c r="K444" i="3"/>
  <c r="K445" i="3"/>
  <c r="K446" i="3"/>
  <c r="Y446" i="3" s="1"/>
  <c r="K447" i="3"/>
  <c r="K448" i="3"/>
  <c r="Y448" i="3" s="1"/>
  <c r="K450" i="3"/>
  <c r="K451" i="3"/>
  <c r="K455" i="3"/>
  <c r="K456" i="3"/>
  <c r="K458" i="3"/>
  <c r="Y458" i="3" s="1"/>
  <c r="K459" i="3"/>
  <c r="K461" i="3"/>
  <c r="K463" i="3"/>
  <c r="Y463" i="3" s="1"/>
  <c r="K464" i="3"/>
  <c r="K466" i="3"/>
  <c r="K467" i="3"/>
  <c r="K468" i="3"/>
  <c r="K469" i="3"/>
  <c r="K471" i="3"/>
  <c r="K473" i="3"/>
  <c r="K474" i="3"/>
  <c r="K475" i="3"/>
  <c r="K476" i="3"/>
  <c r="Y476" i="3" s="1"/>
  <c r="K477" i="3"/>
  <c r="K479" i="3"/>
  <c r="K480" i="3"/>
  <c r="K482" i="3"/>
  <c r="Z482" i="3" s="1"/>
  <c r="K486" i="3"/>
  <c r="K488" i="3"/>
  <c r="Y488" i="3" s="1"/>
  <c r="K490" i="3"/>
  <c r="K492" i="3"/>
  <c r="K494" i="3"/>
  <c r="K495" i="3"/>
  <c r="K496" i="3"/>
  <c r="K497" i="3"/>
  <c r="K498" i="3"/>
  <c r="K500" i="3"/>
  <c r="K501" i="3"/>
  <c r="K502" i="3"/>
  <c r="Y502" i="3" s="1"/>
  <c r="K503" i="3"/>
  <c r="Y503" i="3" s="1"/>
  <c r="K504" i="3"/>
  <c r="Z504" i="3" s="1"/>
  <c r="K510" i="3"/>
  <c r="K535" i="3"/>
  <c r="K536" i="3"/>
  <c r="K537" i="3"/>
  <c r="K538" i="3"/>
  <c r="K539" i="3"/>
  <c r="K540" i="3"/>
  <c r="K541" i="3"/>
  <c r="Y541" i="3" s="1"/>
  <c r="K542" i="3"/>
  <c r="K543" i="3"/>
  <c r="Y543" i="3" s="1"/>
  <c r="K544" i="3"/>
  <c r="K545" i="3"/>
  <c r="K546" i="3"/>
  <c r="K547" i="3"/>
  <c r="K548" i="3"/>
  <c r="K550" i="3"/>
  <c r="K551" i="3"/>
  <c r="K552" i="3"/>
  <c r="K553" i="3"/>
  <c r="K554" i="3"/>
  <c r="K555" i="3"/>
  <c r="K556" i="3"/>
  <c r="K557" i="3"/>
  <c r="K558" i="3"/>
  <c r="K559" i="3"/>
  <c r="K560" i="3"/>
  <c r="Z560" i="3" s="1"/>
  <c r="K561" i="3"/>
  <c r="K562" i="3"/>
  <c r="K563" i="3"/>
  <c r="K564" i="3"/>
  <c r="Z564" i="3" s="1"/>
  <c r="K565" i="3"/>
  <c r="Z565" i="3" s="1"/>
  <c r="K566" i="3"/>
  <c r="K567" i="3"/>
  <c r="K568" i="3"/>
  <c r="Y568" i="3" s="1"/>
  <c r="K569" i="3"/>
  <c r="K570" i="3"/>
  <c r="K571" i="3"/>
  <c r="K573" i="3"/>
  <c r="K574" i="3"/>
  <c r="K575" i="3"/>
  <c r="K576" i="3"/>
  <c r="K577" i="3"/>
  <c r="K580" i="3"/>
  <c r="K581" i="3"/>
  <c r="K582" i="3"/>
  <c r="Y582" i="3" s="1"/>
  <c r="K583" i="3"/>
  <c r="Y583" i="3" s="1"/>
  <c r="K584" i="3"/>
  <c r="K585" i="3"/>
  <c r="K586" i="3"/>
  <c r="K587" i="3"/>
  <c r="K589" i="3"/>
  <c r="K590" i="3"/>
  <c r="K591" i="3"/>
  <c r="Z591" i="3" s="1"/>
  <c r="K592" i="3"/>
  <c r="K593" i="3"/>
  <c r="Y593" i="3" s="1"/>
  <c r="K594" i="3"/>
  <c r="K595" i="3"/>
  <c r="Y595" i="3" s="1"/>
  <c r="K596" i="3"/>
  <c r="K597" i="3"/>
  <c r="K605" i="3"/>
  <c r="K607" i="3"/>
  <c r="K610" i="3"/>
  <c r="K614" i="3"/>
  <c r="Z614" i="3" s="1"/>
  <c r="K620" i="3"/>
  <c r="Z620" i="3" s="1"/>
  <c r="K624" i="3"/>
  <c r="K625" i="3"/>
  <c r="K626" i="3"/>
  <c r="K627" i="3"/>
  <c r="K631" i="3"/>
  <c r="K632" i="3"/>
  <c r="Y632" i="3" s="1"/>
  <c r="K633" i="3"/>
  <c r="Y633" i="3" s="1"/>
  <c r="K634" i="3"/>
  <c r="K644" i="3"/>
  <c r="K666" i="3"/>
  <c r="K667" i="3"/>
  <c r="K668" i="3"/>
  <c r="K674" i="3"/>
  <c r="K687" i="3"/>
  <c r="K692" i="3"/>
  <c r="K693" i="3"/>
  <c r="K696" i="3"/>
  <c r="K697" i="3"/>
  <c r="Z697" i="3" s="1"/>
  <c r="K698" i="3"/>
  <c r="K699" i="3"/>
  <c r="K704" i="3"/>
  <c r="K714" i="3"/>
  <c r="K738" i="3"/>
  <c r="K739" i="3"/>
  <c r="K740" i="3"/>
  <c r="K746" i="3"/>
  <c r="K754" i="3"/>
  <c r="K756" i="3"/>
  <c r="K758" i="3"/>
  <c r="K764" i="3"/>
  <c r="K765" i="3"/>
  <c r="K769" i="3"/>
  <c r="K770" i="3"/>
  <c r="K771" i="3"/>
  <c r="K775" i="3"/>
  <c r="K776" i="3"/>
  <c r="K777" i="3"/>
  <c r="K778" i="3"/>
  <c r="K810" i="3"/>
  <c r="K811" i="3"/>
  <c r="K812" i="3"/>
  <c r="K827" i="3"/>
  <c r="K830" i="3"/>
  <c r="K835" i="3"/>
  <c r="K836" i="3"/>
  <c r="K842" i="3"/>
  <c r="K847" i="3"/>
  <c r="Z847" i="3" s="1"/>
  <c r="K848" i="3"/>
  <c r="K849" i="3"/>
  <c r="K857" i="3"/>
  <c r="K861" i="3"/>
  <c r="Z861" i="3" s="1"/>
  <c r="K866" i="3"/>
  <c r="Z866" i="3" s="1"/>
  <c r="K867" i="3"/>
  <c r="Y867" i="3" s="1"/>
  <c r="K871" i="3"/>
  <c r="K882" i="3"/>
  <c r="A8" i="3"/>
  <c r="E132" i="3" a="1"/>
  <c r="E132" i="3" s="1"/>
  <c r="V132" i="3" s="1"/>
  <c r="E150" i="3" a="1"/>
  <c r="E150" i="3" s="1"/>
  <c r="E192" i="3" a="1"/>
  <c r="E192" i="3" s="1"/>
  <c r="E194" i="3" a="1"/>
  <c r="E194" i="3" s="1"/>
  <c r="E300" i="3" a="1"/>
  <c r="E300" i="3" s="1"/>
  <c r="E325" i="3" a="1"/>
  <c r="E325" i="3" s="1"/>
  <c r="E604" i="3" a="1"/>
  <c r="E604" i="3" s="1"/>
  <c r="Y692" i="3" l="1"/>
  <c r="Y408" i="3"/>
  <c r="Y418" i="3"/>
  <c r="Y268" i="3"/>
  <c r="Y501" i="3"/>
  <c r="Y404" i="3"/>
  <c r="Y265" i="3"/>
  <c r="Y567" i="3"/>
  <c r="Y477" i="3"/>
  <c r="Y464" i="3"/>
  <c r="Y447" i="3"/>
  <c r="Y376" i="3"/>
  <c r="Y556" i="3"/>
  <c r="Y66" i="3"/>
  <c r="Y578" i="3"/>
  <c r="Y445" i="3"/>
  <c r="Y393" i="3"/>
  <c r="Y569" i="3"/>
  <c r="Y554" i="3"/>
  <c r="Y474" i="3"/>
  <c r="Y345" i="3"/>
  <c r="Y254" i="3"/>
  <c r="S2" i="6"/>
  <c r="Z588" i="3"/>
  <c r="Y882" i="3"/>
  <c r="Y777" i="3"/>
  <c r="Y754" i="3"/>
  <c r="Y607" i="3"/>
  <c r="Y555" i="3"/>
  <c r="Y544" i="3"/>
  <c r="Y475" i="3"/>
  <c r="Y842" i="3"/>
  <c r="Y693" i="3"/>
  <c r="Y605" i="3"/>
  <c r="Y432" i="3"/>
  <c r="Y421" i="3"/>
  <c r="Y706" i="3"/>
  <c r="Y705" i="3"/>
  <c r="Y542" i="3"/>
  <c r="Y827" i="3"/>
  <c r="Y668" i="3"/>
  <c r="Y594" i="3"/>
  <c r="Y889" i="3"/>
  <c r="Y704" i="3"/>
  <c r="Y836" i="3"/>
  <c r="Y490" i="3"/>
  <c r="Y765" i="3"/>
  <c r="Y667" i="3"/>
  <c r="Y190" i="3"/>
  <c r="Y703" i="3"/>
  <c r="Y666" i="3"/>
  <c r="Y592" i="3"/>
  <c r="Y644" i="3"/>
  <c r="Y818" i="3"/>
  <c r="Y739" i="3"/>
  <c r="Y849" i="3"/>
  <c r="Y557" i="3"/>
  <c r="Y848" i="3"/>
  <c r="Y778" i="3"/>
  <c r="Y756" i="3"/>
  <c r="Y566" i="3"/>
  <c r="Y702" i="3"/>
  <c r="Z578" i="3"/>
  <c r="Z889" i="3"/>
  <c r="Z703" i="3"/>
  <c r="Y96" i="3"/>
  <c r="Z96" i="3"/>
  <c r="Y450" i="3"/>
  <c r="Z450" i="3"/>
  <c r="Z466" i="3"/>
  <c r="Y466" i="3"/>
  <c r="Y366" i="3"/>
  <c r="Z366" i="3"/>
  <c r="Y114" i="3"/>
  <c r="Z114" i="3"/>
  <c r="Y872" i="3"/>
  <c r="Z872" i="3"/>
  <c r="Y846" i="3"/>
  <c r="Z846" i="3"/>
  <c r="Y785" i="3"/>
  <c r="Z785" i="3"/>
  <c r="Y763" i="3"/>
  <c r="Z763" i="3"/>
  <c r="Y674" i="3"/>
  <c r="Z674" i="3"/>
  <c r="Y626" i="3"/>
  <c r="Z626" i="3"/>
  <c r="Y584" i="3"/>
  <c r="Z584" i="3"/>
  <c r="Z571" i="3"/>
  <c r="Y571" i="3"/>
  <c r="Y561" i="3"/>
  <c r="Z561" i="3"/>
  <c r="Z551" i="3"/>
  <c r="Y551" i="3"/>
  <c r="Y540" i="3"/>
  <c r="Z540" i="3"/>
  <c r="Y486" i="3"/>
  <c r="Z486" i="3"/>
  <c r="Y469" i="3"/>
  <c r="Z469" i="3"/>
  <c r="Z455" i="3"/>
  <c r="Y455" i="3"/>
  <c r="Z441" i="3"/>
  <c r="Y441" i="3"/>
  <c r="Y429" i="3"/>
  <c r="Z429" i="3"/>
  <c r="Y419" i="3"/>
  <c r="Z419" i="3"/>
  <c r="Z406" i="3"/>
  <c r="Y406" i="3"/>
  <c r="Z394" i="3"/>
  <c r="Y394" i="3"/>
  <c r="Y382" i="3"/>
  <c r="Z382" i="3"/>
  <c r="Y369" i="3"/>
  <c r="Z369" i="3"/>
  <c r="Y340" i="3"/>
  <c r="Z340" i="3"/>
  <c r="Y293" i="3"/>
  <c r="Z293" i="3"/>
  <c r="Y270" i="3"/>
  <c r="Z270" i="3"/>
  <c r="Y248" i="3"/>
  <c r="Z248" i="3"/>
  <c r="Y206" i="3"/>
  <c r="Z206" i="3"/>
  <c r="Y123" i="3"/>
  <c r="Z123" i="3"/>
  <c r="Y99" i="3"/>
  <c r="Z99" i="3"/>
  <c r="Y77" i="3"/>
  <c r="Z77" i="3"/>
  <c r="Y54" i="3"/>
  <c r="Z54" i="3"/>
  <c r="Y27" i="3"/>
  <c r="Z27" i="3"/>
  <c r="Y31" i="3"/>
  <c r="Z31" i="3"/>
  <c r="Y41" i="3"/>
  <c r="Z41" i="3"/>
  <c r="Z61" i="3"/>
  <c r="Y61" i="3"/>
  <c r="Y151" i="3"/>
  <c r="Z151" i="3"/>
  <c r="Y241" i="3"/>
  <c r="Z241" i="3"/>
  <c r="Z271" i="3"/>
  <c r="Y271" i="3"/>
  <c r="Y281" i="3"/>
  <c r="Z281" i="3"/>
  <c r="Y521" i="3"/>
  <c r="Z521" i="3"/>
  <c r="Y611" i="3"/>
  <c r="Z611" i="3"/>
  <c r="Z711" i="3"/>
  <c r="Y711" i="3"/>
  <c r="Y761" i="3"/>
  <c r="Z761" i="3"/>
  <c r="Z781" i="3"/>
  <c r="Y781" i="3"/>
  <c r="Z801" i="3"/>
  <c r="Y801" i="3"/>
  <c r="Z831" i="3"/>
  <c r="Y831" i="3"/>
  <c r="Y851" i="3"/>
  <c r="Z851" i="3"/>
  <c r="Y841" i="3"/>
  <c r="Z841" i="3"/>
  <c r="Z856" i="3"/>
  <c r="Z778" i="3"/>
  <c r="Z716" i="3"/>
  <c r="Z693" i="3"/>
  <c r="Z605" i="3"/>
  <c r="Z543" i="3"/>
  <c r="Z488" i="3"/>
  <c r="Z448" i="3"/>
  <c r="Z420" i="3"/>
  <c r="Z345" i="3"/>
  <c r="Z301" i="3"/>
  <c r="Y591" i="3"/>
  <c r="Y410" i="3"/>
  <c r="Y291" i="3"/>
  <c r="Z173" i="3"/>
  <c r="Y173" i="3"/>
  <c r="Y840" i="3"/>
  <c r="Z840" i="3"/>
  <c r="Z836" i="3"/>
  <c r="Z777" i="3"/>
  <c r="Z692" i="3"/>
  <c r="Z656" i="3"/>
  <c r="Z569" i="3"/>
  <c r="Z542" i="3"/>
  <c r="Z447" i="3"/>
  <c r="Z418" i="3"/>
  <c r="Z378" i="3"/>
  <c r="Z190" i="3"/>
  <c r="Z140" i="3"/>
  <c r="Z81" i="3"/>
  <c r="Z32" i="3"/>
  <c r="Y866" i="3"/>
  <c r="Y565" i="3"/>
  <c r="Y504" i="3"/>
  <c r="Y287" i="3"/>
  <c r="Z832" i="3"/>
  <c r="Z742" i="3"/>
  <c r="Z706" i="3"/>
  <c r="Z683" i="3"/>
  <c r="Z595" i="3"/>
  <c r="Z568" i="3"/>
  <c r="Z541" i="3"/>
  <c r="Z477" i="3"/>
  <c r="Z446" i="3"/>
  <c r="Z408" i="3"/>
  <c r="Z377" i="3"/>
  <c r="Z297" i="3"/>
  <c r="Z236" i="3"/>
  <c r="Z188" i="3"/>
  <c r="Z67" i="3"/>
  <c r="Y620" i="3"/>
  <c r="Y564" i="3"/>
  <c r="Y276" i="3"/>
  <c r="Z739" i="3"/>
  <c r="Z705" i="3"/>
  <c r="Z594" i="3"/>
  <c r="Z567" i="3"/>
  <c r="Z476" i="3"/>
  <c r="Z445" i="3"/>
  <c r="Z407" i="3"/>
  <c r="Z376" i="3"/>
  <c r="Z332" i="3"/>
  <c r="Z286" i="3"/>
  <c r="Z235" i="3"/>
  <c r="Z121" i="3"/>
  <c r="Z66" i="3"/>
  <c r="Y861" i="3"/>
  <c r="Y786" i="3"/>
  <c r="Y560" i="3"/>
  <c r="Y482" i="3"/>
  <c r="Y256" i="3"/>
  <c r="Z867" i="3"/>
  <c r="Z852" i="3"/>
  <c r="Z766" i="3"/>
  <c r="Z704" i="3"/>
  <c r="Z593" i="3"/>
  <c r="Z566" i="3"/>
  <c r="Z475" i="3"/>
  <c r="Z404" i="3"/>
  <c r="Z365" i="3"/>
  <c r="Z175" i="3"/>
  <c r="Y847" i="3"/>
  <c r="Y614" i="3"/>
  <c r="Y360" i="3"/>
  <c r="Y550" i="3"/>
  <c r="Z550" i="3"/>
  <c r="Y415" i="3"/>
  <c r="Z415" i="3"/>
  <c r="Y308" i="3"/>
  <c r="Z308" i="3"/>
  <c r="Y436" i="3"/>
  <c r="Z436" i="3"/>
  <c r="Y109" i="3"/>
  <c r="Z109" i="3"/>
  <c r="Y166" i="3"/>
  <c r="Z166" i="3"/>
  <c r="Y266" i="3"/>
  <c r="Z266" i="3"/>
  <c r="Y636" i="3"/>
  <c r="Z636" i="3"/>
  <c r="Z726" i="3"/>
  <c r="Y726" i="3"/>
  <c r="Y736" i="3"/>
  <c r="Z736" i="3"/>
  <c r="Y796" i="3"/>
  <c r="Z796" i="3"/>
  <c r="Z826" i="3"/>
  <c r="Y826" i="3"/>
  <c r="Z681" i="3"/>
  <c r="Y681" i="3"/>
  <c r="Z849" i="3"/>
  <c r="Z827" i="3"/>
  <c r="Z765" i="3"/>
  <c r="Z644" i="3"/>
  <c r="Z616" i="3"/>
  <c r="Z592" i="3"/>
  <c r="Z557" i="3"/>
  <c r="Z526" i="3"/>
  <c r="Z503" i="3"/>
  <c r="Z474" i="3"/>
  <c r="Z403" i="3"/>
  <c r="Z364" i="3"/>
  <c r="Z330" i="3"/>
  <c r="Z280" i="3"/>
  <c r="Z52" i="3"/>
  <c r="Y697" i="3"/>
  <c r="Y356" i="3"/>
  <c r="Y368" i="3"/>
  <c r="Z368" i="3"/>
  <c r="Y311" i="3"/>
  <c r="Z311" i="3"/>
  <c r="Y94" i="3"/>
  <c r="Z94" i="3"/>
  <c r="Z882" i="3"/>
  <c r="Z848" i="3"/>
  <c r="Z818" i="3"/>
  <c r="Z792" i="3"/>
  <c r="Z756" i="3"/>
  <c r="Z556" i="3"/>
  <c r="Z502" i="3"/>
  <c r="Z464" i="3"/>
  <c r="Z433" i="3"/>
  <c r="Z393" i="3"/>
  <c r="Z363" i="3"/>
  <c r="Z268" i="3"/>
  <c r="Z168" i="3"/>
  <c r="Z51" i="3"/>
  <c r="Y57" i="3"/>
  <c r="Y625" i="3"/>
  <c r="Z625" i="3"/>
  <c r="Z570" i="3"/>
  <c r="Y570" i="3"/>
  <c r="Y500" i="3"/>
  <c r="Z500" i="3"/>
  <c r="Y468" i="3"/>
  <c r="Z468" i="3"/>
  <c r="Z440" i="3"/>
  <c r="Y440" i="3"/>
  <c r="Z405" i="3"/>
  <c r="Y405" i="3"/>
  <c r="Y357" i="3"/>
  <c r="Z357" i="3"/>
  <c r="Y246" i="3"/>
  <c r="Z246" i="3"/>
  <c r="Y139" i="3"/>
  <c r="Z139" i="3"/>
  <c r="Z73" i="3"/>
  <c r="Y73" i="3"/>
  <c r="Y712" i="3"/>
  <c r="Z712" i="3"/>
  <c r="Y762" i="3"/>
  <c r="Z762" i="3"/>
  <c r="Y538" i="3"/>
  <c r="Z538" i="3"/>
  <c r="Y480" i="3"/>
  <c r="Z480" i="3"/>
  <c r="Z427" i="3"/>
  <c r="Y427" i="3"/>
  <c r="Y336" i="3"/>
  <c r="Z336" i="3"/>
  <c r="Y117" i="3"/>
  <c r="Z117" i="3"/>
  <c r="Y50" i="3"/>
  <c r="Z50" i="3"/>
  <c r="Z835" i="3"/>
  <c r="Y835" i="3"/>
  <c r="Y537" i="3"/>
  <c r="Z537" i="3"/>
  <c r="Y479" i="3"/>
  <c r="Z479" i="3"/>
  <c r="Y426" i="3"/>
  <c r="Z426" i="3"/>
  <c r="Y334" i="3"/>
  <c r="Z334" i="3"/>
  <c r="Y70" i="3"/>
  <c r="Z70" i="3"/>
  <c r="Y746" i="3"/>
  <c r="Z746" i="3"/>
  <c r="Z580" i="3"/>
  <c r="Y580" i="3"/>
  <c r="Z546" i="3"/>
  <c r="Y546" i="3"/>
  <c r="Z413" i="3"/>
  <c r="Y413" i="3"/>
  <c r="Y306" i="3"/>
  <c r="Z306" i="3"/>
  <c r="Y237" i="3"/>
  <c r="Z237" i="3"/>
  <c r="Y136" i="3"/>
  <c r="Z136" i="3"/>
  <c r="Y91" i="3"/>
  <c r="Z91" i="3"/>
  <c r="Y8" i="3"/>
  <c r="Z8" i="3"/>
  <c r="Z610" i="3"/>
  <c r="Y610" i="3"/>
  <c r="Z495" i="3"/>
  <c r="Y495" i="3"/>
  <c r="Y424" i="3"/>
  <c r="Z424" i="3"/>
  <c r="Y387" i="3"/>
  <c r="Z387" i="3"/>
  <c r="Y259" i="3"/>
  <c r="Z259" i="3"/>
  <c r="Z770" i="3"/>
  <c r="Y770" i="3"/>
  <c r="Y696" i="3"/>
  <c r="Z696" i="3"/>
  <c r="Y589" i="3"/>
  <c r="Z589" i="3"/>
  <c r="Z494" i="3"/>
  <c r="Y494" i="3"/>
  <c r="Y423" i="3"/>
  <c r="Z423" i="3"/>
  <c r="Y386" i="3"/>
  <c r="Z386" i="3"/>
  <c r="Y302" i="3"/>
  <c r="Z302" i="3"/>
  <c r="Y231" i="3"/>
  <c r="Z231" i="3"/>
  <c r="Y129" i="3"/>
  <c r="Z129" i="3"/>
  <c r="Y65" i="3"/>
  <c r="Z65" i="3"/>
  <c r="Y812" i="3"/>
  <c r="Z812" i="3"/>
  <c r="Y769" i="3"/>
  <c r="Z769" i="3"/>
  <c r="Y738" i="3"/>
  <c r="Z738" i="3"/>
  <c r="Y587" i="3"/>
  <c r="Z587" i="3"/>
  <c r="Y575" i="3"/>
  <c r="Z575" i="3"/>
  <c r="Y492" i="3"/>
  <c r="Z492" i="3"/>
  <c r="Y459" i="3"/>
  <c r="Z459" i="3"/>
  <c r="Y444" i="3"/>
  <c r="Z444" i="3"/>
  <c r="Y409" i="3"/>
  <c r="Z409" i="3"/>
  <c r="Y397" i="3"/>
  <c r="Z397" i="3"/>
  <c r="Y385" i="3"/>
  <c r="Z385" i="3"/>
  <c r="Y373" i="3"/>
  <c r="Z373" i="3"/>
  <c r="Y361" i="3"/>
  <c r="Z361" i="3"/>
  <c r="Y324" i="3"/>
  <c r="Z324" i="3"/>
  <c r="Y299" i="3"/>
  <c r="Z299" i="3"/>
  <c r="Z275" i="3"/>
  <c r="Y275" i="3"/>
  <c r="Y225" i="3"/>
  <c r="Z225" i="3"/>
  <c r="Y180" i="3"/>
  <c r="Z180" i="3"/>
  <c r="Y128" i="3"/>
  <c r="Z128" i="3"/>
  <c r="Y106" i="3"/>
  <c r="Z106" i="3"/>
  <c r="Y62" i="3"/>
  <c r="Z62" i="3"/>
  <c r="Y35" i="3"/>
  <c r="Z35" i="3"/>
  <c r="Z668" i="3"/>
  <c r="Z583" i="3"/>
  <c r="Z555" i="3"/>
  <c r="Z501" i="3"/>
  <c r="Z463" i="3"/>
  <c r="Z432" i="3"/>
  <c r="Z358" i="3"/>
  <c r="Z314" i="3"/>
  <c r="Z267" i="3"/>
  <c r="Z156" i="3"/>
  <c r="Y825" i="3"/>
  <c r="Y442" i="3"/>
  <c r="Y327" i="3"/>
  <c r="Y216" i="3"/>
  <c r="Z871" i="3"/>
  <c r="Y871" i="3"/>
  <c r="Z758" i="3"/>
  <c r="Y758" i="3"/>
  <c r="Y428" i="3"/>
  <c r="Z428" i="3"/>
  <c r="Y379" i="3"/>
  <c r="Z379" i="3"/>
  <c r="Y21" i="3"/>
  <c r="Z21" i="3"/>
  <c r="Y522" i="3"/>
  <c r="Z522" i="3"/>
  <c r="Y612" i="3"/>
  <c r="Z612" i="3"/>
  <c r="Y652" i="3"/>
  <c r="Z652" i="3"/>
  <c r="Y548" i="3"/>
  <c r="Z548" i="3"/>
  <c r="Y467" i="3"/>
  <c r="Z467" i="3"/>
  <c r="Y289" i="3"/>
  <c r="Z289" i="3"/>
  <c r="Z243" i="3"/>
  <c r="Y243" i="3"/>
  <c r="Y138" i="3"/>
  <c r="Z138" i="3"/>
  <c r="Y71" i="3"/>
  <c r="Z71" i="3"/>
  <c r="Y776" i="3"/>
  <c r="Z776" i="3"/>
  <c r="Y699" i="3"/>
  <c r="Z699" i="3"/>
  <c r="Y558" i="3"/>
  <c r="Z558" i="3"/>
  <c r="Y414" i="3"/>
  <c r="Z414" i="3"/>
  <c r="Y389" i="3"/>
  <c r="Z389" i="3"/>
  <c r="Y48" i="3"/>
  <c r="Z48" i="3"/>
  <c r="Y830" i="3"/>
  <c r="Z830" i="3"/>
  <c r="Y698" i="3"/>
  <c r="Z698" i="3"/>
  <c r="Z425" i="3"/>
  <c r="Y425" i="3"/>
  <c r="Y388" i="3"/>
  <c r="Z388" i="3"/>
  <c r="Y354" i="3"/>
  <c r="Z354" i="3"/>
  <c r="Y282" i="3"/>
  <c r="Z282" i="3"/>
  <c r="Y184" i="3"/>
  <c r="Z184" i="3"/>
  <c r="Y110" i="3"/>
  <c r="Z110" i="3"/>
  <c r="Y47" i="3"/>
  <c r="Z47" i="3"/>
  <c r="Y740" i="3"/>
  <c r="Z740" i="3"/>
  <c r="Y535" i="3"/>
  <c r="Z535" i="3"/>
  <c r="Y401" i="3"/>
  <c r="Z401" i="3"/>
  <c r="Z182" i="3"/>
  <c r="Y182" i="3"/>
  <c r="Z131" i="3"/>
  <c r="Y131" i="3"/>
  <c r="Y43" i="3"/>
  <c r="Z43" i="3"/>
  <c r="Y176" i="3"/>
  <c r="Z176" i="3"/>
  <c r="Y857" i="3"/>
  <c r="Z857" i="3"/>
  <c r="Y576" i="3"/>
  <c r="Z576" i="3"/>
  <c r="Y510" i="3"/>
  <c r="Z510" i="3"/>
  <c r="Y461" i="3"/>
  <c r="Z461" i="3"/>
  <c r="Y374" i="3"/>
  <c r="Z374" i="3"/>
  <c r="Z257" i="3"/>
  <c r="Y257" i="3"/>
  <c r="Z86" i="3"/>
  <c r="Y86" i="3"/>
  <c r="Z811" i="3"/>
  <c r="Y811" i="3"/>
  <c r="Y733" i="3"/>
  <c r="Z733" i="3"/>
  <c r="Z631" i="3"/>
  <c r="Y631" i="3"/>
  <c r="Y597" i="3"/>
  <c r="Z597" i="3"/>
  <c r="Y586" i="3"/>
  <c r="Z586" i="3"/>
  <c r="Y574" i="3"/>
  <c r="Z574" i="3"/>
  <c r="Z563" i="3"/>
  <c r="Y563" i="3"/>
  <c r="Y553" i="3"/>
  <c r="Z553" i="3"/>
  <c r="Y473" i="3"/>
  <c r="Z473" i="3"/>
  <c r="Z443" i="3"/>
  <c r="Y443" i="3"/>
  <c r="Y431" i="3"/>
  <c r="Z431" i="3"/>
  <c r="Y396" i="3"/>
  <c r="Z396" i="3"/>
  <c r="Y384" i="3"/>
  <c r="Z384" i="3"/>
  <c r="Y371" i="3"/>
  <c r="Z371" i="3"/>
  <c r="Y343" i="3"/>
  <c r="Z343" i="3"/>
  <c r="Y320" i="3"/>
  <c r="Z320" i="3"/>
  <c r="Z273" i="3"/>
  <c r="Y273" i="3"/>
  <c r="Y251" i="3"/>
  <c r="Z251" i="3"/>
  <c r="Y219" i="3"/>
  <c r="Z219" i="3"/>
  <c r="Y179" i="3"/>
  <c r="Z179" i="3"/>
  <c r="Y154" i="3"/>
  <c r="Z154" i="3"/>
  <c r="Y125" i="3"/>
  <c r="Z125" i="3"/>
  <c r="Y102" i="3"/>
  <c r="Z102" i="3"/>
  <c r="Y80" i="3"/>
  <c r="Z80" i="3"/>
  <c r="Y59" i="3"/>
  <c r="Z59" i="3"/>
  <c r="Z782" i="3"/>
  <c r="Z754" i="3"/>
  <c r="Z667" i="3"/>
  <c r="Z633" i="3"/>
  <c r="Z607" i="3"/>
  <c r="Z582" i="3"/>
  <c r="Z554" i="3"/>
  <c r="Z491" i="3"/>
  <c r="Z422" i="3"/>
  <c r="Z391" i="3"/>
  <c r="Z347" i="3"/>
  <c r="Z313" i="3"/>
  <c r="Z265" i="3"/>
  <c r="Z155" i="3"/>
  <c r="Z101" i="3"/>
  <c r="Y539" i="3"/>
  <c r="Z539" i="3"/>
  <c r="Z451" i="3"/>
  <c r="Y451" i="3"/>
  <c r="Y339" i="3"/>
  <c r="Z339" i="3"/>
  <c r="Y202" i="3"/>
  <c r="Z202" i="3"/>
  <c r="Y802" i="3"/>
  <c r="Z802" i="3"/>
  <c r="Y624" i="3"/>
  <c r="Z624" i="3"/>
  <c r="Y559" i="3"/>
  <c r="Z559" i="3"/>
  <c r="Y498" i="3"/>
  <c r="Z498" i="3"/>
  <c r="Y439" i="3"/>
  <c r="Z439" i="3"/>
  <c r="Y367" i="3"/>
  <c r="Z367" i="3"/>
  <c r="Y170" i="3"/>
  <c r="Z170" i="3"/>
  <c r="Y95" i="3"/>
  <c r="Z95" i="3"/>
  <c r="Z13" i="3"/>
  <c r="Y13" i="3"/>
  <c r="Z581" i="3"/>
  <c r="Y581" i="3"/>
  <c r="Y547" i="3"/>
  <c r="Z547" i="3"/>
  <c r="Y497" i="3"/>
  <c r="Z497" i="3"/>
  <c r="Y438" i="3"/>
  <c r="Z438" i="3"/>
  <c r="Y355" i="3"/>
  <c r="Z355" i="3"/>
  <c r="Z240" i="3"/>
  <c r="Y240" i="3"/>
  <c r="Y137" i="3"/>
  <c r="Z137" i="3"/>
  <c r="Y10" i="3"/>
  <c r="Z10" i="3"/>
  <c r="Y775" i="3"/>
  <c r="Z775" i="3"/>
  <c r="Y536" i="3"/>
  <c r="Z536" i="3"/>
  <c r="Z496" i="3"/>
  <c r="Y496" i="3"/>
  <c r="Y437" i="3"/>
  <c r="Z437" i="3"/>
  <c r="Y402" i="3"/>
  <c r="Z402" i="3"/>
  <c r="Y263" i="3"/>
  <c r="Z263" i="3"/>
  <c r="Z161" i="3"/>
  <c r="Y161" i="3"/>
  <c r="Z771" i="3"/>
  <c r="Y771" i="3"/>
  <c r="Y634" i="3"/>
  <c r="Z634" i="3"/>
  <c r="Z590" i="3"/>
  <c r="Y590" i="3"/>
  <c r="Y577" i="3"/>
  <c r="Z577" i="3"/>
  <c r="Y545" i="3"/>
  <c r="Z545" i="3"/>
  <c r="Y411" i="3"/>
  <c r="Z411" i="3"/>
  <c r="Y375" i="3"/>
  <c r="Z375" i="3"/>
  <c r="Y353" i="3"/>
  <c r="Z353" i="3"/>
  <c r="Y304" i="3"/>
  <c r="Z304" i="3"/>
  <c r="Y159" i="3"/>
  <c r="Z159" i="3"/>
  <c r="Y89" i="3"/>
  <c r="Z89" i="3"/>
  <c r="Y296" i="3"/>
  <c r="Z296" i="3"/>
  <c r="Z516" i="3"/>
  <c r="Y516" i="3"/>
  <c r="Y400" i="3"/>
  <c r="Z400" i="3"/>
  <c r="Y278" i="3"/>
  <c r="Z278" i="3"/>
  <c r="Y181" i="3"/>
  <c r="Z181" i="3"/>
  <c r="Y107" i="3"/>
  <c r="Z107" i="3"/>
  <c r="Y38" i="3"/>
  <c r="Z38" i="3"/>
  <c r="Z810" i="3"/>
  <c r="Y810" i="3"/>
  <c r="Y764" i="3"/>
  <c r="Z764" i="3"/>
  <c r="Y714" i="3"/>
  <c r="Z714" i="3"/>
  <c r="Y687" i="3"/>
  <c r="Z687" i="3"/>
  <c r="Y627" i="3"/>
  <c r="Z627" i="3"/>
  <c r="Y596" i="3"/>
  <c r="Z596" i="3"/>
  <c r="Y585" i="3"/>
  <c r="Z585" i="3"/>
  <c r="Y573" i="3"/>
  <c r="Z573" i="3"/>
  <c r="Y562" i="3"/>
  <c r="Z562" i="3"/>
  <c r="Y552" i="3"/>
  <c r="Z552" i="3"/>
  <c r="Y471" i="3"/>
  <c r="Z471" i="3"/>
  <c r="Y456" i="3"/>
  <c r="Z456" i="3"/>
  <c r="Y430" i="3"/>
  <c r="Z430" i="3"/>
  <c r="Z395" i="3"/>
  <c r="Y395" i="3"/>
  <c r="Y383" i="3"/>
  <c r="Z383" i="3"/>
  <c r="Y370" i="3"/>
  <c r="Z370" i="3"/>
  <c r="Y359" i="3"/>
  <c r="Z359" i="3"/>
  <c r="Y341" i="3"/>
  <c r="Z341" i="3"/>
  <c r="Z316" i="3"/>
  <c r="Y316" i="3"/>
  <c r="Z295" i="3"/>
  <c r="Y295" i="3"/>
  <c r="Z272" i="3"/>
  <c r="Y272" i="3"/>
  <c r="Y249" i="3"/>
  <c r="Z249" i="3"/>
  <c r="Y215" i="3"/>
  <c r="Z215" i="3"/>
  <c r="Y177" i="3"/>
  <c r="Z177" i="3"/>
  <c r="Y152" i="3"/>
  <c r="Z152" i="3"/>
  <c r="Y124" i="3"/>
  <c r="Z124" i="3"/>
  <c r="Z100" i="3"/>
  <c r="Y100" i="3"/>
  <c r="Y79" i="3"/>
  <c r="Z79" i="3"/>
  <c r="Y28" i="3"/>
  <c r="Z28" i="3"/>
  <c r="Z860" i="3"/>
  <c r="Y860" i="3"/>
  <c r="Z862" i="3"/>
  <c r="Z842" i="3"/>
  <c r="Z666" i="3"/>
  <c r="Z632" i="3"/>
  <c r="Z606" i="3"/>
  <c r="Z544" i="3"/>
  <c r="Z490" i="3"/>
  <c r="Z458" i="3"/>
  <c r="Z421" i="3"/>
  <c r="Z254" i="3"/>
  <c r="Y731" i="3"/>
  <c r="Y646" i="3"/>
  <c r="Z598" i="3"/>
  <c r="V262" i="3"/>
  <c r="V150" i="3"/>
  <c r="V300" i="3"/>
  <c r="K108" i="3"/>
  <c r="V192" i="3"/>
  <c r="K822" i="3"/>
  <c r="K722" i="3"/>
  <c r="K642" i="3"/>
  <c r="K622" i="3"/>
  <c r="K821" i="3"/>
  <c r="K791" i="3"/>
  <c r="K751" i="3"/>
  <c r="K721" i="3"/>
  <c r="K701" i="3"/>
  <c r="K601" i="3"/>
  <c r="V325" i="3"/>
  <c r="K36" i="3"/>
  <c r="K685" i="3"/>
  <c r="V98" i="3"/>
  <c r="K725" i="3"/>
  <c r="K16" i="3"/>
  <c r="K837" i="3"/>
  <c r="K807" i="3"/>
  <c r="K797" i="3"/>
  <c r="K787" i="3"/>
  <c r="K767" i="3"/>
  <c r="K757" i="3"/>
  <c r="K737" i="3"/>
  <c r="K727" i="3"/>
  <c r="K717" i="3"/>
  <c r="K707" i="3"/>
  <c r="K677" i="3"/>
  <c r="K657" i="3"/>
  <c r="K647" i="3"/>
  <c r="K637" i="3"/>
  <c r="K617" i="3"/>
  <c r="K517" i="3"/>
  <c r="K507" i="3"/>
  <c r="K487" i="3"/>
  <c r="I97" i="4"/>
  <c r="I67" i="4"/>
  <c r="I57" i="4"/>
  <c r="I7" i="4"/>
  <c r="I96" i="4"/>
  <c r="I86" i="4"/>
  <c r="I76" i="4"/>
  <c r="I66" i="4"/>
  <c r="I15" i="4"/>
  <c r="X15" i="4" s="1"/>
  <c r="I104" i="4"/>
  <c r="X104" i="4" s="1"/>
  <c r="I94" i="4"/>
  <c r="I84" i="4"/>
  <c r="I74" i="4"/>
  <c r="I64" i="4"/>
  <c r="I54" i="4"/>
  <c r="I24" i="4"/>
  <c r="I103" i="4"/>
  <c r="I73" i="4"/>
  <c r="I43" i="4"/>
  <c r="X43" i="4" s="1"/>
  <c r="I33" i="4"/>
  <c r="X33" i="4" s="1"/>
  <c r="I92" i="4"/>
  <c r="I82" i="4"/>
  <c r="I72" i="4"/>
  <c r="I62" i="4"/>
  <c r="I52" i="4"/>
  <c r="I91" i="4"/>
  <c r="I61" i="4"/>
  <c r="I11" i="4"/>
  <c r="I90" i="4"/>
  <c r="X90" i="4" s="1"/>
  <c r="I80" i="4"/>
  <c r="W80" i="4" s="1"/>
  <c r="I70" i="4"/>
  <c r="I60" i="4"/>
  <c r="I79" i="4"/>
  <c r="I88" i="4"/>
  <c r="I78" i="4"/>
  <c r="I68" i="4"/>
  <c r="I58" i="4"/>
  <c r="I8" i="4"/>
  <c r="X8" i="4" s="1"/>
  <c r="W88" i="4"/>
  <c r="W58" i="4"/>
  <c r="W57" i="4"/>
  <c r="W87" i="4"/>
  <c r="W77" i="4"/>
  <c r="W47" i="4"/>
  <c r="W96" i="4"/>
  <c r="W56" i="4"/>
  <c r="W46" i="4"/>
  <c r="X36" i="4"/>
  <c r="W95" i="4"/>
  <c r="W75" i="4"/>
  <c r="W65" i="4"/>
  <c r="W25" i="4"/>
  <c r="W34" i="4"/>
  <c r="W83" i="4"/>
  <c r="W53" i="4"/>
  <c r="W23" i="4"/>
  <c r="I29" i="4"/>
  <c r="W29" i="4" s="1"/>
  <c r="I19" i="4"/>
  <c r="W19" i="4" s="1"/>
  <c r="I9" i="4"/>
  <c r="W9" i="4" s="1"/>
  <c r="W22" i="4"/>
  <c r="I28" i="4"/>
  <c r="W28" i="4" s="1"/>
  <c r="I18" i="4"/>
  <c r="W18" i="4" s="1"/>
  <c r="W51" i="4"/>
  <c r="I89" i="4"/>
  <c r="W89" i="4" s="1"/>
  <c r="I59" i="4"/>
  <c r="W59" i="4" s="1"/>
  <c r="I38" i="4"/>
  <c r="W38" i="4" s="1"/>
  <c r="I27" i="4"/>
  <c r="W27" i="4" s="1"/>
  <c r="I17" i="4"/>
  <c r="X17" i="4" s="1"/>
  <c r="W70" i="4"/>
  <c r="W100" i="4"/>
  <c r="W20" i="4"/>
  <c r="I99" i="4"/>
  <c r="W99" i="4" s="1"/>
  <c r="I48" i="4"/>
  <c r="W48" i="4" s="1"/>
  <c r="I37" i="4"/>
  <c r="W37" i="4" s="1"/>
  <c r="I26" i="4"/>
  <c r="W26" i="4" s="1"/>
  <c r="I16" i="4"/>
  <c r="W16" i="4" s="1"/>
  <c r="I6" i="4"/>
  <c r="W6" i="4" s="1"/>
  <c r="K162" i="3"/>
  <c r="K42" i="3"/>
  <c r="K292" i="3"/>
  <c r="K262" i="3"/>
  <c r="K232" i="3"/>
  <c r="K22" i="3"/>
  <c r="K261" i="3"/>
  <c r="K221" i="3"/>
  <c r="K201" i="3"/>
  <c r="K11" i="3"/>
  <c r="K886" i="3"/>
  <c r="K806" i="3"/>
  <c r="K876" i="3"/>
  <c r="K346" i="3"/>
  <c r="K186" i="3"/>
  <c r="K315" i="3"/>
  <c r="K165" i="3"/>
  <c r="K75" i="3"/>
  <c r="K816" i="3"/>
  <c r="K465" i="3"/>
  <c r="K105" i="3"/>
  <c r="K85" i="3"/>
  <c r="K720" i="3"/>
  <c r="K670" i="3"/>
  <c r="K850" i="3"/>
  <c r="K780" i="3"/>
  <c r="K710" i="3"/>
  <c r="K879" i="3"/>
  <c r="K829" i="3"/>
  <c r="K759" i="3"/>
  <c r="K659" i="3"/>
  <c r="K599" i="3"/>
  <c r="K329" i="3"/>
  <c r="K239" i="3"/>
  <c r="K199" i="3"/>
  <c r="K69" i="3"/>
  <c r="K49" i="3"/>
  <c r="K29" i="3"/>
  <c r="K9" i="3"/>
  <c r="K653" i="3"/>
  <c r="K773" i="3"/>
  <c r="K803" i="3"/>
  <c r="K12" i="3"/>
  <c r="K790" i="3"/>
  <c r="K690" i="3"/>
  <c r="K869" i="3"/>
  <c r="K819" i="3"/>
  <c r="K799" i="3"/>
  <c r="K779" i="3"/>
  <c r="K719" i="3"/>
  <c r="K689" i="3"/>
  <c r="K669" i="3"/>
  <c r="K639" i="3"/>
  <c r="K519" i="3"/>
  <c r="K399" i="3"/>
  <c r="K349" i="3"/>
  <c r="K309" i="3"/>
  <c r="K279" i="3"/>
  <c r="K119" i="3"/>
  <c r="K808" i="3"/>
  <c r="K798" i="3"/>
  <c r="K788" i="3"/>
  <c r="K708" i="3"/>
  <c r="K678" i="3"/>
  <c r="K608" i="3"/>
  <c r="K518" i="3"/>
  <c r="K178" i="3"/>
  <c r="K148" i="3"/>
  <c r="K870" i="3"/>
  <c r="K800" i="3"/>
  <c r="K760" i="3"/>
  <c r="K730" i="3"/>
  <c r="K520" i="3"/>
  <c r="K859" i="3"/>
  <c r="K839" i="3"/>
  <c r="K809" i="3"/>
  <c r="K789" i="3"/>
  <c r="K749" i="3"/>
  <c r="K729" i="3"/>
  <c r="K709" i="3"/>
  <c r="K679" i="3"/>
  <c r="K649" i="3"/>
  <c r="K629" i="3"/>
  <c r="K529" i="3"/>
  <c r="K509" i="3"/>
  <c r="K489" i="3"/>
  <c r="K319" i="3"/>
  <c r="K269" i="3"/>
  <c r="K229" i="3"/>
  <c r="K209" i="3"/>
  <c r="K189" i="3"/>
  <c r="K149" i="3"/>
  <c r="K19" i="3"/>
  <c r="K887" i="3"/>
  <c r="K877" i="3"/>
  <c r="K817" i="3"/>
  <c r="K747" i="3"/>
  <c r="K527" i="3"/>
  <c r="K457" i="3"/>
  <c r="K417" i="3"/>
  <c r="K337" i="3"/>
  <c r="K317" i="3"/>
  <c r="K277" i="3"/>
  <c r="K217" i="3"/>
  <c r="K157" i="3"/>
  <c r="K87" i="3"/>
  <c r="K7" i="3"/>
  <c r="K686" i="3"/>
  <c r="K676" i="3"/>
  <c r="K416" i="3"/>
  <c r="K326" i="3"/>
  <c r="K196" i="3"/>
  <c r="K146" i="3"/>
  <c r="K126" i="3"/>
  <c r="K116" i="3"/>
  <c r="K76" i="3"/>
  <c r="K56" i="3"/>
  <c r="K844" i="3"/>
  <c r="K524" i="3"/>
  <c r="K514" i="3"/>
  <c r="K834" i="3"/>
  <c r="K874" i="3"/>
  <c r="K794" i="3"/>
  <c r="K694" i="3"/>
  <c r="K328" i="3"/>
  <c r="K864" i="3"/>
  <c r="K814" i="3"/>
  <c r="K784" i="3"/>
  <c r="K744" i="3"/>
  <c r="K664" i="3"/>
  <c r="K534" i="3"/>
  <c r="K793" i="3"/>
  <c r="K743" i="3"/>
  <c r="K481" i="3"/>
  <c r="K884" i="3"/>
  <c r="K854" i="3"/>
  <c r="K824" i="3"/>
  <c r="K774" i="3"/>
  <c r="K724" i="3"/>
  <c r="K684" i="3"/>
  <c r="K654" i="3"/>
  <c r="K813" i="3"/>
  <c r="K783" i="3"/>
  <c r="K672" i="3"/>
  <c r="K247" i="3"/>
  <c r="K227" i="3"/>
  <c r="K207" i="3"/>
  <c r="K187" i="3"/>
  <c r="K147" i="3"/>
  <c r="K127" i="3"/>
  <c r="K97" i="3"/>
  <c r="K37" i="3"/>
  <c r="K17" i="3"/>
  <c r="AI905" i="3"/>
  <c r="K454" i="3"/>
  <c r="K344" i="3"/>
  <c r="K294" i="3"/>
  <c r="K284" i="3"/>
  <c r="K274" i="3"/>
  <c r="K264" i="3"/>
  <c r="K244" i="3"/>
  <c r="K164" i="3"/>
  <c r="K144" i="3"/>
  <c r="K134" i="3"/>
  <c r="K104" i="3"/>
  <c r="K74" i="3"/>
  <c r="K64" i="3"/>
  <c r="K44" i="3"/>
  <c r="K34" i="3"/>
  <c r="K24" i="3"/>
  <c r="K14" i="3"/>
  <c r="K523" i="3"/>
  <c r="K741" i="3"/>
  <c r="K671" i="3"/>
  <c r="K531" i="3"/>
  <c r="K381" i="3"/>
  <c r="K351" i="3"/>
  <c r="K211" i="3"/>
  <c r="K191" i="3"/>
  <c r="K141" i="3"/>
  <c r="K111" i="3"/>
  <c r="K470" i="3"/>
  <c r="K310" i="3"/>
  <c r="K290" i="3"/>
  <c r="K260" i="3"/>
  <c r="K230" i="3"/>
  <c r="K220" i="3"/>
  <c r="K160" i="3"/>
  <c r="K130" i="3"/>
  <c r="K120" i="3"/>
  <c r="K90" i="3"/>
  <c r="K60" i="3"/>
  <c r="K40" i="3"/>
  <c r="K30" i="3"/>
  <c r="K20" i="3"/>
  <c r="X25" i="4"/>
  <c r="X95" i="4"/>
  <c r="X75" i="4"/>
  <c r="X65" i="4"/>
  <c r="X34" i="4"/>
  <c r="W71" i="4"/>
  <c r="X71" i="4"/>
  <c r="W10" i="4"/>
  <c r="X10" i="4"/>
  <c r="W32" i="4"/>
  <c r="X32" i="4"/>
  <c r="X83" i="4"/>
  <c r="X53" i="4"/>
  <c r="X23" i="4"/>
  <c r="X22" i="4"/>
  <c r="X51" i="4"/>
  <c r="X100" i="4"/>
  <c r="X80" i="4"/>
  <c r="X70" i="4"/>
  <c r="X20" i="4"/>
  <c r="X29" i="4"/>
  <c r="X19" i="4"/>
  <c r="X9" i="4"/>
  <c r="X88" i="4"/>
  <c r="X58" i="4"/>
  <c r="X28" i="4"/>
  <c r="X18" i="4"/>
  <c r="X87" i="4"/>
  <c r="X77" i="4"/>
  <c r="X57" i="4"/>
  <c r="X47" i="4"/>
  <c r="X37" i="4"/>
  <c r="X27" i="4"/>
  <c r="X96" i="4"/>
  <c r="X56" i="4"/>
  <c r="X46" i="4"/>
  <c r="X16" i="4"/>
  <c r="W36" i="4"/>
  <c r="X7" i="4"/>
  <c r="X69" i="4"/>
  <c r="X85" i="4"/>
  <c r="X84" i="4"/>
  <c r="X54" i="4"/>
  <c r="X24" i="4"/>
  <c r="X14" i="4"/>
  <c r="X103" i="4"/>
  <c r="X13" i="4"/>
  <c r="X86" i="4"/>
  <c r="X102" i="4"/>
  <c r="X42" i="4"/>
  <c r="X12" i="4"/>
  <c r="X55" i="4"/>
  <c r="X101" i="4"/>
  <c r="X81" i="4"/>
  <c r="X41" i="4"/>
  <c r="X11" i="4"/>
  <c r="X60" i="4"/>
  <c r="X50" i="4"/>
  <c r="X40" i="4"/>
  <c r="X49" i="4"/>
  <c r="X39" i="4"/>
  <c r="X79" i="4"/>
  <c r="X74" i="4"/>
  <c r="X44" i="4"/>
  <c r="X93" i="4"/>
  <c r="X63" i="4"/>
  <c r="X91" i="4"/>
  <c r="X92" i="4"/>
  <c r="X82" i="4"/>
  <c r="X72" i="4"/>
  <c r="X62" i="4"/>
  <c r="X52" i="4"/>
  <c r="X61" i="4"/>
  <c r="X31" i="4"/>
  <c r="X21" i="4"/>
  <c r="K499" i="3"/>
  <c r="K619" i="3"/>
  <c r="K549" i="3"/>
  <c r="K449" i="3"/>
  <c r="V194" i="3"/>
  <c r="K888" i="3"/>
  <c r="K878" i="3"/>
  <c r="K868" i="3"/>
  <c r="K858" i="3"/>
  <c r="K838" i="3"/>
  <c r="K828" i="3"/>
  <c r="K768" i="3"/>
  <c r="K748" i="3"/>
  <c r="K728" i="3"/>
  <c r="K718" i="3"/>
  <c r="K688" i="3"/>
  <c r="K658" i="3"/>
  <c r="K648" i="3"/>
  <c r="K638" i="3"/>
  <c r="K628" i="3"/>
  <c r="K528" i="3"/>
  <c r="K508" i="3"/>
  <c r="K478" i="3"/>
  <c r="K398" i="3"/>
  <c r="K348" i="3"/>
  <c r="K338" i="3"/>
  <c r="K318" i="3"/>
  <c r="K298" i="3"/>
  <c r="K288" i="3"/>
  <c r="K258" i="3"/>
  <c r="K218" i="3"/>
  <c r="K208" i="3"/>
  <c r="K198" i="3"/>
  <c r="K158" i="3"/>
  <c r="K118" i="3"/>
  <c r="K98" i="3"/>
  <c r="K88" i="3"/>
  <c r="K78" i="3"/>
  <c r="K68" i="3"/>
  <c r="K58" i="3"/>
  <c r="K579" i="3"/>
  <c r="K875" i="3"/>
  <c r="K845" i="3"/>
  <c r="K735" i="3"/>
  <c r="K695" i="3"/>
  <c r="K645" i="3"/>
  <c r="K515" i="3"/>
  <c r="K135" i="3"/>
  <c r="K745" i="3"/>
  <c r="K655" i="3"/>
  <c r="K485" i="3"/>
  <c r="K115" i="3"/>
  <c r="K772" i="3"/>
  <c r="K752" i="3"/>
  <c r="K732" i="3"/>
  <c r="K682" i="3"/>
  <c r="K662" i="3"/>
  <c r="K602" i="3"/>
  <c r="K865" i="3"/>
  <c r="K805" i="3"/>
  <c r="K635" i="3"/>
  <c r="K305" i="3"/>
  <c r="K255" i="3"/>
  <c r="K145" i="3"/>
  <c r="K15" i="3"/>
  <c r="K434" i="3"/>
  <c r="K883" i="3"/>
  <c r="K873" i="3"/>
  <c r="K863" i="3"/>
  <c r="K853" i="3"/>
  <c r="K843" i="3"/>
  <c r="K833" i="3"/>
  <c r="K723" i="3"/>
  <c r="K713" i="3"/>
  <c r="K663" i="3"/>
  <c r="K643" i="3"/>
  <c r="K623" i="3"/>
  <c r="K603" i="3"/>
  <c r="K533" i="3"/>
  <c r="K513" i="3"/>
  <c r="K493" i="3"/>
  <c r="K483" i="3"/>
  <c r="K453" i="3"/>
  <c r="K333" i="3"/>
  <c r="K323" i="3"/>
  <c r="K303" i="3"/>
  <c r="K283" i="3"/>
  <c r="K233" i="3"/>
  <c r="K223" i="3"/>
  <c r="K213" i="3"/>
  <c r="K203" i="3"/>
  <c r="K193" i="3"/>
  <c r="K183" i="3"/>
  <c r="K163" i="3"/>
  <c r="K143" i="3"/>
  <c r="K133" i="3"/>
  <c r="K113" i="3"/>
  <c r="K103" i="3"/>
  <c r="K93" i="3"/>
  <c r="K83" i="3"/>
  <c r="K63" i="3"/>
  <c r="K53" i="3"/>
  <c r="K33" i="3"/>
  <c r="K23" i="3"/>
  <c r="K855" i="3"/>
  <c r="K815" i="3"/>
  <c r="K715" i="3"/>
  <c r="K665" i="3"/>
  <c r="K615" i="3"/>
  <c r="K525" i="3"/>
  <c r="K435" i="3"/>
  <c r="K325" i="3"/>
  <c r="K245" i="3"/>
  <c r="K185" i="3"/>
  <c r="K55" i="3"/>
  <c r="K804" i="3"/>
  <c r="K734" i="3"/>
  <c r="K484" i="3"/>
  <c r="K204" i="3"/>
  <c r="K84" i="3"/>
  <c r="K572" i="3"/>
  <c r="K532" i="3"/>
  <c r="K472" i="3"/>
  <c r="K462" i="3"/>
  <c r="K452" i="3"/>
  <c r="K412" i="3"/>
  <c r="K392" i="3"/>
  <c r="K372" i="3"/>
  <c r="K362" i="3"/>
  <c r="K352" i="3"/>
  <c r="K342" i="3"/>
  <c r="K322" i="3"/>
  <c r="K312" i="3"/>
  <c r="K212" i="3"/>
  <c r="K142" i="3"/>
  <c r="K132" i="3"/>
  <c r="K122" i="3"/>
  <c r="K112" i="3"/>
  <c r="K92" i="3"/>
  <c r="K82" i="3"/>
  <c r="K72" i="3"/>
  <c r="K891" i="3"/>
  <c r="K881" i="3"/>
  <c r="K651" i="3"/>
  <c r="K641" i="3"/>
  <c r="K621" i="3"/>
  <c r="K331" i="3"/>
  <c r="K321" i="3"/>
  <c r="K885" i="3"/>
  <c r="K795" i="3"/>
  <c r="K755" i="3"/>
  <c r="K675" i="3"/>
  <c r="K335" i="3"/>
  <c r="K285" i="3"/>
  <c r="K25" i="3"/>
  <c r="K214" i="3"/>
  <c r="K890" i="3"/>
  <c r="K880" i="3"/>
  <c r="K820" i="3"/>
  <c r="K750" i="3"/>
  <c r="K680" i="3"/>
  <c r="K660" i="3"/>
  <c r="K650" i="3"/>
  <c r="K640" i="3"/>
  <c r="K630" i="3"/>
  <c r="K600" i="3"/>
  <c r="K530" i="3"/>
  <c r="K460" i="3"/>
  <c r="K390" i="3"/>
  <c r="K380" i="3"/>
  <c r="K350" i="3"/>
  <c r="K210" i="3"/>
  <c r="K200" i="3"/>
  <c r="K6" i="3"/>
  <c r="K823" i="3"/>
  <c r="K753" i="3"/>
  <c r="K673" i="3"/>
  <c r="K691" i="3"/>
  <c r="K661" i="3"/>
  <c r="E629" i="3"/>
  <c r="V629" i="3" s="1"/>
  <c r="V269" i="3"/>
  <c r="V509" i="3"/>
  <c r="V69" i="3"/>
  <c r="V623" i="3"/>
  <c r="V108" i="3"/>
  <c r="V264" i="3"/>
  <c r="E774" i="3"/>
  <c r="V774" i="3" s="1"/>
  <c r="V64" i="3"/>
  <c r="V604" i="3"/>
  <c r="V244" i="3"/>
  <c r="E768" i="3"/>
  <c r="V768" i="3" s="1"/>
  <c r="E93" i="3"/>
  <c r="V93" i="3" s="1"/>
  <c r="A9" i="3"/>
  <c r="A10" i="3" s="1"/>
  <c r="A11" i="3" s="1"/>
  <c r="Y493" i="3" l="1"/>
  <c r="Z493" i="3"/>
  <c r="Y158" i="3"/>
  <c r="Z158" i="3"/>
  <c r="Y348" i="3"/>
  <c r="Z348" i="3"/>
  <c r="Y718" i="3"/>
  <c r="Z718" i="3"/>
  <c r="Y20" i="3"/>
  <c r="Z20" i="3"/>
  <c r="Z260" i="3"/>
  <c r="Y260" i="3"/>
  <c r="Y531" i="3"/>
  <c r="Z531" i="3"/>
  <c r="Y104" i="3"/>
  <c r="Z104" i="3"/>
  <c r="Z454" i="3"/>
  <c r="Y454" i="3"/>
  <c r="Z227" i="3"/>
  <c r="Y227" i="3"/>
  <c r="Z824" i="3"/>
  <c r="Y824" i="3"/>
  <c r="Y814" i="3"/>
  <c r="Z814" i="3"/>
  <c r="Y46" i="3"/>
  <c r="Z46" i="3"/>
  <c r="Z676" i="3"/>
  <c r="Y676" i="3"/>
  <c r="Z417" i="3"/>
  <c r="Y417" i="3"/>
  <c r="Y209" i="3"/>
  <c r="Z209" i="3"/>
  <c r="Y709" i="3"/>
  <c r="Z709" i="3"/>
  <c r="Z800" i="3"/>
  <c r="Y800" i="3"/>
  <c r="Z798" i="3"/>
  <c r="Y798" i="3"/>
  <c r="Y689" i="3"/>
  <c r="Z689" i="3"/>
  <c r="Y773" i="3"/>
  <c r="Z773" i="3"/>
  <c r="Y599" i="3"/>
  <c r="Z599" i="3"/>
  <c r="Z85" i="3"/>
  <c r="Y85" i="3"/>
  <c r="Y806" i="3"/>
  <c r="Z806" i="3"/>
  <c r="Y42" i="3"/>
  <c r="Z42" i="3"/>
  <c r="Y507" i="3"/>
  <c r="Z507" i="3"/>
  <c r="Y737" i="3"/>
  <c r="Z737" i="3"/>
  <c r="Y685" i="3"/>
  <c r="Z685" i="3"/>
  <c r="Z642" i="3"/>
  <c r="Y642" i="3"/>
  <c r="Y174" i="3"/>
  <c r="Z174" i="3"/>
  <c r="Y513" i="3"/>
  <c r="Z513" i="3"/>
  <c r="Y398" i="3"/>
  <c r="Z398" i="3"/>
  <c r="Y728" i="3"/>
  <c r="Z728" i="3"/>
  <c r="Y449" i="3"/>
  <c r="Z449" i="3"/>
  <c r="Y30" i="3"/>
  <c r="Z30" i="3"/>
  <c r="Y290" i="3"/>
  <c r="Z290" i="3"/>
  <c r="Z671" i="3"/>
  <c r="Y671" i="3"/>
  <c r="Y134" i="3"/>
  <c r="Z134" i="3"/>
  <c r="Y247" i="3"/>
  <c r="Z247" i="3"/>
  <c r="Y854" i="3"/>
  <c r="Z854" i="3"/>
  <c r="Y864" i="3"/>
  <c r="Z864" i="3"/>
  <c r="Y56" i="3"/>
  <c r="Z56" i="3"/>
  <c r="Y686" i="3"/>
  <c r="Z686" i="3"/>
  <c r="Y457" i="3"/>
  <c r="Z457" i="3"/>
  <c r="Y229" i="3"/>
  <c r="Z229" i="3"/>
  <c r="Y729" i="3"/>
  <c r="Z729" i="3"/>
  <c r="Z870" i="3"/>
  <c r="Y870" i="3"/>
  <c r="Z808" i="3"/>
  <c r="Y808" i="3"/>
  <c r="Y719" i="3"/>
  <c r="Z719" i="3"/>
  <c r="Y653" i="3"/>
  <c r="Z653" i="3"/>
  <c r="Y659" i="3"/>
  <c r="Z659" i="3"/>
  <c r="Z105" i="3"/>
  <c r="Y105" i="3"/>
  <c r="Y886" i="3"/>
  <c r="Z886" i="3"/>
  <c r="Z162" i="3"/>
  <c r="Y162" i="3"/>
  <c r="Z517" i="3"/>
  <c r="Y517" i="3"/>
  <c r="Z757" i="3"/>
  <c r="Y757" i="3"/>
  <c r="Y36" i="3"/>
  <c r="Z36" i="3"/>
  <c r="Y722" i="3"/>
  <c r="Z722" i="3"/>
  <c r="Y234" i="3"/>
  <c r="Z234" i="3"/>
  <c r="Y735" i="3"/>
  <c r="Z735" i="3"/>
  <c r="Z390" i="3"/>
  <c r="Y390" i="3"/>
  <c r="Y665" i="3"/>
  <c r="Z665" i="3"/>
  <c r="Y853" i="3"/>
  <c r="Z853" i="3"/>
  <c r="Z171" i="3"/>
  <c r="Y171" i="3"/>
  <c r="Y233" i="3"/>
  <c r="Z233" i="3"/>
  <c r="Y208" i="3"/>
  <c r="Z208" i="3"/>
  <c r="Y40" i="3"/>
  <c r="Z40" i="3"/>
  <c r="Y655" i="3"/>
  <c r="Z655" i="3"/>
  <c r="Y615" i="3"/>
  <c r="Z615" i="3"/>
  <c r="Y885" i="3"/>
  <c r="Z885" i="3"/>
  <c r="Y55" i="3"/>
  <c r="Z55" i="3"/>
  <c r="Y380" i="3"/>
  <c r="Z380" i="3"/>
  <c r="Y115" i="3"/>
  <c r="Z115" i="3"/>
  <c r="Y212" i="3"/>
  <c r="Z212" i="3"/>
  <c r="Y805" i="3"/>
  <c r="Z805" i="3"/>
  <c r="Y734" i="3"/>
  <c r="Z734" i="3"/>
  <c r="Z865" i="3"/>
  <c r="Y865" i="3"/>
  <c r="Y549" i="3"/>
  <c r="Z549" i="3"/>
  <c r="Y307" i="3"/>
  <c r="Z307" i="3"/>
  <c r="Z527" i="3"/>
  <c r="Y527" i="3"/>
  <c r="Y465" i="3"/>
  <c r="Z465" i="3"/>
  <c r="Z890" i="3"/>
  <c r="Y890" i="3"/>
  <c r="Z452" i="3"/>
  <c r="Y452" i="3"/>
  <c r="Y133" i="3"/>
  <c r="Z133" i="3"/>
  <c r="Y218" i="3"/>
  <c r="Z218" i="3"/>
  <c r="Y523" i="3"/>
  <c r="Z523" i="3"/>
  <c r="Y37" i="3"/>
  <c r="Z37" i="3"/>
  <c r="Y87" i="3"/>
  <c r="Z87" i="3"/>
  <c r="Y789" i="3"/>
  <c r="Z789" i="3"/>
  <c r="Y799" i="3"/>
  <c r="Z799" i="3"/>
  <c r="Y637" i="3"/>
  <c r="Z637" i="3"/>
  <c r="Y150" i="3"/>
  <c r="Z150" i="3"/>
  <c r="Y252" i="3"/>
  <c r="Z252" i="3"/>
  <c r="Y855" i="3"/>
  <c r="Z855" i="3"/>
  <c r="Y623" i="3"/>
  <c r="Z623" i="3"/>
  <c r="Y58" i="3"/>
  <c r="Z58" i="3"/>
  <c r="Y828" i="3"/>
  <c r="Z828" i="3"/>
  <c r="Y90" i="3"/>
  <c r="Z90" i="3"/>
  <c r="Y244" i="3"/>
  <c r="Z244" i="3"/>
  <c r="Z783" i="3"/>
  <c r="Y783" i="3"/>
  <c r="Y126" i="3"/>
  <c r="Z126" i="3"/>
  <c r="Y809" i="3"/>
  <c r="Z809" i="3"/>
  <c r="Y309" i="3"/>
  <c r="Z309" i="3"/>
  <c r="Z879" i="3"/>
  <c r="Y879" i="3"/>
  <c r="Z647" i="3"/>
  <c r="Y647" i="3"/>
  <c r="Z701" i="3"/>
  <c r="Y701" i="3"/>
  <c r="Y630" i="3"/>
  <c r="Z630" i="3"/>
  <c r="Y153" i="3"/>
  <c r="Z153" i="3"/>
  <c r="Y135" i="3"/>
  <c r="Z135" i="3"/>
  <c r="Y68" i="3"/>
  <c r="Z68" i="3"/>
  <c r="Y258" i="3"/>
  <c r="Z258" i="3"/>
  <c r="Y628" i="3"/>
  <c r="Z628" i="3"/>
  <c r="Z838" i="3"/>
  <c r="Y838" i="3"/>
  <c r="Z120" i="3"/>
  <c r="Y120" i="3"/>
  <c r="Y141" i="3"/>
  <c r="Z141" i="3"/>
  <c r="Y24" i="3"/>
  <c r="Z24" i="3"/>
  <c r="Y264" i="3"/>
  <c r="Z264" i="3"/>
  <c r="Z127" i="3"/>
  <c r="Y127" i="3"/>
  <c r="Y813" i="3"/>
  <c r="Z813" i="3"/>
  <c r="Y793" i="3"/>
  <c r="Z793" i="3"/>
  <c r="Y874" i="3"/>
  <c r="Z874" i="3"/>
  <c r="Y146" i="3"/>
  <c r="Z146" i="3"/>
  <c r="Y197" i="3"/>
  <c r="Z197" i="3"/>
  <c r="Y877" i="3"/>
  <c r="Z877" i="3"/>
  <c r="Y509" i="3"/>
  <c r="Z509" i="3"/>
  <c r="Y839" i="3"/>
  <c r="Z839" i="3"/>
  <c r="Y518" i="3"/>
  <c r="Z518" i="3"/>
  <c r="Y349" i="3"/>
  <c r="Z349" i="3"/>
  <c r="Y869" i="3"/>
  <c r="Z869" i="3"/>
  <c r="Y69" i="3"/>
  <c r="Z69" i="3"/>
  <c r="Z710" i="3"/>
  <c r="Y710" i="3"/>
  <c r="Y165" i="3"/>
  <c r="Z165" i="3"/>
  <c r="Z261" i="3"/>
  <c r="Y261" i="3"/>
  <c r="Y657" i="3"/>
  <c r="Z657" i="3"/>
  <c r="Y807" i="3"/>
  <c r="Z807" i="3"/>
  <c r="Y721" i="3"/>
  <c r="Z721" i="3"/>
  <c r="Y192" i="3"/>
  <c r="Z192" i="3"/>
  <c r="Z843" i="3"/>
  <c r="Y843" i="3"/>
  <c r="Y224" i="3"/>
  <c r="Z224" i="3"/>
  <c r="Y223" i="3"/>
  <c r="Z223" i="3"/>
  <c r="Z823" i="3"/>
  <c r="Y823" i="3"/>
  <c r="Y222" i="3"/>
  <c r="Z222" i="3"/>
  <c r="Z533" i="3"/>
  <c r="Y533" i="3"/>
  <c r="Y748" i="3"/>
  <c r="Z748" i="3"/>
  <c r="Y741" i="3"/>
  <c r="Z741" i="3"/>
  <c r="Y328" i="3"/>
  <c r="Z328" i="3"/>
  <c r="Y749" i="3"/>
  <c r="Z749" i="3"/>
  <c r="Y9" i="3"/>
  <c r="Z9" i="3"/>
  <c r="Z6" i="3"/>
  <c r="Y6" i="3"/>
  <c r="Y82" i="3"/>
  <c r="Z82" i="3"/>
  <c r="Y253" i="3"/>
  <c r="Z253" i="3"/>
  <c r="Y873" i="3"/>
  <c r="Z873" i="3"/>
  <c r="Y768" i="3"/>
  <c r="Z768" i="3"/>
  <c r="Y164" i="3"/>
  <c r="Z164" i="3"/>
  <c r="Y481" i="3"/>
  <c r="Z481" i="3"/>
  <c r="Y319" i="3"/>
  <c r="Z319" i="3"/>
  <c r="Y279" i="3"/>
  <c r="Z279" i="3"/>
  <c r="Y201" i="3"/>
  <c r="Z201" i="3"/>
  <c r="Z601" i="3"/>
  <c r="Y601" i="3"/>
  <c r="Y331" i="3"/>
  <c r="Z331" i="3"/>
  <c r="Y462" i="3"/>
  <c r="Z462" i="3"/>
  <c r="Y283" i="3"/>
  <c r="Z283" i="3"/>
  <c r="Y745" i="3"/>
  <c r="Z745" i="3"/>
  <c r="Y528" i="3"/>
  <c r="Z528" i="3"/>
  <c r="Z111" i="3"/>
  <c r="Y111" i="3"/>
  <c r="Y743" i="3"/>
  <c r="Z743" i="3"/>
  <c r="Y817" i="3"/>
  <c r="Z817" i="3"/>
  <c r="Y228" i="3"/>
  <c r="Z228" i="3"/>
  <c r="Y49" i="3"/>
  <c r="Z49" i="3"/>
  <c r="Y75" i="3"/>
  <c r="Z75" i="3"/>
  <c r="Z797" i="3"/>
  <c r="Y797" i="3"/>
  <c r="Z621" i="3"/>
  <c r="Y621" i="3"/>
  <c r="Z472" i="3"/>
  <c r="Y472" i="3"/>
  <c r="Y303" i="3"/>
  <c r="Z303" i="3"/>
  <c r="Y640" i="3"/>
  <c r="Z640" i="3"/>
  <c r="Y245" i="3"/>
  <c r="Z245" i="3"/>
  <c r="Y732" i="3"/>
  <c r="Z732" i="3"/>
  <c r="Y638" i="3"/>
  <c r="Z638" i="3"/>
  <c r="Y274" i="3"/>
  <c r="Z274" i="3"/>
  <c r="Y534" i="3"/>
  <c r="Z534" i="3"/>
  <c r="Z834" i="3"/>
  <c r="Y834" i="3"/>
  <c r="Y196" i="3"/>
  <c r="Z196" i="3"/>
  <c r="Z217" i="3"/>
  <c r="Y217" i="3"/>
  <c r="Y887" i="3"/>
  <c r="Z887" i="3"/>
  <c r="Y529" i="3"/>
  <c r="Z529" i="3"/>
  <c r="Y859" i="3"/>
  <c r="Z859" i="3"/>
  <c r="Y608" i="3"/>
  <c r="Z608" i="3"/>
  <c r="Y399" i="3"/>
  <c r="Z399" i="3"/>
  <c r="Z690" i="3"/>
  <c r="Y690" i="3"/>
  <c r="Y169" i="3"/>
  <c r="Z169" i="3"/>
  <c r="Z780" i="3"/>
  <c r="Y780" i="3"/>
  <c r="Z315" i="3"/>
  <c r="Y315" i="3"/>
  <c r="Y22" i="3"/>
  <c r="Z22" i="3"/>
  <c r="Y677" i="3"/>
  <c r="Z677" i="3"/>
  <c r="Z837" i="3"/>
  <c r="Y837" i="3"/>
  <c r="Y751" i="3"/>
  <c r="Z751" i="3"/>
  <c r="Y673" i="3"/>
  <c r="Z673" i="3"/>
  <c r="Z372" i="3"/>
  <c r="Y372" i="3"/>
  <c r="Y635" i="3"/>
  <c r="Z635" i="3"/>
  <c r="Z484" i="3"/>
  <c r="Y484" i="3"/>
  <c r="Y845" i="3"/>
  <c r="Z845" i="3"/>
  <c r="Z880" i="3"/>
  <c r="Y880" i="3"/>
  <c r="Y412" i="3"/>
  <c r="Z412" i="3"/>
  <c r="Y863" i="3"/>
  <c r="Z863" i="3"/>
  <c r="Y478" i="3"/>
  <c r="Z478" i="3"/>
  <c r="Y17" i="3"/>
  <c r="Z17" i="3"/>
  <c r="Y7" i="3"/>
  <c r="Z7" i="3"/>
  <c r="Y269" i="3"/>
  <c r="Z269" i="3"/>
  <c r="Y759" i="3"/>
  <c r="Z759" i="3"/>
  <c r="Y530" i="3"/>
  <c r="Z530" i="3"/>
  <c r="Y804" i="3"/>
  <c r="Z804" i="3"/>
  <c r="Z602" i="3"/>
  <c r="Y602" i="3"/>
  <c r="Y619" i="3"/>
  <c r="Z619" i="3"/>
  <c r="Y470" i="3"/>
  <c r="Z470" i="3"/>
  <c r="Z672" i="3"/>
  <c r="Y672" i="3"/>
  <c r="Y116" i="3"/>
  <c r="Z116" i="3"/>
  <c r="Y178" i="3"/>
  <c r="Z178" i="3"/>
  <c r="Y816" i="3"/>
  <c r="Z816" i="3"/>
  <c r="Z787" i="3"/>
  <c r="Y787" i="3"/>
  <c r="Z600" i="3"/>
  <c r="Y600" i="3"/>
  <c r="Y92" i="3"/>
  <c r="Z92" i="3"/>
  <c r="Y143" i="3"/>
  <c r="Z143" i="3"/>
  <c r="Y662" i="3"/>
  <c r="Z662" i="3"/>
  <c r="Y238" i="3"/>
  <c r="Z238" i="3"/>
  <c r="Y499" i="3"/>
  <c r="Z499" i="3"/>
  <c r="Y14" i="3"/>
  <c r="Z14" i="3"/>
  <c r="Y97" i="3"/>
  <c r="Z97" i="3"/>
  <c r="Y794" i="3"/>
  <c r="Z794" i="3"/>
  <c r="Y157" i="3"/>
  <c r="Z157" i="3"/>
  <c r="Y489" i="3"/>
  <c r="Z489" i="3"/>
  <c r="Y819" i="3"/>
  <c r="Z819" i="3"/>
  <c r="Y221" i="3"/>
  <c r="Z221" i="3"/>
  <c r="Y108" i="3"/>
  <c r="Z108" i="3"/>
  <c r="Y112" i="3"/>
  <c r="Z112" i="3"/>
  <c r="Y23" i="3"/>
  <c r="Z23" i="3"/>
  <c r="Y682" i="3"/>
  <c r="Z682" i="3"/>
  <c r="Y641" i="3"/>
  <c r="Z641" i="3"/>
  <c r="Y250" i="3"/>
  <c r="Z250" i="3"/>
  <c r="Y298" i="3"/>
  <c r="Z298" i="3"/>
  <c r="Z226" i="3"/>
  <c r="Y226" i="3"/>
  <c r="Y678" i="3"/>
  <c r="Z678" i="3"/>
  <c r="Y199" i="3"/>
  <c r="Z199" i="3"/>
  <c r="Y232" i="3"/>
  <c r="Z232" i="3"/>
  <c r="Y707" i="3"/>
  <c r="Z707" i="3"/>
  <c r="Y16" i="3"/>
  <c r="Z16" i="3"/>
  <c r="Y791" i="3"/>
  <c r="Z791" i="3"/>
  <c r="Y795" i="3"/>
  <c r="Z795" i="3"/>
  <c r="Y93" i="3"/>
  <c r="Z93" i="3"/>
  <c r="Z753" i="3"/>
  <c r="Y753" i="3"/>
  <c r="Z392" i="3"/>
  <c r="Y392" i="3"/>
  <c r="Y198" i="3"/>
  <c r="Z198" i="3"/>
  <c r="Y72" i="3"/>
  <c r="Z72" i="3"/>
  <c r="Y715" i="3"/>
  <c r="Z715" i="3"/>
  <c r="Y875" i="3"/>
  <c r="Z875" i="3"/>
  <c r="Y144" i="3"/>
  <c r="Z144" i="3"/>
  <c r="Y884" i="3"/>
  <c r="Z884" i="3"/>
  <c r="Y148" i="3"/>
  <c r="Z148" i="3"/>
  <c r="Y779" i="3"/>
  <c r="Z779" i="3"/>
  <c r="Y617" i="3"/>
  <c r="Z617" i="3"/>
  <c r="Z822" i="3"/>
  <c r="Y822" i="3"/>
  <c r="Y321" i="3"/>
  <c r="Z321" i="3"/>
  <c r="Y815" i="3"/>
  <c r="Z815" i="3"/>
  <c r="Y579" i="3"/>
  <c r="Z579" i="3"/>
  <c r="Z60" i="3"/>
  <c r="Y60" i="3"/>
  <c r="Y747" i="3"/>
  <c r="Z747" i="3"/>
  <c r="Y29" i="3"/>
  <c r="Z29" i="3"/>
  <c r="Y214" i="3"/>
  <c r="Z214" i="3"/>
  <c r="Y25" i="3"/>
  <c r="Z25" i="3"/>
  <c r="Y185" i="3"/>
  <c r="Z185" i="3"/>
  <c r="Y643" i="3"/>
  <c r="Z643" i="3"/>
  <c r="Z210" i="3"/>
  <c r="Y210" i="3"/>
  <c r="Y122" i="3"/>
  <c r="Z122" i="3"/>
  <c r="Y322" i="3"/>
  <c r="Z322" i="3"/>
  <c r="Y323" i="3"/>
  <c r="Z323" i="3"/>
  <c r="Y15" i="3"/>
  <c r="Z15" i="3"/>
  <c r="Y195" i="3"/>
  <c r="Z195" i="3"/>
  <c r="Y288" i="3"/>
  <c r="Z288" i="3"/>
  <c r="Y130" i="3"/>
  <c r="Z130" i="3"/>
  <c r="Y34" i="3"/>
  <c r="Z34" i="3"/>
  <c r="Z147" i="3"/>
  <c r="Y147" i="3"/>
  <c r="Y650" i="3"/>
  <c r="Z650" i="3"/>
  <c r="Y335" i="3"/>
  <c r="Z335" i="3"/>
  <c r="Y651" i="3"/>
  <c r="Z651" i="3"/>
  <c r="Y342" i="3"/>
  <c r="Z342" i="3"/>
  <c r="Y572" i="3"/>
  <c r="Z572" i="3"/>
  <c r="Y53" i="3"/>
  <c r="Z53" i="3"/>
  <c r="Z183" i="3"/>
  <c r="Y183" i="3"/>
  <c r="Y713" i="3"/>
  <c r="Z713" i="3"/>
  <c r="Y752" i="3"/>
  <c r="Z752" i="3"/>
  <c r="Y88" i="3"/>
  <c r="Z88" i="3"/>
  <c r="Y868" i="3"/>
  <c r="Z868" i="3"/>
  <c r="Y160" i="3"/>
  <c r="Z160" i="3"/>
  <c r="Y44" i="3"/>
  <c r="Z44" i="3"/>
  <c r="Z167" i="3"/>
  <c r="Y167" i="3"/>
  <c r="Y664" i="3"/>
  <c r="Z664" i="3"/>
  <c r="Y19" i="3"/>
  <c r="Z19" i="3"/>
  <c r="Y629" i="3"/>
  <c r="Z629" i="3"/>
  <c r="Y790" i="3"/>
  <c r="Z790" i="3"/>
  <c r="Y186" i="3"/>
  <c r="Z186" i="3"/>
  <c r="Z661" i="3"/>
  <c r="Y661" i="3"/>
  <c r="Y300" i="3"/>
  <c r="Z300" i="3"/>
  <c r="Z660" i="3"/>
  <c r="Y660" i="3"/>
  <c r="Z675" i="3"/>
  <c r="Y675" i="3"/>
  <c r="Z881" i="3"/>
  <c r="Y881" i="3"/>
  <c r="Y142" i="3"/>
  <c r="Z142" i="3"/>
  <c r="Y352" i="3"/>
  <c r="Z352" i="3"/>
  <c r="Y84" i="3"/>
  <c r="Z84" i="3"/>
  <c r="Y435" i="3"/>
  <c r="Z435" i="3"/>
  <c r="Y63" i="3"/>
  <c r="Z63" i="3"/>
  <c r="Y193" i="3"/>
  <c r="Z193" i="3"/>
  <c r="Y453" i="3"/>
  <c r="Z453" i="3"/>
  <c r="Y723" i="3"/>
  <c r="Z723" i="3"/>
  <c r="Y255" i="3"/>
  <c r="Z255" i="3"/>
  <c r="Z772" i="3"/>
  <c r="Y772" i="3"/>
  <c r="Z645" i="3"/>
  <c r="Y645" i="3"/>
  <c r="Y98" i="3"/>
  <c r="Z98" i="3"/>
  <c r="Y318" i="3"/>
  <c r="Z318" i="3"/>
  <c r="Y658" i="3"/>
  <c r="Z658" i="3"/>
  <c r="Y878" i="3"/>
  <c r="Z878" i="3"/>
  <c r="Z220" i="3"/>
  <c r="Y220" i="3"/>
  <c r="Z351" i="3"/>
  <c r="Y351" i="3"/>
  <c r="Y64" i="3"/>
  <c r="Z64" i="3"/>
  <c r="Y294" i="3"/>
  <c r="Z294" i="3"/>
  <c r="Y187" i="3"/>
  <c r="Z187" i="3"/>
  <c r="Z724" i="3"/>
  <c r="Y724" i="3"/>
  <c r="Y744" i="3"/>
  <c r="Z744" i="3"/>
  <c r="Y524" i="3"/>
  <c r="Z524" i="3"/>
  <c r="Y326" i="3"/>
  <c r="Z326" i="3"/>
  <c r="Y317" i="3"/>
  <c r="Z317" i="3"/>
  <c r="Y149" i="3"/>
  <c r="Z149" i="3"/>
  <c r="Y649" i="3"/>
  <c r="Z649" i="3"/>
  <c r="Y730" i="3"/>
  <c r="Z730" i="3"/>
  <c r="Y708" i="3"/>
  <c r="Z708" i="3"/>
  <c r="Y639" i="3"/>
  <c r="Z639" i="3"/>
  <c r="Y12" i="3"/>
  <c r="Z12" i="3"/>
  <c r="Y239" i="3"/>
  <c r="Z239" i="3"/>
  <c r="Z670" i="3"/>
  <c r="Y670" i="3"/>
  <c r="Z346" i="3"/>
  <c r="Y346" i="3"/>
  <c r="Z262" i="3"/>
  <c r="Y262" i="3"/>
  <c r="Y717" i="3"/>
  <c r="Z717" i="3"/>
  <c r="Y725" i="3"/>
  <c r="Z725" i="3"/>
  <c r="Z821" i="3"/>
  <c r="Y821" i="3"/>
  <c r="Z750" i="3"/>
  <c r="Y750" i="3"/>
  <c r="Y213" i="3"/>
  <c r="Z213" i="3"/>
  <c r="Z820" i="3"/>
  <c r="Y820" i="3"/>
  <c r="Y103" i="3"/>
  <c r="Z103" i="3"/>
  <c r="Z205" i="3"/>
  <c r="Y205" i="3"/>
  <c r="Y460" i="3"/>
  <c r="Z460" i="3"/>
  <c r="Y113" i="3"/>
  <c r="Z113" i="3"/>
  <c r="Y485" i="3"/>
  <c r="Z485" i="3"/>
  <c r="Y310" i="3"/>
  <c r="Z310" i="3"/>
  <c r="Y76" i="3"/>
  <c r="Z76" i="3"/>
  <c r="Y119" i="3"/>
  <c r="Z119" i="3"/>
  <c r="Y11" i="3"/>
  <c r="Z11" i="3"/>
  <c r="Y767" i="3"/>
  <c r="Z767" i="3"/>
  <c r="Z242" i="3"/>
  <c r="Y242" i="3"/>
  <c r="Y603" i="3"/>
  <c r="Z603" i="3"/>
  <c r="Y508" i="3"/>
  <c r="Z508" i="3"/>
  <c r="Y694" i="3"/>
  <c r="Z694" i="3"/>
  <c r="Y829" i="3"/>
  <c r="Z829" i="3"/>
  <c r="Y883" i="3"/>
  <c r="Z883" i="3"/>
  <c r="Y200" i="3"/>
  <c r="Z200" i="3"/>
  <c r="Y312" i="3"/>
  <c r="Z312" i="3"/>
  <c r="Y434" i="3"/>
  <c r="Z434" i="3"/>
  <c r="Y285" i="3"/>
  <c r="Z285" i="3"/>
  <c r="Z532" i="3"/>
  <c r="Y532" i="3"/>
  <c r="Y33" i="3"/>
  <c r="Z33" i="3"/>
  <c r="Y163" i="3"/>
  <c r="Z163" i="3"/>
  <c r="Y663" i="3"/>
  <c r="Z663" i="3"/>
  <c r="Y78" i="3"/>
  <c r="Z78" i="3"/>
  <c r="Y858" i="3"/>
  <c r="Z858" i="3"/>
  <c r="Y191" i="3"/>
  <c r="Z191" i="3"/>
  <c r="Y654" i="3"/>
  <c r="Z654" i="3"/>
  <c r="Y132" i="3"/>
  <c r="Z132" i="3"/>
  <c r="Z325" i="3"/>
  <c r="Y325" i="3"/>
  <c r="Y333" i="3"/>
  <c r="Z333" i="3"/>
  <c r="Y145" i="3"/>
  <c r="Z145" i="3"/>
  <c r="Y515" i="3"/>
  <c r="Z515" i="3"/>
  <c r="Y648" i="3"/>
  <c r="Z648" i="3"/>
  <c r="Y211" i="3"/>
  <c r="Z211" i="3"/>
  <c r="Y284" i="3"/>
  <c r="Z284" i="3"/>
  <c r="Y684" i="3"/>
  <c r="Z684" i="3"/>
  <c r="Y514" i="3"/>
  <c r="Z514" i="3"/>
  <c r="Y277" i="3"/>
  <c r="Z277" i="3"/>
  <c r="Y520" i="3"/>
  <c r="Z520" i="3"/>
  <c r="Y519" i="3"/>
  <c r="Z519" i="3"/>
  <c r="Z850" i="3"/>
  <c r="Y850" i="3"/>
  <c r="Z691" i="3"/>
  <c r="Y691" i="3"/>
  <c r="Y350" i="3"/>
  <c r="Z350" i="3"/>
  <c r="Z680" i="3"/>
  <c r="Y680" i="3"/>
  <c r="Y755" i="3"/>
  <c r="Z755" i="3"/>
  <c r="Z891" i="3"/>
  <c r="Y891" i="3"/>
  <c r="Z172" i="3"/>
  <c r="Y172" i="3"/>
  <c r="Y362" i="3"/>
  <c r="Z362" i="3"/>
  <c r="Y204" i="3"/>
  <c r="Z204" i="3"/>
  <c r="Y525" i="3"/>
  <c r="Z525" i="3"/>
  <c r="Y83" i="3"/>
  <c r="Z83" i="3"/>
  <c r="Y203" i="3"/>
  <c r="Z203" i="3"/>
  <c r="Z483" i="3"/>
  <c r="Y483" i="3"/>
  <c r="Y833" i="3"/>
  <c r="Z833" i="3"/>
  <c r="Z305" i="3"/>
  <c r="Y305" i="3"/>
  <c r="Y194" i="3"/>
  <c r="Z194" i="3"/>
  <c r="Y695" i="3"/>
  <c r="Z695" i="3"/>
  <c r="Y118" i="3"/>
  <c r="Z118" i="3"/>
  <c r="Y338" i="3"/>
  <c r="Z338" i="3"/>
  <c r="Y688" i="3"/>
  <c r="Z688" i="3"/>
  <c r="Y888" i="3"/>
  <c r="Z888" i="3"/>
  <c r="Y230" i="3"/>
  <c r="Z230" i="3"/>
  <c r="Y381" i="3"/>
  <c r="Z381" i="3"/>
  <c r="Y74" i="3"/>
  <c r="Z74" i="3"/>
  <c r="Y344" i="3"/>
  <c r="Z344" i="3"/>
  <c r="Y207" i="3"/>
  <c r="Z207" i="3"/>
  <c r="Y774" i="3"/>
  <c r="Z774" i="3"/>
  <c r="Y784" i="3"/>
  <c r="Z784" i="3"/>
  <c r="Y844" i="3"/>
  <c r="Z844" i="3"/>
  <c r="Z416" i="3"/>
  <c r="Y416" i="3"/>
  <c r="Y337" i="3"/>
  <c r="Z337" i="3"/>
  <c r="Y189" i="3"/>
  <c r="Z189" i="3"/>
  <c r="Y679" i="3"/>
  <c r="Z679" i="3"/>
  <c r="Z760" i="3"/>
  <c r="Y760" i="3"/>
  <c r="Y788" i="3"/>
  <c r="Z788" i="3"/>
  <c r="Y669" i="3"/>
  <c r="Z669" i="3"/>
  <c r="Y803" i="3"/>
  <c r="Z803" i="3"/>
  <c r="Y329" i="3"/>
  <c r="Z329" i="3"/>
  <c r="Z720" i="3"/>
  <c r="Y720" i="3"/>
  <c r="Y876" i="3"/>
  <c r="Z876" i="3"/>
  <c r="Y292" i="3"/>
  <c r="Z292" i="3"/>
  <c r="Y487" i="3"/>
  <c r="Z487" i="3"/>
  <c r="Z727" i="3"/>
  <c r="Y727" i="3"/>
  <c r="Y622" i="3"/>
  <c r="Z622" i="3"/>
  <c r="P2" i="3"/>
  <c r="Q2" i="3"/>
  <c r="R2" i="3"/>
  <c r="S2" i="3"/>
  <c r="T2" i="3"/>
  <c r="U2" i="3"/>
  <c r="V2" i="3"/>
  <c r="W33" i="4"/>
  <c r="X59" i="4"/>
  <c r="X89" i="4"/>
  <c r="X99" i="4"/>
  <c r="X26" i="4"/>
  <c r="X38" i="4"/>
  <c r="W8" i="4"/>
  <c r="X48" i="4"/>
  <c r="W17" i="4"/>
  <c r="X6" i="4"/>
  <c r="W76" i="4"/>
  <c r="X76" i="4"/>
  <c r="W97" i="4"/>
  <c r="X97" i="4"/>
  <c r="W64" i="4"/>
  <c r="X64" i="4"/>
  <c r="W68" i="4"/>
  <c r="X68" i="4"/>
  <c r="W94" i="4"/>
  <c r="X94" i="4"/>
  <c r="W78" i="4"/>
  <c r="X78" i="4"/>
  <c r="W66" i="4"/>
  <c r="X66" i="4"/>
  <c r="W35" i="4"/>
  <c r="X35" i="4"/>
  <c r="W73" i="4"/>
  <c r="X73" i="4"/>
  <c r="W67" i="4"/>
  <c r="X67" i="4"/>
  <c r="W52" i="4"/>
  <c r="W79" i="4"/>
  <c r="W101" i="4"/>
  <c r="W43" i="4"/>
  <c r="W62" i="4"/>
  <c r="W12" i="4"/>
  <c r="W61" i="4"/>
  <c r="W54" i="4"/>
  <c r="W92" i="4"/>
  <c r="W40" i="4"/>
  <c r="W102" i="4"/>
  <c r="W85" i="4"/>
  <c r="W81" i="4"/>
  <c r="W15" i="4"/>
  <c r="W84" i="4"/>
  <c r="W49" i="4"/>
  <c r="W91" i="4"/>
  <c r="W50" i="4"/>
  <c r="W86" i="4"/>
  <c r="W69" i="4"/>
  <c r="W55" i="4"/>
  <c r="W72" i="4"/>
  <c r="W82" i="4"/>
  <c r="W63" i="4"/>
  <c r="W60" i="4"/>
  <c r="W13" i="4"/>
  <c r="W90" i="4"/>
  <c r="W74" i="4"/>
  <c r="W39" i="4"/>
  <c r="W104" i="4"/>
  <c r="W93" i="4"/>
  <c r="W11" i="4"/>
  <c r="W103" i="4"/>
  <c r="W7" i="4"/>
  <c r="W24" i="4"/>
  <c r="W42" i="4"/>
  <c r="W21" i="4"/>
  <c r="W31" i="4"/>
  <c r="W44" i="4"/>
  <c r="W41" i="4"/>
  <c r="W14" i="4"/>
  <c r="T2" i="4"/>
  <c r="S2" i="4"/>
  <c r="R2" i="4"/>
  <c r="Q2" i="4"/>
  <c r="P2" i="4"/>
  <c r="O2" i="4"/>
  <c r="N2" i="4"/>
  <c r="A12" i="3"/>
  <c r="A13" i="3" s="1"/>
  <c r="AA892" i="3" l="1"/>
  <c r="H2" i="3" s="1"/>
  <c r="I2" i="3" s="1"/>
  <c r="AF9" i="3"/>
  <c r="AF8" i="3"/>
  <c r="AF7" i="3"/>
  <c r="Y105" i="4"/>
  <c r="G2" i="4" s="1"/>
  <c r="H2" i="4" s="1"/>
  <c r="U2" i="4"/>
  <c r="A14" i="3"/>
  <c r="AG10" i="3" l="1"/>
  <c r="A15" i="3"/>
  <c r="A16" i="3" s="1"/>
  <c r="A17" i="3" s="1"/>
  <c r="A18" i="3" l="1"/>
  <c r="A19" i="3" s="1"/>
  <c r="A20" i="3" l="1"/>
  <c r="A21" i="3" s="1"/>
  <c r="A22" i="3" s="1"/>
  <c r="A23" i="3" l="1"/>
  <c r="A24" i="3" s="1"/>
  <c r="A25" i="3" s="1"/>
  <c r="A26" i="3" s="1"/>
  <c r="A27" i="3" s="1"/>
  <c r="A28" i="3" l="1"/>
  <c r="A29" i="3" l="1"/>
  <c r="A30" i="3" l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tc={6FBE4E4D-6F78-DD48-B45A-599EA8941413}</author>
  </authors>
  <commentList>
    <comment ref="R5" authorId="0" shapeId="0" xr:uid="{6FBE4E4D-6F78-DD48-B45A-599EA8941413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Combined constant access with other instruction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tc={ECFE9067-500F-684A-BAFD-70ECA71744BE}</author>
    <author>tc={FD7D67BC-F620-B546-B4B9-7B75848CD14B}</author>
  </authors>
  <commentList>
    <comment ref="T5" authorId="0" shapeId="0" xr:uid="{ECFE9067-500F-684A-BAFD-70ECA71744B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Combined constant access with other instruction</t>
      </text>
    </comment>
    <comment ref="K33" authorId="1" shapeId="0" xr:uid="{FD7D67BC-F620-B546-B4B9-7B75848CD14B}">
      <text>
        <t>[Threaded comment]
Your version of Excel allows you to read this threaded comment; however, any edits to it will get removed if the file is opened in a newer version of Excel. Learn more: https://go.microsoft.com/fwlink/?linkid=870924
Comment:
    PNT: Path not taken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<sst xmlns="http://schemas.openxmlformats.org/spreadsheetml/2006/main" count="6574" uniqueCount="830">
  <si>
    <t>MOV</t>
  </si>
  <si>
    <t>R1</t>
  </si>
  <si>
    <t>c[0x0][0x28]</t>
  </si>
  <si>
    <t>S2R</t>
  </si>
  <si>
    <t>R6</t>
  </si>
  <si>
    <t>SR_CTAID.X</t>
  </si>
  <si>
    <t>HFMA2.MMA</t>
  </si>
  <si>
    <t>R7</t>
  </si>
  <si>
    <t>RZ</t>
  </si>
  <si>
    <t>ULDC.64</t>
  </si>
  <si>
    <t>UR4</t>
  </si>
  <si>
    <t>c[0x0][0x118]</t>
  </si>
  <si>
    <t>R3</t>
  </si>
  <si>
    <t>SR_TID.X</t>
  </si>
  <si>
    <t>IMAD</t>
  </si>
  <si>
    <t>c[0x0][0x0]</t>
  </si>
  <si>
    <t>IMAD.WIDE.U32</t>
  </si>
  <si>
    <t>R2</t>
  </si>
  <si>
    <t>c[0x0][0x160]</t>
  </si>
  <si>
    <t>R4</t>
  </si>
  <si>
    <t>c[0x0][0x168]</t>
  </si>
  <si>
    <t>LDG.E</t>
  </si>
  <si>
    <t>[R2.64]</t>
  </si>
  <si>
    <t>R5</t>
  </si>
  <si>
    <t>[R4.64]</t>
  </si>
  <si>
    <t>c[0x0][0x170]</t>
  </si>
  <si>
    <t>IADD3</t>
  </si>
  <si>
    <t>R9</t>
  </si>
  <si>
    <t>STG.E</t>
  </si>
  <si>
    <t>[R6.64]</t>
  </si>
  <si>
    <t>EXIT</t>
  </si>
  <si>
    <t>destination</t>
  </si>
  <si>
    <t>source</t>
  </si>
  <si>
    <t>Rz</t>
  </si>
  <si>
    <t>pipeline</t>
  </si>
  <si>
    <t>source2</t>
  </si>
  <si>
    <t>source3</t>
  </si>
  <si>
    <t>source4</t>
  </si>
  <si>
    <t>const</t>
  </si>
  <si>
    <t>MUFU</t>
  </si>
  <si>
    <t>TC</t>
  </si>
  <si>
    <t>HFMA2</t>
  </si>
  <si>
    <t>ULDC</t>
  </si>
  <si>
    <t>LDG</t>
  </si>
  <si>
    <t>add_216_1024</t>
  </si>
  <si>
    <t>IMAD.MOV.U32</t>
  </si>
  <si>
    <t>R0</t>
  </si>
  <si>
    <t>SHF.L.U32</t>
  </si>
  <si>
    <t>0x9</t>
  </si>
  <si>
    <t>ISETP.GE.AND</t>
  </si>
  <si>
    <t>P0</t>
  </si>
  <si>
    <t>PT</t>
  </si>
  <si>
    <t>0x200</t>
  </si>
  <si>
    <t>0x4</t>
  </si>
  <si>
    <t>IMAD.WIDE</t>
  </si>
  <si>
    <t>c[0x0][0x178]</t>
  </si>
  <si>
    <t>0x10</t>
  </si>
  <si>
    <t>LDG.E.128</t>
  </si>
  <si>
    <t>R8</t>
  </si>
  <si>
    <t>FMUL</t>
  </si>
  <si>
    <t>R11</t>
  </si>
  <si>
    <t>R10</t>
  </si>
  <si>
    <t>STG.E.128</t>
  </si>
  <si>
    <t>Destination</t>
  </si>
  <si>
    <t>imad</t>
  </si>
  <si>
    <t>inst</t>
  </si>
  <si>
    <t>UR6</t>
  </si>
  <si>
    <t>BSSY</t>
  </si>
  <si>
    <t>B0</t>
  </si>
  <si>
    <t>I2F</t>
  </si>
  <si>
    <t>FFMA</t>
  </si>
  <si>
    <t>R15</t>
  </si>
  <si>
    <t>BSYNC</t>
  </si>
  <si>
    <t>LOP3.LUT</t>
  </si>
  <si>
    <t>P2</t>
  </si>
  <si>
    <t>0x1</t>
  </si>
  <si>
    <t>0xc0</t>
  </si>
  <si>
    <t>!PT</t>
  </si>
  <si>
    <t>P1</t>
  </si>
  <si>
    <t>0x2</t>
  </si>
  <si>
    <t>R20</t>
  </si>
  <si>
    <t>FSEL</t>
  </si>
  <si>
    <t>R13</t>
  </si>
  <si>
    <t>@P2</t>
  </si>
  <si>
    <t>R12</t>
  </si>
  <si>
    <t>@P1</t>
  </si>
  <si>
    <t>@P0</t>
  </si>
  <si>
    <t>ISETP.GE.U32.AND</t>
  </si>
  <si>
    <t>FADD</t>
  </si>
  <si>
    <t>IMAD.SHL.U32</t>
  </si>
  <si>
    <t>SHF.R.U32.HI</t>
  </si>
  <si>
    <t>0x5</t>
  </si>
  <si>
    <t>fma</t>
  </si>
  <si>
    <t>lsu</t>
  </si>
  <si>
    <t>cbu</t>
  </si>
  <si>
    <t>alu</t>
  </si>
  <si>
    <t>xu</t>
  </si>
  <si>
    <t>tensor</t>
  </si>
  <si>
    <t>adu</t>
  </si>
  <si>
    <t>FP32</t>
  </si>
  <si>
    <t>FMAD</t>
  </si>
  <si>
    <t>global mem</t>
  </si>
  <si>
    <t>local mem</t>
  </si>
  <si>
    <t>shared mem</t>
  </si>
  <si>
    <t>STR</t>
  </si>
  <si>
    <t>L1TEX ld/st</t>
  </si>
  <si>
    <t>tc</t>
  </si>
  <si>
    <t>UTCBAR</t>
  </si>
  <si>
    <t>UTCCP</t>
  </si>
  <si>
    <t>UTC*MMA</t>
  </si>
  <si>
    <t>UTCSHIFT</t>
  </si>
  <si>
    <t>UTC*SWS</t>
  </si>
  <si>
    <t xml:space="preserve">MMA </t>
  </si>
  <si>
    <t>sin</t>
  </si>
  <si>
    <t>cos</t>
  </si>
  <si>
    <t xml:space="preserve">sqrt </t>
  </si>
  <si>
    <t>int2float</t>
  </si>
  <si>
    <t>float2int</t>
  </si>
  <si>
    <t>fmaheavy</t>
  </si>
  <si>
    <t>fmalite</t>
  </si>
  <si>
    <t xml:space="preserve">FADD </t>
  </si>
  <si>
    <t xml:space="preserve">FMUL </t>
  </si>
  <si>
    <t xml:space="preserve">FMAD </t>
  </si>
  <si>
    <t>FP16</t>
  </si>
  <si>
    <t>HADD2</t>
  </si>
  <si>
    <t>HMUL2</t>
  </si>
  <si>
    <t>fp64</t>
  </si>
  <si>
    <t>Opcode</t>
  </si>
  <si>
    <t>Description</t>
  </si>
  <si>
    <t>Floating Point Instructions</t>
  </si>
  <si>
    <t>FP32 Add</t>
  </si>
  <si>
    <t>FADD32I</t>
  </si>
  <si>
    <t>FCHK</t>
  </si>
  <si>
    <t>Floating-point Range Check</t>
  </si>
  <si>
    <t>FFMA32I</t>
  </si>
  <si>
    <t>FP32 Fused Multiply and Add</t>
  </si>
  <si>
    <t>FMNMX</t>
  </si>
  <si>
    <t>FP32 Minimum/Maximum</t>
  </si>
  <si>
    <t>FP32 Multiply</t>
  </si>
  <si>
    <t>FMUL32I</t>
  </si>
  <si>
    <t>Floating Point Select</t>
  </si>
  <si>
    <t>FSET</t>
  </si>
  <si>
    <t>FP32 Compare And Set</t>
  </si>
  <si>
    <t>FSETP</t>
  </si>
  <si>
    <t>FP32 Compare And Set Predicate</t>
  </si>
  <si>
    <t>FSWZADD</t>
  </si>
  <si>
    <t>FP32 Swizzle Add</t>
  </si>
  <si>
    <t>FP32 Multi Function Operation</t>
  </si>
  <si>
    <t>FP16 Add</t>
  </si>
  <si>
    <t>HADD2_32I</t>
  </si>
  <si>
    <t>HFMA2_32I</t>
  </si>
  <si>
    <t>HMMA</t>
  </si>
  <si>
    <t>Matrix Multiply and Accumulate</t>
  </si>
  <si>
    <t>HMNMX2</t>
  </si>
  <si>
    <t>FP16 Minimum / Maximum</t>
  </si>
  <si>
    <t>FP16 Multiply</t>
  </si>
  <si>
    <t>HMUL2_32I</t>
  </si>
  <si>
    <t>HSET2</t>
  </si>
  <si>
    <t>FP16 Compare And Set</t>
  </si>
  <si>
    <t>HSETP2</t>
  </si>
  <si>
    <t>FP16 Compare And Set Predicate</t>
  </si>
  <si>
    <t>DADD</t>
  </si>
  <si>
    <t>FP64 Add</t>
  </si>
  <si>
    <t>DFMA</t>
  </si>
  <si>
    <t>DMMA</t>
  </si>
  <si>
    <t>DMUL</t>
  </si>
  <si>
    <t>FP64 Multiply</t>
  </si>
  <si>
    <t>DSETP</t>
  </si>
  <si>
    <t>FP64 Compare And Set Predicate</t>
  </si>
  <si>
    <t>Integer Instructions</t>
  </si>
  <si>
    <t>BMMA</t>
  </si>
  <si>
    <t>Bit Matrix Multiply and Accumulate</t>
  </si>
  <si>
    <t>BMSK</t>
  </si>
  <si>
    <t>Bitfield Mask</t>
  </si>
  <si>
    <t>BREV</t>
  </si>
  <si>
    <t>Bit Reverse</t>
  </si>
  <si>
    <t>FLO</t>
  </si>
  <si>
    <t>Find Leading One</t>
  </si>
  <si>
    <t>IABS</t>
  </si>
  <si>
    <t>Integer Absolute Value</t>
  </si>
  <si>
    <t>IADD</t>
  </si>
  <si>
    <t>Integer Addition</t>
  </si>
  <si>
    <t>3-input Integer Addition</t>
  </si>
  <si>
    <t>IADD32I</t>
  </si>
  <si>
    <t>IDP</t>
  </si>
  <si>
    <t>Integer Dot Product and Accumulate</t>
  </si>
  <si>
    <t>IDP4A</t>
  </si>
  <si>
    <t>Integer Multiply And Add</t>
  </si>
  <si>
    <t>IMMA</t>
  </si>
  <si>
    <t>Integer Matrix Multiply and Accumulate</t>
  </si>
  <si>
    <t>IMNMX</t>
  </si>
  <si>
    <t>Integer Minimum/Maximum</t>
  </si>
  <si>
    <t>IMUL</t>
  </si>
  <si>
    <t>Integer Multiply</t>
  </si>
  <si>
    <t>IMUL32I</t>
  </si>
  <si>
    <t>ISCADD</t>
  </si>
  <si>
    <t>Scaled Integer Addition</t>
  </si>
  <si>
    <t>ISCADD32I</t>
  </si>
  <si>
    <t>ISETP</t>
  </si>
  <si>
    <t>Integer Compare And Set Predicate</t>
  </si>
  <si>
    <t>LEA</t>
  </si>
  <si>
    <t>LOAD Effective Address</t>
  </si>
  <si>
    <t>LOP</t>
  </si>
  <si>
    <t>Logic Operation</t>
  </si>
  <si>
    <t>LOP3</t>
  </si>
  <si>
    <t>LOP32I</t>
  </si>
  <si>
    <t>POPC</t>
  </si>
  <si>
    <t>Population count</t>
  </si>
  <si>
    <t>SHF</t>
  </si>
  <si>
    <t>Funnel Shift</t>
  </si>
  <si>
    <t>SHL</t>
  </si>
  <si>
    <t>Shift Left</t>
  </si>
  <si>
    <t>SHR</t>
  </si>
  <si>
    <t>Shift Right</t>
  </si>
  <si>
    <t>VABSDIFF</t>
  </si>
  <si>
    <t>Absolute Difference</t>
  </si>
  <si>
    <t>VABSDIFF4</t>
  </si>
  <si>
    <t>Conversion Instructions</t>
  </si>
  <si>
    <t>F2F</t>
  </si>
  <si>
    <t>Floating Point To Floating Point Conversion</t>
  </si>
  <si>
    <t>F2I</t>
  </si>
  <si>
    <t>Floating Point To Integer Conversion</t>
  </si>
  <si>
    <t>Integer To Floating Point Conversion</t>
  </si>
  <si>
    <t>I2I</t>
  </si>
  <si>
    <t>Integer To Integer Conversion</t>
  </si>
  <si>
    <t>I2IP</t>
  </si>
  <si>
    <t>Integer To Integer Conversion and Packing</t>
  </si>
  <si>
    <t>I2FP</t>
  </si>
  <si>
    <t>Integer to FP32 Convert and Pack</t>
  </si>
  <si>
    <t>F2IP</t>
  </si>
  <si>
    <t>FP32 Down-Convert to Integer and Pack</t>
  </si>
  <si>
    <t>FRND</t>
  </si>
  <si>
    <t>Round To Integer</t>
  </si>
  <si>
    <t>Movement Instructions</t>
  </si>
  <si>
    <t>Move</t>
  </si>
  <si>
    <t>MOV32I</t>
  </si>
  <si>
    <t>MOVM</t>
  </si>
  <si>
    <t>Move Matrix with Transposition or Expansion</t>
  </si>
  <si>
    <t>PRMT</t>
  </si>
  <si>
    <t>Permute Register Pair</t>
  </si>
  <si>
    <t>SEL</t>
  </si>
  <si>
    <t>Select Source with Predicate</t>
  </si>
  <si>
    <t>SGXT</t>
  </si>
  <si>
    <t>Sign Extend</t>
  </si>
  <si>
    <t>SHFL</t>
  </si>
  <si>
    <t>Warp Wide Register Shuffle</t>
  </si>
  <si>
    <t>Predicate Instructions</t>
  </si>
  <si>
    <t>PLOP3</t>
  </si>
  <si>
    <t>Predicate Logic Operation</t>
  </si>
  <si>
    <t>PSETP</t>
  </si>
  <si>
    <t>Combine Predicates and Set Predicate</t>
  </si>
  <si>
    <t>P2R</t>
  </si>
  <si>
    <t>Move Predicate Register To Register</t>
  </si>
  <si>
    <t>R2P</t>
  </si>
  <si>
    <t>Move Register To Predicate Register</t>
  </si>
  <si>
    <t>Load/Store Instructions</t>
  </si>
  <si>
    <t>LD</t>
  </si>
  <si>
    <t>Load from generic Memory</t>
  </si>
  <si>
    <t>LDC</t>
  </si>
  <si>
    <t>Load Constant</t>
  </si>
  <si>
    <t>Load from Global Memory</t>
  </si>
  <si>
    <t>LDGDEPBAR</t>
  </si>
  <si>
    <t>Global Load Dependency Barrier</t>
  </si>
  <si>
    <t>LDGSTS</t>
  </si>
  <si>
    <t>Asynchronous Global to Shared Memcopy</t>
  </si>
  <si>
    <t>LDL</t>
  </si>
  <si>
    <t>Load within Local Memory Window</t>
  </si>
  <si>
    <t>LDS</t>
  </si>
  <si>
    <t>Load within Shared Memory Window</t>
  </si>
  <si>
    <t>LDSM</t>
  </si>
  <si>
    <t>Load Matrix from Shared Memory with Element Size Expansion</t>
  </si>
  <si>
    <t>ST</t>
  </si>
  <si>
    <t>Store to Generic Memory</t>
  </si>
  <si>
    <t>STG</t>
  </si>
  <si>
    <t>Store to Global Memory</t>
  </si>
  <si>
    <t>STL</t>
  </si>
  <si>
    <t>Store to Local Memory</t>
  </si>
  <si>
    <t>STS</t>
  </si>
  <si>
    <t>Store to Shared Memory</t>
  </si>
  <si>
    <t>MATCH</t>
  </si>
  <si>
    <t>Match Register Values Across Thread Group</t>
  </si>
  <si>
    <t>QSPC</t>
  </si>
  <si>
    <t>Query Space</t>
  </si>
  <si>
    <t>ATOM</t>
  </si>
  <si>
    <t>Atomic Operation on Generic Memory</t>
  </si>
  <si>
    <t>ATOMS</t>
  </si>
  <si>
    <t>Atomic Operation on Shared Memory</t>
  </si>
  <si>
    <t>ATOMG</t>
  </si>
  <si>
    <t>Atomic Operation on Global Memory</t>
  </si>
  <si>
    <t>RED</t>
  </si>
  <si>
    <t>Reduction Operation on Generic Memory</t>
  </si>
  <si>
    <t>CCTL</t>
  </si>
  <si>
    <t>Cache Control</t>
  </si>
  <si>
    <t>CCTLL</t>
  </si>
  <si>
    <t>ERRBAR</t>
  </si>
  <si>
    <t>Error Barrier</t>
  </si>
  <si>
    <t>MEMBAR</t>
  </si>
  <si>
    <t>Memory Barrier</t>
  </si>
  <si>
    <t>CCTLT</t>
  </si>
  <si>
    <t>Texture Cache Control</t>
  </si>
  <si>
    <t>Uniform Datapath Instructions</t>
  </si>
  <si>
    <t>R2UR</t>
  </si>
  <si>
    <t>Move from Vector Register to a Uniform Register</t>
  </si>
  <si>
    <t>REDUX</t>
  </si>
  <si>
    <t>Reduction of a Vector Register into a Uniform Register</t>
  </si>
  <si>
    <t>S2UR</t>
  </si>
  <si>
    <t>Move Special Register to Uniform Register</t>
  </si>
  <si>
    <t>UBMSK</t>
  </si>
  <si>
    <t>Uniform Bitfield Mask</t>
  </si>
  <si>
    <t>UBREV</t>
  </si>
  <si>
    <t>Uniform Bit Reverse</t>
  </si>
  <si>
    <t>UCLEA</t>
  </si>
  <si>
    <t>Load Effective Address for a Constant</t>
  </si>
  <si>
    <t>UF2FP</t>
  </si>
  <si>
    <t>Uniform FP32 Down-convert and Pack</t>
  </si>
  <si>
    <t>UFLO</t>
  </si>
  <si>
    <t>Uniform Find Leading One</t>
  </si>
  <si>
    <t>UIADD3</t>
  </si>
  <si>
    <t>Uniform Integer Addition</t>
  </si>
  <si>
    <t>UIADD3.64</t>
  </si>
  <si>
    <t>UIMAD</t>
  </si>
  <si>
    <t>Uniform Integer Multiplication</t>
  </si>
  <si>
    <t>UISETP</t>
  </si>
  <si>
    <t>Integer Compare and Set Uniform Predicate</t>
  </si>
  <si>
    <t>Load from Constant Memory into a Uniform Register</t>
  </si>
  <si>
    <t>ULEA</t>
  </si>
  <si>
    <t>Uniform Load Effective Address</t>
  </si>
  <si>
    <t>ULOP</t>
  </si>
  <si>
    <t>ULOP3</t>
  </si>
  <si>
    <t>ULOP32I</t>
  </si>
  <si>
    <t>UMOV</t>
  </si>
  <si>
    <t>Uniform Move</t>
  </si>
  <si>
    <t>UP2UR</t>
  </si>
  <si>
    <t>Uniform Predicate to Uniform Register</t>
  </si>
  <si>
    <t>UPLOP3</t>
  </si>
  <si>
    <t>Uniform Predicate Logic Operation</t>
  </si>
  <si>
    <t>UPOPC</t>
  </si>
  <si>
    <t>Uniform Population Count</t>
  </si>
  <si>
    <t>UPRMT</t>
  </si>
  <si>
    <t>Uniform Byte Permute</t>
  </si>
  <si>
    <t>UPSETP</t>
  </si>
  <si>
    <t>UR2UP</t>
  </si>
  <si>
    <t>Uniform Register to Uniform Predicate</t>
  </si>
  <si>
    <t>USEL</t>
  </si>
  <si>
    <t>Uniform Select</t>
  </si>
  <si>
    <t>USGXT</t>
  </si>
  <si>
    <t>Uniform Sign Extend</t>
  </si>
  <si>
    <t>USHF</t>
  </si>
  <si>
    <t>Uniform Funnel Shift</t>
  </si>
  <si>
    <t>USHL</t>
  </si>
  <si>
    <t>Uniform Left Shift</t>
  </si>
  <si>
    <t>USHR</t>
  </si>
  <si>
    <t>Uniform Right Shift</t>
  </si>
  <si>
    <t>VOTEU</t>
  </si>
  <si>
    <t>Voting across SIMD Thread Group with Results in Uniform Destination</t>
  </si>
  <si>
    <t>BMOV</t>
  </si>
  <si>
    <t>Move Convergence Barrier State</t>
  </si>
  <si>
    <t>BPT</t>
  </si>
  <si>
    <t>BreakPoint/Trap</t>
  </si>
  <si>
    <t>BRA</t>
  </si>
  <si>
    <t>Relative Branch</t>
  </si>
  <si>
    <t>BREAK</t>
  </si>
  <si>
    <t>Break out of the Specified Convergence Barrier</t>
  </si>
  <si>
    <t>BRX</t>
  </si>
  <si>
    <t>Relative Branch Indirect</t>
  </si>
  <si>
    <t>BRXU</t>
  </si>
  <si>
    <t>Relative Branch with Uniform Register Based Offset</t>
  </si>
  <si>
    <t>Barrier Set Convergence Synchronization Point</t>
  </si>
  <si>
    <t>Synchronize Threads on a Convergence Barrier</t>
  </si>
  <si>
    <t>CALL</t>
  </si>
  <si>
    <t>Call Function</t>
  </si>
  <si>
    <t>Exit Program</t>
  </si>
  <si>
    <t>JMP</t>
  </si>
  <si>
    <t>Absolute Jump</t>
  </si>
  <si>
    <t>JMX</t>
  </si>
  <si>
    <t>Absolute Jump Indirect</t>
  </si>
  <si>
    <t>JMXU</t>
  </si>
  <si>
    <t>Absolute Jump with Uniform Register Based Offset</t>
  </si>
  <si>
    <t>KILL</t>
  </si>
  <si>
    <t>Kill Thread</t>
  </si>
  <si>
    <t>NANOSLEEP</t>
  </si>
  <si>
    <t>Suspend Execution</t>
  </si>
  <si>
    <t>RET</t>
  </si>
  <si>
    <t>Return From Subroutine</t>
  </si>
  <si>
    <t>RPCMOV</t>
  </si>
  <si>
    <t>PC Register Move</t>
  </si>
  <si>
    <t>WARPSYNC</t>
  </si>
  <si>
    <t>Synchronize Threads in Warp</t>
  </si>
  <si>
    <t>YIELD</t>
  </si>
  <si>
    <t>Yield Control</t>
  </si>
  <si>
    <t>B2R</t>
  </si>
  <si>
    <t>Move Barrier To Register</t>
  </si>
  <si>
    <t>BAR</t>
  </si>
  <si>
    <t>Barrier Synchronization</t>
  </si>
  <si>
    <t>CS2R</t>
  </si>
  <si>
    <t>Move Special Register to Register</t>
  </si>
  <si>
    <t>Pipeline ??</t>
  </si>
  <si>
    <t>fp32 ??</t>
  </si>
  <si>
    <t>FP16 Fused Multiply Add</t>
  </si>
  <si>
    <t>fp16 ??</t>
  </si>
  <si>
    <t>FP64 Fused Multiply Add</t>
  </si>
  <si>
    <t xml:space="preserve">Control Instructions </t>
  </si>
  <si>
    <t xml:space="preserve">Other </t>
  </si>
  <si>
    <t>(instruction) (destination) (source1), (source2) ...</t>
  </si>
  <si>
    <t>RX for registers</t>
  </si>
  <si>
    <t>URX for uniform registers</t>
  </si>
  <si>
    <t>SRX for special system-controlled registers</t>
  </si>
  <si>
    <t>PX for predicate registers</t>
  </si>
  <si>
    <t>UPX for uniform predicate registers</t>
  </si>
  <si>
    <t>c[X][Y] for constant memory</t>
  </si>
  <si>
    <t>LSU</t>
  </si>
  <si>
    <t>dot_kernel</t>
  </si>
  <si>
    <t>SR_CTAID.Z</t>
  </si>
  <si>
    <t>c[0x0][0x198]</t>
  </si>
  <si>
    <t>c[0x0][0x19c]</t>
  </si>
  <si>
    <t>ISETP.LT.U32.AND</t>
  </si>
  <si>
    <t>ISETP.EQ.U32.AND</t>
  </si>
  <si>
    <t>c[0x0][0x1a0]</t>
  </si>
  <si>
    <t>UR16</t>
  </si>
  <si>
    <t>ISETP.GT.AND.EX</t>
  </si>
  <si>
    <t>0x735103591e20</t>
  </si>
  <si>
    <t>ISETP.EQ.AND.EX</t>
  </si>
  <si>
    <t>c[0x0][0x1a4]</t>
  </si>
  <si>
    <t>c[0x0][0x17c]</t>
  </si>
  <si>
    <t>c[0x0][0x16c]</t>
  </si>
  <si>
    <t>IMAD.IADD</t>
  </si>
  <si>
    <t>ISETP.NE.U32.AND</t>
  </si>
  <si>
    <t>SHF.R.S32.HI</t>
  </si>
  <si>
    <t>0x1f</t>
  </si>
  <si>
    <t>ISETP.NE.AND.EX</t>
  </si>
  <si>
    <t>R14</t>
  </si>
  <si>
    <t>0x80</t>
  </si>
  <si>
    <t>c[0x0][0x190]</t>
  </si>
  <si>
    <t>ISETP.GE.AND.EX</t>
  </si>
  <si>
    <t>c[0x0][0x194]</t>
  </si>
  <si>
    <t>0x735103591e10</t>
  </si>
  <si>
    <t>R17</t>
  </si>
  <si>
    <t>IMAD.X</t>
  </si>
  <si>
    <t>IADD3.X</t>
  </si>
  <si>
    <t>R18</t>
  </si>
  <si>
    <t>R16</t>
  </si>
  <si>
    <t>LEA.HI.X</t>
  </si>
  <si>
    <t>c[0x0][0x164]</t>
  </si>
  <si>
    <t>c[0x0][0x174]</t>
  </si>
  <si>
    <t>LDG.E.CONSTANT</t>
  </si>
  <si>
    <t>[R16.64]</t>
  </si>
  <si>
    <t>[R10.64]</t>
  </si>
  <si>
    <t>R19</t>
  </si>
  <si>
    <t>c[0x0][0xc]</t>
  </si>
  <si>
    <t>ISETP.GT.AND</t>
  </si>
  <si>
    <t>0x3f</t>
  </si>
  <si>
    <t>[R2.X4]</t>
  </si>
  <si>
    <t>BAR.SYNC</t>
  </si>
  <si>
    <t>0x0</t>
  </si>
  <si>
    <t>[R2.X4+0x100]</t>
  </si>
  <si>
    <t>0xf</t>
  </si>
  <si>
    <t>[R2.X4+0x80]</t>
  </si>
  <si>
    <t>0x7</t>
  </si>
  <si>
    <t>[R2.X4+0x40]</t>
  </si>
  <si>
    <t>0x3</t>
  </si>
  <si>
    <t>[R2.X4+0x20]</t>
  </si>
  <si>
    <t>[R2.X4+0x10]</t>
  </si>
  <si>
    <t>[R2.X4+0x8]</t>
  </si>
  <si>
    <t>ISETP.NE.AND</t>
  </si>
  <si>
    <t>[R2.X4+0x4]</t>
  </si>
  <si>
    <t>[RZ]</t>
  </si>
  <si>
    <t>c[0x0][0x188]</t>
  </si>
  <si>
    <t>c[0x0][0x18c]</t>
  </si>
  <si>
    <t>c[0x0][0x180]</t>
  </si>
  <si>
    <t>c[0x0][0x184]</t>
  </si>
  <si>
    <t>Column1</t>
  </si>
  <si>
    <t>S0</t>
  </si>
  <si>
    <t>S1</t>
  </si>
  <si>
    <t>S2</t>
  </si>
  <si>
    <t>S3</t>
  </si>
  <si>
    <t>S4</t>
  </si>
  <si>
    <t>S5</t>
  </si>
  <si>
    <t>Pipeline</t>
  </si>
  <si>
    <t>Delay</t>
  </si>
  <si>
    <t>RZ * -1</t>
  </si>
  <si>
    <t>(8x1x2) x (128)</t>
  </si>
  <si>
    <t>reused</t>
  </si>
  <si>
    <t>new</t>
  </si>
  <si>
    <t>count</t>
  </si>
  <si>
    <t>delay</t>
  </si>
  <si>
    <t> </t>
  </si>
  <si>
    <t>c[0x0][0x28] </t>
  </si>
  <si>
    <t>SR_TID.Y </t>
  </si>
  <si>
    <t>c[0x0][0x208] </t>
  </si>
  <si>
    <t>SR_CTAID.Y </t>
  </si>
  <si>
    <t>c[0x0][0x1e8] </t>
  </si>
  <si>
    <t>SR_TID.X </t>
  </si>
  <si>
    <t>c[0x0][0x190] </t>
  </si>
  <si>
    <t>c[0x0][0x214] </t>
  </si>
  <si>
    <t>PT </t>
  </si>
  <si>
    <t>SR_CTAID.X </t>
  </si>
  <si>
    <t>c[0x0][0x118] </t>
  </si>
  <si>
    <t>c[0x0][0x168] </t>
  </si>
  <si>
    <t>0x73515c93b0e0 </t>
  </si>
  <si>
    <t>USHF.L.U32</t>
  </si>
  <si>
    <t>URZ </t>
  </si>
  <si>
    <t>R3 </t>
  </si>
  <si>
    <t>RZ </t>
  </si>
  <si>
    <t>R8 </t>
  </si>
  <si>
    <t>0xffffffe0</t>
  </si>
  <si>
    <t>0xe2</t>
  </si>
  <si>
    <t>!PT </t>
  </si>
  <si>
    <t>R40</t>
  </si>
  <si>
    <t>R4 </t>
  </si>
  <si>
    <t>IMAD.HI.U32</t>
  </si>
  <si>
    <t>c[0x0][0x200]</t>
  </si>
  <si>
    <t>0x90</t>
  </si>
  <si>
    <t>R40 </t>
  </si>
  <si>
    <t>c[0x0][0x204]</t>
  </si>
  <si>
    <t>R5 </t>
  </si>
  <si>
    <t>IMAD.MOV</t>
  </si>
  <si>
    <t>-R2 </t>
  </si>
  <si>
    <t>P5</t>
  </si>
  <si>
    <t>c[0x0][0x208]</t>
  </si>
  <si>
    <t>c[0x0][0x1e0]</t>
  </si>
  <si>
    <t>R10 </t>
  </si>
  <si>
    <t>c[0x0][0x1e4]</t>
  </si>
  <si>
    <t>-R4 </t>
  </si>
  <si>
    <t>@P5</t>
  </si>
  <si>
    <t>-0x1</t>
  </si>
  <si>
    <t>0 </t>
  </si>
  <si>
    <t>0x8</t>
  </si>
  <si>
    <t>P0 </t>
  </si>
  <si>
    <t>c[0x0][0x1e8]</t>
  </si>
  <si>
    <t>c[0x0][0x218] </t>
  </si>
  <si>
    <t>c[0x0][0x20c] </t>
  </si>
  <si>
    <t>P4</t>
  </si>
  <si>
    <t>c[0x0][0x210] </t>
  </si>
  <si>
    <t>P3</t>
  </si>
  <si>
    <t>0x73515c93b0d0 </t>
  </si>
  <si>
    <t>c[0x0][0x1f8] </t>
  </si>
  <si>
    <t>c[0x0][0x1c4] </t>
  </si>
  <si>
    <t>R7 </t>
  </si>
  <si>
    <t>c[0x0][0x1f0]</t>
  </si>
  <si>
    <t>c[0x0][0x1f4]</t>
  </si>
  <si>
    <t>R9 </t>
  </si>
  <si>
    <t>c[0x0][0x1f8]</t>
  </si>
  <si>
    <t>c[0x0][0x1bc]</t>
  </si>
  <si>
    <t>R15 </t>
  </si>
  <si>
    <t>c[0x0][0x1c0]</t>
  </si>
  <si>
    <t>R12 </t>
  </si>
  <si>
    <t>c[0x0][0x1c4]</t>
  </si>
  <si>
    <t>ISETP.GE.U32.OR</t>
  </si>
  <si>
    <t>0x4 </t>
  </si>
  <si>
    <t>c[0x0][0x1a8]</t>
  </si>
  <si>
    <t>c[0x0][0x188] </t>
  </si>
  <si>
    <t>[R14.64] </t>
  </si>
  <si>
    <t>B0 </t>
  </si>
  <si>
    <t>0x73515c93b2b0 </t>
  </si>
  <si>
    <t>@P4</t>
  </si>
  <si>
    <t>0x73515c93b2a0 </t>
  </si>
  <si>
    <t>R17 </t>
  </si>
  <si>
    <t>R11 </t>
  </si>
  <si>
    <t>2.384185791015625e-07 </t>
  </si>
  <si>
    <t>[R10.64] </t>
  </si>
  <si>
    <t>0x73515c93b490 </t>
  </si>
  <si>
    <t>@P3</t>
  </si>
  <si>
    <t>0x73515c93b480 </t>
  </si>
  <si>
    <t>R19 </t>
  </si>
  <si>
    <t>-R10 </t>
  </si>
  <si>
    <t>-R15 </t>
  </si>
  <si>
    <t>0x73515c93b680 </t>
  </si>
  <si>
    <t>R25</t>
  </si>
  <si>
    <t>0x73515c93b910 </t>
  </si>
  <si>
    <t>R42</t>
  </si>
  <si>
    <t>LEA.HI.SX32</t>
  </si>
  <si>
    <t>0x1d </t>
  </si>
  <si>
    <t>R48</t>
  </si>
  <si>
    <t>R46</t>
  </si>
  <si>
    <t>R44</t>
  </si>
  <si>
    <t>R39</t>
  </si>
  <si>
    <t>0x24</t>
  </si>
  <si>
    <t>R23</t>
  </si>
  <si>
    <t>0x73515c93b900 </t>
  </si>
  <si>
    <t>0x18</t>
  </si>
  <si>
    <t>@!P0 </t>
  </si>
  <si>
    <t>c[0x0][0x170] </t>
  </si>
  <si>
    <t>@!P2 </t>
  </si>
  <si>
    <t>c[0x0][0x178] </t>
  </si>
  <si>
    <t>@!P3 </t>
  </si>
  <si>
    <t>@!P4 </t>
  </si>
  <si>
    <t>R23 </t>
  </si>
  <si>
    <t>[R12.64] </t>
  </si>
  <si>
    <t>R21</t>
  </si>
  <si>
    <t>[R16.64] </t>
  </si>
  <si>
    <t>[R18.64] </t>
  </si>
  <si>
    <t>[R20.64] </t>
  </si>
  <si>
    <t>R38</t>
  </si>
  <si>
    <t>R6 </t>
  </si>
  <si>
    <t>R37</t>
  </si>
  <si>
    <t>-R6 </t>
  </si>
  <si>
    <t>[R40.X4]</t>
  </si>
  <si>
    <t>R56</t>
  </si>
  <si>
    <t>R50</t>
  </si>
  <si>
    <t>SRZ </t>
  </si>
  <si>
    <t>R43</t>
  </si>
  <si>
    <t>0xfffffff8</t>
  </si>
  <si>
    <t>P1 </t>
  </si>
  <si>
    <t>[R40.X4+0x90]</t>
  </si>
  <si>
    <t>R41</t>
  </si>
  <si>
    <t>R54</t>
  </si>
  <si>
    <t>R36</t>
  </si>
  <si>
    <t>[R40.X4+0x120]</t>
  </si>
  <si>
    <t>R52</t>
  </si>
  <si>
    <t>R49</t>
  </si>
  <si>
    <t>[R40.X4+0x1b0]</t>
  </si>
  <si>
    <t>R25 </t>
  </si>
  <si>
    <t>R47</t>
  </si>
  <si>
    <t>R45</t>
  </si>
  <si>
    <t>R22</t>
  </si>
  <si>
    <t>[R39.X4+0x480]</t>
  </si>
  <si>
    <t>R42 </t>
  </si>
  <si>
    <t>[R39.X4+0x4a0]</t>
  </si>
  <si>
    <t>R44 </t>
  </si>
  <si>
    <t>[R39.X4+0x4c0]</t>
  </si>
  <si>
    <t>R46 </t>
  </si>
  <si>
    <t>[R39.X4+0x4e0]</t>
  </si>
  <si>
    <t>R48 </t>
  </si>
  <si>
    <t>0x0 </t>
  </si>
  <si>
    <t>0x73515c93cd10 </t>
  </si>
  <si>
    <t>0x480</t>
  </si>
  <si>
    <t>LDS.128</t>
  </si>
  <si>
    <t>R32</t>
  </si>
  <si>
    <t>[R10+0x90] </t>
  </si>
  <si>
    <t>R38 </t>
  </si>
  <si>
    <t>R0 </t>
  </si>
  <si>
    <t>R13 </t>
  </si>
  <si>
    <t>-R9 </t>
  </si>
  <si>
    <t>R29</t>
  </si>
  <si>
    <t>-R7 </t>
  </si>
  <si>
    <t>R29 </t>
  </si>
  <si>
    <t>R14 </t>
  </si>
  <si>
    <t>R27</t>
  </si>
  <si>
    <t>R27 </t>
  </si>
  <si>
    <t>-R13 </t>
  </si>
  <si>
    <t>R31</t>
  </si>
  <si>
    <t>R31 </t>
  </si>
  <si>
    <t>-R25 </t>
  </si>
  <si>
    <t>P2 </t>
  </si>
  <si>
    <t>@!P1 </t>
  </si>
  <si>
    <t>P3 </t>
  </si>
  <si>
    <t>P6</t>
  </si>
  <si>
    <t>@!P5 </t>
  </si>
  <si>
    <t>R59</t>
  </si>
  <si>
    <t>R58</t>
  </si>
  <si>
    <t>@!P6 </t>
  </si>
  <si>
    <t>R26</t>
  </si>
  <si>
    <t>R28</t>
  </si>
  <si>
    <t>[R11+0x90] </t>
  </si>
  <si>
    <t>R24</t>
  </si>
  <si>
    <t>R60</t>
  </si>
  <si>
    <t>R37 </t>
  </si>
  <si>
    <t>0x3 </t>
  </si>
  <si>
    <t>[R58.64] </t>
  </si>
  <si>
    <t>[R26.64] </t>
  </si>
  <si>
    <t>[R24.64] </t>
  </si>
  <si>
    <t>[R60.64] </t>
  </si>
  <si>
    <t>[R10] </t>
  </si>
  <si>
    <t>[R11] </t>
  </si>
  <si>
    <t>[R10+0x120] </t>
  </si>
  <si>
    <t>R57</t>
  </si>
  <si>
    <t>R20 </t>
  </si>
  <si>
    <t>R21 </t>
  </si>
  <si>
    <t>R43 </t>
  </si>
  <si>
    <t>R47 </t>
  </si>
  <si>
    <t>R49 </t>
  </si>
  <si>
    <t>R51</t>
  </si>
  <si>
    <t>R51 </t>
  </si>
  <si>
    <t>R22 </t>
  </si>
  <si>
    <t>R53 </t>
  </si>
  <si>
    <t>[R11+0x120] </t>
  </si>
  <si>
    <t>R55 </t>
  </si>
  <si>
    <t>R57 </t>
  </si>
  <si>
    <t>R33</t>
  </si>
  <si>
    <t>R58 </t>
  </si>
  <si>
    <t>R34</t>
  </si>
  <si>
    <t>R59 </t>
  </si>
  <si>
    <t>R30</t>
  </si>
  <si>
    <t>R52 </t>
  </si>
  <si>
    <t>R45 </t>
  </si>
  <si>
    <t>R54 </t>
  </si>
  <si>
    <t>R56 </t>
  </si>
  <si>
    <t>R41 </t>
  </si>
  <si>
    <t>R50 </t>
  </si>
  <si>
    <t>R35</t>
  </si>
  <si>
    <t>R16 </t>
  </si>
  <si>
    <t>R18 </t>
  </si>
  <si>
    <t>[R10+0x1b0] </t>
  </si>
  <si>
    <t>[R11+0x1b0] </t>
  </si>
  <si>
    <t>R28 </t>
  </si>
  <si>
    <t>R30 </t>
  </si>
  <si>
    <t>R32 </t>
  </si>
  <si>
    <t>[R10+0x240] </t>
  </si>
  <si>
    <t>[R11+0x240] </t>
  </si>
  <si>
    <t>R24 </t>
  </si>
  <si>
    <t>[R11+0x2d0] </t>
  </si>
  <si>
    <t>[R10+0x2d0] </t>
  </si>
  <si>
    <t>[R11+0x360] </t>
  </si>
  <si>
    <t>[R10+0x360] </t>
  </si>
  <si>
    <t>R34 </t>
  </si>
  <si>
    <t>[R10+0x3f0] </t>
  </si>
  <si>
    <t>[R11+0x3f0] </t>
  </si>
  <si>
    <t>-0x8</t>
  </si>
  <si>
    <t>R53</t>
  </si>
  <si>
    <t>R55</t>
  </si>
  <si>
    <t>CALL.REL.NOINC</t>
  </si>
  <si>
    <t>-0x7</t>
  </si>
  <si>
    <t>0x73515c93d4e0 </t>
  </si>
  <si>
    <t>-0x9</t>
  </si>
  <si>
    <t>-0x2</t>
  </si>
  <si>
    <t>0x120</t>
  </si>
  <si>
    <t>[R2+-0x120] </t>
  </si>
  <si>
    <t>-0x4</t>
  </si>
  <si>
    <t>[R42+-0x120] </t>
  </si>
  <si>
    <t>[R2+-0x90] </t>
  </si>
  <si>
    <t>[R42+-0x90] </t>
  </si>
  <si>
    <t>[R2] </t>
  </si>
  <si>
    <t>[R42] </t>
  </si>
  <si>
    <t>[R2+0x90] </t>
  </si>
  <si>
    <t>[R42+0x90] </t>
  </si>
  <si>
    <t>0x240</t>
  </si>
  <si>
    <t>0x73515c93d010 </t>
  </si>
  <si>
    <t>0x2 </t>
  </si>
  <si>
    <t>0x73515c93e150 </t>
  </si>
  <si>
    <t>c[0x0][0x248] </t>
  </si>
  <si>
    <t>0x73515c93e140 </t>
  </si>
  <si>
    <t>c[0x0][0x1d4]</t>
  </si>
  <si>
    <t>c[0x0][0x23c] </t>
  </si>
  <si>
    <t>c[0x0][0x1d0]</t>
  </si>
  <si>
    <t>c[0x0][0x1d8]</t>
  </si>
  <si>
    <t>c[0x0][0x1dc]</t>
  </si>
  <si>
    <t>LEA.HI.X.SX32</t>
  </si>
  <si>
    <t>P4 </t>
  </si>
  <si>
    <t>SHF.L.U64.HI</t>
  </si>
  <si>
    <t>0x73515c93dba0 </t>
  </si>
  <si>
    <t>FSETP.NEU.AND</t>
  </si>
  <si>
    <t>c[0x0][0x238]</t>
  </si>
  <si>
    <t>0x73515c93d9b0 </t>
  </si>
  <si>
    <t>c[0x0][0x234] </t>
  </si>
  <si>
    <t>[R12.64]</t>
  </si>
  <si>
    <t>[R8.64]</t>
  </si>
  <si>
    <t>0x73515c93ed70 </t>
  </si>
  <si>
    <t>0x73515c93ed60 </t>
  </si>
  <si>
    <t>-R5 </t>
  </si>
  <si>
    <t>0x73515c93e7c0 </t>
  </si>
  <si>
    <t>0x73515c93e5d0 </t>
  </si>
  <si>
    <t>0x73515c93f990 </t>
  </si>
  <si>
    <t>0x73515c93f980 </t>
  </si>
  <si>
    <t>0x73515c93f3e0 </t>
  </si>
  <si>
    <t>0x73515c93f1f0 </t>
  </si>
  <si>
    <t>EXIT </t>
  </si>
  <si>
    <t>0x73515c93fff0 </t>
  </si>
  <si>
    <t>0x73515c93fe00 </t>
  </si>
  <si>
    <t>condition</t>
  </si>
  <si>
    <t>instruction</t>
  </si>
  <si>
    <t>dest</t>
  </si>
  <si>
    <t>s0</t>
  </si>
  <si>
    <t>s1</t>
  </si>
  <si>
    <t>s2</t>
  </si>
  <si>
    <t>s3</t>
  </si>
  <si>
    <t>s4</t>
  </si>
  <si>
    <t>s5</t>
  </si>
  <si>
    <t>global</t>
  </si>
  <si>
    <t>shared</t>
  </si>
  <si>
    <t>comment</t>
  </si>
  <si>
    <t>PNT</t>
  </si>
  <si>
    <t>conv</t>
  </si>
  <si>
    <t>ffma</t>
  </si>
  <si>
    <t>fmul</t>
  </si>
  <si>
    <t>fma_Pipeline</t>
  </si>
  <si>
    <t>alu_Pipeline</t>
  </si>
  <si>
    <t>independent memory</t>
  </si>
  <si>
    <t>total</t>
  </si>
  <si>
    <t>ind .const</t>
  </si>
  <si>
    <t>cmb. Const</t>
  </si>
  <si>
    <t>const mem notes</t>
  </si>
  <si>
    <t>consec</t>
  </si>
  <si>
    <t>TotalDelay</t>
  </si>
  <si>
    <t>blocks</t>
  </si>
  <si>
    <t>threads</t>
  </si>
  <si>
    <t>29x2x1</t>
  </si>
  <si>
    <t>8x8x1</t>
  </si>
  <si>
    <t>1sm = 32warps</t>
  </si>
  <si>
    <t>warps</t>
  </si>
  <si>
    <t>warps/sm</t>
  </si>
  <si>
    <t>cbu_Pipeline</t>
  </si>
  <si>
    <t>cba</t>
  </si>
  <si>
    <t>special</t>
  </si>
  <si>
    <t>ind. Const</t>
  </si>
  <si>
    <t>or 4 cycles.</t>
  </si>
  <si>
    <t>w</t>
  </si>
  <si>
    <t>const stat</t>
  </si>
  <si>
    <t>cached</t>
  </si>
  <si>
    <t>ind. const</t>
  </si>
  <si>
    <t>R0 *-1</t>
  </si>
  <si>
    <t>name</t>
  </si>
  <si>
    <t xml:space="preserve">exec time </t>
  </si>
  <si>
    <t>invocation</t>
  </si>
  <si>
    <t>wcet</t>
  </si>
  <si>
    <t>WCET</t>
  </si>
  <si>
    <t>inst. Count</t>
  </si>
  <si>
    <t>Kernel number</t>
  </si>
  <si>
    <t>or 4</t>
  </si>
  <si>
    <t>pipe</t>
  </si>
  <si>
    <t>ratio</t>
  </si>
  <si>
    <t>(29x2x1) x (8x8x1)</t>
  </si>
  <si>
    <t>occupancy reduced</t>
  </si>
  <si>
    <t>?</t>
  </si>
  <si>
    <t>vectorized element wise kernel</t>
  </si>
  <si>
    <t>6 x 128</t>
  </si>
  <si>
    <t>mem</t>
  </si>
  <si>
    <t>216 x 1024</t>
  </si>
  <si>
    <t>mem delay</t>
  </si>
  <si>
    <t>Instruction</t>
  </si>
  <si>
    <t xml:space="preserve">fma </t>
  </si>
  <si>
    <t>IADDx</t>
  </si>
  <si>
    <t>U/SHFx</t>
  </si>
  <si>
    <t>ISETPx</t>
  </si>
  <si>
    <t>IMADx</t>
  </si>
  <si>
    <t>LSU Globla</t>
  </si>
  <si>
    <t>LDG.CONSTANT</t>
  </si>
  <si>
    <t>notes</t>
  </si>
  <si>
    <t>L1 cached</t>
  </si>
  <si>
    <t>LSU Shared</t>
  </si>
  <si>
    <t>LSU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</si>
</sst>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E74C3C"/>
      <name val="Menlo"/>
      <family val="2"/>
    </font>
    <font>
      <b/>
      <sz val="14"/>
      <color rgb="FF1A1A1A"/>
      <name val="Arial"/>
      <family val="2"/>
    </font>
    <font>
      <sz val="16"/>
      <color rgb="FF1A1A1A"/>
      <name val="Arial"/>
      <family val="2"/>
    </font>
    <font>
      <b/>
      <sz val="16"/>
      <color rgb="FF1A1A1A"/>
      <name val="Arial"/>
      <family val="2"/>
    </font>
    <font>
      <b/>
      <sz val="16"/>
      <color rgb="FF000000"/>
      <name val="Aptos Narrow"/>
      <family val="2"/>
      <scheme val="minor"/>
    </font>
    <font>
      <sz val="16"/>
      <color rgb="FF000000"/>
      <name val="Aptos Narrow"/>
      <family val="2"/>
      <scheme val="minor"/>
    </font>
    <font>
      <b/>
      <sz val="16"/>
      <color rgb="FF000000"/>
      <name val="Aptos Narrow"/>
      <scheme val="minor"/>
    </font>
    <font>
      <sz val="16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sz val="13"/>
      <color theme="0"/>
      <name val="Helvetica Neue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sz val="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15608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E7F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2" fontId="11" fillId="0" borderId="0" xfId="0" applyNumberFormat="1" applyFont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49" fontId="11" fillId="0" borderId="0" xfId="0" applyNumberFormat="1" applyFont="1"/>
    <xf numFmtId="49" fontId="0" fillId="0" borderId="0" xfId="0" applyNumberFormat="1"/>
    <xf numFmtId="2" fontId="0" fillId="0" borderId="4" xfId="0" applyNumberFormat="1" applyBorder="1" applyAlignment="1">
      <alignment horizontal="center"/>
    </xf>
    <xf numFmtId="0" fontId="11" fillId="0" borderId="0" xfId="0" applyFont="1" applyAlignment="1">
      <alignment horizontal="center"/>
    </xf>
    <xf numFmtId="0" fontId="16" fillId="3" borderId="0" xfId="0" applyFont="1" applyFill="1"/>
    <xf numFmtId="0" fontId="16" fillId="0" borderId="0" xfId="0" applyFont="1"/>
    <xf numFmtId="0" fontId="14" fillId="2" borderId="8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/>
    <xf numFmtId="0" fontId="16" fillId="3" borderId="0" xfId="0" applyFont="1" applyFill="1" applyAlignment="1">
      <alignment horizontal="center" vertical="center"/>
    </xf>
    <xf numFmtId="0" fontId="12" fillId="0" borderId="5" xfId="0" applyFont="1" applyBorder="1"/>
    <xf numFmtId="0" fontId="13" fillId="0" borderId="5" xfId="0" applyFont="1" applyBorder="1"/>
    <xf numFmtId="0" fontId="16" fillId="0" borderId="0" xfId="0" applyFont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5" fillId="0" borderId="6" xfId="0" applyFont="1" applyBorder="1" applyAlignment="1">
      <alignment horizontal="left"/>
    </xf>
    <xf numFmtId="0" fontId="14" fillId="2" borderId="8" xfId="0" applyFont="1" applyFill="1" applyBorder="1"/>
    <xf numFmtId="0" fontId="0" fillId="0" borderId="5" xfId="0" applyBorder="1"/>
    <xf numFmtId="0" fontId="0" fillId="0" borderId="10" xfId="0" applyBorder="1"/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3" borderId="0" xfId="0" applyFont="1" applyFill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0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45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Helvetica Neue"/>
        <family val="2"/>
        <scheme val="none"/>
      </font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border diagonalUp="0" diagonalDown="0" outline="0">
        <left/>
        <right/>
        <top style="thin">
          <color theme="4" tint="0.39997558519241921"/>
        </top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none">
          <fgColor theme="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Helvetica Neue"/>
        <family val="2"/>
        <scheme val="none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0E7F5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i A. K. Alhalabi" id="{7D333B81-FDC3-7741-A5A4-5EA1020247D1}" userId="S::ali.alhalabi@fh-dortmund.de::8f373dd1-8d87-4582-87a5-62d4aa93eea2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EBFE770-CA01-F343-9E57-A51990CA3058}" name="Table24" displayName="Table24" ref="A1:D16" totalsRowShown="0">
  <autoFilter ref="A1:D16" xr:uid="{BEBFE770-CA01-F343-9E57-A51990CA3058}"/>
  <tableColumns count="4">
    <tableColumn id="1" xr3:uid="{4CD126F8-1C07-4A49-A25D-48284EF23493}" name="Pipeline"/>
    <tableColumn id="2" xr3:uid="{13208DED-2196-9B4F-82E6-254AE6194EBA}" name="Instruction"/>
    <tableColumn id="3" xr3:uid="{C344CC54-805F-134D-9CB2-6768DAE7466C}" name="delay"/>
    <tableColumn id="4" xr3:uid="{5354F425-0144-D449-9583-F95F11E22569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B8D66D9-2570-1346-807D-B36F99D85DD6}" name="Table123" displayName="Table123" ref="B6:K20" totalsRowShown="0">
  <autoFilter ref="B6:K20" xr:uid="{AB8D66D9-2570-1346-807D-B36F99D85DD6}"/>
  <tableColumns count="10">
    <tableColumn id="1" xr3:uid="{64D4EDDB-E956-C146-86B5-644101A799BC}" name="add_216_1024"/>
    <tableColumn id="2" xr3:uid="{ED417269-F324-A64D-BC12-D3B0F17492EE}" name="destination"/>
    <tableColumn id="3" xr3:uid="{C016C881-1B6F-3840-A286-3DE240D26A3E}" name="source"/>
    <tableColumn id="4" xr3:uid="{E84FF4B5-E94D-784D-A91F-24FDACA77741}" name="source2"/>
    <tableColumn id="5" xr3:uid="{F3561E6D-3026-7E46-96FF-09CFF17E1198}" name="source3"/>
    <tableColumn id="6" xr3:uid="{CC9376A4-908D-EB48-A2FF-D2E4A0D2EAEC}" name="source4"/>
    <tableColumn id="7" xr3:uid="{D6D5D6DE-3F1F-8949-9614-C10EB157437F}" name="pipeline"/>
    <tableColumn id="8" xr3:uid="{59535BE7-C313-C744-8BDB-347058C20749}" name="delay" dataDxfId="12"/>
    <tableColumn id="9" xr3:uid="{0738ADDB-A503-774B-8531-AE5CCFC556C4}" name="mem delay" dataDxfId="11"/>
    <tableColumn id="10" xr3:uid="{32686DBC-168C-9A40-8CF0-61F32AF3440E}" name="WCET" dataDxfId="10">
      <calculatedColumnFormula>SUM(Table123[delay])*64 + SUM(Table123[mem delay])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88DEB6E-ADDB-D549-89EB-F8A11C80DAFA}" name="Table23" displayName="Table23" ref="A6:A20" totalsRowShown="0" headerRowDxfId="13" dataDxfId="14">
  <autoFilter ref="A6:A20" xr:uid="{A88DEB6E-ADDB-D549-89EB-F8A11C80DAFA}"/>
  <tableColumns count="1">
    <tableColumn id="1" xr3:uid="{BDC4887E-479B-5F41-B3A1-71DB79CFFA99}" name="count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F24B1AE-A973-8748-BDD7-FB1F91ECB42B}" name="Table219" displayName="Table219" ref="B5:I24" totalsRowShown="0">
  <autoFilter ref="B5:I24" xr:uid="{8F24B1AE-A973-8748-BDD7-FB1F91ECB42B}"/>
  <tableColumns count="8">
    <tableColumn id="1" xr3:uid="{508E9D7B-270C-BE4E-B222-010E7675F5EE}" name="Column1"/>
    <tableColumn id="2" xr3:uid="{B489DED2-52E3-2B47-B474-D8F0454AF0F3}" name="Destination"/>
    <tableColumn id="3" xr3:uid="{EAEB345B-F17F-0A41-ACBD-8DF12499EB12}" name="source"/>
    <tableColumn id="4" xr3:uid="{5A67B92F-BEBC-094F-9384-84FC1561EAA9}" name="source2"/>
    <tableColumn id="5" xr3:uid="{83856C1A-0F1F-AD46-8500-7B335EFA035C}" name="source3"/>
    <tableColumn id="6" xr3:uid="{C38DA063-5FE7-614C-8F1C-6F12148BEFD6}" name="source4"/>
    <tableColumn id="7" xr3:uid="{AD18C347-E983-C64C-9D88-37BCECD6D949}" name="pipeline"/>
    <tableColumn id="8" xr3:uid="{BBD9EF11-3642-BE4E-89F3-56A943DBA431}" name="delay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1AF2D089-9BFA-3D48-BADD-4E0CC1EAF665}" name="Table1220" displayName="Table1220" ref="C1:I2" totalsRowShown="0" headerRowDxfId="144" dataDxfId="143">
  <autoFilter ref="C1:I2" xr:uid="{1AF2D089-9BFA-3D48-BADD-4E0CC1EAF665}"/>
  <tableColumns count="7">
    <tableColumn id="1" xr3:uid="{247D2E3E-28B7-C44D-9C26-DB9C018E8689}" name="Kernel number" dataDxfId="142"/>
    <tableColumn id="2" xr3:uid="{556F5FD6-4C3F-0745-9090-5A37782FEFA3}" name="name" dataDxfId="141"/>
    <tableColumn id="3" xr3:uid="{7ECEDCEF-332D-3C41-A73D-41AC5A8FFFEC}" name="exec time " dataDxfId="140"/>
    <tableColumn id="4" xr3:uid="{5848A42D-5EC0-3343-B14E-66A270F0B9B3}" name="invocation" dataDxfId="139"/>
    <tableColumn id="5" xr3:uid="{263E762D-3F46-234E-A30A-392FBCC600BE}" name="w" dataDxfId="138"/>
    <tableColumn id="6" xr3:uid="{C16F91C3-2B7B-5946-8142-8887E446A341}" name="wcet" dataDxfId="137">
      <calculatedColumnFormula>Table21[[#Totals],[WCET]]</calculatedColumnFormula>
    </tableColumn>
    <tableColumn id="7" xr3:uid="{7AC324EF-D85E-7C4B-B959-EDB72F5E44C8}" name="ratio" dataDxfId="136">
      <calculatedColumnFormula>Table1220[[#This Row],[exec time ]]/Table1220[[#This Row],[wcet]]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1E32A96-A42E-1846-8466-BF6CAEF5E54A}" name="Table20" displayName="Table20" ref="K5:S24" totalsRowShown="0" headerRowDxfId="135" dataDxfId="134">
  <autoFilter ref="K5:S24" xr:uid="{F1E32A96-A42E-1846-8466-BF6CAEF5E54A}"/>
  <tableColumns count="9">
    <tableColumn id="1" xr3:uid="{CFA6C878-FD5D-5741-BE9E-A1540494F4B3}" name="fma_Pipeline" dataDxfId="133">
      <calculatedColumnFormula>IF(OR(ISNUMBER(SEARCH("imad", Table219[[#This Row],[Column1]])), ISNUMBER(SEARCH("ffma", Table219[[#This Row],[Column1]])), ISNUMBER(SEARCH("fadd", Table219[[#This Row],[Column1]])), ISNUMBER(SEARCH("fmul", Table219[[#This Row],[Column1]]))), "fma", "")</calculatedColumnFormula>
    </tableColumn>
    <tableColumn id="2" xr3:uid="{8D8E2B22-0A6D-5C41-BCB5-1DFAAE97CB45}" name="alu_Pipeline" dataDxfId="132">
      <calculatedColumnFormula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calculatedColumnFormula>
    </tableColumn>
    <tableColumn id="3" xr3:uid="{86AE8517-C1CE-D44F-BAB0-94FF355CCD02}" name="cbu_Pipeline" dataDxfId="131">
      <calculatedColumnFormula>IF(OR(ISNUMBER(SEARCH("bssy", Table219[[#This Row],[Column1]])),ISNUMBER(SEARCH("bra", Table219[[#This Row],[Column1]])),ISNUMBER(SEARCH("bsync", Table219[[#This Row],[Column1]])),ISNUMBER(SEARCH("bar", Table219[[#This Row],[Column1]]))), "cba", "")</calculatedColumnFormula>
    </tableColumn>
    <tableColumn id="4" xr3:uid="{7CF3906E-736B-4A45-998B-DBA7B5EFB07D}" name="lsu" dataDxfId="130">
      <calculatedColumnFormula>IF(OR(ISNUMBER(SEARCH("s2r", Table219[[#This Row],[Column1]])),ISNUMBER(SEARCH("s2ur", Table219[[#This Row],[Column1]]))), "special", "")</calculatedColumnFormula>
    </tableColumn>
    <tableColumn id="5" xr3:uid="{19C251A1-E9F7-FD4B-9274-7A9C4EE3A85D}" name="global" dataDxfId="129">
      <calculatedColumnFormula>IF(OR(ISNUMBER(SEARCH("stg", Table219[[#This Row],[Column1]])),ISNUMBER(SEARCH("ldg", Table219[[#This Row],[Column1]]))), "global", "")</calculatedColumnFormula>
    </tableColumn>
    <tableColumn id="6" xr3:uid="{05B858CE-711F-9746-9E55-5F8A778EA174}" name="shared" dataDxfId="128">
      <calculatedColumnFormula>IF(OR(ISNUMBER(SEARCH("sts", Table219[[#This Row],[Column1]])),ISNUMBER(SEARCH("lds", Table219[[#This Row],[Column1]]))), "shared", "")</calculatedColumnFormula>
    </tableColumn>
    <tableColumn id="7" xr3:uid="{F4E92640-6FDF-5640-BDC8-96B830273427}" name="ind .const" dataDxfId="127">
      <calculatedColumnFormula>IF(OR(ISNUMBER(SEARCH("LDC", Table219[[#This Row],[Column1]])),ISNUMBER(SEARCH("STC", Table219[[#This Row],[Column1]]))), "ind. const", "")</calculatedColumnFormula>
    </tableColumn>
    <tableColumn id="8" xr3:uid="{ECD0304B-F02A-8547-84E5-414135BE2EC3}" name="cmb. Const" dataDxfId="126">
      <calculatedColumnFormula>IF(AND(OR(ISNUMBER(SEARCH("c[0x", Table219[[#This Row],[source]])),ISNUMBER(SEARCH("c[0x", Table219[[#This Row],[source2]])),ISNUMBER(SEARCH("c[0x", Table219[[#This Row],[source3]])),ISNUMBER(SEARCH("c[0x", Table219[[#This Row],[source4]]))),Q6=""), "cmb. const", "")</calculatedColumnFormula>
    </tableColumn>
    <tableColumn id="9" xr3:uid="{4EE3574C-2971-F548-8FC7-0165E58663C3}" name="const stat" dataDxfId="12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9B6090C-E9C7-8647-9C72-67C6D061F2A2}" name="Table21" displayName="Table21" ref="U5:W25" totalsRowCount="1" dataDxfId="123" headerRowBorderDxfId="124" tableBorderDxfId="122" totalsRowBorderDxfId="121">
  <autoFilter ref="U5:W24" xr:uid="{89B6090C-E9C7-8647-9C72-67C6D061F2A2}"/>
  <tableColumns count="3">
    <tableColumn id="1" xr3:uid="{D22BACB8-B275-7243-951A-6454213AE340}" name="TotalDelay" dataDxfId="120" totalsRowDxfId="28">
      <calculatedColumnFormula>Table219[[#This Row],[delay]]</calculatedColumnFormula>
    </tableColumn>
    <tableColumn id="2" xr3:uid="{C9231FA4-A9A1-974F-96AC-6D79BF6A159B}" name="mem" dataDxfId="119" totalsRowDxfId="27"/>
    <tableColumn id="3" xr3:uid="{E844A58A-72DE-B144-97C2-E57825EBAF59}" name="WCET" totalsRowFunction="custom" dataDxfId="118" totalsRowDxfId="26">
      <totalsRowFormula array="1">SUM(Table21[TotalDelay])*Table1220[w] + SUM(Table21[mem])</totalsRow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05F2F-4707-2F4D-BC9B-6FACBB8EE8D1}" name="Table3" displayName="Table3" ref="A5:A24" totalsRowShown="0" dataDxfId="29">
  <autoFilter ref="A5:A24" xr:uid="{D2205F2F-4707-2F4D-BC9B-6FACBB8EE8D1}"/>
  <tableColumns count="1">
    <tableColumn id="1" xr3:uid="{7D7DB3EB-A3A3-1242-BFC6-D06C4A4EDE06}" name="count" dataDxfId="3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F23AE0-844A-BD49-8B36-2B5D2314D08A}" name="Table115" displayName="Table115" ref="L1:S2" totalsRowShown="0" headerRowDxfId="25" dataDxfId="24">
  <autoFilter ref="L1:S2" xr:uid="{77F23AE0-844A-BD49-8B36-2B5D2314D08A}"/>
  <tableColumns count="8">
    <tableColumn id="1" xr3:uid="{766DB819-853D-FE4A-9EE6-7B8351388DBB}" name="fma" dataDxfId="23">
      <calculatedColumnFormula>COUNTIF(H5:H104,"fma")</calculatedColumnFormula>
    </tableColumn>
    <tableColumn id="2" xr3:uid="{F51DB45A-0FD3-674B-B815-2372558FB33A}" name="alu" dataDxfId="22">
      <calculatedColumnFormula>COUNTIF(H5:H104,"alu")</calculatedColumnFormula>
    </tableColumn>
    <tableColumn id="3" xr3:uid="{BF0F5039-5C7C-2641-AE36-095B9ACB1E0B}" name="cba" dataDxfId="21">
      <calculatedColumnFormula>COUNTIF(H6:H105,"cba")</calculatedColumnFormula>
    </tableColumn>
    <tableColumn id="4" xr3:uid="{91ECCE3F-40EA-6C45-807F-5C52194F1065}" name="special" dataDxfId="20">
      <calculatedColumnFormula>COUNTIF(H6:H104,"special")</calculatedColumnFormula>
    </tableColumn>
    <tableColumn id="5" xr3:uid="{C447D44F-C278-9747-BB74-064858AEBD02}" name="global" dataDxfId="19">
      <calculatedColumnFormula>COUNTIF(H6:H104,"global")</calculatedColumnFormula>
    </tableColumn>
    <tableColumn id="6" xr3:uid="{FE5D6E22-F7C8-D543-B4BA-1B5B040AB34F}" name="shared" dataDxfId="18">
      <calculatedColumnFormula>COUNTIF(H6:H104,"shared")</calculatedColumnFormula>
    </tableColumn>
    <tableColumn id="7" xr3:uid="{4EF57A46-F280-754B-8C69-72298149D51D}" name="ind. Const" dataDxfId="17">
      <calculatedColumnFormula>COUNTIF(H6:H104,"ind. const")</calculatedColumnFormula>
    </tableColumn>
    <tableColumn id="8" xr3:uid="{B281DE47-4832-2649-8E66-7A366445FA47}" name="total" dataDxfId="16">
      <calculatedColumnFormula>SUM(L2:R2)+1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3D9A5F-D1CC-FB4E-A9A9-AF7895AB323B}" name="Table7" displayName="Table7" ref="M5:U104" totalsRowShown="0" headerRowDxfId="117" dataDxfId="116">
  <autoFilter ref="M5:U104" xr:uid="{783D9A5F-D1CC-FB4E-A9A9-AF7895AB323B}"/>
  <tableColumns count="9">
    <tableColumn id="1" xr3:uid="{A98D4214-A02A-2B47-9192-17B1619734DB}" name="fma_Pipeline" dataDxfId="115">
      <calculatedColumnFormula>IF(OR(ISNUMBER( SEARCH("imad",#REF!)), ISNUMBER( SEARCH("ffma",#REF!)), ISNUMBER( SEARCH("fadd",#REF!)), ISNUMBER( SEARCH("fmul",#REF!))), "fma", "")</calculatedColumnFormula>
    </tableColumn>
    <tableColumn id="2" xr3:uid="{6E353AE8-BF5C-8542-A3A6-7B0B85E76C69}" name="alu_Pipeline" dataDxfId="114">
      <calculatedColumnFormula>IF(OR(ISNUMBER( SEARCH("lop",#REF!)),ISNUMBER( SEARCH("isetp",#REF!)),ISNUMBER( SEARCH("iadd3",#REF!)), ISNUMBER( SEARCH("shf",#REF!)), ISNUMBER( SEARCH("lea",#REF!))), "alu", "")</calculatedColumnFormula>
    </tableColumn>
    <tableColumn id="3" xr3:uid="{051C2E29-2442-1D4F-9F11-DB2A4E2E4F26}" name="cbu_Pipeline" dataDxfId="113">
      <calculatedColumnFormula>IF(OR(ISNUMBER( SEARCH("bssy",#REF!)),ISNUMBER( SEARCH("bra",#REF!)),ISNUMBER( SEARCH("bsync",#REF!)),ISNUMBER( SEARCH("bar",#REF!))), "cba", "")</calculatedColumnFormula>
    </tableColumn>
    <tableColumn id="4" xr3:uid="{A6509808-5D6A-BB41-A267-8EB9ECD05368}" name="lsu" dataDxfId="112">
      <calculatedColumnFormula>IF(OR(ISNUMBER( SEARCH("s2r",#REF!)),ISNUMBER( SEARCH("s2ur",#REF!))), "special", "")</calculatedColumnFormula>
    </tableColumn>
    <tableColumn id="5" xr3:uid="{C1D7B2DB-A919-3244-85D6-490D0331CC43}" name="global" dataDxfId="111">
      <calculatedColumnFormula>IF(OR(ISNUMBER( SEARCH("stg",#REF!)),ISNUMBER( SEARCH("ldg",#REF!))), "global", "")</calculatedColumnFormula>
    </tableColumn>
    <tableColumn id="6" xr3:uid="{BA848F2B-48C0-0A46-AEDA-CC39FF7B1B6C}" name="shared" dataDxfId="110">
      <calculatedColumnFormula>IF(OR(ISNUMBER( SEARCH("sts",#REF!)),ISNUMBER( SEARCH("lds",#REF!))), "shared", "")</calculatedColumnFormula>
    </tableColumn>
    <tableColumn id="7" xr3:uid="{F3EBA7FB-73A8-754F-8C67-42CC5EE92EE0}" name="ind .const" dataDxfId="109">
      <calculatedColumnFormula>IF(OR(ISNUMBER( SEARCH("LDC",#REF!)),ISNUMBER( SEARCH("STC",#REF!))), "ind. const", "")</calculatedColumnFormula>
    </tableColumn>
    <tableColumn id="8" xr3:uid="{82A95E81-BBF4-C04A-9264-9B8EAA07C04B}" name="cmb. Const" dataDxfId="108">
      <calculatedColumnFormula>IF(AND(OR(ISNUMBER( SEARCH("c[0x",#REF!)),ISNUMBER( SEARCH("c[0x",#REF!)),ISNUMBER( SEARCH("c[0x",#REF!)),ISNUMBER( SEARCH("c[0x",#REF!)),ISNUMBER( SEARCH("c[0x",#REF!)),ISNUMBER( SEARCH("c[0x",#REF!))),S6=""), "cmb. const", "")</calculatedColumnFormula>
    </tableColumn>
    <tableColumn id="11" xr3:uid="{50EE5716-90BC-2848-8E9A-5A2B8CE6D40B}" name="const stat" dataDxfId="10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4B41FE-E15E-3542-A3F7-A35DE0FA64B4}" name="Table9" displayName="Table9" ref="W5:Y105" totalsRowShown="0">
  <autoFilter ref="W5:Y105" xr:uid="{304B41FE-E15E-3542-A3F7-A35DE0FA64B4}"/>
  <tableColumns count="3">
    <tableColumn id="1" xr3:uid="{23B7A0EA-6C45-3444-A612-C1AF235C6C5E}" name="TotalDelay">
      <calculatedColumnFormula>IF(#REF!="alu",#REF!,0)</calculatedColumnFormula>
    </tableColumn>
    <tableColumn id="2" xr3:uid="{2EB616B2-DE21-574B-87AC-9EF65811CA31}" name="mem" dataDxfId="106">
      <calculatedColumnFormula>IF(AND(#REF!="alu",Table7[[#This Row],[const stat]]="new"),290,0)</calculatedColumnFormula>
    </tableColumn>
    <tableColumn id="3" xr3:uid="{46563542-4308-FC48-9564-EB7705C26BB4}" name="WCET" dataDxfId="10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4551DB-D8BE-C34F-BB3C-3924A656154B}" name="Table10" displayName="Table10" ref="A5:A104" totalsRowShown="0" headerRowDxfId="104" dataDxfId="103">
  <autoFilter ref="A5:A104" xr:uid="{804551DB-D8BE-C34F-BB3C-3924A656154B}"/>
  <tableColumns count="1">
    <tableColumn id="1" xr3:uid="{2208207B-7B4D-DD4A-B934-4CF4D3095DD1}" name="count" dataDxfId="10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042EDD-C53A-8741-B367-017EF0BE2D4E}" name="Table11" displayName="Table11" ref="N1:U2" totalsRowShown="0" headerRowDxfId="101" dataDxfId="100">
  <autoFilter ref="N1:U2" xr:uid="{DF042EDD-C53A-8741-B367-017EF0BE2D4E}"/>
  <tableColumns count="8">
    <tableColumn id="1" xr3:uid="{44964CA0-4B31-7F47-A7BF-AB0DA119CFC3}" name="fma" dataDxfId="99">
      <calculatedColumnFormula>COUNTIF(I5:I104,"fma")</calculatedColumnFormula>
    </tableColumn>
    <tableColumn id="2" xr3:uid="{67D6749F-2216-0D49-9525-E0150BE46F4C}" name="alu" dataDxfId="98">
      <calculatedColumnFormula>COUNTIF(I5:I104,"alu")</calculatedColumnFormula>
    </tableColumn>
    <tableColumn id="3" xr3:uid="{44F20404-4EBC-3540-A5EA-BBDDF3DC0D11}" name="cba" dataDxfId="97">
      <calculatedColumnFormula>COUNTIF(I6:I105,"cba")</calculatedColumnFormula>
    </tableColumn>
    <tableColumn id="4" xr3:uid="{21511D30-98BE-8448-9F17-520A143E2D62}" name="special" dataDxfId="96">
      <calculatedColumnFormula>COUNTIF(I6:I104,"special")</calculatedColumnFormula>
    </tableColumn>
    <tableColumn id="5" xr3:uid="{F2893E1E-632F-254C-9DE0-9DA65DCF896C}" name="global" dataDxfId="95">
      <calculatedColumnFormula>COUNTIF(I6:I104,"global")</calculatedColumnFormula>
    </tableColumn>
    <tableColumn id="6" xr3:uid="{3D2B9198-4720-1D49-8D0D-49672D1EB396}" name="shared" dataDxfId="94">
      <calculatedColumnFormula>COUNTIF(I6:I104,"shared")</calculatedColumnFormula>
    </tableColumn>
    <tableColumn id="7" xr3:uid="{C256B308-6937-2743-8D45-05641F978CD5}" name="ind. Const" dataDxfId="93">
      <calculatedColumnFormula>COUNTIF(I6:I104,"ind. const")</calculatedColumnFormula>
    </tableColumn>
    <tableColumn id="8" xr3:uid="{1F817862-D1A9-A049-8D9C-F1AAB29D9789}" name="total" dataDxfId="92">
      <calculatedColumnFormula>SUM(N2:T2)+1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5AC4AC-078D-A04F-B82E-ABAE83E44037}" name="Table12" displayName="Table12" ref="B1:H2" totalsRowShown="0" headerRowDxfId="91" dataDxfId="90">
  <autoFilter ref="B1:H2" xr:uid="{CE5AC4AC-078D-A04F-B82E-ABAE83E44037}"/>
  <tableColumns count="7">
    <tableColumn id="1" xr3:uid="{979DCEE2-6E8F-0C4F-BCE6-79BF24CBB8A5}" name="Kernel number" dataDxfId="89"/>
    <tableColumn id="2" xr3:uid="{AC72BDB5-6B25-C945-98EC-A54FA4484212}" name="name" dataDxfId="88"/>
    <tableColumn id="3" xr3:uid="{16692885-C47C-674B-86B1-F663CE3C0766}" name="exec time " dataDxfId="87"/>
    <tableColumn id="4" xr3:uid="{0CDB1A58-55DB-5D4D-A645-575A3E142AD9}" name="invocation" dataDxfId="86"/>
    <tableColumn id="5" xr3:uid="{D6317304-FEF3-D44B-B0B8-095FD7BDE7D4}" name="w" dataDxfId="85"/>
    <tableColumn id="6" xr3:uid="{34C307A2-4AC2-0D42-84B3-83D8A2D53F9F}" name="wcet" dataDxfId="84">
      <calculatedColumnFormula>Y105</calculatedColumnFormula>
    </tableColumn>
    <tableColumn id="7" xr3:uid="{3F4E5E62-3B9E-0445-8B8A-4E1B1B5D2146}" name="ratio" dataDxfId="83">
      <calculatedColumnFormula>Table12[[#This Row],[exec time ]]/Table12[[#This Row],[wcet]]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49DF85-0AA1-3B46-BA6A-20B0BCC6D73E}" name="Table36" displayName="Table36" ref="B5:K104" totalsRowShown="0" headerRowDxfId="82" dataDxfId="81">
  <autoFilter ref="B5:K104" xr:uid="{C749DF85-0AA1-3B46-BA6A-20B0BCC6D73E}"/>
  <tableColumns count="10">
    <tableColumn id="2" xr3:uid="{65981430-F9F0-6A4D-82A0-A04A08EE3A50}" name="inst" dataDxfId="80"/>
    <tableColumn id="3" xr3:uid="{ACAAF55A-22FC-5A42-80E6-34614FE7F9BB}" name="S0" dataDxfId="79"/>
    <tableColumn id="4" xr3:uid="{A641A6D8-2221-A948-B095-F9838526186A}" name="S1" dataDxfId="78"/>
    <tableColumn id="5" xr3:uid="{2E4E5257-80CE-004C-B46F-C15FA567F1EE}" name="S2" dataDxfId="77"/>
    <tableColumn id="6" xr3:uid="{1E435EF7-374D-6E4C-BC89-A5851A5ADCF9}" name="S3" dataDxfId="76"/>
    <tableColumn id="7" xr3:uid="{6F7F13D5-C1A0-4C48-A36E-6B2B45A45E12}" name="S4" dataDxfId="75"/>
    <tableColumn id="8" xr3:uid="{E6DE664B-E8C1-2547-8891-521CA6D60A16}" name="S5" dataDxfId="74"/>
    <tableColumn id="9" xr3:uid="{5915DC30-2C4C-7D4A-B577-90E0AB36BF08}" name="Pipeline" dataDxfId="73"/>
    <tableColumn id="10" xr3:uid="{9C5CE2BE-D75D-C24F-8A10-71A0AEB65692}" name="Delay" dataDxfId="72"/>
    <tableColumn id="13" xr3:uid="{0EF4A24E-41B1-2647-A6F6-AA7A5F119110}" name="comment" dataDxfId="7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9E67FD-80B4-9245-B09E-8E020D708F33}" name="Table6" displayName="Table6" ref="A5:M892" totalsRowCount="1" headerRowDxfId="70" dataDxfId="69" totalsRowDxfId="68">
  <autoFilter ref="A5:M891" xr:uid="{B19E67FD-80B4-9245-B09E-8E020D708F33}"/>
  <tableColumns count="13">
    <tableColumn id="1" xr3:uid="{252410E8-99D7-B74D-86B7-BB37F23150BD}" name="count" dataDxfId="67" totalsRowDxfId="9"/>
    <tableColumn id="2" xr3:uid="{5F1EF687-98EE-0148-863A-9FB8E710B334}" name="condition" dataDxfId="66" totalsRowDxfId="8"/>
    <tableColumn id="3" xr3:uid="{8662F295-99CA-EB47-91F0-6A1DD54394C5}" name="instruction" dataDxfId="65"/>
    <tableColumn id="4" xr3:uid="{0B5217F9-18FD-D448-9043-C92930F090BC}" name="dest" dataDxfId="64" totalsRowDxfId="7"/>
    <tableColumn id="5" xr3:uid="{0A04B28F-F943-AF4E-892A-C588A7D32B9B}" name="s0" dataDxfId="63" totalsRowDxfId="6"/>
    <tableColumn id="6" xr3:uid="{DF75CE51-1882-8B42-B4DC-63C68C80A8AE}" name="s1" dataDxfId="62" totalsRowDxfId="5"/>
    <tableColumn id="7" xr3:uid="{FC70C412-10CA-8D49-924A-2AC49821B68E}" name="s2" dataDxfId="61" totalsRowDxfId="4"/>
    <tableColumn id="8" xr3:uid="{6EBFECC3-5167-F84A-AA84-BA7774097C86}" name="s3" dataDxfId="60" totalsRowDxfId="3"/>
    <tableColumn id="9" xr3:uid="{70DC6802-1F57-734C-944A-7921B6A8B533}" name="s4" dataDxfId="59" totalsRowDxfId="2"/>
    <tableColumn id="10" xr3:uid="{72FA0C18-DC4E-F549-A3A5-053EAE326BFC}" name="s5" dataDxfId="58" totalsRowDxfId="1"/>
    <tableColumn id="11" xr3:uid="{8E3A219D-D3EA-C54B-BDC4-AB36EBFA7072}" name="pipeline" dataDxfId="57" totalsRowDxfId="0">
      <calculatedColumnFormula>IF(O6&lt;&gt;"", O6, IF(P6&lt;&gt;"", P6, IF(R6&lt;&gt;"", R6, IF(S6&lt;&gt;"", S6, IF(T6&lt;&gt;"", T6, IF(U6&lt;&gt;"", U6, IF(Q6&lt;&gt;"", Q6, "")))))))</calculatedColumnFormula>
    </tableColumn>
    <tableColumn id="12" xr3:uid="{EF821BA8-624D-1548-A51B-5127DB76F060}" name="delay" dataDxfId="56">
      <calculatedColumnFormula array="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
    TRUE, 0
)</calculatedColumnFormula>
    </tableColumn>
    <tableColumn id="13" xr3:uid="{9C2B3B7D-D0A9-0840-BEDF-8CDBBBC9209D}" name="comment" dataDxfId="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F5C91FC-1920-9C44-9B72-C55F9C1A2157}" name="Table14" displayName="Table14" ref="O5:W891" totalsRowShown="0" headerRowDxfId="54">
  <autoFilter ref="O5:W891" xr:uid="{5F5C91FC-1920-9C44-9B72-C55F9C1A2157}"/>
  <tableColumns count="9">
    <tableColumn id="1" xr3:uid="{1C5B1F43-B8E3-FC47-9F73-621726FDF16F}" name="fma_Pipeline" dataDxfId="53">
      <calculatedColumnFormula>IF(OR(ISNUMBER(SEARCH("imad", Table6[[#This Row],[instruction]])), ISNUMBER(SEARCH("ffma", Table6[[#This Row],[instruction]])), ISNUMBER(SEARCH("fmul", Table6[[#This Row],[instruction]]))), "fma", "")</calculatedColumnFormula>
    </tableColumn>
    <tableColumn id="2" xr3:uid="{1CFEB635-9CFA-2344-AABB-9CBFD4A47C0B}" name="alu_Pipeline" dataDxfId="52">
      <calculatedColumnFormula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calculatedColumnFormula>
    </tableColumn>
    <tableColumn id="3" xr3:uid="{C453A6A3-8453-E94F-B9F9-1B6B0B309BDF}" name="cbu_Pipeline"/>
    <tableColumn id="4" xr3:uid="{E41962D7-B592-CF44-B7AB-437E16903C2A}" name="lsu">
      <calculatedColumnFormula>IF(OR(ISNUMBER(SEARCH("s2r", Table6[[#This Row],[instruction]])),ISNUMBER(SEARCH("s2ur", Table6[[#This Row],[instruction]]))), "special", "")</calculatedColumnFormula>
    </tableColumn>
    <tableColumn id="5" xr3:uid="{09D707EC-9765-4A4D-81FD-41A58F3DC2DB}" name="global">
      <calculatedColumnFormula>IF(OR(ISNUMBER(SEARCH("stg", Table6[[#This Row],[instruction]])),ISNUMBER(SEARCH("ldg", Table6[[#This Row],[instruction]]))), "global", "")</calculatedColumnFormula>
    </tableColumn>
    <tableColumn id="6" xr3:uid="{D0FC2409-0BCF-8547-8F3D-856D9D081CE3}" name="shared">
      <calculatedColumnFormula>IF(OR(ISNUMBER(SEARCH("sts", Table6[[#This Row],[instruction]])),ISNUMBER(SEARCH("lds", Table6[[#This Row],[instruction]]))), "shared", "")</calculatedColumnFormula>
    </tableColumn>
    <tableColumn id="7" xr3:uid="{B6D79096-C34E-3446-9827-6B1FCA267C8A}" name="ind .const">
      <calculatedColumnFormula>IF(OR(ISNUMBER(SEARCH("LDC", Table6[[#This Row],[instruction]]))), "ind. const", "")</calculatedColumnFormula>
    </tableColumn>
    <tableColumn id="8" xr3:uid="{65B17D23-03C8-C64A-9E51-B086FFC7C959}" name="cmb. Const">
      <calculatedColumnFormula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Row],[s5]]))),U6=""), "cmb. const", "")</calculatedColumnFormula>
    </tableColumn>
    <tableColumn id="9" xr3:uid="{B9D72EEF-4B51-1E4A-8AB5-9CD6FA45EFF1}" name="const mem notes" dataDxfId="5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3015FB-0FE8-E741-A927-D9DE5871E060}" name="Table15" displayName="Table15" ref="C1:I2" totalsRowShown="0" headerRowDxfId="50" dataDxfId="48" headerRowBorderDxfId="49" tableBorderDxfId="47">
  <autoFilter ref="C1:I2" xr:uid="{9F3015FB-0FE8-E741-A927-D9DE5871E060}"/>
  <tableColumns count="7">
    <tableColumn id="1" xr3:uid="{02F6BA90-A654-434A-A84B-F8D5F3FE998D}" name="Kernel number" dataDxfId="46"/>
    <tableColumn id="2" xr3:uid="{92F33497-EF81-814A-8029-3529BC9D38F7}" name="name" dataDxfId="45"/>
    <tableColumn id="3" xr3:uid="{CB46B246-2B59-824B-83BE-6B5D0B5B3A29}" name="exec time " dataDxfId="44"/>
    <tableColumn id="4" xr3:uid="{7D0FD730-27D9-724B-B2A4-8B81764D89A7}" name="invocation" dataDxfId="43"/>
    <tableColumn id="5" xr3:uid="{9E04423A-39C1-5C48-AB4B-D4BD507316A1}" name="w" dataDxfId="42"/>
    <tableColumn id="6" xr3:uid="{2D1DBBC6-8FAF-9A43-B2AC-420B0C0AAC7F}" name="wcet" dataDxfId="41">
      <calculatedColumnFormula>AA892</calculatedColumnFormula>
    </tableColumn>
    <tableColumn id="7" xr3:uid="{1A6EE830-22A8-1445-B47E-219E895EF5FA}" name="ratio" dataDxfId="40">
      <calculatedColumnFormula>Table15[[#This Row],[exec time ]]/Table15[[#This Row],[wcet]]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8F33408-D507-AA48-B2BE-C459CA0A0B6D}" name="Table16" displayName="Table16" ref="P1:V2" totalsRowShown="0" headerRowDxfId="39" dataDxfId="38">
  <autoFilter ref="P1:V2" xr:uid="{08F33408-D507-AA48-B2BE-C459CA0A0B6D}"/>
  <tableColumns count="7">
    <tableColumn id="1" xr3:uid="{E93DD6E6-916D-9B4C-AFBF-371464B550BD}" name="fma" dataDxfId="37">
      <calculatedColumnFormula>COUNTIF(K6:K891,"fma")</calculatedColumnFormula>
    </tableColumn>
    <tableColumn id="2" xr3:uid="{C4B33E66-45FC-2346-8B90-46D4EE882C53}" name="alu" dataDxfId="36">
      <calculatedColumnFormula>COUNTIF(K6:K891,"alu")</calculatedColumnFormula>
    </tableColumn>
    <tableColumn id="3" xr3:uid="{3A0D9F48-E40A-FC4B-9487-5A38ED400E37}" name="cba" dataDxfId="35">
      <calculatedColumnFormula>COUNTIF(K6:K891,"cba")</calculatedColumnFormula>
    </tableColumn>
    <tableColumn id="4" xr3:uid="{D4F177B5-BB10-294D-895A-1CA9559E8BA4}" name="special" dataDxfId="34">
      <calculatedColumnFormula>COUNTIF(K6:K891,"special")</calculatedColumnFormula>
    </tableColumn>
    <tableColumn id="5" xr3:uid="{9210B447-1A10-0B45-9824-C3E954D1800D}" name="global" dataDxfId="33">
      <calculatedColumnFormula>COUNTIF(K6:K891,"global")</calculatedColumnFormula>
    </tableColumn>
    <tableColumn id="6" xr3:uid="{9D74247E-1FCE-E54E-823C-DC6D5291DA1E}" name="shared" dataDxfId="32">
      <calculatedColumnFormula>COUNTIF(K6:K891,"shared")</calculatedColumnFormula>
    </tableColumn>
    <tableColumn id="7" xr3:uid="{657B4610-8D63-8348-9AF1-575555E58320}" name="ind. Const" dataDxfId="31">
      <calculatedColumnFormula>COUNTIF(K6:K891,"ind. const")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2CFBAA6-4ABE-5748-985E-0CBEF35A585C}" name="Table17" displayName="Table17" ref="Y5:AA892" totalsRowShown="0">
  <autoFilter ref="Y5:AA892" xr:uid="{52CFBAA6-4ABE-5748-985E-0CBEF35A585C}"/>
  <tableColumns count="3">
    <tableColumn id="1" xr3:uid="{6A90CABB-8427-5B4A-8577-D94AB286C529}" name="TotalDelay">
      <calculatedColumnFormula>IF(Table6[[#This Row],[pipeline]]="fma",Table6[[#This Row],[delay]],0)</calculatedColumnFormula>
    </tableColumn>
    <tableColumn id="2" xr3:uid="{379D745F-B8B3-7241-8F3B-38A3A45F75CD}" name="mem">
      <calculatedColumnFormula>IF(AND(Table6[[#This Row],[pipeline]]="fma",W6="new"),290,0)</calculatedColumnFormula>
    </tableColumn>
    <tableColumn id="3" xr3:uid="{3004A4C3-3D99-514D-9DFB-7A9A77668AD0}" name="WC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5" dT="2025-04-07T13:28:33.54" personId="{7D333B81-FDC3-7741-A5A4-5EA1020247D1}" id="{6FBE4E4D-6F78-DD48-B45A-599EA8941413}">
    <text>Combined constant access with other instruction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T5" dT="2025-04-07T13:28:33.54" personId="{7D333B81-FDC3-7741-A5A4-5EA1020247D1}" id="{ECFE9067-500F-684A-BAFD-70ECA71744BE}">
    <text>Combined constant access with other instruction</text>
  </threadedComment>
  <threadedComment ref="K33" dT="2025-04-07T13:28:02.88" personId="{7D333B81-FDC3-7741-A5A4-5EA1020247D1}" id="{FD7D67BC-F620-B546-B4B9-7B75848CD14B}">
    <text>PNT: Path not taken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Relationship Id="rId9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vmlDrawing" Target="../drawings/vmlDrawing2.v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Relationship Id="rId9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EF43-A270-8944-AC0F-1235035B0E66}">
  <dimension ref="A1:AQ966"/>
  <sheetViews>
    <sheetView tabSelected="1" zoomScale="125" workbookViewId="0">
      <selection activeCell="D20" sqref="D20"/>
    </sheetView>
  </sheetViews>
  <sheetFormatPr baseColWidth="10" defaultRowHeight="16" x14ac:dyDescent="0.2"/>
  <cols>
    <col min="1" max="1" width="17.1640625" customWidth="1"/>
    <col min="2" max="2" width="18" customWidth="1"/>
    <col min="3" max="4" width="11.33203125" customWidth="1"/>
    <col min="5" max="5" width="13.83203125" customWidth="1"/>
    <col min="6" max="7" width="11.33203125" customWidth="1"/>
    <col min="8" max="8" width="14" style="3" customWidth="1"/>
    <col min="9" max="11" width="10.83203125" style="3"/>
    <col min="12" max="12" width="12.83203125" customWidth="1"/>
    <col min="13" max="13" width="10.83203125" style="2"/>
    <col min="14" max="14" width="12.5" customWidth="1"/>
    <col min="15" max="15" width="8.83203125" customWidth="1"/>
    <col min="19" max="19" width="13.33203125" customWidth="1"/>
    <col min="21" max="21" width="11.6640625" customWidth="1"/>
    <col min="39" max="39" width="38.83203125" customWidth="1"/>
    <col min="40" max="40" width="30.5" customWidth="1"/>
    <col min="41" max="41" width="21.1640625" customWidth="1"/>
    <col min="42" max="42" width="30.6640625" customWidth="1"/>
    <col min="53" max="53" width="10.83203125" customWidth="1"/>
  </cols>
  <sheetData>
    <row r="1" spans="1:15" x14ac:dyDescent="0.2">
      <c r="A1" t="s">
        <v>477</v>
      </c>
      <c r="B1" t="s">
        <v>818</v>
      </c>
      <c r="C1" t="s">
        <v>484</v>
      </c>
      <c r="D1" t="s">
        <v>826</v>
      </c>
    </row>
    <row r="2" spans="1:15" x14ac:dyDescent="0.2">
      <c r="A2" s="58" t="s">
        <v>95</v>
      </c>
      <c r="B2" s="58" t="s">
        <v>820</v>
      </c>
      <c r="C2" s="58">
        <v>2</v>
      </c>
      <c r="D2" s="58"/>
      <c r="N2" s="4"/>
      <c r="O2" s="4"/>
    </row>
    <row r="3" spans="1:15" x14ac:dyDescent="0.2">
      <c r="A3" s="58"/>
      <c r="B3" s="58" t="s">
        <v>821</v>
      </c>
      <c r="C3" s="58">
        <v>4</v>
      </c>
      <c r="D3" s="58"/>
    </row>
    <row r="4" spans="1:15" x14ac:dyDescent="0.2">
      <c r="A4" s="58"/>
      <c r="B4" s="58" t="s">
        <v>822</v>
      </c>
      <c r="C4" s="58">
        <v>4</v>
      </c>
      <c r="D4" s="58"/>
      <c r="F4" s="1"/>
    </row>
    <row r="5" spans="1:15" x14ac:dyDescent="0.2">
      <c r="A5" s="58"/>
      <c r="B5" s="58" t="s">
        <v>200</v>
      </c>
      <c r="C5" s="58">
        <v>6</v>
      </c>
      <c r="D5" s="58"/>
    </row>
    <row r="6" spans="1:15" x14ac:dyDescent="0.2">
      <c r="A6" s="59" t="s">
        <v>92</v>
      </c>
      <c r="B6" s="59" t="s">
        <v>823</v>
      </c>
      <c r="C6" s="59">
        <v>4</v>
      </c>
      <c r="D6" s="59"/>
    </row>
    <row r="7" spans="1:15" x14ac:dyDescent="0.2">
      <c r="A7" s="59"/>
      <c r="B7" s="59" t="s">
        <v>59</v>
      </c>
      <c r="C7" s="59">
        <v>4</v>
      </c>
      <c r="D7" s="59"/>
    </row>
    <row r="8" spans="1:15" x14ac:dyDescent="0.2">
      <c r="A8" s="59"/>
      <c r="B8" s="59" t="s">
        <v>88</v>
      </c>
      <c r="C8" s="59">
        <v>4</v>
      </c>
      <c r="D8" s="59"/>
    </row>
    <row r="9" spans="1:15" x14ac:dyDescent="0.2">
      <c r="A9" s="59"/>
      <c r="B9" s="59" t="s">
        <v>70</v>
      </c>
      <c r="C9" s="59">
        <v>4</v>
      </c>
      <c r="D9" s="59"/>
    </row>
    <row r="10" spans="1:15" x14ac:dyDescent="0.2">
      <c r="A10" s="58" t="s">
        <v>824</v>
      </c>
      <c r="B10" s="58" t="s">
        <v>43</v>
      </c>
      <c r="C10" s="58">
        <v>290</v>
      </c>
      <c r="D10" s="58"/>
    </row>
    <row r="11" spans="1:15" x14ac:dyDescent="0.2">
      <c r="A11" s="58"/>
      <c r="B11" s="58" t="s">
        <v>825</v>
      </c>
      <c r="C11" s="58">
        <v>33</v>
      </c>
      <c r="D11" s="58" t="s">
        <v>827</v>
      </c>
    </row>
    <row r="12" spans="1:15" x14ac:dyDescent="0.2">
      <c r="A12" s="58"/>
      <c r="B12" s="58" t="s">
        <v>273</v>
      </c>
      <c r="C12" s="58">
        <v>290</v>
      </c>
      <c r="D12" s="58"/>
    </row>
    <row r="13" spans="1:15" x14ac:dyDescent="0.2">
      <c r="A13" s="59" t="s">
        <v>828</v>
      </c>
      <c r="B13" s="59" t="s">
        <v>277</v>
      </c>
      <c r="C13" s="59">
        <v>19</v>
      </c>
      <c r="D13" s="59"/>
    </row>
    <row r="14" spans="1:15" x14ac:dyDescent="0.2">
      <c r="A14" s="59"/>
      <c r="B14" s="59" t="s">
        <v>267</v>
      </c>
      <c r="C14" s="59">
        <v>23</v>
      </c>
      <c r="D14" s="59"/>
    </row>
    <row r="15" spans="1:15" x14ac:dyDescent="0.2">
      <c r="A15" t="s">
        <v>829</v>
      </c>
      <c r="B15" t="s">
        <v>3</v>
      </c>
      <c r="C15">
        <v>10</v>
      </c>
    </row>
    <row r="16" spans="1:15" x14ac:dyDescent="0.2">
      <c r="B16" t="s">
        <v>394</v>
      </c>
      <c r="C16">
        <v>10</v>
      </c>
    </row>
    <row r="21" spans="5:22" x14ac:dyDescent="0.2">
      <c r="P21" s="2"/>
      <c r="Q21" s="2"/>
    </row>
    <row r="22" spans="5:22" x14ac:dyDescent="0.2">
      <c r="P22" s="2"/>
      <c r="Q22" s="2"/>
    </row>
    <row r="23" spans="5:22" x14ac:dyDescent="0.2">
      <c r="P23" s="2"/>
      <c r="Q23" s="2"/>
    </row>
    <row r="24" spans="5:22" x14ac:dyDescent="0.2">
      <c r="E24" s="5"/>
      <c r="F24" s="5"/>
      <c r="G24" s="5"/>
      <c r="H24" s="6"/>
      <c r="I24" s="6"/>
      <c r="J24" s="6"/>
      <c r="K24" s="49"/>
      <c r="L24" s="49"/>
      <c r="M24" s="46"/>
      <c r="N24" s="46"/>
      <c r="O24" s="5"/>
      <c r="P24" s="5"/>
      <c r="Q24" s="46"/>
      <c r="R24" s="46"/>
      <c r="S24" s="5"/>
      <c r="T24" s="5"/>
      <c r="U24" s="47"/>
      <c r="V24" s="47"/>
    </row>
    <row r="25" spans="5:22" x14ac:dyDescent="0.2">
      <c r="E25" s="5"/>
      <c r="F25" s="5"/>
      <c r="G25" s="5"/>
      <c r="H25" s="6"/>
      <c r="I25" s="6"/>
      <c r="J25" s="6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5:22" x14ac:dyDescent="0.2"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5"/>
      <c r="Q26" s="5"/>
      <c r="R26" s="6"/>
      <c r="S26" s="6"/>
      <c r="T26" s="6"/>
      <c r="U26" s="6"/>
      <c r="V26" s="6"/>
    </row>
    <row r="27" spans="5:22" x14ac:dyDescent="0.2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60" spans="1:25" x14ac:dyDescent="0.2">
      <c r="B60" s="5"/>
      <c r="E60" s="5"/>
      <c r="G60" s="5"/>
    </row>
    <row r="61" spans="1:25" x14ac:dyDescent="0.2">
      <c r="A61" s="5"/>
      <c r="B61" s="46"/>
      <c r="C61" s="46"/>
      <c r="D61" s="6"/>
      <c r="E61" s="6"/>
      <c r="F61" s="5"/>
      <c r="G61" s="46"/>
      <c r="H61" s="46"/>
      <c r="I61" s="5"/>
      <c r="J61" s="6"/>
      <c r="K61" s="5"/>
      <c r="L61" s="46"/>
      <c r="M61" s="46"/>
      <c r="N61" s="7"/>
      <c r="O61" s="5"/>
      <c r="P61" s="46"/>
      <c r="Q61" s="46"/>
      <c r="R61" s="5"/>
      <c r="S61" s="46"/>
      <c r="T61" s="48"/>
      <c r="U61" s="9"/>
      <c r="V61" s="9"/>
      <c r="W61" s="9"/>
      <c r="X61" s="5"/>
      <c r="Y61" s="5"/>
    </row>
    <row r="62" spans="1:25" x14ac:dyDescent="0.2">
      <c r="A62" s="5"/>
      <c r="B62" s="6"/>
      <c r="C62" s="6"/>
      <c r="D62" s="6"/>
      <c r="E62" s="6"/>
      <c r="F62" s="6"/>
      <c r="G62" s="6"/>
      <c r="H62" s="5"/>
      <c r="I62" s="5"/>
      <c r="J62" s="6"/>
      <c r="K62" s="5"/>
      <c r="L62" s="6"/>
      <c r="M62" s="5"/>
      <c r="N62" s="5"/>
      <c r="O62" s="5"/>
      <c r="P62" s="6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2">
      <c r="A63" s="5"/>
      <c r="B63" s="6"/>
      <c r="C63" s="6"/>
      <c r="D63" s="6"/>
      <c r="E63" s="6"/>
      <c r="F63" s="6"/>
      <c r="G63" s="6"/>
      <c r="H63" s="5"/>
      <c r="I63" s="5"/>
      <c r="J63" s="6"/>
      <c r="K63" s="5"/>
      <c r="L63" s="6"/>
      <c r="M63" s="5"/>
      <c r="N63" s="5"/>
      <c r="O63" s="5"/>
      <c r="P63" s="6"/>
      <c r="Q63" s="5"/>
      <c r="R63" s="5"/>
      <c r="S63" s="5"/>
      <c r="T63" s="5"/>
      <c r="U63" s="5"/>
      <c r="V63" s="5"/>
      <c r="W63" s="5"/>
      <c r="X63" s="5"/>
      <c r="Y63" s="5"/>
    </row>
    <row r="64" spans="1:25" ht="16" hidden="1" customHeight="1" x14ac:dyDescent="0.2">
      <c r="A64" s="5"/>
      <c r="B64" s="6"/>
      <c r="C64" s="6"/>
      <c r="D64" s="6"/>
      <c r="E64" s="6"/>
      <c r="F64" s="6"/>
      <c r="G64" s="6"/>
      <c r="H64" s="5"/>
      <c r="I64" s="5"/>
      <c r="J64" s="6"/>
      <c r="K64" s="5"/>
      <c r="L64" s="6"/>
      <c r="M64" s="5"/>
      <c r="N64" s="5"/>
      <c r="O64" s="5"/>
      <c r="P64" s="6"/>
      <c r="Q64" s="5"/>
      <c r="R64" s="5"/>
      <c r="S64" s="5"/>
      <c r="T64" s="5"/>
      <c r="U64" s="5"/>
      <c r="V64" s="5"/>
      <c r="W64" s="5"/>
      <c r="X64" s="5"/>
      <c r="Y64" s="5"/>
    </row>
    <row r="65" spans="1:42" x14ac:dyDescent="0.2">
      <c r="A65" s="5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42" ht="16" hidden="1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AN66" t="s">
        <v>403</v>
      </c>
    </row>
    <row r="67" spans="1:42" ht="20" x14ac:dyDescent="0.2">
      <c r="A67" s="5"/>
      <c r="C67" s="5"/>
      <c r="D67" s="5"/>
      <c r="E67" s="5"/>
      <c r="F67" s="5"/>
      <c r="G67" s="5"/>
      <c r="H67" s="6"/>
      <c r="I67" s="6"/>
      <c r="J67" s="6"/>
      <c r="K67" s="6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AN67" s="14" t="s">
        <v>404</v>
      </c>
    </row>
    <row r="68" spans="1:42" ht="20" x14ac:dyDescent="0.2">
      <c r="A68" s="5"/>
      <c r="B68" s="5"/>
      <c r="C68" s="5"/>
      <c r="D68" s="5"/>
      <c r="E68" s="5"/>
      <c r="F68" s="5"/>
      <c r="G68" s="5"/>
      <c r="H68" s="6"/>
      <c r="I68" s="6"/>
      <c r="J68" s="6"/>
      <c r="K68" s="6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AN68" s="14" t="s">
        <v>405</v>
      </c>
    </row>
    <row r="69" spans="1:42" ht="20" x14ac:dyDescent="0.2">
      <c r="A69" s="5"/>
      <c r="B69" s="46"/>
      <c r="C69" s="46"/>
      <c r="D69" s="6"/>
      <c r="E69" s="6"/>
      <c r="F69" s="5"/>
      <c r="G69" s="46"/>
      <c r="H69" s="46"/>
      <c r="I69" s="5"/>
      <c r="J69" s="6"/>
      <c r="K69" s="5"/>
      <c r="L69" s="46"/>
      <c r="M69" s="46"/>
      <c r="N69" s="7"/>
      <c r="O69" s="5"/>
      <c r="P69" s="46"/>
      <c r="Q69" s="46"/>
      <c r="R69" s="5"/>
      <c r="S69" s="5"/>
      <c r="T69" s="9"/>
      <c r="U69" s="9"/>
      <c r="V69" s="9"/>
      <c r="W69" s="9"/>
      <c r="X69" s="5"/>
      <c r="Y69" s="5"/>
      <c r="AN69" s="14" t="s">
        <v>406</v>
      </c>
    </row>
    <row r="70" spans="1:42" ht="20" x14ac:dyDescent="0.2">
      <c r="A70" s="5"/>
      <c r="B70" s="6"/>
      <c r="C70" s="6"/>
      <c r="D70" s="6"/>
      <c r="E70" s="6"/>
      <c r="F70" s="6"/>
      <c r="G70" s="6"/>
      <c r="H70" s="5"/>
      <c r="I70" s="5"/>
      <c r="J70" s="6"/>
      <c r="K70" s="5"/>
      <c r="L70" s="6"/>
      <c r="M70" s="5"/>
      <c r="N70" s="5"/>
      <c r="O70" s="5"/>
      <c r="P70" s="6"/>
      <c r="Q70" s="5"/>
      <c r="R70" s="5"/>
      <c r="S70" s="5"/>
      <c r="T70" s="5"/>
      <c r="U70" s="5"/>
      <c r="V70" s="5"/>
      <c r="W70" s="5"/>
      <c r="X70" s="5"/>
      <c r="Y70" s="5"/>
      <c r="AN70" s="14" t="s">
        <v>407</v>
      </c>
    </row>
    <row r="71" spans="1:42" ht="20" x14ac:dyDescent="0.2">
      <c r="A71" s="5"/>
      <c r="B71" s="6"/>
      <c r="C71" s="6"/>
      <c r="D71" s="6"/>
      <c r="E71" s="6"/>
      <c r="F71" s="6"/>
      <c r="G71" s="6"/>
      <c r="H71" s="5"/>
      <c r="I71" s="5"/>
      <c r="J71" s="6"/>
      <c r="K71" s="5"/>
      <c r="L71" s="6"/>
      <c r="M71" s="5"/>
      <c r="N71" s="5"/>
      <c r="O71" s="5"/>
      <c r="P71" s="6"/>
      <c r="Q71" s="5"/>
      <c r="R71" s="5"/>
      <c r="S71" s="5"/>
      <c r="T71" s="5"/>
      <c r="U71" s="5"/>
      <c r="V71" s="5"/>
      <c r="W71" s="5"/>
      <c r="X71" s="5"/>
      <c r="Y71" s="5"/>
      <c r="AN71" s="14" t="s">
        <v>408</v>
      </c>
    </row>
    <row r="72" spans="1:42" ht="20" x14ac:dyDescent="0.2">
      <c r="A72" s="5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6"/>
      <c r="N72" s="8"/>
      <c r="O72" s="8"/>
      <c r="P72" s="8"/>
      <c r="Q72" s="6"/>
      <c r="R72" s="6"/>
      <c r="T72" s="6"/>
      <c r="U72" s="6"/>
      <c r="AN72" s="14" t="s">
        <v>409</v>
      </c>
    </row>
    <row r="73" spans="1:42" x14ac:dyDescent="0.2">
      <c r="N73" s="3"/>
      <c r="O73" s="3"/>
      <c r="P73" s="3"/>
      <c r="R73" s="4"/>
      <c r="S73" s="4"/>
      <c r="T73" s="4"/>
    </row>
    <row r="74" spans="1:42" x14ac:dyDescent="0.2">
      <c r="N74" s="3"/>
      <c r="O74" s="3"/>
      <c r="P74" s="3"/>
    </row>
    <row r="75" spans="1:42" x14ac:dyDescent="0.2">
      <c r="N75" s="3"/>
      <c r="O75" s="3"/>
      <c r="P75" s="3"/>
    </row>
    <row r="76" spans="1:42" x14ac:dyDescent="0.2">
      <c r="N76" s="3"/>
      <c r="O76" s="3"/>
      <c r="P76" s="3"/>
      <c r="R76" s="11" t="s">
        <v>98</v>
      </c>
    </row>
    <row r="77" spans="1:42" x14ac:dyDescent="0.2">
      <c r="N77" s="3"/>
      <c r="O77" s="3"/>
      <c r="P77" s="3"/>
      <c r="R77" s="11" t="s">
        <v>95</v>
      </c>
    </row>
    <row r="78" spans="1:42" ht="22" x14ac:dyDescent="0.3">
      <c r="N78" s="3"/>
      <c r="O78" s="3"/>
      <c r="P78" s="3"/>
      <c r="R78" s="11" t="s">
        <v>94</v>
      </c>
      <c r="AM78" s="12"/>
      <c r="AN78" s="15" t="s">
        <v>127</v>
      </c>
      <c r="AO78" s="15" t="s">
        <v>396</v>
      </c>
      <c r="AP78" s="15" t="s">
        <v>128</v>
      </c>
    </row>
    <row r="79" spans="1:42" ht="22" x14ac:dyDescent="0.3">
      <c r="N79" s="3"/>
      <c r="O79" s="3"/>
      <c r="P79" s="3"/>
      <c r="R79" s="11" t="s">
        <v>92</v>
      </c>
      <c r="S79" s="11" t="s">
        <v>118</v>
      </c>
      <c r="T79" t="s">
        <v>99</v>
      </c>
      <c r="U79" t="s">
        <v>120</v>
      </c>
      <c r="AM79" s="13"/>
      <c r="AN79" s="45" t="s">
        <v>129</v>
      </c>
      <c r="AO79" s="45"/>
      <c r="AP79" s="45"/>
    </row>
    <row r="80" spans="1:42" ht="22" x14ac:dyDescent="0.3">
      <c r="N80" s="3"/>
      <c r="O80" s="3"/>
      <c r="P80" s="3"/>
      <c r="U80" t="s">
        <v>121</v>
      </c>
      <c r="AM80" s="14"/>
      <c r="AN80" s="16" t="s">
        <v>88</v>
      </c>
      <c r="AO80" s="16" t="s">
        <v>119</v>
      </c>
      <c r="AP80" s="16" t="s">
        <v>130</v>
      </c>
    </row>
    <row r="81" spans="5:42" ht="22" x14ac:dyDescent="0.3">
      <c r="N81" s="3"/>
      <c r="O81" s="3"/>
      <c r="P81" s="3"/>
      <c r="U81" t="s">
        <v>122</v>
      </c>
      <c r="AM81" s="14"/>
      <c r="AN81" s="16" t="s">
        <v>131</v>
      </c>
      <c r="AO81" s="16" t="s">
        <v>119</v>
      </c>
      <c r="AP81" s="16" t="s">
        <v>130</v>
      </c>
    </row>
    <row r="82" spans="5:42" ht="22" x14ac:dyDescent="0.3">
      <c r="N82" s="3"/>
      <c r="O82" s="3"/>
      <c r="P82" s="3"/>
      <c r="S82" s="11" t="s">
        <v>119</v>
      </c>
      <c r="T82" t="s">
        <v>99</v>
      </c>
      <c r="U82" t="s">
        <v>120</v>
      </c>
      <c r="AM82" s="14"/>
      <c r="AN82" s="16" t="s">
        <v>132</v>
      </c>
      <c r="AO82" s="16" t="s">
        <v>397</v>
      </c>
      <c r="AP82" s="16" t="s">
        <v>133</v>
      </c>
    </row>
    <row r="83" spans="5:42" ht="22" x14ac:dyDescent="0.3">
      <c r="N83" s="3"/>
      <c r="O83" s="3"/>
      <c r="P83" s="3"/>
      <c r="U83" t="s">
        <v>121</v>
      </c>
      <c r="AM83" s="14"/>
      <c r="AN83" s="16" t="s">
        <v>134</v>
      </c>
      <c r="AO83" s="16" t="s">
        <v>118</v>
      </c>
      <c r="AP83" s="16" t="s">
        <v>135</v>
      </c>
    </row>
    <row r="84" spans="5:42" ht="22" x14ac:dyDescent="0.3">
      <c r="N84" s="3"/>
      <c r="O84" s="3"/>
      <c r="P84" s="3"/>
      <c r="U84" t="s">
        <v>100</v>
      </c>
      <c r="AM84" s="14"/>
      <c r="AN84" s="16" t="s">
        <v>70</v>
      </c>
      <c r="AO84" s="16" t="s">
        <v>118</v>
      </c>
      <c r="AP84" s="16" t="s">
        <v>135</v>
      </c>
    </row>
    <row r="85" spans="5:42" ht="22" x14ac:dyDescent="0.3">
      <c r="N85" s="3"/>
      <c r="O85" s="3"/>
      <c r="P85" s="3"/>
      <c r="T85" t="s">
        <v>123</v>
      </c>
      <c r="U85" t="s">
        <v>124</v>
      </c>
      <c r="AM85" s="14"/>
      <c r="AN85" s="16" t="s">
        <v>136</v>
      </c>
      <c r="AO85" s="16" t="s">
        <v>119</v>
      </c>
      <c r="AP85" s="16" t="s">
        <v>137</v>
      </c>
    </row>
    <row r="86" spans="5:42" ht="22" x14ac:dyDescent="0.3">
      <c r="N86" s="3"/>
      <c r="O86" s="3"/>
      <c r="P86" s="3"/>
      <c r="U86" t="s">
        <v>125</v>
      </c>
      <c r="AM86" s="14"/>
      <c r="AN86" s="16" t="s">
        <v>59</v>
      </c>
      <c r="AO86" s="16" t="s">
        <v>119</v>
      </c>
      <c r="AP86" s="16" t="s">
        <v>138</v>
      </c>
    </row>
    <row r="87" spans="5:42" ht="22" x14ac:dyDescent="0.3">
      <c r="E87" s="1"/>
      <c r="N87" s="3"/>
      <c r="O87" s="3"/>
      <c r="P87" s="3"/>
      <c r="U87" t="s">
        <v>41</v>
      </c>
      <c r="AM87" s="14"/>
      <c r="AN87" s="16" t="s">
        <v>139</v>
      </c>
      <c r="AO87" s="16" t="s">
        <v>119</v>
      </c>
      <c r="AP87" s="16" t="s">
        <v>138</v>
      </c>
    </row>
    <row r="88" spans="5:42" ht="22" x14ac:dyDescent="0.3">
      <c r="E88" s="1"/>
      <c r="N88" s="3"/>
      <c r="O88" s="3"/>
      <c r="P88" s="3"/>
      <c r="R88" s="11" t="s">
        <v>126</v>
      </c>
      <c r="AM88" s="14"/>
      <c r="AN88" s="16" t="s">
        <v>81</v>
      </c>
      <c r="AO88" s="16" t="s">
        <v>397</v>
      </c>
      <c r="AP88" s="16" t="s">
        <v>140</v>
      </c>
    </row>
    <row r="89" spans="5:42" ht="22" x14ac:dyDescent="0.3">
      <c r="N89" s="3"/>
      <c r="O89" s="3"/>
      <c r="P89" s="3"/>
      <c r="R89" s="11" t="s">
        <v>93</v>
      </c>
      <c r="S89" t="s">
        <v>105</v>
      </c>
      <c r="T89" t="s">
        <v>101</v>
      </c>
      <c r="AM89" s="14"/>
      <c r="AN89" s="16" t="s">
        <v>141</v>
      </c>
      <c r="AO89" s="16" t="s">
        <v>397</v>
      </c>
      <c r="AP89" s="16" t="s">
        <v>142</v>
      </c>
    </row>
    <row r="90" spans="5:42" ht="22" x14ac:dyDescent="0.3">
      <c r="N90" s="3"/>
      <c r="O90" s="3"/>
      <c r="P90" s="3"/>
      <c r="T90" t="s">
        <v>102</v>
      </c>
      <c r="AM90" s="14"/>
      <c r="AN90" s="16" t="s">
        <v>143</v>
      </c>
      <c r="AO90" s="16" t="s">
        <v>397</v>
      </c>
      <c r="AP90" s="16" t="s">
        <v>144</v>
      </c>
    </row>
    <row r="91" spans="5:42" ht="22" x14ac:dyDescent="0.3">
      <c r="N91" s="3"/>
      <c r="O91" s="3"/>
      <c r="P91" s="3"/>
      <c r="T91" t="s">
        <v>103</v>
      </c>
      <c r="AM91" s="14"/>
      <c r="AN91" s="16" t="s">
        <v>145</v>
      </c>
      <c r="AO91" s="16" t="s">
        <v>397</v>
      </c>
      <c r="AP91" s="16" t="s">
        <v>146</v>
      </c>
    </row>
    <row r="92" spans="5:42" ht="22" x14ac:dyDescent="0.3">
      <c r="N92" s="3"/>
      <c r="O92" s="3"/>
      <c r="P92" s="3"/>
      <c r="S92" t="s">
        <v>104</v>
      </c>
      <c r="AM92" s="14"/>
      <c r="AN92" s="16" t="s">
        <v>39</v>
      </c>
      <c r="AO92" s="16" t="s">
        <v>96</v>
      </c>
      <c r="AP92" s="16" t="s">
        <v>147</v>
      </c>
    </row>
    <row r="93" spans="5:42" ht="22" x14ac:dyDescent="0.3">
      <c r="N93" s="3"/>
      <c r="O93" s="3"/>
      <c r="P93" s="3"/>
      <c r="R93" s="11" t="s">
        <v>106</v>
      </c>
      <c r="S93" t="s">
        <v>107</v>
      </c>
      <c r="AM93" s="14"/>
      <c r="AN93" s="16" t="s">
        <v>124</v>
      </c>
      <c r="AO93" s="16" t="s">
        <v>119</v>
      </c>
      <c r="AP93" s="16" t="s">
        <v>148</v>
      </c>
    </row>
    <row r="94" spans="5:42" ht="22" x14ac:dyDescent="0.3">
      <c r="N94" s="3"/>
      <c r="O94" s="3"/>
      <c r="P94" s="3"/>
      <c r="S94" t="s">
        <v>108</v>
      </c>
      <c r="AM94" s="14"/>
      <c r="AN94" s="16" t="s">
        <v>149</v>
      </c>
      <c r="AO94" s="16" t="s">
        <v>119</v>
      </c>
      <c r="AP94" s="16" t="s">
        <v>148</v>
      </c>
    </row>
    <row r="95" spans="5:42" ht="22" x14ac:dyDescent="0.3">
      <c r="N95" s="3"/>
      <c r="O95" s="3"/>
      <c r="P95" s="3"/>
      <c r="S95" t="s">
        <v>109</v>
      </c>
      <c r="AM95" s="14"/>
      <c r="AN95" s="16" t="s">
        <v>41</v>
      </c>
      <c r="AO95" s="16" t="s">
        <v>118</v>
      </c>
      <c r="AP95" s="16" t="s">
        <v>398</v>
      </c>
    </row>
    <row r="96" spans="5:42" ht="22" x14ac:dyDescent="0.3">
      <c r="N96" s="3"/>
      <c r="O96" s="3"/>
      <c r="P96" s="3"/>
      <c r="S96" t="s">
        <v>110</v>
      </c>
      <c r="AM96" s="14"/>
      <c r="AN96" s="16" t="s">
        <v>150</v>
      </c>
      <c r="AO96" s="16" t="s">
        <v>118</v>
      </c>
      <c r="AP96" s="16" t="s">
        <v>398</v>
      </c>
    </row>
    <row r="97" spans="14:42" ht="22" x14ac:dyDescent="0.3">
      <c r="N97" s="3"/>
      <c r="O97" s="3"/>
      <c r="P97" s="3"/>
      <c r="S97" t="s">
        <v>111</v>
      </c>
      <c r="AM97" s="14"/>
      <c r="AN97" s="16" t="s">
        <v>151</v>
      </c>
      <c r="AO97" s="16" t="s">
        <v>97</v>
      </c>
      <c r="AP97" s="16" t="s">
        <v>152</v>
      </c>
    </row>
    <row r="98" spans="14:42" ht="22" x14ac:dyDescent="0.3">
      <c r="N98" s="3"/>
      <c r="O98" s="3"/>
      <c r="P98" s="3"/>
      <c r="R98" s="11" t="s">
        <v>97</v>
      </c>
      <c r="S98" t="s">
        <v>112</v>
      </c>
      <c r="AM98" s="14"/>
      <c r="AN98" s="16" t="s">
        <v>153</v>
      </c>
      <c r="AO98" s="16" t="s">
        <v>119</v>
      </c>
      <c r="AP98" s="16" t="s">
        <v>154</v>
      </c>
    </row>
    <row r="99" spans="14:42" ht="22" x14ac:dyDescent="0.3">
      <c r="N99" s="3"/>
      <c r="O99" s="3"/>
      <c r="P99" s="3"/>
      <c r="R99" s="11" t="s">
        <v>96</v>
      </c>
      <c r="S99" t="s">
        <v>113</v>
      </c>
      <c r="AM99" s="14"/>
      <c r="AN99" s="16" t="s">
        <v>125</v>
      </c>
      <c r="AO99" s="16" t="s">
        <v>119</v>
      </c>
      <c r="AP99" s="16" t="s">
        <v>155</v>
      </c>
    </row>
    <row r="100" spans="14:42" ht="22" x14ac:dyDescent="0.3">
      <c r="N100" s="3"/>
      <c r="O100" s="3"/>
      <c r="P100" s="3"/>
      <c r="S100" t="s">
        <v>114</v>
      </c>
      <c r="AM100" s="14"/>
      <c r="AN100" s="16" t="s">
        <v>156</v>
      </c>
      <c r="AO100" s="16" t="s">
        <v>119</v>
      </c>
      <c r="AP100" s="16" t="s">
        <v>155</v>
      </c>
    </row>
    <row r="101" spans="14:42" ht="22" x14ac:dyDescent="0.3">
      <c r="N101" s="3"/>
      <c r="O101" s="3"/>
      <c r="P101" s="3"/>
      <c r="S101" t="s">
        <v>115</v>
      </c>
      <c r="AM101" s="14"/>
      <c r="AN101" s="16" t="s">
        <v>157</v>
      </c>
      <c r="AO101" s="16" t="s">
        <v>399</v>
      </c>
      <c r="AP101" s="16" t="s">
        <v>158</v>
      </c>
    </row>
    <row r="102" spans="14:42" ht="22" x14ac:dyDescent="0.3">
      <c r="N102" s="3"/>
      <c r="O102" s="3"/>
      <c r="P102" s="3"/>
      <c r="S102" t="s">
        <v>116</v>
      </c>
      <c r="AM102" s="14"/>
      <c r="AN102" s="16" t="s">
        <v>159</v>
      </c>
      <c r="AO102" s="16" t="s">
        <v>399</v>
      </c>
      <c r="AP102" s="16" t="s">
        <v>160</v>
      </c>
    </row>
    <row r="103" spans="14:42" ht="22" x14ac:dyDescent="0.3">
      <c r="N103" s="3"/>
      <c r="O103" s="3"/>
      <c r="P103" s="3"/>
      <c r="S103" t="s">
        <v>117</v>
      </c>
      <c r="AM103" s="14"/>
      <c r="AN103" s="16" t="s">
        <v>161</v>
      </c>
      <c r="AO103" s="16" t="s">
        <v>126</v>
      </c>
      <c r="AP103" s="16" t="s">
        <v>162</v>
      </c>
    </row>
    <row r="104" spans="14:42" ht="22" x14ac:dyDescent="0.3">
      <c r="N104" s="3"/>
      <c r="O104" s="3"/>
      <c r="P104" s="3"/>
      <c r="AM104" s="14"/>
      <c r="AN104" s="16" t="s">
        <v>163</v>
      </c>
      <c r="AO104" s="16" t="s">
        <v>126</v>
      </c>
      <c r="AP104" s="16" t="s">
        <v>400</v>
      </c>
    </row>
    <row r="105" spans="14:42" ht="22" x14ac:dyDescent="0.3">
      <c r="N105" s="3"/>
      <c r="O105" s="3"/>
      <c r="P105" s="3"/>
      <c r="AM105" s="14"/>
      <c r="AN105" s="16" t="s">
        <v>164</v>
      </c>
      <c r="AO105" s="16" t="s">
        <v>97</v>
      </c>
      <c r="AP105" s="16" t="s">
        <v>152</v>
      </c>
    </row>
    <row r="106" spans="14:42" ht="22" x14ac:dyDescent="0.3">
      <c r="N106" s="3"/>
      <c r="O106" s="3"/>
      <c r="P106" s="3"/>
      <c r="AM106" s="14"/>
      <c r="AN106" s="16" t="s">
        <v>165</v>
      </c>
      <c r="AO106" s="16" t="s">
        <v>126</v>
      </c>
      <c r="AP106" s="16" t="s">
        <v>166</v>
      </c>
    </row>
    <row r="107" spans="14:42" ht="22" x14ac:dyDescent="0.3">
      <c r="N107" s="3"/>
      <c r="O107" s="3"/>
      <c r="P107" s="3"/>
      <c r="AM107" s="14"/>
      <c r="AN107" s="16" t="s">
        <v>167</v>
      </c>
      <c r="AO107" s="16" t="s">
        <v>126</v>
      </c>
      <c r="AP107" s="16" t="s">
        <v>168</v>
      </c>
    </row>
    <row r="108" spans="14:42" ht="22" x14ac:dyDescent="0.3">
      <c r="N108" s="3"/>
      <c r="O108" s="3"/>
      <c r="P108" s="3"/>
      <c r="AM108" s="13"/>
      <c r="AN108" s="45" t="s">
        <v>169</v>
      </c>
      <c r="AO108" s="45"/>
      <c r="AP108" s="45"/>
    </row>
    <row r="109" spans="14:42" ht="22" x14ac:dyDescent="0.3">
      <c r="N109" s="3"/>
      <c r="O109" s="3"/>
      <c r="P109" s="3"/>
      <c r="AM109" s="14"/>
      <c r="AN109" s="16" t="s">
        <v>170</v>
      </c>
      <c r="AO109" s="16" t="s">
        <v>106</v>
      </c>
      <c r="AP109" s="16" t="s">
        <v>171</v>
      </c>
    </row>
    <row r="110" spans="14:42" ht="22" x14ac:dyDescent="0.3">
      <c r="N110" s="3"/>
      <c r="O110" s="3"/>
      <c r="P110" s="3"/>
      <c r="AM110" s="14"/>
      <c r="AN110" s="16" t="s">
        <v>172</v>
      </c>
      <c r="AO110" s="16" t="s">
        <v>95</v>
      </c>
      <c r="AP110" s="16" t="s">
        <v>173</v>
      </c>
    </row>
    <row r="111" spans="14:42" ht="22" x14ac:dyDescent="0.3">
      <c r="N111" s="3"/>
      <c r="O111" s="3"/>
      <c r="P111" s="3"/>
      <c r="AM111" s="14"/>
      <c r="AN111" s="16" t="s">
        <v>174</v>
      </c>
      <c r="AO111" s="16" t="s">
        <v>95</v>
      </c>
      <c r="AP111" s="16" t="s">
        <v>175</v>
      </c>
    </row>
    <row r="112" spans="14:42" ht="22" x14ac:dyDescent="0.3">
      <c r="N112" s="3"/>
      <c r="O112" s="3"/>
      <c r="P112" s="3"/>
      <c r="AM112" s="14"/>
      <c r="AN112" s="16" t="s">
        <v>176</v>
      </c>
      <c r="AO112" s="16" t="s">
        <v>95</v>
      </c>
      <c r="AP112" s="16" t="s">
        <v>177</v>
      </c>
    </row>
    <row r="113" spans="14:42" ht="22" x14ac:dyDescent="0.3">
      <c r="N113" s="3"/>
      <c r="O113" s="3"/>
      <c r="P113" s="3"/>
      <c r="AM113" s="14"/>
      <c r="AN113" s="16" t="s">
        <v>178</v>
      </c>
      <c r="AO113" s="16" t="s">
        <v>95</v>
      </c>
      <c r="AP113" s="16" t="s">
        <v>179</v>
      </c>
    </row>
    <row r="114" spans="14:42" ht="22" x14ac:dyDescent="0.3">
      <c r="N114" s="3"/>
      <c r="O114" s="3"/>
      <c r="P114" s="3"/>
      <c r="AM114" s="14"/>
      <c r="AN114" s="16" t="s">
        <v>180</v>
      </c>
      <c r="AO114" s="16" t="s">
        <v>95</v>
      </c>
      <c r="AP114" s="16" t="s">
        <v>181</v>
      </c>
    </row>
    <row r="115" spans="14:42" ht="22" x14ac:dyDescent="0.3">
      <c r="N115" s="3"/>
      <c r="O115" s="3"/>
      <c r="P115" s="3"/>
      <c r="AM115" s="14"/>
      <c r="AN115" s="16" t="s">
        <v>26</v>
      </c>
      <c r="AO115" s="16" t="s">
        <v>95</v>
      </c>
      <c r="AP115" s="16" t="s">
        <v>182</v>
      </c>
    </row>
    <row r="116" spans="14:42" ht="22" x14ac:dyDescent="0.3">
      <c r="N116" s="3"/>
      <c r="O116" s="3"/>
      <c r="P116" s="3"/>
      <c r="AM116" s="14"/>
      <c r="AN116" s="16" t="s">
        <v>183</v>
      </c>
      <c r="AO116" s="16" t="s">
        <v>95</v>
      </c>
      <c r="AP116" s="16" t="s">
        <v>181</v>
      </c>
    </row>
    <row r="117" spans="14:42" ht="22" x14ac:dyDescent="0.3">
      <c r="N117" s="3"/>
      <c r="O117" s="3"/>
      <c r="P117" s="3"/>
      <c r="AM117" s="14"/>
      <c r="AN117" s="16" t="s">
        <v>184</v>
      </c>
      <c r="AO117" s="16" t="s">
        <v>118</v>
      </c>
      <c r="AP117" s="16" t="s">
        <v>185</v>
      </c>
    </row>
    <row r="118" spans="14:42" ht="22" x14ac:dyDescent="0.3">
      <c r="N118" s="3"/>
      <c r="O118" s="3"/>
      <c r="P118" s="3"/>
      <c r="AM118" s="14"/>
      <c r="AN118" s="16" t="s">
        <v>186</v>
      </c>
      <c r="AO118" s="16" t="s">
        <v>118</v>
      </c>
      <c r="AP118" s="16" t="s">
        <v>185</v>
      </c>
    </row>
    <row r="119" spans="14:42" ht="22" x14ac:dyDescent="0.3">
      <c r="N119" s="3"/>
      <c r="O119" s="3"/>
      <c r="P119" s="3"/>
      <c r="AM119" s="14"/>
      <c r="AN119" s="16" t="s">
        <v>14</v>
      </c>
      <c r="AO119" s="16" t="s">
        <v>118</v>
      </c>
      <c r="AP119" s="16" t="s">
        <v>187</v>
      </c>
    </row>
    <row r="120" spans="14:42" ht="22" x14ac:dyDescent="0.3">
      <c r="N120" s="3"/>
      <c r="O120" s="3"/>
      <c r="P120" s="3"/>
      <c r="AM120" s="14"/>
      <c r="AN120" s="16" t="s">
        <v>188</v>
      </c>
      <c r="AO120" s="16" t="s">
        <v>106</v>
      </c>
      <c r="AP120" s="16" t="s">
        <v>189</v>
      </c>
    </row>
    <row r="121" spans="14:42" ht="22" x14ac:dyDescent="0.3">
      <c r="N121" s="3"/>
      <c r="O121" s="3"/>
      <c r="P121" s="3"/>
      <c r="AM121" s="14"/>
      <c r="AN121" s="16" t="s">
        <v>190</v>
      </c>
      <c r="AO121" s="16" t="s">
        <v>95</v>
      </c>
      <c r="AP121" s="16" t="s">
        <v>191</v>
      </c>
    </row>
    <row r="122" spans="14:42" ht="22" x14ac:dyDescent="0.3">
      <c r="N122" s="3"/>
      <c r="O122" s="3"/>
      <c r="P122" s="3"/>
      <c r="AM122" s="14"/>
      <c r="AN122" s="16" t="s">
        <v>192</v>
      </c>
      <c r="AO122" s="16" t="s">
        <v>118</v>
      </c>
      <c r="AP122" s="16" t="s">
        <v>193</v>
      </c>
    </row>
    <row r="123" spans="14:42" ht="22" x14ac:dyDescent="0.3">
      <c r="N123" s="3"/>
      <c r="O123" s="3"/>
      <c r="P123" s="3"/>
      <c r="AM123" s="14"/>
      <c r="AN123" s="16" t="s">
        <v>194</v>
      </c>
      <c r="AO123" s="16" t="s">
        <v>118</v>
      </c>
      <c r="AP123" s="16" t="s">
        <v>193</v>
      </c>
    </row>
    <row r="124" spans="14:42" ht="22" x14ac:dyDescent="0.3">
      <c r="N124" s="3"/>
      <c r="O124" s="3"/>
      <c r="P124" s="3"/>
      <c r="AM124" s="14"/>
      <c r="AN124" s="16" t="s">
        <v>195</v>
      </c>
      <c r="AO124" s="16" t="s">
        <v>95</v>
      </c>
      <c r="AP124" s="16" t="s">
        <v>196</v>
      </c>
    </row>
    <row r="125" spans="14:42" ht="22" x14ac:dyDescent="0.3">
      <c r="N125" s="3"/>
      <c r="O125" s="3"/>
      <c r="P125" s="3"/>
      <c r="AM125" s="14"/>
      <c r="AN125" s="16" t="s">
        <v>197</v>
      </c>
      <c r="AO125" s="16" t="s">
        <v>95</v>
      </c>
      <c r="AP125" s="16" t="s">
        <v>196</v>
      </c>
    </row>
    <row r="126" spans="14:42" ht="22" x14ac:dyDescent="0.3">
      <c r="N126" s="3"/>
      <c r="O126" s="3"/>
      <c r="P126" s="3"/>
      <c r="AM126" s="14"/>
      <c r="AN126" s="16" t="s">
        <v>198</v>
      </c>
      <c r="AO126" s="16" t="s">
        <v>95</v>
      </c>
      <c r="AP126" s="16" t="s">
        <v>199</v>
      </c>
    </row>
    <row r="127" spans="14:42" ht="22" x14ac:dyDescent="0.3">
      <c r="N127" s="3"/>
      <c r="O127" s="3"/>
      <c r="P127" s="3"/>
      <c r="AM127" s="14"/>
      <c r="AN127" s="16" t="s">
        <v>200</v>
      </c>
      <c r="AO127" s="16" t="s">
        <v>95</v>
      </c>
      <c r="AP127" s="16" t="s">
        <v>201</v>
      </c>
    </row>
    <row r="128" spans="14:42" ht="22" x14ac:dyDescent="0.3">
      <c r="N128" s="3"/>
      <c r="O128" s="3"/>
      <c r="P128" s="3"/>
      <c r="AM128" s="14"/>
      <c r="AN128" s="16" t="s">
        <v>202</v>
      </c>
      <c r="AO128" s="16" t="s">
        <v>95</v>
      </c>
      <c r="AP128" s="16" t="s">
        <v>203</v>
      </c>
    </row>
    <row r="129" spans="14:42" ht="22" x14ac:dyDescent="0.3">
      <c r="N129" s="3"/>
      <c r="O129" s="3"/>
      <c r="P129" s="3"/>
      <c r="AM129" s="14"/>
      <c r="AN129" s="16" t="s">
        <v>204</v>
      </c>
      <c r="AO129" s="16" t="s">
        <v>95</v>
      </c>
      <c r="AP129" s="16" t="s">
        <v>203</v>
      </c>
    </row>
    <row r="130" spans="14:42" ht="22" x14ac:dyDescent="0.3">
      <c r="N130" s="3"/>
      <c r="O130" s="3"/>
      <c r="P130" s="3"/>
      <c r="AM130" s="14"/>
      <c r="AN130" s="16" t="s">
        <v>205</v>
      </c>
      <c r="AO130" s="16" t="s">
        <v>95</v>
      </c>
      <c r="AP130" s="16" t="s">
        <v>203</v>
      </c>
    </row>
    <row r="131" spans="14:42" ht="22" x14ac:dyDescent="0.3">
      <c r="N131" s="3"/>
      <c r="O131" s="3"/>
      <c r="P131" s="3"/>
      <c r="AM131" s="14"/>
      <c r="AN131" s="16" t="s">
        <v>206</v>
      </c>
      <c r="AO131" s="16" t="s">
        <v>95</v>
      </c>
      <c r="AP131" s="16" t="s">
        <v>207</v>
      </c>
    </row>
    <row r="132" spans="14:42" ht="22" x14ac:dyDescent="0.3">
      <c r="N132" s="3"/>
      <c r="O132" s="3"/>
      <c r="P132" s="3"/>
      <c r="AM132" s="14"/>
      <c r="AN132" s="16" t="s">
        <v>208</v>
      </c>
      <c r="AO132" s="16" t="s">
        <v>95</v>
      </c>
      <c r="AP132" s="16" t="s">
        <v>209</v>
      </c>
    </row>
    <row r="133" spans="14:42" ht="22" x14ac:dyDescent="0.3">
      <c r="N133" s="3"/>
      <c r="O133" s="3"/>
      <c r="P133" s="3"/>
      <c r="AM133" s="14"/>
      <c r="AN133" s="16" t="s">
        <v>210</v>
      </c>
      <c r="AO133" s="16" t="s">
        <v>95</v>
      </c>
      <c r="AP133" s="16" t="s">
        <v>211</v>
      </c>
    </row>
    <row r="134" spans="14:42" ht="22" x14ac:dyDescent="0.3">
      <c r="N134" s="3"/>
      <c r="O134" s="3"/>
      <c r="P134" s="3"/>
      <c r="AM134" s="14"/>
      <c r="AN134" s="16" t="s">
        <v>212</v>
      </c>
      <c r="AO134" s="16" t="s">
        <v>95</v>
      </c>
      <c r="AP134" s="16" t="s">
        <v>213</v>
      </c>
    </row>
    <row r="135" spans="14:42" ht="22" x14ac:dyDescent="0.3">
      <c r="N135" s="3"/>
      <c r="O135" s="3"/>
      <c r="P135" s="3"/>
      <c r="AM135" s="14"/>
      <c r="AN135" s="16" t="s">
        <v>214</v>
      </c>
      <c r="AO135" s="16" t="s">
        <v>95</v>
      </c>
      <c r="AP135" s="16" t="s">
        <v>215</v>
      </c>
    </row>
    <row r="136" spans="14:42" ht="22" x14ac:dyDescent="0.3">
      <c r="N136" s="3"/>
      <c r="O136" s="3"/>
      <c r="P136" s="3"/>
      <c r="AM136" s="14"/>
      <c r="AN136" s="16" t="s">
        <v>216</v>
      </c>
      <c r="AO136" s="16" t="s">
        <v>95</v>
      </c>
      <c r="AP136" s="16" t="s">
        <v>215</v>
      </c>
    </row>
    <row r="137" spans="14:42" ht="22" x14ac:dyDescent="0.3">
      <c r="N137" s="3"/>
      <c r="O137" s="3"/>
      <c r="P137" s="3"/>
      <c r="AM137" s="13"/>
      <c r="AN137" s="45" t="s">
        <v>217</v>
      </c>
      <c r="AO137" s="45"/>
      <c r="AP137" s="45"/>
    </row>
    <row r="138" spans="14:42" ht="22" x14ac:dyDescent="0.3">
      <c r="N138" s="3"/>
      <c r="O138" s="3"/>
      <c r="P138" s="3"/>
      <c r="AM138" s="14"/>
      <c r="AN138" s="16" t="s">
        <v>218</v>
      </c>
      <c r="AO138" s="16" t="s">
        <v>96</v>
      </c>
      <c r="AP138" s="16" t="s">
        <v>219</v>
      </c>
    </row>
    <row r="139" spans="14:42" ht="22" x14ac:dyDescent="0.3">
      <c r="N139" s="3"/>
      <c r="O139" s="3"/>
      <c r="P139" s="3"/>
      <c r="AM139" s="14"/>
      <c r="AN139" s="16" t="s">
        <v>220</v>
      </c>
      <c r="AO139" s="16" t="s">
        <v>96</v>
      </c>
      <c r="AP139" s="16" t="s">
        <v>221</v>
      </c>
    </row>
    <row r="140" spans="14:42" ht="22" x14ac:dyDescent="0.3">
      <c r="N140" s="3"/>
      <c r="O140" s="3"/>
      <c r="P140" s="3"/>
      <c r="AM140" s="14"/>
      <c r="AN140" s="16" t="s">
        <v>69</v>
      </c>
      <c r="AO140" s="16" t="s">
        <v>96</v>
      </c>
      <c r="AP140" s="16" t="s">
        <v>222</v>
      </c>
    </row>
    <row r="141" spans="14:42" ht="22" x14ac:dyDescent="0.3">
      <c r="N141" s="3"/>
      <c r="O141" s="3"/>
      <c r="P141" s="3"/>
      <c r="AM141" s="14"/>
      <c r="AN141" s="16" t="s">
        <v>223</v>
      </c>
      <c r="AO141" s="16" t="s">
        <v>95</v>
      </c>
      <c r="AP141" s="16" t="s">
        <v>224</v>
      </c>
    </row>
    <row r="142" spans="14:42" ht="22" x14ac:dyDescent="0.3">
      <c r="N142" s="3"/>
      <c r="O142" s="3"/>
      <c r="P142" s="3"/>
      <c r="AM142" s="14"/>
      <c r="AN142" s="16" t="s">
        <v>225</v>
      </c>
      <c r="AO142" s="16" t="s">
        <v>95</v>
      </c>
      <c r="AP142" s="16" t="s">
        <v>226</v>
      </c>
    </row>
    <row r="143" spans="14:42" ht="22" x14ac:dyDescent="0.3">
      <c r="N143" s="3"/>
      <c r="O143" s="3"/>
      <c r="P143" s="3"/>
      <c r="AM143" s="14"/>
      <c r="AN143" s="16" t="s">
        <v>227</v>
      </c>
      <c r="AO143" s="16" t="s">
        <v>96</v>
      </c>
      <c r="AP143" s="16" t="s">
        <v>228</v>
      </c>
    </row>
    <row r="144" spans="14:42" ht="22" x14ac:dyDescent="0.3">
      <c r="N144" s="3"/>
      <c r="O144" s="3"/>
      <c r="P144" s="3"/>
      <c r="AM144" s="14"/>
      <c r="AN144" s="16" t="s">
        <v>229</v>
      </c>
      <c r="AO144" s="16" t="s">
        <v>96</v>
      </c>
      <c r="AP144" s="16" t="s">
        <v>230</v>
      </c>
    </row>
    <row r="145" spans="5:43" ht="22" x14ac:dyDescent="0.3">
      <c r="N145" s="3"/>
      <c r="O145" s="3"/>
      <c r="P145" s="3"/>
      <c r="AM145" s="14"/>
      <c r="AN145" s="16" t="s">
        <v>231</v>
      </c>
      <c r="AO145" s="16" t="s">
        <v>96</v>
      </c>
      <c r="AP145" s="16" t="s">
        <v>232</v>
      </c>
    </row>
    <row r="146" spans="5:43" ht="22" x14ac:dyDescent="0.3">
      <c r="N146" s="3"/>
      <c r="O146" s="3"/>
      <c r="P146" s="3"/>
      <c r="AM146" s="13"/>
      <c r="AN146" s="45" t="s">
        <v>233</v>
      </c>
      <c r="AO146" s="45"/>
      <c r="AP146" s="45"/>
    </row>
    <row r="147" spans="5:43" ht="22" x14ac:dyDescent="0.3">
      <c r="E147" s="1"/>
      <c r="N147" s="3"/>
      <c r="O147" s="3"/>
      <c r="P147" s="3"/>
      <c r="AM147" s="14"/>
      <c r="AN147" s="16" t="s">
        <v>0</v>
      </c>
      <c r="AO147" s="16" t="s">
        <v>95</v>
      </c>
      <c r="AP147" s="16" t="s">
        <v>234</v>
      </c>
    </row>
    <row r="148" spans="5:43" ht="22" x14ac:dyDescent="0.3">
      <c r="N148" s="3"/>
      <c r="O148" s="3"/>
      <c r="P148" s="3"/>
      <c r="AM148" s="14"/>
      <c r="AN148" s="16" t="s">
        <v>235</v>
      </c>
      <c r="AO148" s="16" t="s">
        <v>95</v>
      </c>
      <c r="AP148" s="16" t="s">
        <v>234</v>
      </c>
    </row>
    <row r="149" spans="5:43" ht="22" x14ac:dyDescent="0.3">
      <c r="N149" s="3"/>
      <c r="O149" s="3"/>
      <c r="P149" s="3"/>
      <c r="AM149" s="14"/>
      <c r="AN149" s="16" t="s">
        <v>236</v>
      </c>
      <c r="AO149" s="16" t="s">
        <v>95</v>
      </c>
      <c r="AP149" s="16" t="s">
        <v>237</v>
      </c>
    </row>
    <row r="150" spans="5:43" ht="22" x14ac:dyDescent="0.3">
      <c r="N150" s="3"/>
      <c r="O150" s="3"/>
      <c r="P150" s="3"/>
      <c r="AM150" s="14"/>
      <c r="AN150" s="16" t="s">
        <v>238</v>
      </c>
      <c r="AO150" s="16" t="s">
        <v>95</v>
      </c>
      <c r="AP150" s="16" t="s">
        <v>239</v>
      </c>
    </row>
    <row r="151" spans="5:43" ht="22" x14ac:dyDescent="0.3">
      <c r="N151" s="3"/>
      <c r="O151" s="3"/>
      <c r="P151" s="3"/>
      <c r="AM151" s="14"/>
      <c r="AN151" s="16" t="s">
        <v>240</v>
      </c>
      <c r="AO151" s="16" t="s">
        <v>95</v>
      </c>
      <c r="AP151" s="16" t="s">
        <v>241</v>
      </c>
    </row>
    <row r="152" spans="5:43" ht="22" x14ac:dyDescent="0.3">
      <c r="N152" s="3"/>
      <c r="O152" s="3"/>
      <c r="P152" s="3"/>
      <c r="AM152" s="14"/>
      <c r="AN152" s="16" t="s">
        <v>242</v>
      </c>
      <c r="AO152" s="16" t="s">
        <v>95</v>
      </c>
      <c r="AP152" s="16" t="s">
        <v>243</v>
      </c>
    </row>
    <row r="153" spans="5:43" ht="22" x14ac:dyDescent="0.3">
      <c r="N153" s="3"/>
      <c r="O153" s="3"/>
      <c r="P153" s="3"/>
      <c r="AM153" s="14"/>
      <c r="AN153" s="16" t="s">
        <v>244</v>
      </c>
      <c r="AO153" s="16" t="s">
        <v>95</v>
      </c>
      <c r="AP153" s="16" t="s">
        <v>245</v>
      </c>
    </row>
    <row r="154" spans="5:43" ht="22" x14ac:dyDescent="0.3">
      <c r="N154" s="3"/>
      <c r="O154" s="3"/>
      <c r="P154" s="3"/>
      <c r="AM154" s="13"/>
      <c r="AN154" s="45" t="s">
        <v>246</v>
      </c>
      <c r="AO154" s="45"/>
      <c r="AP154" s="45"/>
    </row>
    <row r="155" spans="5:43" ht="22" x14ac:dyDescent="0.3">
      <c r="N155" s="3"/>
      <c r="O155" s="3"/>
      <c r="P155" s="3"/>
      <c r="AM155" s="14"/>
      <c r="AN155" s="16" t="s">
        <v>247</v>
      </c>
      <c r="AO155" s="16" t="s">
        <v>95</v>
      </c>
      <c r="AP155" s="16" t="s">
        <v>248</v>
      </c>
    </row>
    <row r="156" spans="5:43" ht="22" x14ac:dyDescent="0.3">
      <c r="F156" s="1"/>
      <c r="N156" s="3"/>
      <c r="O156" s="3"/>
      <c r="P156" s="3"/>
      <c r="AM156" s="14"/>
      <c r="AN156" s="16" t="s">
        <v>249</v>
      </c>
      <c r="AO156" s="16" t="s">
        <v>95</v>
      </c>
      <c r="AP156" s="16" t="s">
        <v>250</v>
      </c>
    </row>
    <row r="157" spans="5:43" ht="22" x14ac:dyDescent="0.3">
      <c r="N157" s="3"/>
      <c r="O157" s="3"/>
      <c r="P157" s="3"/>
      <c r="AM157" s="14"/>
      <c r="AN157" s="16" t="s">
        <v>251</v>
      </c>
      <c r="AO157" s="16" t="s">
        <v>95</v>
      </c>
      <c r="AP157" s="16" t="s">
        <v>252</v>
      </c>
    </row>
    <row r="158" spans="5:43" ht="22" x14ac:dyDescent="0.3">
      <c r="N158" s="3"/>
      <c r="O158" s="3"/>
      <c r="P158" s="3"/>
      <c r="AM158" s="14"/>
      <c r="AN158" s="16" t="s">
        <v>253</v>
      </c>
      <c r="AO158" s="16" t="s">
        <v>95</v>
      </c>
      <c r="AP158" s="16" t="s">
        <v>254</v>
      </c>
    </row>
    <row r="159" spans="5:43" ht="22" x14ac:dyDescent="0.3">
      <c r="N159" s="3"/>
      <c r="O159" s="3"/>
      <c r="P159" s="3"/>
      <c r="AM159" s="13"/>
      <c r="AN159" s="44" t="s">
        <v>255</v>
      </c>
      <c r="AO159" s="44"/>
      <c r="AP159" s="44"/>
      <c r="AQ159" s="10"/>
    </row>
    <row r="160" spans="5:43" ht="22" x14ac:dyDescent="0.3">
      <c r="N160" s="3"/>
      <c r="O160" s="3"/>
      <c r="P160" s="3"/>
      <c r="AM160" s="14"/>
      <c r="AN160" s="16" t="s">
        <v>256</v>
      </c>
      <c r="AO160" s="16"/>
      <c r="AP160" s="16" t="s">
        <v>257</v>
      </c>
      <c r="AQ160" s="10"/>
    </row>
    <row r="161" spans="5:43" ht="22" x14ac:dyDescent="0.3">
      <c r="N161" s="3"/>
      <c r="O161" s="3"/>
      <c r="P161" s="3"/>
      <c r="AM161" s="14"/>
      <c r="AN161" s="16" t="s">
        <v>258</v>
      </c>
      <c r="AO161" s="16"/>
      <c r="AP161" s="16" t="s">
        <v>259</v>
      </c>
      <c r="AQ161" s="10"/>
    </row>
    <row r="162" spans="5:43" ht="22" x14ac:dyDescent="0.3">
      <c r="N162" s="3"/>
      <c r="O162" s="3"/>
      <c r="P162" s="3"/>
      <c r="AM162" s="14"/>
      <c r="AN162" s="16" t="s">
        <v>43</v>
      </c>
      <c r="AO162" s="16"/>
      <c r="AP162" s="16" t="s">
        <v>260</v>
      </c>
      <c r="AQ162" s="10"/>
    </row>
    <row r="163" spans="5:43" ht="22" x14ac:dyDescent="0.3">
      <c r="N163" s="3"/>
      <c r="O163" s="3"/>
      <c r="P163" s="3"/>
      <c r="AM163" s="14"/>
      <c r="AN163" s="16" t="s">
        <v>261</v>
      </c>
      <c r="AO163" s="16"/>
      <c r="AP163" s="16" t="s">
        <v>262</v>
      </c>
      <c r="AQ163" s="10"/>
    </row>
    <row r="164" spans="5:43" ht="22" x14ac:dyDescent="0.3">
      <c r="N164" s="3"/>
      <c r="O164" s="3"/>
      <c r="P164" s="3"/>
      <c r="AM164" s="14"/>
      <c r="AN164" s="16" t="s">
        <v>263</v>
      </c>
      <c r="AO164" s="16"/>
      <c r="AP164" s="16" t="s">
        <v>264</v>
      </c>
      <c r="AQ164" s="10"/>
    </row>
    <row r="165" spans="5:43" ht="22" x14ac:dyDescent="0.3">
      <c r="N165" s="3"/>
      <c r="O165" s="3"/>
      <c r="P165" s="3"/>
      <c r="AM165" s="14"/>
      <c r="AN165" s="16" t="s">
        <v>265</v>
      </c>
      <c r="AO165" s="16"/>
      <c r="AP165" s="16" t="s">
        <v>266</v>
      </c>
      <c r="AQ165" s="10"/>
    </row>
    <row r="166" spans="5:43" ht="22" x14ac:dyDescent="0.3">
      <c r="N166" s="3"/>
      <c r="O166" s="3"/>
      <c r="P166" s="3"/>
      <c r="AM166" s="14"/>
      <c r="AN166" s="16" t="s">
        <v>267</v>
      </c>
      <c r="AO166" s="16"/>
      <c r="AP166" s="16" t="s">
        <v>268</v>
      </c>
      <c r="AQ166" s="10"/>
    </row>
    <row r="167" spans="5:43" ht="22" x14ac:dyDescent="0.3">
      <c r="N167" s="3"/>
      <c r="O167" s="3"/>
      <c r="P167" s="3"/>
      <c r="AM167" s="14"/>
      <c r="AN167" s="16" t="s">
        <v>269</v>
      </c>
      <c r="AO167" s="16"/>
      <c r="AP167" s="16" t="s">
        <v>270</v>
      </c>
      <c r="AQ167" s="10"/>
    </row>
    <row r="168" spans="5:43" ht="22" x14ac:dyDescent="0.3">
      <c r="E168" s="1"/>
      <c r="N168" s="3"/>
      <c r="O168" s="3"/>
      <c r="P168" s="3"/>
      <c r="AM168" s="14"/>
      <c r="AN168" s="16" t="s">
        <v>271</v>
      </c>
      <c r="AO168" s="16"/>
      <c r="AP168" s="16" t="s">
        <v>272</v>
      </c>
      <c r="AQ168" s="10"/>
    </row>
    <row r="169" spans="5:43" ht="22" x14ac:dyDescent="0.3">
      <c r="N169" s="3"/>
      <c r="O169" s="3"/>
      <c r="P169" s="3"/>
      <c r="AM169" s="14"/>
      <c r="AN169" s="16" t="s">
        <v>273</v>
      </c>
      <c r="AO169" s="16"/>
      <c r="AP169" s="16" t="s">
        <v>274</v>
      </c>
      <c r="AQ169" s="10"/>
    </row>
    <row r="170" spans="5:43" ht="22" x14ac:dyDescent="0.3">
      <c r="N170" s="3"/>
      <c r="O170" s="3"/>
      <c r="P170" s="3"/>
      <c r="AM170" s="14"/>
      <c r="AN170" s="16" t="s">
        <v>275</v>
      </c>
      <c r="AO170" s="16"/>
      <c r="AP170" s="16" t="s">
        <v>276</v>
      </c>
      <c r="AQ170" s="10"/>
    </row>
    <row r="171" spans="5:43" ht="22" x14ac:dyDescent="0.3">
      <c r="N171" s="3"/>
      <c r="O171" s="3"/>
      <c r="P171" s="3"/>
      <c r="AM171" s="14"/>
      <c r="AN171" s="16" t="s">
        <v>277</v>
      </c>
      <c r="AO171" s="16"/>
      <c r="AP171" s="16" t="s">
        <v>278</v>
      </c>
      <c r="AQ171" s="10"/>
    </row>
    <row r="172" spans="5:43" ht="22" x14ac:dyDescent="0.3">
      <c r="N172" s="3"/>
      <c r="O172" s="3"/>
      <c r="P172" s="3"/>
      <c r="AM172" s="14"/>
      <c r="AN172" s="16" t="s">
        <v>279</v>
      </c>
      <c r="AO172" s="16"/>
      <c r="AP172" s="16" t="s">
        <v>280</v>
      </c>
      <c r="AQ172" s="10"/>
    </row>
    <row r="173" spans="5:43" ht="22" x14ac:dyDescent="0.3">
      <c r="N173" s="3"/>
      <c r="O173" s="3"/>
      <c r="P173" s="3"/>
      <c r="AM173" s="14"/>
      <c r="AN173" s="16" t="s">
        <v>281</v>
      </c>
      <c r="AO173" s="16"/>
      <c r="AP173" s="16" t="s">
        <v>282</v>
      </c>
      <c r="AQ173" s="10"/>
    </row>
    <row r="174" spans="5:43" ht="22" x14ac:dyDescent="0.3">
      <c r="N174" s="3"/>
      <c r="O174" s="3"/>
      <c r="P174" s="3"/>
      <c r="AM174" s="14"/>
      <c r="AN174" s="16" t="s">
        <v>283</v>
      </c>
      <c r="AO174" s="16"/>
      <c r="AP174" s="16" t="s">
        <v>284</v>
      </c>
      <c r="AQ174" s="10"/>
    </row>
    <row r="175" spans="5:43" ht="22" x14ac:dyDescent="0.3">
      <c r="N175" s="3"/>
      <c r="O175" s="3"/>
      <c r="P175" s="3"/>
      <c r="AM175" s="14"/>
      <c r="AN175" s="16" t="s">
        <v>285</v>
      </c>
      <c r="AO175" s="16"/>
      <c r="AP175" s="16" t="s">
        <v>286</v>
      </c>
      <c r="AQ175" s="10"/>
    </row>
    <row r="176" spans="5:43" ht="22" x14ac:dyDescent="0.3">
      <c r="N176" s="3"/>
      <c r="O176" s="3"/>
      <c r="P176" s="3"/>
      <c r="AM176" s="14"/>
      <c r="AN176" s="16" t="s">
        <v>287</v>
      </c>
      <c r="AO176" s="16"/>
      <c r="AP176" s="16" t="s">
        <v>288</v>
      </c>
      <c r="AQ176" s="10"/>
    </row>
    <row r="177" spans="5:43" ht="22" x14ac:dyDescent="0.3">
      <c r="N177" s="3"/>
      <c r="O177" s="3"/>
      <c r="P177" s="3"/>
      <c r="AM177" s="14"/>
      <c r="AN177" s="16" t="s">
        <v>289</v>
      </c>
      <c r="AO177" s="16"/>
      <c r="AP177" s="16" t="s">
        <v>290</v>
      </c>
      <c r="AQ177" s="10"/>
    </row>
    <row r="178" spans="5:43" ht="22" x14ac:dyDescent="0.3">
      <c r="N178" s="3"/>
      <c r="O178" s="3"/>
      <c r="P178" s="3"/>
      <c r="AM178" s="14"/>
      <c r="AN178" s="16" t="s">
        <v>291</v>
      </c>
      <c r="AO178" s="16"/>
      <c r="AP178" s="16" t="s">
        <v>292</v>
      </c>
      <c r="AQ178" s="10"/>
    </row>
    <row r="179" spans="5:43" ht="22" x14ac:dyDescent="0.3">
      <c r="N179" s="3"/>
      <c r="O179" s="3"/>
      <c r="P179" s="3"/>
      <c r="AM179" s="14"/>
      <c r="AN179" s="16" t="s">
        <v>293</v>
      </c>
      <c r="AO179" s="16"/>
      <c r="AP179" s="16" t="s">
        <v>292</v>
      </c>
      <c r="AQ179" s="10"/>
    </row>
    <row r="180" spans="5:43" ht="22" x14ac:dyDescent="0.3">
      <c r="E180" s="1"/>
      <c r="N180" s="3"/>
      <c r="O180" s="3"/>
      <c r="P180" s="3"/>
      <c r="AM180" s="14"/>
      <c r="AN180" s="16" t="s">
        <v>294</v>
      </c>
      <c r="AO180" s="16"/>
      <c r="AP180" s="16" t="s">
        <v>295</v>
      </c>
      <c r="AQ180" s="10"/>
    </row>
    <row r="181" spans="5:43" ht="22" x14ac:dyDescent="0.3">
      <c r="N181" s="3"/>
      <c r="O181" s="3"/>
      <c r="P181" s="3"/>
      <c r="AM181" s="14"/>
      <c r="AN181" s="16" t="s">
        <v>296</v>
      </c>
      <c r="AO181" s="16"/>
      <c r="AP181" s="16" t="s">
        <v>297</v>
      </c>
      <c r="AQ181" s="10"/>
    </row>
    <row r="182" spans="5:43" ht="22" x14ac:dyDescent="0.3">
      <c r="N182" s="3"/>
      <c r="O182" s="3"/>
      <c r="P182" s="3"/>
      <c r="AM182" s="14"/>
      <c r="AN182" s="16" t="s">
        <v>298</v>
      </c>
      <c r="AO182" s="16"/>
      <c r="AP182" s="16" t="s">
        <v>299</v>
      </c>
      <c r="AQ182" s="10"/>
    </row>
    <row r="183" spans="5:43" ht="22" x14ac:dyDescent="0.3">
      <c r="N183" s="3"/>
      <c r="O183" s="3"/>
      <c r="P183" s="3"/>
      <c r="AM183" s="13"/>
      <c r="AN183" s="44" t="s">
        <v>300</v>
      </c>
      <c r="AO183" s="44"/>
      <c r="AP183" s="44"/>
      <c r="AQ183" s="10"/>
    </row>
    <row r="184" spans="5:43" ht="22" x14ac:dyDescent="0.3">
      <c r="N184" s="3"/>
      <c r="O184" s="3"/>
      <c r="P184" s="3"/>
      <c r="AM184" s="14"/>
      <c r="AN184" s="16" t="s">
        <v>301</v>
      </c>
      <c r="AO184" s="16"/>
      <c r="AP184" s="16" t="s">
        <v>302</v>
      </c>
      <c r="AQ184" s="10"/>
    </row>
    <row r="185" spans="5:43" ht="22" x14ac:dyDescent="0.3">
      <c r="N185" s="3"/>
      <c r="O185" s="3"/>
      <c r="P185" s="3"/>
      <c r="AM185" s="14"/>
      <c r="AN185" s="16" t="s">
        <v>303</v>
      </c>
      <c r="AO185" s="16"/>
      <c r="AP185" s="16" t="s">
        <v>304</v>
      </c>
      <c r="AQ185" s="10"/>
    </row>
    <row r="186" spans="5:43" ht="22" x14ac:dyDescent="0.3">
      <c r="N186" s="3"/>
      <c r="O186" s="3"/>
      <c r="P186" s="3"/>
      <c r="AM186" s="14"/>
      <c r="AN186" s="16" t="s">
        <v>305</v>
      </c>
      <c r="AO186" s="16"/>
      <c r="AP186" s="16" t="s">
        <v>306</v>
      </c>
      <c r="AQ186" s="10"/>
    </row>
    <row r="187" spans="5:43" ht="22" x14ac:dyDescent="0.3">
      <c r="F187" s="1"/>
      <c r="N187" s="3"/>
      <c r="O187" s="3"/>
      <c r="P187" s="3"/>
      <c r="AM187" s="14"/>
      <c r="AN187" s="16" t="s">
        <v>307</v>
      </c>
      <c r="AO187" s="16"/>
      <c r="AP187" s="16" t="s">
        <v>308</v>
      </c>
      <c r="AQ187" s="10"/>
    </row>
    <row r="188" spans="5:43" ht="22" x14ac:dyDescent="0.3">
      <c r="N188" s="3"/>
      <c r="O188" s="3"/>
      <c r="P188" s="3"/>
      <c r="AM188" s="14"/>
      <c r="AN188" s="16" t="s">
        <v>309</v>
      </c>
      <c r="AO188" s="16"/>
      <c r="AP188" s="16" t="s">
        <v>310</v>
      </c>
      <c r="AQ188" s="10"/>
    </row>
    <row r="189" spans="5:43" ht="22" x14ac:dyDescent="0.3">
      <c r="N189" s="3"/>
      <c r="O189" s="3"/>
      <c r="P189" s="3"/>
      <c r="AM189" s="14"/>
      <c r="AN189" s="16" t="s">
        <v>311</v>
      </c>
      <c r="AO189" s="16"/>
      <c r="AP189" s="16" t="s">
        <v>312</v>
      </c>
      <c r="AQ189" s="10"/>
    </row>
    <row r="190" spans="5:43" ht="22" x14ac:dyDescent="0.3">
      <c r="N190" s="3"/>
      <c r="O190" s="3"/>
      <c r="P190" s="3"/>
      <c r="AM190" s="14"/>
      <c r="AN190" s="16" t="s">
        <v>313</v>
      </c>
      <c r="AO190" s="16"/>
      <c r="AP190" s="16" t="s">
        <v>314</v>
      </c>
      <c r="AQ190" s="10"/>
    </row>
    <row r="191" spans="5:43" ht="22" x14ac:dyDescent="0.3">
      <c r="N191" s="3"/>
      <c r="O191" s="3"/>
      <c r="P191" s="3"/>
      <c r="AM191" s="14"/>
      <c r="AN191" s="16" t="s">
        <v>315</v>
      </c>
      <c r="AO191" s="16"/>
      <c r="AP191" s="16" t="s">
        <v>316</v>
      </c>
      <c r="AQ191" s="10"/>
    </row>
    <row r="192" spans="5:43" ht="22" x14ac:dyDescent="0.3">
      <c r="N192" s="3"/>
      <c r="O192" s="3"/>
      <c r="P192" s="3"/>
      <c r="AM192" s="14"/>
      <c r="AN192" s="16" t="s">
        <v>317</v>
      </c>
      <c r="AO192" s="16"/>
      <c r="AP192" s="16" t="s">
        <v>318</v>
      </c>
      <c r="AQ192" s="10"/>
    </row>
    <row r="193" spans="5:43" ht="22" x14ac:dyDescent="0.3">
      <c r="N193" s="3"/>
      <c r="O193" s="3"/>
      <c r="P193" s="3"/>
      <c r="AM193" s="14"/>
      <c r="AN193" s="16" t="s">
        <v>319</v>
      </c>
      <c r="AO193" s="16"/>
      <c r="AP193" s="16" t="s">
        <v>318</v>
      </c>
      <c r="AQ193" s="10"/>
    </row>
    <row r="194" spans="5:43" ht="22" x14ac:dyDescent="0.3">
      <c r="N194" s="3"/>
      <c r="O194" s="3"/>
      <c r="P194" s="3"/>
      <c r="AM194" s="14"/>
      <c r="AN194" s="16" t="s">
        <v>320</v>
      </c>
      <c r="AO194" s="16"/>
      <c r="AP194" s="16" t="s">
        <v>321</v>
      </c>
      <c r="AQ194" s="10"/>
    </row>
    <row r="195" spans="5:43" ht="22" x14ac:dyDescent="0.3">
      <c r="N195" s="3"/>
      <c r="O195" s="3"/>
      <c r="P195" s="3"/>
      <c r="AM195" s="14"/>
      <c r="AN195" s="16" t="s">
        <v>322</v>
      </c>
      <c r="AO195" s="16"/>
      <c r="AP195" s="16" t="s">
        <v>323</v>
      </c>
      <c r="AQ195" s="10"/>
    </row>
    <row r="196" spans="5:43" ht="22" x14ac:dyDescent="0.3">
      <c r="N196" s="3"/>
      <c r="O196" s="3"/>
      <c r="P196" s="3"/>
      <c r="AM196" s="14"/>
      <c r="AN196" s="16" t="s">
        <v>42</v>
      </c>
      <c r="AO196" s="16"/>
      <c r="AP196" s="16" t="s">
        <v>324</v>
      </c>
      <c r="AQ196" s="10"/>
    </row>
    <row r="197" spans="5:43" ht="22" x14ac:dyDescent="0.3">
      <c r="N197" s="3"/>
      <c r="O197" s="3"/>
      <c r="P197" s="3"/>
      <c r="AM197" s="14"/>
      <c r="AN197" s="16" t="s">
        <v>325</v>
      </c>
      <c r="AO197" s="16"/>
      <c r="AP197" s="16" t="s">
        <v>326</v>
      </c>
      <c r="AQ197" s="10"/>
    </row>
    <row r="198" spans="5:43" ht="22" x14ac:dyDescent="0.3">
      <c r="N198" s="3"/>
      <c r="O198" s="3"/>
      <c r="P198" s="3"/>
      <c r="AM198" s="14"/>
      <c r="AN198" s="16" t="s">
        <v>327</v>
      </c>
      <c r="AO198" s="16"/>
      <c r="AP198" s="16" t="s">
        <v>203</v>
      </c>
      <c r="AQ198" s="10"/>
    </row>
    <row r="199" spans="5:43" ht="22" x14ac:dyDescent="0.3">
      <c r="N199" s="3"/>
      <c r="O199" s="3"/>
      <c r="P199" s="3"/>
      <c r="AM199" s="14"/>
      <c r="AN199" s="16" t="s">
        <v>328</v>
      </c>
      <c r="AO199" s="16"/>
      <c r="AP199" s="16" t="s">
        <v>203</v>
      </c>
      <c r="AQ199" s="10"/>
    </row>
    <row r="200" spans="5:43" ht="22" x14ac:dyDescent="0.3">
      <c r="N200" s="3"/>
      <c r="O200" s="3"/>
      <c r="P200" s="3"/>
      <c r="AM200" s="14"/>
      <c r="AN200" s="16" t="s">
        <v>329</v>
      </c>
      <c r="AO200" s="16"/>
      <c r="AP200" s="16" t="s">
        <v>203</v>
      </c>
      <c r="AQ200" s="10"/>
    </row>
    <row r="201" spans="5:43" ht="22" x14ac:dyDescent="0.3">
      <c r="N201" s="3"/>
      <c r="O201" s="3"/>
      <c r="P201" s="3"/>
      <c r="AM201" s="14"/>
      <c r="AN201" s="16" t="s">
        <v>330</v>
      </c>
      <c r="AO201" s="16"/>
      <c r="AP201" s="16" t="s">
        <v>331</v>
      </c>
      <c r="AQ201" s="10"/>
    </row>
    <row r="202" spans="5:43" ht="22" x14ac:dyDescent="0.3">
      <c r="N202" s="3"/>
      <c r="O202" s="3"/>
      <c r="P202" s="3"/>
      <c r="AM202" s="14"/>
      <c r="AN202" s="16" t="s">
        <v>332</v>
      </c>
      <c r="AO202" s="16"/>
      <c r="AP202" s="16" t="s">
        <v>333</v>
      </c>
      <c r="AQ202" s="10"/>
    </row>
    <row r="203" spans="5:43" ht="22" x14ac:dyDescent="0.3">
      <c r="N203" s="3"/>
      <c r="O203" s="3"/>
      <c r="P203" s="3"/>
      <c r="AM203" s="14"/>
      <c r="AN203" s="16" t="s">
        <v>334</v>
      </c>
      <c r="AO203" s="16"/>
      <c r="AP203" s="16" t="s">
        <v>335</v>
      </c>
      <c r="AQ203" s="10"/>
    </row>
    <row r="204" spans="5:43" ht="22" x14ac:dyDescent="0.3">
      <c r="N204" s="3"/>
      <c r="O204" s="3"/>
      <c r="P204" s="3"/>
      <c r="AM204" s="14"/>
      <c r="AN204" s="16" t="s">
        <v>336</v>
      </c>
      <c r="AO204" s="16"/>
      <c r="AP204" s="16" t="s">
        <v>337</v>
      </c>
      <c r="AQ204" s="10"/>
    </row>
    <row r="205" spans="5:43" ht="22" x14ac:dyDescent="0.3">
      <c r="N205" s="3"/>
      <c r="O205" s="3"/>
      <c r="P205" s="3"/>
      <c r="AM205" s="14"/>
      <c r="AN205" s="16" t="s">
        <v>338</v>
      </c>
      <c r="AO205" s="16"/>
      <c r="AP205" s="16" t="s">
        <v>339</v>
      </c>
      <c r="AQ205" s="10"/>
    </row>
    <row r="206" spans="5:43" ht="22" x14ac:dyDescent="0.3">
      <c r="N206" s="3"/>
      <c r="O206" s="3"/>
      <c r="P206" s="3"/>
      <c r="AM206" s="14"/>
      <c r="AN206" s="16" t="s">
        <v>340</v>
      </c>
      <c r="AO206" s="16"/>
      <c r="AP206" s="16" t="s">
        <v>335</v>
      </c>
      <c r="AQ206" s="10"/>
    </row>
    <row r="207" spans="5:43" ht="22" x14ac:dyDescent="0.3">
      <c r="N207" s="3"/>
      <c r="O207" s="3"/>
      <c r="P207" s="3"/>
      <c r="AM207" s="14"/>
      <c r="AN207" s="16" t="s">
        <v>341</v>
      </c>
      <c r="AO207" s="16"/>
      <c r="AP207" s="16" t="s">
        <v>342</v>
      </c>
      <c r="AQ207" s="10"/>
    </row>
    <row r="208" spans="5:43" ht="22" x14ac:dyDescent="0.3">
      <c r="E208" s="1"/>
      <c r="N208" s="3"/>
      <c r="O208" s="3"/>
      <c r="P208" s="3"/>
      <c r="AM208" s="14"/>
      <c r="AN208" s="16" t="s">
        <v>343</v>
      </c>
      <c r="AO208" s="16"/>
      <c r="AP208" s="16" t="s">
        <v>344</v>
      </c>
      <c r="AQ208" s="10"/>
    </row>
    <row r="209" spans="6:43" ht="22" x14ac:dyDescent="0.3">
      <c r="N209" s="3"/>
      <c r="O209" s="3"/>
      <c r="P209" s="3"/>
      <c r="AM209" s="14"/>
      <c r="AN209" s="16" t="s">
        <v>345</v>
      </c>
      <c r="AO209" s="16"/>
      <c r="AP209" s="16" t="s">
        <v>346</v>
      </c>
      <c r="AQ209" s="10"/>
    </row>
    <row r="210" spans="6:43" ht="22" x14ac:dyDescent="0.3">
      <c r="N210" s="3"/>
      <c r="O210" s="3"/>
      <c r="P210" s="3"/>
      <c r="AM210" s="14"/>
      <c r="AN210" s="16" t="s">
        <v>347</v>
      </c>
      <c r="AO210" s="16"/>
      <c r="AP210" s="16" t="s">
        <v>348</v>
      </c>
      <c r="AQ210" s="10"/>
    </row>
    <row r="211" spans="6:43" ht="22" x14ac:dyDescent="0.3">
      <c r="N211" s="3"/>
      <c r="O211" s="3"/>
      <c r="P211" s="3"/>
      <c r="AM211" s="14"/>
      <c r="AN211" s="16" t="s">
        <v>349</v>
      </c>
      <c r="AO211" s="16"/>
      <c r="AP211" s="16" t="s">
        <v>350</v>
      </c>
      <c r="AQ211" s="10"/>
    </row>
    <row r="212" spans="6:43" ht="22" x14ac:dyDescent="0.3">
      <c r="N212" s="3"/>
      <c r="O212" s="3"/>
      <c r="P212" s="3"/>
      <c r="AM212" s="14"/>
      <c r="AN212" s="16" t="s">
        <v>351</v>
      </c>
      <c r="AO212" s="16"/>
      <c r="AP212" s="16" t="s">
        <v>352</v>
      </c>
      <c r="AQ212" s="10"/>
    </row>
    <row r="213" spans="6:43" ht="22" x14ac:dyDescent="0.3">
      <c r="N213" s="3"/>
      <c r="O213" s="3"/>
      <c r="P213" s="3"/>
      <c r="AM213" s="14"/>
      <c r="AN213" s="16" t="s">
        <v>353</v>
      </c>
      <c r="AO213" s="16"/>
      <c r="AP213" s="16" t="s">
        <v>354</v>
      </c>
      <c r="AQ213" s="10"/>
    </row>
    <row r="214" spans="6:43" ht="22" x14ac:dyDescent="0.3">
      <c r="N214" s="3"/>
      <c r="O214" s="3"/>
      <c r="P214" s="3"/>
      <c r="AM214" s="13"/>
      <c r="AN214" s="44" t="s">
        <v>401</v>
      </c>
      <c r="AO214" s="44"/>
      <c r="AP214" s="44"/>
      <c r="AQ214" s="10"/>
    </row>
    <row r="215" spans="6:43" ht="22" x14ac:dyDescent="0.3">
      <c r="F215" s="1"/>
      <c r="N215" s="3"/>
      <c r="O215" s="3"/>
      <c r="P215" s="3"/>
      <c r="AM215" s="14"/>
      <c r="AN215" s="16" t="s">
        <v>355</v>
      </c>
      <c r="AO215" s="16"/>
      <c r="AP215" s="16" t="s">
        <v>356</v>
      </c>
      <c r="AQ215" s="10"/>
    </row>
    <row r="216" spans="6:43" ht="22" x14ac:dyDescent="0.3">
      <c r="N216" s="3"/>
      <c r="O216" s="3"/>
      <c r="P216" s="3"/>
      <c r="AM216" s="14"/>
      <c r="AN216" s="16" t="s">
        <v>357</v>
      </c>
      <c r="AO216" s="16"/>
      <c r="AP216" s="16" t="s">
        <v>358</v>
      </c>
      <c r="AQ216" s="10"/>
    </row>
    <row r="217" spans="6:43" ht="22" x14ac:dyDescent="0.3">
      <c r="N217" s="3"/>
      <c r="O217" s="3"/>
      <c r="P217" s="3"/>
      <c r="AM217" s="14"/>
      <c r="AN217" s="16" t="s">
        <v>359</v>
      </c>
      <c r="AO217" s="16"/>
      <c r="AP217" s="16" t="s">
        <v>360</v>
      </c>
      <c r="AQ217" s="10"/>
    </row>
    <row r="218" spans="6:43" ht="22" x14ac:dyDescent="0.3">
      <c r="N218" s="3"/>
      <c r="O218" s="3"/>
      <c r="P218" s="3"/>
      <c r="AM218" s="14"/>
      <c r="AN218" s="16" t="s">
        <v>361</v>
      </c>
      <c r="AO218" s="16"/>
      <c r="AP218" s="16" t="s">
        <v>362</v>
      </c>
      <c r="AQ218" s="10"/>
    </row>
    <row r="219" spans="6:43" ht="22" x14ac:dyDescent="0.3">
      <c r="N219" s="3"/>
      <c r="O219" s="3"/>
      <c r="P219" s="3"/>
      <c r="AM219" s="14"/>
      <c r="AN219" s="16" t="s">
        <v>363</v>
      </c>
      <c r="AO219" s="16"/>
      <c r="AP219" s="16" t="s">
        <v>364</v>
      </c>
      <c r="AQ219" s="10"/>
    </row>
    <row r="220" spans="6:43" ht="22" x14ac:dyDescent="0.3">
      <c r="N220" s="3"/>
      <c r="O220" s="3"/>
      <c r="P220" s="3"/>
      <c r="AM220" s="14"/>
      <c r="AN220" s="16" t="s">
        <v>365</v>
      </c>
      <c r="AO220" s="16"/>
      <c r="AP220" s="16" t="s">
        <v>366</v>
      </c>
      <c r="AQ220" s="10"/>
    </row>
    <row r="221" spans="6:43" ht="22" x14ac:dyDescent="0.3">
      <c r="N221" s="3"/>
      <c r="O221" s="3"/>
      <c r="P221" s="3"/>
      <c r="AM221" s="13"/>
      <c r="AN221" s="16" t="s">
        <v>67</v>
      </c>
      <c r="AO221" s="16"/>
      <c r="AP221" s="16" t="s">
        <v>367</v>
      </c>
      <c r="AQ221" s="10"/>
    </row>
    <row r="222" spans="6:43" ht="22" x14ac:dyDescent="0.3">
      <c r="N222" s="3"/>
      <c r="O222" s="3"/>
      <c r="P222" s="3"/>
      <c r="AM222" s="14"/>
      <c r="AN222" s="16" t="s">
        <v>72</v>
      </c>
      <c r="AO222" s="16"/>
      <c r="AP222" s="16" t="s">
        <v>368</v>
      </c>
      <c r="AQ222" s="10"/>
    </row>
    <row r="223" spans="6:43" ht="22" x14ac:dyDescent="0.3">
      <c r="N223" s="3"/>
      <c r="O223" s="3"/>
      <c r="P223" s="3"/>
      <c r="AM223" s="14"/>
      <c r="AN223" s="16" t="s">
        <v>369</v>
      </c>
      <c r="AO223" s="16"/>
      <c r="AP223" s="16" t="s">
        <v>370</v>
      </c>
      <c r="AQ223" s="10"/>
    </row>
    <row r="224" spans="6:43" ht="22" x14ac:dyDescent="0.3">
      <c r="N224" s="3"/>
      <c r="O224" s="3"/>
      <c r="P224" s="3"/>
      <c r="AM224" s="14"/>
      <c r="AN224" s="16" t="s">
        <v>30</v>
      </c>
      <c r="AO224" s="16"/>
      <c r="AP224" s="16" t="s">
        <v>371</v>
      </c>
      <c r="AQ224" s="10"/>
    </row>
    <row r="225" spans="13:42" ht="22" x14ac:dyDescent="0.3">
      <c r="M225" s="3"/>
      <c r="N225" s="3"/>
      <c r="O225" s="3"/>
      <c r="P225" s="3"/>
      <c r="AM225" s="14"/>
      <c r="AN225" s="16" t="s">
        <v>372</v>
      </c>
      <c r="AO225" s="16"/>
      <c r="AP225" s="16" t="s">
        <v>373</v>
      </c>
    </row>
    <row r="226" spans="13:42" ht="22" x14ac:dyDescent="0.3">
      <c r="AM226" s="13"/>
      <c r="AN226" s="16" t="s">
        <v>374</v>
      </c>
      <c r="AO226" s="16"/>
      <c r="AP226" s="16" t="s">
        <v>375</v>
      </c>
    </row>
    <row r="227" spans="13:42" ht="22" x14ac:dyDescent="0.3">
      <c r="N227" s="4"/>
      <c r="AM227" s="14"/>
      <c r="AN227" s="16" t="s">
        <v>376</v>
      </c>
      <c r="AO227" s="16"/>
      <c r="AP227" s="16" t="s">
        <v>377</v>
      </c>
    </row>
    <row r="228" spans="13:42" ht="22" x14ac:dyDescent="0.3">
      <c r="AM228" s="14"/>
      <c r="AN228" s="16" t="s">
        <v>378</v>
      </c>
      <c r="AO228" s="16"/>
      <c r="AP228" s="16" t="s">
        <v>379</v>
      </c>
    </row>
    <row r="229" spans="13:42" ht="22" x14ac:dyDescent="0.3">
      <c r="AM229" s="14"/>
      <c r="AN229" s="16" t="s">
        <v>380</v>
      </c>
      <c r="AO229" s="16"/>
      <c r="AP229" s="16" t="s">
        <v>381</v>
      </c>
    </row>
    <row r="230" spans="13:42" ht="22" x14ac:dyDescent="0.3">
      <c r="AM230" s="14"/>
      <c r="AN230" s="16" t="s">
        <v>382</v>
      </c>
      <c r="AO230" s="16"/>
      <c r="AP230" s="16" t="s">
        <v>383</v>
      </c>
    </row>
    <row r="231" spans="13:42" ht="22" x14ac:dyDescent="0.3">
      <c r="AM231" s="14"/>
      <c r="AN231" s="16" t="s">
        <v>384</v>
      </c>
      <c r="AO231" s="16"/>
      <c r="AP231" s="16" t="s">
        <v>385</v>
      </c>
    </row>
    <row r="232" spans="13:42" ht="22" x14ac:dyDescent="0.3">
      <c r="AM232" s="14"/>
      <c r="AN232" s="16" t="s">
        <v>386</v>
      </c>
      <c r="AO232" s="16"/>
      <c r="AP232" s="16" t="s">
        <v>387</v>
      </c>
    </row>
    <row r="233" spans="13:42" ht="22" x14ac:dyDescent="0.3">
      <c r="R233" s="2"/>
      <c r="S233" s="2"/>
      <c r="T233" s="2"/>
      <c r="U233" s="2"/>
      <c r="V233" s="2"/>
      <c r="W233" s="2"/>
      <c r="AM233" s="14"/>
      <c r="AN233" s="16" t="s">
        <v>388</v>
      </c>
      <c r="AO233" s="16"/>
      <c r="AP233" s="16" t="s">
        <v>389</v>
      </c>
    </row>
    <row r="234" spans="13:42" ht="22" x14ac:dyDescent="0.3">
      <c r="R234" s="2"/>
      <c r="S234" s="2"/>
      <c r="T234" s="2"/>
      <c r="U234" s="2"/>
      <c r="V234" s="2"/>
      <c r="AM234" s="14"/>
      <c r="AN234" s="17" t="s">
        <v>402</v>
      </c>
      <c r="AO234" s="14"/>
      <c r="AP234" s="18"/>
    </row>
    <row r="235" spans="13:42" ht="22" x14ac:dyDescent="0.3">
      <c r="T235" s="2"/>
      <c r="U235" s="2"/>
      <c r="V235" s="2"/>
      <c r="AM235" s="14"/>
      <c r="AN235" s="16" t="s">
        <v>390</v>
      </c>
      <c r="AO235" s="16"/>
      <c r="AP235" s="16" t="s">
        <v>391</v>
      </c>
    </row>
    <row r="236" spans="13:42" ht="22" x14ac:dyDescent="0.3">
      <c r="AM236" s="14"/>
      <c r="AN236" s="16" t="s">
        <v>392</v>
      </c>
      <c r="AO236" s="16"/>
      <c r="AP236" s="16" t="s">
        <v>393</v>
      </c>
    </row>
    <row r="237" spans="13:42" ht="22" x14ac:dyDescent="0.3">
      <c r="AM237" s="14"/>
      <c r="AN237" s="16" t="s">
        <v>394</v>
      </c>
      <c r="AO237" s="16"/>
      <c r="AP237" s="16" t="s">
        <v>395</v>
      </c>
    </row>
    <row r="241" spans="1:27" x14ac:dyDescent="0.2">
      <c r="L241" s="2"/>
      <c r="M241"/>
    </row>
    <row r="242" spans="1:27" x14ac:dyDescent="0.2">
      <c r="L242" s="3"/>
      <c r="M242" s="3"/>
      <c r="U242" s="2"/>
      <c r="V242" s="2"/>
      <c r="W242" s="2"/>
      <c r="X242" s="2"/>
      <c r="Y242" s="2"/>
      <c r="Z242" s="2"/>
      <c r="AA242" s="2"/>
    </row>
    <row r="243" spans="1:27" x14ac:dyDescent="0.2">
      <c r="L243" s="3"/>
      <c r="M243" s="3"/>
      <c r="U243" s="2"/>
      <c r="V243" s="2"/>
      <c r="W243" s="2"/>
      <c r="X243" s="2"/>
      <c r="Y243" s="2"/>
      <c r="Z243" s="2"/>
      <c r="AA243" s="2"/>
    </row>
    <row r="244" spans="1:27" x14ac:dyDescent="0.2">
      <c r="L244" s="3"/>
      <c r="M244" s="3"/>
      <c r="O244" s="4"/>
      <c r="U244" s="2"/>
      <c r="V244" s="2"/>
      <c r="W244" s="2"/>
      <c r="X244" s="2"/>
      <c r="Y244" s="2"/>
      <c r="Z244" s="2"/>
      <c r="AA244" s="2"/>
    </row>
    <row r="245" spans="1:27" x14ac:dyDescent="0.2">
      <c r="L245" s="3"/>
      <c r="M245" s="3"/>
      <c r="U245" s="2"/>
      <c r="V245" s="2"/>
      <c r="W245" s="2"/>
      <c r="X245" s="2"/>
      <c r="Y245" s="2"/>
      <c r="Z245" s="2"/>
      <c r="AA245" s="2"/>
    </row>
    <row r="246" spans="1:27" x14ac:dyDescent="0.2">
      <c r="L246" s="3"/>
      <c r="M246" s="3"/>
      <c r="U246" s="2"/>
      <c r="V246" s="2"/>
      <c r="W246" s="2"/>
      <c r="X246" s="2"/>
      <c r="Y246" s="2"/>
      <c r="Z246" s="2"/>
      <c r="AA246" s="2"/>
    </row>
    <row r="247" spans="1:27" x14ac:dyDescent="0.2">
      <c r="L247" s="3"/>
      <c r="M247" s="3"/>
      <c r="U247" s="2"/>
      <c r="V247" s="2"/>
      <c r="W247" s="2"/>
      <c r="X247" s="2"/>
      <c r="Y247" s="2"/>
      <c r="Z247" s="2"/>
      <c r="AA247" s="2"/>
    </row>
    <row r="248" spans="1:27" x14ac:dyDescent="0.2">
      <c r="L248" s="3"/>
      <c r="M248" s="3"/>
      <c r="U248" s="2"/>
      <c r="V248" s="2"/>
      <c r="W248" s="2"/>
      <c r="X248" s="2"/>
      <c r="Y248" s="2"/>
      <c r="Z248" s="2"/>
      <c r="AA248" s="2"/>
    </row>
    <row r="249" spans="1:27" x14ac:dyDescent="0.2">
      <c r="L249" s="3"/>
      <c r="M249" s="3"/>
      <c r="U249" s="2"/>
      <c r="V249" s="2"/>
      <c r="W249" s="2"/>
      <c r="X249" s="2"/>
      <c r="Y249" s="2"/>
      <c r="Z249" s="2"/>
      <c r="AA249" s="2"/>
    </row>
    <row r="250" spans="1:27" x14ac:dyDescent="0.2">
      <c r="L250" s="3"/>
      <c r="M250" s="3"/>
      <c r="U250" s="2"/>
      <c r="V250" s="2"/>
      <c r="W250" s="2"/>
      <c r="X250" s="2"/>
      <c r="Y250" s="2"/>
      <c r="Z250" s="2"/>
      <c r="AA250" s="2"/>
    </row>
    <row r="251" spans="1:27" x14ac:dyDescent="0.2">
      <c r="L251" s="3"/>
      <c r="M251" s="3"/>
      <c r="U251" s="2"/>
      <c r="V251" s="2"/>
      <c r="W251" s="2"/>
      <c r="X251" s="2"/>
      <c r="Y251" s="2"/>
      <c r="Z251" s="2"/>
      <c r="AA251" s="2"/>
    </row>
    <row r="252" spans="1:27" x14ac:dyDescent="0.2">
      <c r="L252" s="3"/>
      <c r="M252" s="3"/>
      <c r="U252" s="2"/>
      <c r="V252" s="2"/>
      <c r="W252" s="2"/>
      <c r="X252" s="2"/>
      <c r="Y252" s="2"/>
      <c r="Z252" s="2"/>
      <c r="AA252" s="2"/>
    </row>
    <row r="253" spans="1:27" x14ac:dyDescent="0.2">
      <c r="L253" s="3"/>
      <c r="M253" s="3"/>
      <c r="U253" s="2"/>
      <c r="V253" s="2"/>
      <c r="W253" s="2"/>
      <c r="X253" s="2"/>
      <c r="Y253" s="2"/>
      <c r="Z253" s="2"/>
      <c r="AA253" s="2"/>
    </row>
    <row r="254" spans="1:27" x14ac:dyDescent="0.2">
      <c r="L254" s="3"/>
      <c r="M254" s="3"/>
      <c r="U254" s="2"/>
      <c r="V254" s="2"/>
      <c r="W254" s="2"/>
      <c r="X254" s="2"/>
      <c r="Y254" s="2"/>
      <c r="Z254" s="2"/>
      <c r="AA254" s="2"/>
    </row>
    <row r="255" spans="1:27" x14ac:dyDescent="0.2">
      <c r="A255" s="19"/>
      <c r="B255" s="19"/>
      <c r="C255" s="19"/>
      <c r="D255" s="19"/>
      <c r="E255" s="19"/>
      <c r="F255" s="19"/>
      <c r="G255" s="19"/>
      <c r="H255" s="20"/>
      <c r="I255" s="20"/>
      <c r="J255" s="20"/>
      <c r="K255" s="20"/>
      <c r="L255" s="20"/>
      <c r="M255" s="3"/>
      <c r="O255" s="4"/>
      <c r="U255" s="2"/>
      <c r="V255" s="2"/>
      <c r="W255" s="2"/>
      <c r="X255" s="2"/>
      <c r="Y255" s="2"/>
      <c r="Z255" s="2"/>
      <c r="AA255" s="2"/>
    </row>
    <row r="256" spans="1:27" x14ac:dyDescent="0.2">
      <c r="L256" s="3"/>
      <c r="M256" s="3"/>
      <c r="U256" s="2"/>
      <c r="V256" s="2"/>
      <c r="W256" s="2"/>
      <c r="X256" s="2"/>
      <c r="Y256" s="2"/>
      <c r="Z256" s="2"/>
      <c r="AA256" s="2"/>
    </row>
    <row r="257" spans="9:27" x14ac:dyDescent="0.2">
      <c r="L257" s="3"/>
      <c r="M257" s="3"/>
      <c r="U257" s="2"/>
      <c r="V257" s="2"/>
      <c r="W257" s="2"/>
      <c r="X257" s="2"/>
      <c r="Y257" s="2"/>
      <c r="Z257" s="2"/>
      <c r="AA257" s="2"/>
    </row>
    <row r="258" spans="9:27" x14ac:dyDescent="0.2">
      <c r="L258" s="3"/>
      <c r="M258" s="3"/>
      <c r="U258" s="2"/>
      <c r="V258" s="2"/>
      <c r="W258" s="2"/>
      <c r="X258" s="2"/>
      <c r="Y258" s="2"/>
      <c r="Z258" s="2"/>
      <c r="AA258" s="2"/>
    </row>
    <row r="259" spans="9:27" x14ac:dyDescent="0.2">
      <c r="L259" s="3"/>
      <c r="M259" s="3"/>
      <c r="U259" s="2"/>
      <c r="V259" s="2"/>
      <c r="W259" s="2"/>
      <c r="X259" s="2"/>
      <c r="Y259" s="2"/>
      <c r="Z259" s="2"/>
      <c r="AA259" s="2"/>
    </row>
    <row r="260" spans="9:27" x14ac:dyDescent="0.2">
      <c r="L260" s="3"/>
      <c r="M260" s="3"/>
      <c r="U260" s="2"/>
      <c r="V260" s="2"/>
      <c r="W260" s="2"/>
      <c r="X260" s="2"/>
      <c r="Y260" s="2"/>
      <c r="Z260" s="2"/>
      <c r="AA260" s="2"/>
    </row>
    <row r="261" spans="9:27" x14ac:dyDescent="0.2">
      <c r="L261" s="3"/>
      <c r="M261" s="3"/>
      <c r="U261" s="2"/>
      <c r="V261" s="2"/>
      <c r="W261" s="2"/>
      <c r="X261" s="2"/>
      <c r="Y261" s="2"/>
      <c r="Z261" s="2"/>
      <c r="AA261" s="2"/>
    </row>
    <row r="262" spans="9:27" x14ac:dyDescent="0.2">
      <c r="L262" s="3"/>
      <c r="M262" s="3"/>
      <c r="U262" s="2"/>
      <c r="V262" s="2"/>
      <c r="W262" s="2"/>
      <c r="X262" s="2"/>
      <c r="Y262" s="2"/>
      <c r="Z262" s="2"/>
      <c r="AA262" s="2"/>
    </row>
    <row r="263" spans="9:27" x14ac:dyDescent="0.2">
      <c r="L263" s="3"/>
      <c r="M263" s="3"/>
      <c r="U263" s="2"/>
      <c r="V263" s="2"/>
      <c r="W263" s="2"/>
      <c r="X263" s="2"/>
      <c r="Y263" s="2"/>
      <c r="Z263" s="2"/>
      <c r="AA263" s="2"/>
    </row>
    <row r="264" spans="9:27" x14ac:dyDescent="0.2">
      <c r="L264" s="3"/>
      <c r="M264" s="3"/>
      <c r="U264" s="2"/>
      <c r="V264" s="2"/>
      <c r="W264" s="2"/>
      <c r="X264" s="2"/>
      <c r="Y264" s="2"/>
      <c r="Z264" s="2"/>
      <c r="AA264" s="2"/>
    </row>
    <row r="265" spans="9:27" x14ac:dyDescent="0.2">
      <c r="L265" s="3"/>
      <c r="M265" s="3"/>
      <c r="U265" s="2"/>
      <c r="V265" s="2"/>
      <c r="W265" s="2"/>
      <c r="X265" s="2"/>
      <c r="Y265" s="2"/>
      <c r="Z265" s="2"/>
      <c r="AA265" s="2"/>
    </row>
    <row r="266" spans="9:27" x14ac:dyDescent="0.2">
      <c r="L266" s="3"/>
      <c r="M266" s="3"/>
      <c r="U266" s="2"/>
      <c r="V266" s="2"/>
      <c r="W266" s="2"/>
      <c r="X266" s="2"/>
      <c r="Y266" s="2"/>
      <c r="Z266" s="2"/>
      <c r="AA266" s="2"/>
    </row>
    <row r="267" spans="9:27" x14ac:dyDescent="0.2">
      <c r="L267" s="3"/>
      <c r="M267" s="3"/>
      <c r="U267" s="2"/>
      <c r="V267" s="2"/>
      <c r="W267" s="2"/>
      <c r="X267" s="2"/>
      <c r="Y267" s="2"/>
      <c r="Z267" s="2"/>
      <c r="AA267" s="2"/>
    </row>
    <row r="268" spans="9:27" x14ac:dyDescent="0.2">
      <c r="L268" s="3"/>
      <c r="M268" s="3"/>
      <c r="U268" s="2"/>
      <c r="V268" s="2"/>
      <c r="W268" s="2"/>
      <c r="X268" s="2"/>
      <c r="Y268" s="2"/>
      <c r="Z268" s="2"/>
      <c r="AA268" s="2"/>
    </row>
    <row r="269" spans="9:27" x14ac:dyDescent="0.2">
      <c r="I269" s="21"/>
      <c r="J269" s="22"/>
      <c r="L269" s="3"/>
      <c r="M269" s="3"/>
      <c r="U269" s="2"/>
      <c r="V269" s="2"/>
      <c r="W269" s="2"/>
      <c r="X269" s="2"/>
      <c r="Y269" s="2"/>
      <c r="Z269" s="2"/>
      <c r="AA269" s="2"/>
    </row>
    <row r="270" spans="9:27" x14ac:dyDescent="0.2">
      <c r="L270" s="3"/>
      <c r="M270" s="3"/>
      <c r="U270" s="2"/>
      <c r="V270" s="2"/>
      <c r="W270" s="2"/>
      <c r="X270" s="2"/>
      <c r="Y270" s="2"/>
      <c r="Z270" s="2"/>
      <c r="AA270" s="2"/>
    </row>
    <row r="271" spans="9:27" x14ac:dyDescent="0.2">
      <c r="L271" s="3"/>
      <c r="M271" s="3"/>
      <c r="U271" s="2"/>
      <c r="V271" s="2"/>
      <c r="W271" s="2"/>
      <c r="X271" s="2"/>
      <c r="Y271" s="2"/>
      <c r="Z271" s="2"/>
      <c r="AA271" s="2"/>
    </row>
    <row r="272" spans="9:27" x14ac:dyDescent="0.2">
      <c r="L272" s="3"/>
      <c r="M272" s="3"/>
      <c r="U272" s="2"/>
      <c r="V272" s="2"/>
      <c r="W272" s="2"/>
      <c r="X272" s="2"/>
      <c r="Y272" s="2"/>
      <c r="Z272" s="2"/>
      <c r="AA272" s="2"/>
    </row>
    <row r="273" spans="1:27" x14ac:dyDescent="0.2">
      <c r="L273" s="3"/>
      <c r="M273" s="3"/>
      <c r="U273" s="2"/>
      <c r="V273" s="2"/>
      <c r="W273" s="2"/>
      <c r="X273" s="2"/>
      <c r="Y273" s="2"/>
      <c r="Z273" s="2"/>
      <c r="AA273" s="2"/>
    </row>
    <row r="274" spans="1:27" x14ac:dyDescent="0.2">
      <c r="L274" s="3"/>
      <c r="M274" s="3"/>
      <c r="U274" s="2"/>
      <c r="V274" s="2"/>
      <c r="W274" s="2"/>
      <c r="X274" s="2"/>
      <c r="Y274" s="2"/>
      <c r="Z274" s="2"/>
      <c r="AA274" s="2"/>
    </row>
    <row r="275" spans="1:27" x14ac:dyDescent="0.2">
      <c r="L275" s="3"/>
      <c r="M275" s="3"/>
      <c r="U275" s="2"/>
      <c r="V275" s="2"/>
      <c r="W275" s="2"/>
      <c r="X275" s="2"/>
      <c r="Y275" s="2"/>
      <c r="Z275" s="2"/>
      <c r="AA275" s="2"/>
    </row>
    <row r="276" spans="1:27" x14ac:dyDescent="0.2">
      <c r="L276" s="3"/>
      <c r="M276" s="3"/>
      <c r="U276" s="2"/>
      <c r="V276" s="2"/>
      <c r="W276" s="2"/>
      <c r="X276" s="2"/>
      <c r="Y276" s="2"/>
      <c r="Z276" s="2"/>
      <c r="AA276" s="2"/>
    </row>
    <row r="277" spans="1:27" x14ac:dyDescent="0.2">
      <c r="L277" s="3"/>
      <c r="M277" s="3"/>
      <c r="U277" s="2"/>
      <c r="V277" s="2"/>
      <c r="W277" s="2"/>
      <c r="X277" s="2"/>
      <c r="Y277" s="2"/>
      <c r="Z277" s="2"/>
      <c r="AA277" s="2"/>
    </row>
    <row r="278" spans="1:27" x14ac:dyDescent="0.2">
      <c r="L278" s="3"/>
      <c r="M278" s="3"/>
      <c r="U278" s="2"/>
      <c r="V278" s="2"/>
      <c r="W278" s="2"/>
      <c r="X278" s="2"/>
      <c r="Y278" s="2"/>
      <c r="Z278" s="2"/>
      <c r="AA278" s="2"/>
    </row>
    <row r="279" spans="1:27" x14ac:dyDescent="0.2">
      <c r="L279" s="3"/>
      <c r="M279" s="3"/>
      <c r="U279" s="2"/>
      <c r="V279" s="2"/>
      <c r="W279" s="2"/>
      <c r="X279" s="2"/>
      <c r="Y279" s="2"/>
      <c r="Z279" s="2"/>
      <c r="AA279" s="2"/>
    </row>
    <row r="280" spans="1:27" x14ac:dyDescent="0.2">
      <c r="L280" s="3"/>
      <c r="M280" s="3"/>
      <c r="U280" s="2"/>
      <c r="V280" s="2"/>
      <c r="W280" s="2"/>
      <c r="X280" s="2"/>
      <c r="Y280" s="2"/>
      <c r="Z280" s="2"/>
      <c r="AA280" s="2"/>
    </row>
    <row r="281" spans="1:27" x14ac:dyDescent="0.2">
      <c r="A281" s="23"/>
      <c r="B281" s="19"/>
      <c r="C281" s="19"/>
      <c r="D281" s="19"/>
      <c r="E281" s="19"/>
      <c r="F281" s="19"/>
      <c r="G281" s="19"/>
      <c r="H281" s="20"/>
      <c r="I281" s="20"/>
      <c r="J281" s="20"/>
      <c r="K281" s="20"/>
      <c r="L281" s="20"/>
      <c r="M281" s="3"/>
      <c r="U281" s="2"/>
      <c r="V281" s="2"/>
      <c r="W281" s="2"/>
      <c r="X281" s="2"/>
      <c r="Y281" s="2"/>
      <c r="Z281" s="2"/>
      <c r="AA281" s="2"/>
    </row>
    <row r="282" spans="1:27" x14ac:dyDescent="0.2">
      <c r="L282" s="3"/>
      <c r="M282" s="3"/>
      <c r="U282" s="2"/>
      <c r="V282" s="2"/>
      <c r="W282" s="2"/>
      <c r="X282" s="2"/>
      <c r="Y282" s="2"/>
      <c r="Z282" s="2"/>
      <c r="AA282" s="2"/>
    </row>
    <row r="283" spans="1:27" x14ac:dyDescent="0.2">
      <c r="L283" s="3"/>
      <c r="M283" s="3"/>
      <c r="U283" s="2"/>
      <c r="V283" s="2"/>
      <c r="W283" s="2"/>
      <c r="X283" s="2"/>
      <c r="Y283" s="2"/>
      <c r="Z283" s="2"/>
      <c r="AA283" s="2"/>
    </row>
    <row r="284" spans="1:27" x14ac:dyDescent="0.2">
      <c r="L284" s="3"/>
      <c r="M284" s="3"/>
      <c r="U284" s="2"/>
      <c r="V284" s="2"/>
      <c r="W284" s="2"/>
      <c r="X284" s="2"/>
      <c r="Y284" s="2"/>
      <c r="Z284" s="2"/>
      <c r="AA284" s="2"/>
    </row>
    <row r="285" spans="1:27" x14ac:dyDescent="0.2">
      <c r="L285" s="3"/>
      <c r="M285" s="3"/>
      <c r="U285" s="2"/>
      <c r="V285" s="2"/>
      <c r="W285" s="2"/>
      <c r="X285" s="2"/>
      <c r="Y285" s="2"/>
      <c r="Z285" s="2"/>
      <c r="AA285" s="2"/>
    </row>
    <row r="286" spans="1:27" x14ac:dyDescent="0.2">
      <c r="L286" s="3"/>
      <c r="M286" s="3"/>
      <c r="U286" s="2"/>
      <c r="V286" s="2"/>
      <c r="W286" s="2"/>
      <c r="X286" s="2"/>
      <c r="Y286" s="2"/>
      <c r="Z286" s="2"/>
      <c r="AA286" s="2"/>
    </row>
    <row r="287" spans="1:27" x14ac:dyDescent="0.2">
      <c r="L287" s="3"/>
      <c r="M287" s="3"/>
      <c r="U287" s="2"/>
      <c r="V287" s="2"/>
      <c r="W287" s="2"/>
      <c r="X287" s="2"/>
      <c r="Y287" s="2"/>
      <c r="Z287" s="2"/>
      <c r="AA287" s="2"/>
    </row>
    <row r="288" spans="1:27" x14ac:dyDescent="0.2">
      <c r="L288" s="3"/>
      <c r="M288" s="3"/>
      <c r="U288" s="2"/>
      <c r="V288" s="2"/>
      <c r="W288" s="2"/>
      <c r="X288" s="2"/>
      <c r="Y288" s="2"/>
      <c r="Z288" s="2"/>
      <c r="AA288" s="2"/>
    </row>
    <row r="289" spans="12:27" x14ac:dyDescent="0.2">
      <c r="L289" s="3"/>
      <c r="M289" s="3"/>
      <c r="U289" s="2"/>
      <c r="V289" s="2"/>
      <c r="W289" s="2"/>
      <c r="X289" s="2"/>
      <c r="Y289" s="2"/>
      <c r="Z289" s="2"/>
      <c r="AA289" s="2"/>
    </row>
    <row r="290" spans="12:27" x14ac:dyDescent="0.2">
      <c r="L290" s="3"/>
      <c r="M290" s="3"/>
      <c r="U290" s="2"/>
      <c r="V290" s="2"/>
      <c r="W290" s="2"/>
      <c r="X290" s="2"/>
      <c r="Y290" s="2"/>
      <c r="Z290" s="2"/>
      <c r="AA290" s="2"/>
    </row>
    <row r="291" spans="12:27" x14ac:dyDescent="0.2">
      <c r="L291" s="3"/>
      <c r="M291" s="3"/>
      <c r="U291" s="2"/>
      <c r="V291" s="2"/>
      <c r="W291" s="2"/>
      <c r="X291" s="2"/>
      <c r="Y291" s="2"/>
      <c r="Z291" s="2"/>
      <c r="AA291" s="2"/>
    </row>
    <row r="292" spans="12:27" x14ac:dyDescent="0.2">
      <c r="L292" s="3"/>
      <c r="M292" s="3"/>
      <c r="U292" s="2"/>
      <c r="V292" s="2"/>
      <c r="W292" s="2"/>
      <c r="X292" s="2"/>
      <c r="Y292" s="2"/>
      <c r="Z292" s="2"/>
      <c r="AA292" s="2"/>
    </row>
    <row r="293" spans="12:27" x14ac:dyDescent="0.2">
      <c r="L293" s="3"/>
      <c r="M293" s="3"/>
      <c r="U293" s="2"/>
      <c r="V293" s="2"/>
      <c r="W293" s="2"/>
      <c r="X293" s="2"/>
      <c r="Y293" s="2"/>
      <c r="Z293" s="2"/>
      <c r="AA293" s="2"/>
    </row>
    <row r="294" spans="12:27" x14ac:dyDescent="0.2">
      <c r="L294" s="3"/>
      <c r="M294" s="3"/>
      <c r="U294" s="2"/>
      <c r="V294" s="2"/>
      <c r="W294" s="2"/>
      <c r="X294" s="2"/>
      <c r="Y294" s="2"/>
      <c r="Z294" s="2"/>
      <c r="AA294" s="2"/>
    </row>
    <row r="295" spans="12:27" x14ac:dyDescent="0.2">
      <c r="L295" s="3"/>
      <c r="M295" s="3"/>
      <c r="U295" s="2"/>
      <c r="V295" s="2"/>
      <c r="W295" s="2"/>
      <c r="X295" s="2"/>
      <c r="Y295" s="2"/>
      <c r="Z295" s="2"/>
      <c r="AA295" s="2"/>
    </row>
    <row r="296" spans="12:27" x14ac:dyDescent="0.2">
      <c r="L296" s="3"/>
      <c r="M296" s="3"/>
      <c r="U296" s="2"/>
      <c r="V296" s="2"/>
      <c r="W296" s="2"/>
      <c r="X296" s="2"/>
      <c r="Y296" s="2"/>
      <c r="Z296" s="2"/>
      <c r="AA296" s="2"/>
    </row>
    <row r="297" spans="12:27" x14ac:dyDescent="0.2">
      <c r="L297" s="3"/>
      <c r="M297" s="3"/>
      <c r="U297" s="2"/>
      <c r="V297" s="2"/>
      <c r="W297" s="2"/>
      <c r="X297" s="2"/>
      <c r="Y297" s="2"/>
      <c r="Z297" s="2"/>
      <c r="AA297" s="2"/>
    </row>
    <row r="298" spans="12:27" x14ac:dyDescent="0.2">
      <c r="L298" s="3"/>
      <c r="M298" s="3"/>
      <c r="U298" s="2"/>
      <c r="V298" s="2"/>
      <c r="W298" s="2"/>
      <c r="X298" s="2"/>
      <c r="Y298" s="2"/>
      <c r="Z298" s="2"/>
      <c r="AA298" s="2"/>
    </row>
    <row r="299" spans="12:27" x14ac:dyDescent="0.2">
      <c r="L299" s="3"/>
      <c r="M299" s="3"/>
      <c r="U299" s="2"/>
      <c r="V299" s="2"/>
      <c r="W299" s="2"/>
      <c r="X299" s="2"/>
      <c r="Y299" s="2"/>
      <c r="Z299" s="2"/>
      <c r="AA299" s="2"/>
    </row>
    <row r="300" spans="12:27" x14ac:dyDescent="0.2">
      <c r="L300" s="3"/>
      <c r="M300" s="3"/>
      <c r="U300" s="2"/>
      <c r="V300" s="2"/>
      <c r="W300" s="2"/>
      <c r="X300" s="2"/>
      <c r="Y300" s="2"/>
      <c r="Z300" s="2"/>
      <c r="AA300" s="2"/>
    </row>
    <row r="301" spans="12:27" x14ac:dyDescent="0.2">
      <c r="L301" s="3"/>
      <c r="M301" s="3"/>
      <c r="U301" s="2"/>
      <c r="V301" s="2"/>
      <c r="W301" s="2"/>
      <c r="X301" s="2"/>
      <c r="Y301" s="2"/>
      <c r="Z301" s="2"/>
      <c r="AA301" s="2"/>
    </row>
    <row r="302" spans="12:27" x14ac:dyDescent="0.2">
      <c r="L302" s="3"/>
      <c r="M302" s="3"/>
      <c r="U302" s="2"/>
      <c r="V302" s="2"/>
      <c r="W302" s="2"/>
      <c r="X302" s="2"/>
      <c r="Y302" s="2"/>
      <c r="Z302" s="2"/>
      <c r="AA302" s="2"/>
    </row>
    <row r="303" spans="12:27" x14ac:dyDescent="0.2">
      <c r="L303" s="3"/>
      <c r="M303" s="3"/>
      <c r="U303" s="2"/>
      <c r="V303" s="2"/>
      <c r="W303" s="2"/>
      <c r="X303" s="2"/>
      <c r="Y303" s="2"/>
      <c r="Z303" s="2"/>
      <c r="AA303" s="2"/>
    </row>
    <row r="304" spans="12:27" x14ac:dyDescent="0.2">
      <c r="L304" s="3"/>
      <c r="M304" s="3"/>
      <c r="U304" s="2"/>
      <c r="V304" s="2"/>
      <c r="W304" s="2"/>
      <c r="X304" s="2"/>
      <c r="Y304" s="2"/>
      <c r="Z304" s="2"/>
      <c r="AA304" s="2"/>
    </row>
    <row r="305" spans="1:27" x14ac:dyDescent="0.2">
      <c r="L305" s="3"/>
      <c r="M305" s="3"/>
      <c r="U305" s="2"/>
      <c r="V305" s="2"/>
      <c r="W305" s="2"/>
      <c r="X305" s="2"/>
      <c r="Y305" s="2"/>
      <c r="Z305" s="2"/>
      <c r="AA305" s="2"/>
    </row>
    <row r="306" spans="1:27" x14ac:dyDescent="0.2">
      <c r="L306" s="3"/>
      <c r="M306" s="3"/>
      <c r="U306" s="2"/>
      <c r="V306" s="2"/>
      <c r="W306" s="2"/>
      <c r="X306" s="2"/>
      <c r="Y306" s="2"/>
      <c r="Z306" s="2"/>
      <c r="AA306" s="2"/>
    </row>
    <row r="307" spans="1:27" s="19" customFormat="1" x14ac:dyDescent="0.2">
      <c r="H307" s="20"/>
      <c r="I307" s="20"/>
      <c r="J307" s="20"/>
      <c r="K307" s="20"/>
      <c r="L307" s="20"/>
      <c r="M307" s="3"/>
      <c r="U307" s="2"/>
      <c r="V307" s="26"/>
      <c r="W307" s="26"/>
      <c r="X307" s="26"/>
      <c r="Y307" s="26"/>
      <c r="Z307" s="2"/>
      <c r="AA307" s="26"/>
    </row>
    <row r="308" spans="1:27" x14ac:dyDescent="0.2">
      <c r="L308" s="3"/>
      <c r="M308" s="3"/>
      <c r="U308" s="2"/>
      <c r="V308" s="2"/>
      <c r="W308" s="2"/>
      <c r="X308" s="2"/>
      <c r="Y308" s="2"/>
      <c r="Z308" s="2"/>
      <c r="AA308" s="2"/>
    </row>
    <row r="309" spans="1:27" x14ac:dyDescent="0.2">
      <c r="L309" s="3"/>
      <c r="M309" s="3"/>
      <c r="U309" s="2"/>
      <c r="V309" s="2"/>
      <c r="W309" s="2"/>
      <c r="X309" s="2"/>
      <c r="Y309" s="2"/>
      <c r="Z309" s="2"/>
      <c r="AA309" s="2"/>
    </row>
    <row r="310" spans="1:27" x14ac:dyDescent="0.2">
      <c r="A310" s="19"/>
      <c r="B310" s="19"/>
      <c r="C310" s="19"/>
      <c r="D310" s="19"/>
      <c r="E310" s="19"/>
      <c r="F310" s="19"/>
      <c r="G310" s="19"/>
      <c r="H310" s="20"/>
      <c r="I310" s="20"/>
      <c r="J310" s="20"/>
      <c r="K310" s="20"/>
      <c r="L310" s="20"/>
      <c r="M310" s="3"/>
      <c r="U310" s="2"/>
      <c r="V310" s="2"/>
      <c r="W310" s="2"/>
      <c r="X310" s="2"/>
      <c r="Y310" s="2"/>
      <c r="Z310" s="2"/>
      <c r="AA310" s="2"/>
    </row>
    <row r="311" spans="1:27" x14ac:dyDescent="0.2">
      <c r="L311" s="3"/>
      <c r="M311" s="3"/>
      <c r="U311" s="2"/>
      <c r="V311" s="2"/>
      <c r="W311" s="2"/>
      <c r="X311" s="2"/>
      <c r="Y311" s="2"/>
      <c r="Z311" s="2"/>
      <c r="AA311" s="2"/>
    </row>
    <row r="312" spans="1:27" x14ac:dyDescent="0.2">
      <c r="A312" s="24"/>
      <c r="L312" s="3"/>
      <c r="M312" s="3"/>
      <c r="U312" s="2"/>
      <c r="V312" s="2"/>
      <c r="W312" s="2"/>
      <c r="X312" s="2"/>
      <c r="Y312" s="2"/>
      <c r="Z312" s="2"/>
      <c r="AA312" s="2"/>
    </row>
    <row r="313" spans="1:27" x14ac:dyDescent="0.2">
      <c r="A313" s="24"/>
      <c r="L313" s="3"/>
      <c r="M313" s="3"/>
      <c r="U313" s="2"/>
      <c r="V313" s="2"/>
      <c r="W313" s="2"/>
      <c r="X313" s="2"/>
      <c r="Y313" s="2"/>
      <c r="Z313" s="2"/>
      <c r="AA313" s="2"/>
    </row>
    <row r="314" spans="1:27" x14ac:dyDescent="0.2">
      <c r="A314" s="24"/>
      <c r="L314" s="3"/>
      <c r="M314" s="3"/>
      <c r="U314" s="2"/>
      <c r="V314" s="2"/>
      <c r="W314" s="2"/>
      <c r="X314" s="2"/>
      <c r="Y314" s="2"/>
      <c r="Z314" s="2"/>
      <c r="AA314" s="2"/>
    </row>
    <row r="315" spans="1:27" x14ac:dyDescent="0.2">
      <c r="A315" s="24"/>
      <c r="L315" s="3"/>
      <c r="M315" s="3"/>
      <c r="U315" s="2"/>
      <c r="V315" s="2"/>
      <c r="W315" s="2"/>
      <c r="X315" s="2"/>
      <c r="Y315" s="2"/>
      <c r="Z315" s="2"/>
      <c r="AA315" s="2"/>
    </row>
    <row r="316" spans="1:27" x14ac:dyDescent="0.2">
      <c r="A316" s="19"/>
      <c r="B316" s="19"/>
      <c r="C316" s="19"/>
      <c r="D316" s="19"/>
      <c r="E316" s="19"/>
      <c r="F316" s="19"/>
      <c r="G316" s="19"/>
      <c r="H316" s="20"/>
      <c r="I316" s="20"/>
      <c r="J316" s="20"/>
      <c r="K316" s="20"/>
      <c r="L316" s="20"/>
      <c r="M316" s="3"/>
      <c r="U316" s="2"/>
      <c r="V316" s="2"/>
      <c r="W316" s="2"/>
      <c r="X316" s="2"/>
      <c r="Y316" s="2"/>
      <c r="Z316" s="2"/>
      <c r="AA316" s="2"/>
    </row>
    <row r="317" spans="1:27" x14ac:dyDescent="0.2">
      <c r="A317" s="24"/>
      <c r="L317" s="3"/>
      <c r="M317" s="3"/>
      <c r="U317" s="2"/>
      <c r="V317" s="2"/>
      <c r="W317" s="2"/>
      <c r="X317" s="2"/>
      <c r="Y317" s="2"/>
      <c r="Z317" s="2"/>
      <c r="AA317" s="2"/>
    </row>
    <row r="318" spans="1:27" x14ac:dyDescent="0.2">
      <c r="L318" s="3"/>
      <c r="M318" s="3"/>
      <c r="U318" s="2"/>
      <c r="V318" s="2"/>
      <c r="W318" s="2"/>
      <c r="X318" s="2"/>
      <c r="Y318" s="2"/>
      <c r="Z318" s="2"/>
      <c r="AA318" s="2"/>
    </row>
    <row r="319" spans="1:27" x14ac:dyDescent="0.2">
      <c r="A319" s="24"/>
      <c r="L319" s="3"/>
      <c r="M319" s="3"/>
      <c r="U319" s="2"/>
      <c r="V319" s="2"/>
      <c r="W319" s="2"/>
      <c r="X319" s="2"/>
      <c r="Y319" s="2"/>
      <c r="Z319" s="2"/>
      <c r="AA319" s="2"/>
    </row>
    <row r="320" spans="1:27" x14ac:dyDescent="0.2">
      <c r="A320" s="24"/>
      <c r="L320" s="3"/>
      <c r="M320" s="3"/>
      <c r="U320" s="2"/>
      <c r="V320" s="2"/>
      <c r="W320" s="2"/>
      <c r="X320" s="2"/>
      <c r="Y320" s="2"/>
      <c r="Z320" s="2"/>
      <c r="AA320" s="2"/>
    </row>
    <row r="321" spans="1:27" x14ac:dyDescent="0.2">
      <c r="A321" s="24"/>
      <c r="L321" s="3"/>
      <c r="M321" s="3"/>
      <c r="U321" s="2"/>
      <c r="V321" s="2"/>
      <c r="W321" s="2"/>
      <c r="X321" s="2"/>
      <c r="Y321" s="2"/>
      <c r="Z321" s="2"/>
      <c r="AA321" s="2"/>
    </row>
    <row r="322" spans="1:27" x14ac:dyDescent="0.2">
      <c r="A322" s="19"/>
      <c r="B322" s="19"/>
      <c r="C322" s="19"/>
      <c r="D322" s="19"/>
      <c r="E322" s="19"/>
      <c r="F322" s="19"/>
      <c r="G322" s="19"/>
      <c r="H322" s="20"/>
      <c r="I322" s="20"/>
      <c r="J322" s="20"/>
      <c r="K322" s="20"/>
      <c r="L322" s="20"/>
      <c r="M322" s="3"/>
      <c r="U322" s="2"/>
      <c r="V322" s="2"/>
      <c r="W322" s="2"/>
      <c r="X322" s="2"/>
      <c r="Y322" s="2"/>
      <c r="Z322" s="2"/>
      <c r="AA322" s="2"/>
    </row>
    <row r="323" spans="1:27" x14ac:dyDescent="0.2">
      <c r="A323" s="24"/>
      <c r="L323" s="3"/>
      <c r="M323" s="3"/>
      <c r="U323" s="2"/>
      <c r="V323" s="2"/>
      <c r="W323" s="2"/>
      <c r="X323" s="2"/>
      <c r="Y323" s="2"/>
      <c r="Z323" s="2"/>
      <c r="AA323" s="2"/>
    </row>
    <row r="324" spans="1:27" x14ac:dyDescent="0.2">
      <c r="L324" s="3"/>
      <c r="M324" s="3"/>
      <c r="U324" s="2"/>
      <c r="V324" s="2"/>
      <c r="W324" s="2"/>
      <c r="X324" s="2"/>
      <c r="Y324" s="2"/>
      <c r="Z324" s="2"/>
      <c r="AA324" s="2"/>
    </row>
    <row r="325" spans="1:27" x14ac:dyDescent="0.2">
      <c r="A325" s="24"/>
      <c r="L325" s="3"/>
      <c r="M325" s="3"/>
      <c r="U325" s="2"/>
      <c r="V325" s="2"/>
      <c r="W325" s="2"/>
      <c r="X325" s="2"/>
      <c r="Y325" s="2"/>
      <c r="Z325" s="2"/>
      <c r="AA325" s="2"/>
    </row>
    <row r="326" spans="1:27" x14ac:dyDescent="0.2">
      <c r="A326" s="24"/>
      <c r="L326" s="3"/>
      <c r="M326" s="3"/>
      <c r="U326" s="2"/>
      <c r="V326" s="2"/>
      <c r="W326" s="2"/>
      <c r="X326" s="2"/>
      <c r="Y326" s="2"/>
      <c r="Z326" s="2"/>
      <c r="AA326" s="2"/>
    </row>
    <row r="327" spans="1:27" x14ac:dyDescent="0.2">
      <c r="A327" s="24"/>
      <c r="L327" s="3"/>
      <c r="M327" s="3"/>
      <c r="U327" s="2"/>
      <c r="V327" s="2"/>
      <c r="W327" s="2"/>
      <c r="X327" s="2"/>
      <c r="Y327" s="2"/>
      <c r="Z327" s="2"/>
      <c r="AA327" s="2"/>
    </row>
    <row r="328" spans="1:27" x14ac:dyDescent="0.2">
      <c r="A328" s="19"/>
      <c r="B328" s="19"/>
      <c r="C328" s="19"/>
      <c r="D328" s="19"/>
      <c r="E328" s="19"/>
      <c r="F328" s="19"/>
      <c r="G328" s="19"/>
      <c r="H328" s="20"/>
      <c r="I328" s="20"/>
      <c r="J328" s="20"/>
      <c r="K328" s="20"/>
      <c r="L328" s="20"/>
      <c r="M328" s="3"/>
      <c r="U328" s="2"/>
      <c r="V328" s="2"/>
      <c r="W328" s="2"/>
      <c r="X328" s="2"/>
      <c r="Y328" s="2"/>
      <c r="Z328" s="2"/>
      <c r="AA328" s="2"/>
    </row>
    <row r="329" spans="1:27" x14ac:dyDescent="0.2">
      <c r="A329" s="24"/>
      <c r="L329" s="3"/>
      <c r="M329" s="3"/>
      <c r="U329" s="2"/>
      <c r="V329" s="2"/>
      <c r="W329" s="2"/>
      <c r="X329" s="2"/>
      <c r="Y329" s="2"/>
      <c r="Z329" s="2"/>
      <c r="AA329" s="2"/>
    </row>
    <row r="330" spans="1:27" x14ac:dyDescent="0.2">
      <c r="L330" s="3"/>
      <c r="M330" s="3"/>
      <c r="U330" s="2"/>
      <c r="V330" s="2"/>
      <c r="W330" s="2"/>
      <c r="X330" s="2"/>
      <c r="Y330" s="2"/>
      <c r="Z330" s="2"/>
      <c r="AA330" s="2"/>
    </row>
    <row r="331" spans="1:27" x14ac:dyDescent="0.2">
      <c r="A331" s="24"/>
      <c r="L331" s="3"/>
      <c r="M331" s="3"/>
      <c r="U331" s="2"/>
      <c r="V331" s="2"/>
      <c r="W331" s="2"/>
      <c r="X331" s="2"/>
      <c r="Y331" s="2"/>
      <c r="Z331" s="2"/>
      <c r="AA331" s="2"/>
    </row>
    <row r="332" spans="1:27" x14ac:dyDescent="0.2">
      <c r="A332" s="24"/>
      <c r="L332" s="3"/>
      <c r="M332" s="3"/>
      <c r="U332" s="2"/>
      <c r="V332" s="2"/>
      <c r="W332" s="2"/>
      <c r="X332" s="2"/>
      <c r="Y332" s="2"/>
      <c r="Z332" s="2"/>
      <c r="AA332" s="2"/>
    </row>
    <row r="333" spans="1:27" x14ac:dyDescent="0.2">
      <c r="A333" s="24"/>
      <c r="L333" s="3"/>
      <c r="M333" s="3"/>
      <c r="U333" s="2"/>
      <c r="V333" s="2"/>
      <c r="W333" s="2"/>
      <c r="X333" s="2"/>
      <c r="Y333" s="2"/>
      <c r="Z333" s="2"/>
      <c r="AA333" s="2"/>
    </row>
    <row r="334" spans="1:27" x14ac:dyDescent="0.2">
      <c r="A334" s="19"/>
      <c r="B334" s="19"/>
      <c r="C334" s="19"/>
      <c r="D334" s="19"/>
      <c r="E334" s="19"/>
      <c r="F334" s="19"/>
      <c r="G334" s="19"/>
      <c r="H334" s="20"/>
      <c r="I334" s="20"/>
      <c r="J334" s="20"/>
      <c r="K334" s="20"/>
      <c r="L334" s="20"/>
      <c r="M334" s="3"/>
      <c r="U334" s="2"/>
      <c r="V334" s="2"/>
      <c r="W334" s="2"/>
      <c r="X334" s="2"/>
      <c r="Y334" s="2"/>
      <c r="Z334" s="2"/>
      <c r="AA334" s="2"/>
    </row>
    <row r="335" spans="1:27" x14ac:dyDescent="0.2">
      <c r="A335" s="24"/>
      <c r="L335" s="3"/>
      <c r="M335" s="3"/>
      <c r="U335" s="2"/>
      <c r="V335" s="2"/>
      <c r="W335" s="2"/>
      <c r="X335" s="2"/>
      <c r="Y335" s="2"/>
      <c r="Z335" s="2"/>
      <c r="AA335" s="2"/>
    </row>
    <row r="336" spans="1:27" x14ac:dyDescent="0.2">
      <c r="L336" s="3"/>
      <c r="M336" s="3"/>
      <c r="U336" s="2"/>
      <c r="V336" s="2"/>
      <c r="W336" s="2"/>
      <c r="X336" s="2"/>
      <c r="Y336" s="2"/>
      <c r="Z336" s="2"/>
      <c r="AA336" s="2"/>
    </row>
    <row r="337" spans="1:27" x14ac:dyDescent="0.2">
      <c r="A337" s="24"/>
      <c r="L337" s="3"/>
      <c r="M337" s="3"/>
      <c r="U337" s="2"/>
      <c r="V337" s="2"/>
      <c r="W337" s="2"/>
      <c r="X337" s="2"/>
      <c r="Y337" s="2"/>
      <c r="Z337" s="2"/>
      <c r="AA337" s="2"/>
    </row>
    <row r="338" spans="1:27" x14ac:dyDescent="0.2">
      <c r="A338" s="24"/>
      <c r="L338" s="3"/>
      <c r="M338" s="3"/>
      <c r="U338" s="2"/>
      <c r="V338" s="2"/>
      <c r="W338" s="2"/>
      <c r="X338" s="2"/>
      <c r="Y338" s="2"/>
      <c r="Z338" s="2"/>
      <c r="AA338" s="2"/>
    </row>
    <row r="339" spans="1:27" x14ac:dyDescent="0.2">
      <c r="A339" s="24"/>
      <c r="L339" s="3"/>
      <c r="M339" s="3"/>
      <c r="U339" s="2"/>
      <c r="V339" s="2"/>
      <c r="W339" s="2"/>
      <c r="X339" s="2"/>
      <c r="Y339" s="2"/>
      <c r="Z339" s="2"/>
      <c r="AA339" s="2"/>
    </row>
    <row r="340" spans="1:27" x14ac:dyDescent="0.2">
      <c r="A340" s="19"/>
      <c r="B340" s="19"/>
      <c r="C340" s="19"/>
      <c r="D340" s="19"/>
      <c r="E340" s="19"/>
      <c r="F340" s="19"/>
      <c r="G340" s="19"/>
      <c r="H340" s="20"/>
      <c r="I340" s="20"/>
      <c r="J340" s="20"/>
      <c r="K340" s="20"/>
      <c r="L340" s="20"/>
      <c r="M340" s="3"/>
      <c r="U340" s="2"/>
      <c r="V340" s="2"/>
      <c r="W340" s="2"/>
      <c r="X340" s="2"/>
      <c r="Y340" s="2"/>
      <c r="Z340" s="2"/>
      <c r="AA340" s="2"/>
    </row>
    <row r="341" spans="1:27" x14ac:dyDescent="0.2">
      <c r="A341" s="24"/>
      <c r="L341" s="3"/>
      <c r="M341" s="3"/>
      <c r="U341" s="2"/>
      <c r="V341" s="2"/>
      <c r="W341" s="2"/>
      <c r="X341" s="2"/>
      <c r="Y341" s="2"/>
      <c r="Z341" s="2"/>
      <c r="AA341" s="2"/>
    </row>
    <row r="342" spans="1:27" x14ac:dyDescent="0.2">
      <c r="L342" s="3"/>
      <c r="M342" s="3"/>
      <c r="U342" s="2"/>
      <c r="V342" s="2"/>
      <c r="W342" s="2"/>
      <c r="X342" s="2"/>
      <c r="Y342" s="2"/>
      <c r="Z342" s="2"/>
      <c r="AA342" s="2"/>
    </row>
    <row r="343" spans="1:27" x14ac:dyDescent="0.2">
      <c r="A343" s="24"/>
      <c r="L343" s="3"/>
      <c r="M343" s="3"/>
      <c r="U343" s="2"/>
      <c r="V343" s="2"/>
      <c r="W343" s="2"/>
      <c r="X343" s="2"/>
      <c r="Y343" s="2"/>
      <c r="Z343" s="2"/>
      <c r="AA343" s="2"/>
    </row>
    <row r="344" spans="1:27" x14ac:dyDescent="0.2">
      <c r="A344" s="24"/>
      <c r="L344" s="3"/>
      <c r="M344" s="3"/>
      <c r="U344" s="2"/>
      <c r="V344" s="2"/>
      <c r="W344" s="2"/>
      <c r="X344" s="2"/>
      <c r="Y344" s="2"/>
      <c r="Z344" s="2"/>
      <c r="AA344" s="2"/>
    </row>
    <row r="345" spans="1:27" x14ac:dyDescent="0.2">
      <c r="A345" s="24"/>
      <c r="L345" s="3"/>
      <c r="M345" s="3"/>
      <c r="U345" s="2"/>
      <c r="V345" s="2"/>
      <c r="W345" s="2"/>
      <c r="X345" s="2"/>
      <c r="Y345" s="2"/>
      <c r="Z345" s="2"/>
      <c r="AA345" s="2"/>
    </row>
    <row r="346" spans="1:27" x14ac:dyDescent="0.2">
      <c r="A346" s="19"/>
      <c r="B346" s="19"/>
      <c r="C346" s="19"/>
      <c r="D346" s="19"/>
      <c r="E346" s="19"/>
      <c r="F346" s="19"/>
      <c r="G346" s="19"/>
      <c r="H346" s="20"/>
      <c r="I346" s="20"/>
      <c r="J346" s="20"/>
      <c r="K346" s="20"/>
      <c r="L346" s="20"/>
      <c r="M346" s="3"/>
      <c r="U346" s="2"/>
      <c r="V346" s="2"/>
      <c r="W346" s="2"/>
      <c r="X346" s="2"/>
      <c r="Y346" s="2"/>
      <c r="Z346" s="2"/>
      <c r="AA346" s="2"/>
    </row>
    <row r="347" spans="1:27" x14ac:dyDescent="0.2">
      <c r="A347" s="24"/>
      <c r="L347" s="3"/>
      <c r="M347" s="3"/>
      <c r="U347" s="2"/>
      <c r="V347" s="2"/>
      <c r="W347" s="2"/>
      <c r="X347" s="2"/>
      <c r="Y347" s="2"/>
      <c r="Z347" s="2"/>
      <c r="AA347" s="2"/>
    </row>
    <row r="348" spans="1:27" x14ac:dyDescent="0.2">
      <c r="L348" s="3"/>
      <c r="M348" s="3"/>
      <c r="U348" s="2"/>
      <c r="V348" s="2"/>
      <c r="W348" s="2"/>
      <c r="X348" s="2"/>
      <c r="Y348" s="2"/>
      <c r="Z348" s="2"/>
      <c r="AA348" s="2"/>
    </row>
    <row r="349" spans="1:27" x14ac:dyDescent="0.2">
      <c r="A349" s="24"/>
      <c r="L349" s="3"/>
      <c r="M349" s="3"/>
      <c r="U349" s="2"/>
      <c r="V349" s="2"/>
      <c r="W349" s="2"/>
      <c r="X349" s="2"/>
      <c r="Y349" s="2"/>
      <c r="Z349" s="2"/>
      <c r="AA349" s="2"/>
    </row>
    <row r="350" spans="1:27" x14ac:dyDescent="0.2">
      <c r="A350" s="24"/>
      <c r="L350" s="3"/>
      <c r="M350" s="3"/>
      <c r="U350" s="2"/>
      <c r="V350" s="2"/>
      <c r="W350" s="2"/>
      <c r="X350" s="2"/>
      <c r="Y350" s="2"/>
      <c r="Z350" s="2"/>
      <c r="AA350" s="2"/>
    </row>
    <row r="351" spans="1:27" x14ac:dyDescent="0.2">
      <c r="A351" s="24"/>
      <c r="L351" s="3"/>
      <c r="M351" s="3"/>
      <c r="U351" s="2"/>
      <c r="V351" s="2"/>
      <c r="W351" s="2"/>
      <c r="X351" s="2"/>
      <c r="Y351" s="2"/>
      <c r="Z351" s="2"/>
      <c r="AA351" s="2"/>
    </row>
    <row r="352" spans="1:27" x14ac:dyDescent="0.2">
      <c r="L352" s="3"/>
      <c r="M352" s="3"/>
      <c r="U352" s="2"/>
      <c r="V352" s="2"/>
      <c r="W352" s="2"/>
      <c r="X352" s="2"/>
      <c r="Y352" s="2"/>
      <c r="Z352" s="2"/>
      <c r="AA352" s="2"/>
    </row>
    <row r="353" spans="12:27" x14ac:dyDescent="0.2">
      <c r="L353" s="3"/>
      <c r="M353" s="3"/>
      <c r="U353" s="2"/>
      <c r="V353" s="2"/>
      <c r="W353" s="2"/>
      <c r="X353" s="2"/>
      <c r="Y353" s="2"/>
      <c r="Z353" s="2"/>
      <c r="AA353" s="2"/>
    </row>
    <row r="354" spans="12:27" x14ac:dyDescent="0.2">
      <c r="L354" s="3"/>
      <c r="M354" s="3"/>
      <c r="U354" s="2"/>
      <c r="V354" s="2"/>
      <c r="W354" s="2"/>
      <c r="X354" s="2"/>
      <c r="Y354" s="2"/>
      <c r="Z354" s="2"/>
      <c r="AA354" s="2"/>
    </row>
    <row r="355" spans="12:27" x14ac:dyDescent="0.2">
      <c r="L355" s="3"/>
      <c r="M355" s="3"/>
      <c r="U355" s="2"/>
      <c r="V355" s="2"/>
      <c r="W355" s="2"/>
      <c r="X355" s="2"/>
      <c r="Y355" s="2"/>
      <c r="Z355" s="2"/>
      <c r="AA355" s="2"/>
    </row>
    <row r="356" spans="12:27" x14ac:dyDescent="0.2">
      <c r="L356" s="3"/>
      <c r="M356" s="3"/>
      <c r="U356" s="2"/>
      <c r="V356" s="2"/>
      <c r="W356" s="2"/>
      <c r="X356" s="2"/>
      <c r="Y356" s="2"/>
      <c r="Z356" s="2"/>
      <c r="AA356" s="2"/>
    </row>
    <row r="357" spans="12:27" x14ac:dyDescent="0.2">
      <c r="L357" s="3"/>
      <c r="M357" s="3"/>
      <c r="U357" s="2"/>
      <c r="V357" s="2"/>
      <c r="W357" s="2"/>
      <c r="X357" s="2"/>
      <c r="Y357" s="2"/>
      <c r="Z357" s="2"/>
      <c r="AA357" s="2"/>
    </row>
    <row r="358" spans="12:27" x14ac:dyDescent="0.2">
      <c r="L358" s="3"/>
      <c r="M358" s="3"/>
      <c r="U358" s="2"/>
      <c r="V358" s="2"/>
      <c r="W358" s="2"/>
      <c r="X358" s="2"/>
      <c r="Y358" s="2"/>
      <c r="Z358" s="2"/>
      <c r="AA358" s="2"/>
    </row>
    <row r="359" spans="12:27" x14ac:dyDescent="0.2">
      <c r="L359" s="3"/>
      <c r="M359" s="3"/>
      <c r="U359" s="2"/>
      <c r="V359" s="2"/>
      <c r="W359" s="2"/>
      <c r="X359" s="2"/>
      <c r="Y359" s="2"/>
      <c r="Z359" s="2"/>
      <c r="AA359" s="2"/>
    </row>
    <row r="360" spans="12:27" x14ac:dyDescent="0.2">
      <c r="L360" s="3"/>
      <c r="M360" s="3"/>
      <c r="U360" s="2"/>
      <c r="V360" s="2"/>
      <c r="W360" s="2"/>
      <c r="X360" s="2"/>
      <c r="Y360" s="2"/>
      <c r="Z360" s="2"/>
      <c r="AA360" s="2"/>
    </row>
    <row r="361" spans="12:27" x14ac:dyDescent="0.2">
      <c r="L361" s="3"/>
      <c r="M361" s="3"/>
      <c r="U361" s="2"/>
      <c r="V361" s="2"/>
      <c r="W361" s="2"/>
      <c r="X361" s="2"/>
      <c r="Y361" s="2"/>
      <c r="Z361" s="2"/>
      <c r="AA361" s="2"/>
    </row>
    <row r="362" spans="12:27" x14ac:dyDescent="0.2">
      <c r="L362" s="3"/>
      <c r="M362" s="3"/>
      <c r="U362" s="2"/>
      <c r="V362" s="2"/>
      <c r="W362" s="2"/>
      <c r="X362" s="2"/>
      <c r="Y362" s="2"/>
      <c r="Z362" s="2"/>
      <c r="AA362" s="2"/>
    </row>
    <row r="363" spans="12:27" x14ac:dyDescent="0.2">
      <c r="L363" s="3"/>
      <c r="M363" s="3"/>
      <c r="U363" s="2"/>
      <c r="V363" s="2"/>
      <c r="W363" s="2"/>
      <c r="X363" s="2"/>
      <c r="Y363" s="2"/>
      <c r="Z363" s="2"/>
      <c r="AA363" s="2"/>
    </row>
    <row r="364" spans="12:27" x14ac:dyDescent="0.2">
      <c r="U364" s="2"/>
      <c r="V364" s="2"/>
      <c r="W364" s="2"/>
      <c r="X364" s="2"/>
      <c r="Y364" s="2"/>
      <c r="Z364" s="2"/>
      <c r="AA364" s="2"/>
    </row>
    <row r="469" spans="3:3" x14ac:dyDescent="0.2">
      <c r="C469" s="1"/>
    </row>
    <row r="966" spans="3:3" x14ac:dyDescent="0.2">
      <c r="C966" s="1"/>
    </row>
  </sheetData>
  <mergeCells count="21">
    <mergeCell ref="U24:V24"/>
    <mergeCell ref="S61:T61"/>
    <mergeCell ref="K24:L24"/>
    <mergeCell ref="M24:N24"/>
    <mergeCell ref="Q24:R24"/>
    <mergeCell ref="B69:C69"/>
    <mergeCell ref="P69:Q69"/>
    <mergeCell ref="G61:H61"/>
    <mergeCell ref="G69:H69"/>
    <mergeCell ref="L61:M61"/>
    <mergeCell ref="L69:M69"/>
    <mergeCell ref="B61:C61"/>
    <mergeCell ref="P61:Q61"/>
    <mergeCell ref="AN159:AP159"/>
    <mergeCell ref="AN183:AP183"/>
    <mergeCell ref="AN214:AP214"/>
    <mergeCell ref="AN79:AP79"/>
    <mergeCell ref="AN108:AP108"/>
    <mergeCell ref="AN137:AP137"/>
    <mergeCell ref="AN146:AP146"/>
    <mergeCell ref="AN154:AP154"/>
  </mergeCells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7C7B-8FE9-0049-A2BB-DA17BB9412E2}">
  <dimension ref="A1:K21"/>
  <sheetViews>
    <sheetView zoomScale="117" workbookViewId="0">
      <selection activeCell="I12" sqref="I12"/>
    </sheetView>
  </sheetViews>
  <sheetFormatPr baseColWidth="10" defaultRowHeight="16" x14ac:dyDescent="0.2"/>
  <cols>
    <col min="1" max="1" width="7.6640625" customWidth="1"/>
  </cols>
  <sheetData>
    <row r="1" spans="1:11" x14ac:dyDescent="0.2">
      <c r="A1" s="55" t="s">
        <v>800</v>
      </c>
      <c r="B1" s="55"/>
      <c r="C1" s="51" t="s">
        <v>801</v>
      </c>
      <c r="D1" s="51" t="s">
        <v>802</v>
      </c>
      <c r="E1" s="51" t="s">
        <v>795</v>
      </c>
      <c r="F1" s="51" t="s">
        <v>803</v>
      </c>
      <c r="G1" s="52" t="s">
        <v>809</v>
      </c>
    </row>
    <row r="2" spans="1:11" x14ac:dyDescent="0.2">
      <c r="A2" s="56" t="s">
        <v>813</v>
      </c>
      <c r="B2" s="56"/>
      <c r="C2" s="53">
        <v>5145</v>
      </c>
      <c r="D2" s="53" t="s">
        <v>816</v>
      </c>
      <c r="E2" s="53">
        <v>64</v>
      </c>
      <c r="F2" s="53">
        <f>K20</f>
        <v>5298</v>
      </c>
      <c r="G2" s="54">
        <f>C2/F2</f>
        <v>0.97112117780294449</v>
      </c>
    </row>
    <row r="6" spans="1:11" x14ac:dyDescent="0.2">
      <c r="A6" s="2" t="s">
        <v>483</v>
      </c>
      <c r="B6" t="s">
        <v>44</v>
      </c>
      <c r="C6" t="s">
        <v>31</v>
      </c>
      <c r="D6" t="s">
        <v>32</v>
      </c>
      <c r="E6" t="s">
        <v>35</v>
      </c>
      <c r="F6" t="s">
        <v>36</v>
      </c>
      <c r="G6" t="s">
        <v>37</v>
      </c>
      <c r="H6" t="s">
        <v>34</v>
      </c>
      <c r="I6" s="3" t="s">
        <v>484</v>
      </c>
      <c r="J6" t="s">
        <v>817</v>
      </c>
      <c r="K6" t="s">
        <v>804</v>
      </c>
    </row>
    <row r="7" spans="1:11" x14ac:dyDescent="0.2">
      <c r="A7" s="2">
        <v>1</v>
      </c>
      <c r="B7" t="s">
        <v>0</v>
      </c>
      <c r="C7" t="s">
        <v>1</v>
      </c>
      <c r="D7" t="s">
        <v>2</v>
      </c>
      <c r="H7" s="2" t="s">
        <v>793</v>
      </c>
      <c r="I7" s="3">
        <v>0</v>
      </c>
      <c r="J7" s="6">
        <v>290</v>
      </c>
    </row>
    <row r="8" spans="1:11" x14ac:dyDescent="0.2">
      <c r="A8" s="2">
        <v>2</v>
      </c>
      <c r="B8" t="s">
        <v>3</v>
      </c>
      <c r="C8" t="s">
        <v>4</v>
      </c>
      <c r="D8" t="s">
        <v>5</v>
      </c>
      <c r="H8" s="2" t="s">
        <v>792</v>
      </c>
      <c r="I8" s="3">
        <v>10</v>
      </c>
      <c r="J8" s="5">
        <v>0</v>
      </c>
    </row>
    <row r="9" spans="1:11" x14ac:dyDescent="0.2">
      <c r="A9" s="2">
        <v>3</v>
      </c>
      <c r="B9" t="s">
        <v>6</v>
      </c>
      <c r="C9" t="s">
        <v>7</v>
      </c>
      <c r="D9" t="s">
        <v>33</v>
      </c>
      <c r="E9" t="s">
        <v>8</v>
      </c>
      <c r="F9">
        <v>0</v>
      </c>
      <c r="G9" s="1">
        <v>2.38418579101562E-7</v>
      </c>
      <c r="H9" s="2" t="s">
        <v>40</v>
      </c>
      <c r="I9" s="3">
        <v>4</v>
      </c>
      <c r="J9" s="5"/>
    </row>
    <row r="10" spans="1:11" x14ac:dyDescent="0.2">
      <c r="A10" s="2">
        <v>4</v>
      </c>
      <c r="B10" t="s">
        <v>9</v>
      </c>
      <c r="C10" t="s">
        <v>10</v>
      </c>
      <c r="D10" t="s">
        <v>11</v>
      </c>
      <c r="H10" s="2" t="s">
        <v>38</v>
      </c>
      <c r="I10" s="3">
        <v>0</v>
      </c>
      <c r="J10" s="6">
        <v>290</v>
      </c>
    </row>
    <row r="11" spans="1:11" x14ac:dyDescent="0.2">
      <c r="A11" s="2">
        <v>5</v>
      </c>
      <c r="B11" t="s">
        <v>3</v>
      </c>
      <c r="C11" t="s">
        <v>12</v>
      </c>
      <c r="D11" t="s">
        <v>13</v>
      </c>
      <c r="H11" s="2" t="s">
        <v>410</v>
      </c>
      <c r="I11" s="3">
        <v>10</v>
      </c>
      <c r="J11" s="5">
        <v>0</v>
      </c>
    </row>
    <row r="12" spans="1:11" x14ac:dyDescent="0.2">
      <c r="A12" s="2">
        <v>6</v>
      </c>
      <c r="B12" t="s">
        <v>14</v>
      </c>
      <c r="C12" t="s">
        <v>4</v>
      </c>
      <c r="D12" t="s">
        <v>4</v>
      </c>
      <c r="E12" t="s">
        <v>15</v>
      </c>
      <c r="F12" t="s">
        <v>12</v>
      </c>
      <c r="H12" s="2" t="s">
        <v>819</v>
      </c>
      <c r="I12" s="3">
        <v>4</v>
      </c>
      <c r="J12" s="6">
        <v>290</v>
      </c>
    </row>
    <row r="13" spans="1:11" x14ac:dyDescent="0.2">
      <c r="A13" s="2">
        <v>7</v>
      </c>
      <c r="B13" t="s">
        <v>16</v>
      </c>
      <c r="C13" t="s">
        <v>17</v>
      </c>
      <c r="D13" t="s">
        <v>4</v>
      </c>
      <c r="E13" t="s">
        <v>7</v>
      </c>
      <c r="F13" t="s">
        <v>18</v>
      </c>
      <c r="H13" s="2" t="s">
        <v>819</v>
      </c>
      <c r="I13" s="3">
        <v>4</v>
      </c>
      <c r="J13" s="6">
        <v>290</v>
      </c>
    </row>
    <row r="14" spans="1:11" x14ac:dyDescent="0.2">
      <c r="A14" s="2">
        <v>8</v>
      </c>
      <c r="B14" t="s">
        <v>16</v>
      </c>
      <c r="C14" t="s">
        <v>19</v>
      </c>
      <c r="D14" t="s">
        <v>4</v>
      </c>
      <c r="E14" t="s">
        <v>7</v>
      </c>
      <c r="F14" t="s">
        <v>20</v>
      </c>
      <c r="H14" s="2" t="s">
        <v>819</v>
      </c>
      <c r="I14" s="3">
        <v>4</v>
      </c>
      <c r="J14" s="6">
        <v>290</v>
      </c>
    </row>
    <row r="15" spans="1:11" x14ac:dyDescent="0.2">
      <c r="A15" s="2">
        <v>9</v>
      </c>
      <c r="B15" t="s">
        <v>21</v>
      </c>
      <c r="C15" t="s">
        <v>17</v>
      </c>
      <c r="D15" t="s">
        <v>22</v>
      </c>
      <c r="H15" s="2" t="s">
        <v>767</v>
      </c>
      <c r="I15" s="3">
        <v>0</v>
      </c>
      <c r="J15" s="6">
        <v>290</v>
      </c>
    </row>
    <row r="16" spans="1:11" x14ac:dyDescent="0.2">
      <c r="A16" s="2">
        <v>10</v>
      </c>
      <c r="B16" t="s">
        <v>21</v>
      </c>
      <c r="C16" t="s">
        <v>23</v>
      </c>
      <c r="D16" t="s">
        <v>24</v>
      </c>
      <c r="H16" s="2" t="s">
        <v>767</v>
      </c>
      <c r="I16" s="3">
        <v>0</v>
      </c>
      <c r="J16" s="6">
        <v>290</v>
      </c>
    </row>
    <row r="17" spans="1:11" x14ac:dyDescent="0.2">
      <c r="A17" s="2">
        <v>11</v>
      </c>
      <c r="B17" t="s">
        <v>16</v>
      </c>
      <c r="C17" t="s">
        <v>4</v>
      </c>
      <c r="D17" t="s">
        <v>4</v>
      </c>
      <c r="E17" t="s">
        <v>7</v>
      </c>
      <c r="F17" t="s">
        <v>25</v>
      </c>
      <c r="H17" s="2" t="s">
        <v>819</v>
      </c>
      <c r="I17" s="3">
        <v>4</v>
      </c>
      <c r="J17" s="6">
        <v>290</v>
      </c>
    </row>
    <row r="18" spans="1:11" x14ac:dyDescent="0.2">
      <c r="A18" s="2">
        <v>12</v>
      </c>
      <c r="B18" t="s">
        <v>26</v>
      </c>
      <c r="C18" t="s">
        <v>27</v>
      </c>
      <c r="D18" t="s">
        <v>17</v>
      </c>
      <c r="E18" t="s">
        <v>23</v>
      </c>
      <c r="F18" t="s">
        <v>8</v>
      </c>
      <c r="H18" s="2" t="s">
        <v>95</v>
      </c>
      <c r="I18" s="3">
        <v>2</v>
      </c>
      <c r="J18" s="5">
        <v>0</v>
      </c>
    </row>
    <row r="19" spans="1:11" x14ac:dyDescent="0.2">
      <c r="A19" s="2">
        <v>13</v>
      </c>
      <c r="B19" t="s">
        <v>28</v>
      </c>
      <c r="C19" t="s">
        <v>29</v>
      </c>
      <c r="D19" t="s">
        <v>27</v>
      </c>
      <c r="H19" s="2" t="s">
        <v>767</v>
      </c>
      <c r="I19" s="3">
        <v>0</v>
      </c>
      <c r="J19" s="6">
        <v>290</v>
      </c>
    </row>
    <row r="20" spans="1:11" x14ac:dyDescent="0.2">
      <c r="A20" s="2">
        <v>14</v>
      </c>
      <c r="B20" t="s">
        <v>30</v>
      </c>
      <c r="I20" s="3"/>
      <c r="J20" s="6"/>
      <c r="K20">
        <f>SUM(Table123[delay])*64 + SUM(Table123[mem delay])</f>
        <v>5298</v>
      </c>
    </row>
    <row r="21" spans="1:11" x14ac:dyDescent="0.2">
      <c r="I21" s="3"/>
    </row>
  </sheetData>
  <mergeCells count="2">
    <mergeCell ref="A2:B2"/>
    <mergeCell ref="A1:B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C7D6-8E0D-B245-A58A-DD50171F0D03}">
  <dimension ref="A1:W52"/>
  <sheetViews>
    <sheetView topLeftCell="A2" zoomScale="133" workbookViewId="0">
      <selection activeCell="H20" sqref="H20"/>
    </sheetView>
  </sheetViews>
  <sheetFormatPr baseColWidth="10" defaultRowHeight="16" x14ac:dyDescent="0.2"/>
  <cols>
    <col min="1" max="1" width="6.33203125" customWidth="1"/>
    <col min="11" max="11" width="13.33203125" customWidth="1"/>
    <col min="12" max="12" width="12.5" customWidth="1"/>
    <col min="13" max="13" width="13" customWidth="1"/>
    <col min="18" max="18" width="11.83203125" customWidth="1"/>
    <col min="21" max="22" width="11.33203125" customWidth="1"/>
  </cols>
  <sheetData>
    <row r="1" spans="1:23" x14ac:dyDescent="0.2">
      <c r="C1" s="2" t="s">
        <v>806</v>
      </c>
      <c r="D1" s="2" t="s">
        <v>800</v>
      </c>
      <c r="E1" s="2" t="s">
        <v>801</v>
      </c>
      <c r="F1" s="2" t="s">
        <v>802</v>
      </c>
      <c r="G1" s="2" t="s">
        <v>795</v>
      </c>
      <c r="H1" s="2" t="s">
        <v>803</v>
      </c>
      <c r="I1" s="2" t="s">
        <v>809</v>
      </c>
      <c r="J1" s="2"/>
      <c r="K1" s="27" t="s">
        <v>34</v>
      </c>
      <c r="L1" s="2" t="s">
        <v>92</v>
      </c>
      <c r="M1" s="2" t="s">
        <v>95</v>
      </c>
      <c r="N1" s="2" t="s">
        <v>791</v>
      </c>
      <c r="O1" s="2" t="s">
        <v>792</v>
      </c>
      <c r="P1" s="2" t="s">
        <v>767</v>
      </c>
      <c r="Q1" s="2" t="s">
        <v>768</v>
      </c>
      <c r="R1" s="2" t="s">
        <v>793</v>
      </c>
      <c r="S1" s="2" t="s">
        <v>777</v>
      </c>
    </row>
    <row r="2" spans="1:23" x14ac:dyDescent="0.2">
      <c r="C2" s="2">
        <v>0</v>
      </c>
      <c r="D2" s="2" t="s">
        <v>813</v>
      </c>
      <c r="E2" s="2">
        <v>3509</v>
      </c>
      <c r="F2" s="2" t="s">
        <v>814</v>
      </c>
      <c r="G2" s="2">
        <v>24</v>
      </c>
      <c r="H2" s="2">
        <f>Table21[[#Totals],[WCET]]</f>
        <v>4000</v>
      </c>
      <c r="I2" s="2">
        <f>Table1220[[#This Row],[exec time ]]/Table1220[[#This Row],[wcet]]</f>
        <v>0.87724999999999997</v>
      </c>
      <c r="J2" s="2"/>
      <c r="K2" s="27" t="s">
        <v>805</v>
      </c>
      <c r="L2" s="2">
        <f>COUNTIF(H5:H104,"fma")</f>
        <v>10</v>
      </c>
      <c r="M2" s="2">
        <f>COUNTIF(H5:H104,"alu")</f>
        <v>3</v>
      </c>
      <c r="N2" s="2">
        <f>COUNTIF(H6:H105,"cba")</f>
        <v>0</v>
      </c>
      <c r="O2" s="2">
        <f>COUNTIF(H6:H104,"special")</f>
        <v>2</v>
      </c>
      <c r="P2" s="2">
        <f>COUNTIF(H6:H104,"global")</f>
        <v>2</v>
      </c>
      <c r="Q2" s="2">
        <f>COUNTIF(H6:H104,"shared")</f>
        <v>0</v>
      </c>
      <c r="R2" s="2">
        <f>COUNTIF(H6:H104,"ind. const")</f>
        <v>1</v>
      </c>
      <c r="S2" s="2">
        <f>SUM(L2:R2)+1</f>
        <v>19</v>
      </c>
    </row>
    <row r="4" spans="1:23" x14ac:dyDescent="0.2">
      <c r="K4" s="2"/>
      <c r="L4" s="2"/>
      <c r="M4" s="2"/>
      <c r="N4" s="50" t="s">
        <v>776</v>
      </c>
      <c r="O4" s="50"/>
      <c r="P4" s="50"/>
      <c r="Q4" s="50"/>
      <c r="R4" s="2"/>
      <c r="S4" s="2"/>
    </row>
    <row r="5" spans="1:23" x14ac:dyDescent="0.2">
      <c r="A5" t="s">
        <v>483</v>
      </c>
      <c r="B5" t="s">
        <v>470</v>
      </c>
      <c r="C5" t="s">
        <v>63</v>
      </c>
      <c r="D5" t="s">
        <v>32</v>
      </c>
      <c r="E5" t="s">
        <v>35</v>
      </c>
      <c r="F5" t="s">
        <v>36</v>
      </c>
      <c r="G5" t="s">
        <v>37</v>
      </c>
      <c r="H5" t="s">
        <v>34</v>
      </c>
      <c r="I5" t="s">
        <v>484</v>
      </c>
      <c r="K5" s="2" t="s">
        <v>774</v>
      </c>
      <c r="L5" s="2" t="s">
        <v>775</v>
      </c>
      <c r="M5" s="2" t="s">
        <v>790</v>
      </c>
      <c r="N5" s="2" t="s">
        <v>93</v>
      </c>
      <c r="O5" s="2" t="s">
        <v>767</v>
      </c>
      <c r="P5" s="2" t="s">
        <v>768</v>
      </c>
      <c r="Q5" s="2" t="s">
        <v>778</v>
      </c>
      <c r="R5" s="2" t="s">
        <v>779</v>
      </c>
      <c r="S5" s="2" t="s">
        <v>796</v>
      </c>
      <c r="U5" s="29" t="s">
        <v>782</v>
      </c>
      <c r="V5" s="41" t="s">
        <v>815</v>
      </c>
      <c r="W5" s="41" t="s">
        <v>804</v>
      </c>
    </row>
    <row r="6" spans="1:23" x14ac:dyDescent="0.2">
      <c r="A6" s="5">
        <v>1</v>
      </c>
      <c r="B6" t="s">
        <v>45</v>
      </c>
      <c r="C6" t="s">
        <v>1</v>
      </c>
      <c r="D6" t="s">
        <v>8</v>
      </c>
      <c r="E6" t="s">
        <v>8</v>
      </c>
      <c r="F6" t="s">
        <v>2</v>
      </c>
      <c r="H6" t="s">
        <v>92</v>
      </c>
      <c r="I6">
        <v>4</v>
      </c>
      <c r="K6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6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>alu</v>
      </c>
      <c r="M6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6" s="2" t="str">
        <f>IF(OR(ISNUMBER(SEARCH("s2r", Table219[[#This Row],[Column1]])),ISNUMBER(SEARCH("s2ur", Table219[[#This Row],[Column1]]))), "special", "")</f>
        <v/>
      </c>
      <c r="O6" s="2" t="str">
        <f>IF(OR(ISNUMBER(SEARCH("stg", Table219[[#This Row],[Column1]])),ISNUMBER(SEARCH("ldg", Table219[[#This Row],[Column1]]))), "global", "")</f>
        <v/>
      </c>
      <c r="P6" s="2" t="str">
        <f>IF(OR(ISNUMBER(SEARCH("sts", Table219[[#This Row],[Column1]])),ISNUMBER(SEARCH("lds", Table219[[#This Row],[Column1]]))), "shared", "")</f>
        <v/>
      </c>
      <c r="Q6" s="2" t="str">
        <f>IF(OR(ISNUMBER(SEARCH("LDC", Table219[[#This Row],[Column1]])),ISNUMBER(SEARCH("STC", Table219[[#This Row],[Column1]]))), "ind. const", "")</f>
        <v/>
      </c>
      <c r="R6" s="2" t="str">
        <f>IF(AND(OR(ISNUMBER(SEARCH("c[0x", Table219[[#This Row],[source]])),ISNUMBER(SEARCH("c[0x", Table219[[#This Row],[source2]])),ISNUMBER(SEARCH("c[0x", Table219[[#This Row],[source3]])),ISNUMBER(SEARCH("c[0x", Table219[[#This Row],[source4]]))),Q6=""), "cmb. const", "")</f>
        <v>cmb. const</v>
      </c>
      <c r="S6" s="2" t="s">
        <v>482</v>
      </c>
      <c r="U6" s="42">
        <f>Table219[[#This Row],[delay]]</f>
        <v>4</v>
      </c>
      <c r="V6" s="42">
        <v>290</v>
      </c>
      <c r="W6" s="42"/>
    </row>
    <row r="7" spans="1:23" x14ac:dyDescent="0.2">
      <c r="A7" s="5">
        <v>2</v>
      </c>
      <c r="B7" t="s">
        <v>3</v>
      </c>
      <c r="C7" t="s">
        <v>46</v>
      </c>
      <c r="D7" t="s">
        <v>5</v>
      </c>
      <c r="H7" t="s">
        <v>792</v>
      </c>
      <c r="I7">
        <v>10</v>
      </c>
      <c r="K7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7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7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7" s="2" t="str">
        <f>IF(OR(ISNUMBER(SEARCH("s2r", Table219[[#This Row],[Column1]])),ISNUMBER(SEARCH("s2ur", Table219[[#This Row],[Column1]]))), "special", "")</f>
        <v>special</v>
      </c>
      <c r="O7" s="2" t="str">
        <f>IF(OR(ISNUMBER(SEARCH("stg", Table219[[#This Row],[Column1]])),ISNUMBER(SEARCH("ldg", Table219[[#This Row],[Column1]]))), "global", "")</f>
        <v/>
      </c>
      <c r="P7" s="2" t="str">
        <f>IF(OR(ISNUMBER(SEARCH("sts", Table219[[#This Row],[Column1]])),ISNUMBER(SEARCH("lds", Table219[[#This Row],[Column1]]))), "shared", "")</f>
        <v/>
      </c>
      <c r="Q7" s="2" t="str">
        <f>IF(OR(ISNUMBER(SEARCH("LDC", Table219[[#This Row],[Column1]])),ISNUMBER(SEARCH("STC", Table219[[#This Row],[Column1]]))), "ind. const", "")</f>
        <v/>
      </c>
      <c r="R7" s="2" t="str">
        <f>IF(AND(OR(ISNUMBER(SEARCH("c[0x", Table219[[#This Row],[source]])),ISNUMBER(SEARCH("c[0x", Table219[[#This Row],[source2]])),ISNUMBER(SEARCH("c[0x", Table219[[#This Row],[source3]])),ISNUMBER(SEARCH("c[0x", Table219[[#This Row],[source4]]))),Q7=""), "cmb. const", "")</f>
        <v/>
      </c>
      <c r="S7" s="2"/>
      <c r="U7" s="42">
        <f>Table219[[#This Row],[delay]]</f>
        <v>10</v>
      </c>
      <c r="V7" s="42">
        <v>0</v>
      </c>
      <c r="W7" s="42"/>
    </row>
    <row r="8" spans="1:23" x14ac:dyDescent="0.2">
      <c r="A8" s="5">
        <v>3</v>
      </c>
      <c r="B8" t="s">
        <v>9</v>
      </c>
      <c r="C8" t="s">
        <v>10</v>
      </c>
      <c r="D8" t="s">
        <v>11</v>
      </c>
      <c r="H8" t="s">
        <v>793</v>
      </c>
      <c r="I8">
        <v>0</v>
      </c>
      <c r="K8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8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8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8" s="2" t="str">
        <f>IF(OR(ISNUMBER(SEARCH("s2r", Table219[[#This Row],[Column1]])),ISNUMBER(SEARCH("s2ur", Table219[[#This Row],[Column1]]))), "special", "")</f>
        <v/>
      </c>
      <c r="O8" s="2" t="str">
        <f>IF(OR(ISNUMBER(SEARCH("stg", Table219[[#This Row],[Column1]])),ISNUMBER(SEARCH("ldg", Table219[[#This Row],[Column1]]))), "global", "")</f>
        <v/>
      </c>
      <c r="P8" s="2" t="str">
        <f>IF(OR(ISNUMBER(SEARCH("sts", Table219[[#This Row],[Column1]])),ISNUMBER(SEARCH("lds", Table219[[#This Row],[Column1]]))), "shared", "")</f>
        <v/>
      </c>
      <c r="Q8" s="2" t="str">
        <f>IF(OR(ISNUMBER(SEARCH("LDC", Table219[[#This Row],[Column1]])),ISNUMBER(SEARCH("STC", Table219[[#This Row],[Column1]]))), "ind. const", "")</f>
        <v>ind. const</v>
      </c>
      <c r="R8" s="2" t="str">
        <f>IF(AND(OR(ISNUMBER(SEARCH("c[0x", Table219[[#This Row],[source]])),ISNUMBER(SEARCH("c[0x", Table219[[#This Row],[source2]])),ISNUMBER(SEARCH("c[0x", Table219[[#This Row],[source3]])),ISNUMBER(SEARCH("c[0x", Table219[[#This Row],[source4]]))),Q8=""), "cmb. const", "")</f>
        <v/>
      </c>
      <c r="S8" s="2" t="s">
        <v>482</v>
      </c>
      <c r="U8" s="42">
        <v>0</v>
      </c>
      <c r="V8" s="42">
        <v>290</v>
      </c>
      <c r="W8" s="42"/>
    </row>
    <row r="9" spans="1:23" x14ac:dyDescent="0.2">
      <c r="A9" s="5">
        <v>4</v>
      </c>
      <c r="B9" t="s">
        <v>47</v>
      </c>
      <c r="C9" t="s">
        <v>46</v>
      </c>
      <c r="D9" t="s">
        <v>46</v>
      </c>
      <c r="E9" t="s">
        <v>48</v>
      </c>
      <c r="F9" t="s">
        <v>8</v>
      </c>
      <c r="H9" t="s">
        <v>95</v>
      </c>
      <c r="I9">
        <v>4</v>
      </c>
      <c r="K9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9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>alu</v>
      </c>
      <c r="M9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9" s="2" t="str">
        <f>IF(OR(ISNUMBER(SEARCH("s2r", Table219[[#This Row],[Column1]])),ISNUMBER(SEARCH("s2ur", Table219[[#This Row],[Column1]]))), "special", "")</f>
        <v/>
      </c>
      <c r="O9" s="2" t="str">
        <f>IF(OR(ISNUMBER(SEARCH("stg", Table219[[#This Row],[Column1]])),ISNUMBER(SEARCH("ldg", Table219[[#This Row],[Column1]]))), "global", "")</f>
        <v/>
      </c>
      <c r="P9" s="2" t="str">
        <f>IF(OR(ISNUMBER(SEARCH("sts", Table219[[#This Row],[Column1]])),ISNUMBER(SEARCH("lds", Table219[[#This Row],[Column1]]))), "shared", "")</f>
        <v/>
      </c>
      <c r="Q9" s="2" t="str">
        <f>IF(OR(ISNUMBER(SEARCH("LDC", Table219[[#This Row],[Column1]])),ISNUMBER(SEARCH("STC", Table219[[#This Row],[Column1]]))), "ind. const", "")</f>
        <v/>
      </c>
      <c r="R9" s="2" t="str">
        <f>IF(AND(OR(ISNUMBER(SEARCH("c[0x", Table219[[#This Row],[source]])),ISNUMBER(SEARCH("c[0x", Table219[[#This Row],[source2]])),ISNUMBER(SEARCH("c[0x", Table219[[#This Row],[source3]])),ISNUMBER(SEARCH("c[0x", Table219[[#This Row],[source4]]))),Q9=""), "cmb. const", "")</f>
        <v/>
      </c>
      <c r="S9" s="2"/>
      <c r="U9" s="42">
        <f>Table219[[#This Row],[delay]]</f>
        <v>4</v>
      </c>
      <c r="V9" s="42">
        <v>0</v>
      </c>
      <c r="W9" s="42"/>
    </row>
    <row r="10" spans="1:23" x14ac:dyDescent="0.2">
      <c r="A10" s="5">
        <v>5</v>
      </c>
      <c r="B10" t="s">
        <v>26</v>
      </c>
      <c r="C10" t="s">
        <v>12</v>
      </c>
      <c r="D10" t="s">
        <v>799</v>
      </c>
      <c r="E10" t="s">
        <v>18</v>
      </c>
      <c r="F10" t="s">
        <v>8</v>
      </c>
      <c r="H10" t="s">
        <v>95</v>
      </c>
      <c r="I10">
        <v>2</v>
      </c>
      <c r="K10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10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>alu</v>
      </c>
      <c r="M10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0" s="2" t="str">
        <f>IF(OR(ISNUMBER(SEARCH("s2r", Table219[[#This Row],[Column1]])),ISNUMBER(SEARCH("s2ur", Table219[[#This Row],[Column1]]))), "special", "")</f>
        <v/>
      </c>
      <c r="O10" s="2" t="str">
        <f>IF(OR(ISNUMBER(SEARCH("stg", Table219[[#This Row],[Column1]])),ISNUMBER(SEARCH("ldg", Table219[[#This Row],[Column1]]))), "global", "")</f>
        <v/>
      </c>
      <c r="P10" s="2" t="str">
        <f>IF(OR(ISNUMBER(SEARCH("sts", Table219[[#This Row],[Column1]])),ISNUMBER(SEARCH("lds", Table219[[#This Row],[Column1]]))), "shared", "")</f>
        <v/>
      </c>
      <c r="Q10" s="2" t="str">
        <f>IF(OR(ISNUMBER(SEARCH("LDC", Table219[[#This Row],[Column1]])),ISNUMBER(SEARCH("STC", Table219[[#This Row],[Column1]]))), "ind. const", "")</f>
        <v/>
      </c>
      <c r="R10" s="2" t="str">
        <f>IF(AND(OR(ISNUMBER(SEARCH("c[0x", Table219[[#This Row],[source]])),ISNUMBER(SEARCH("c[0x", Table219[[#This Row],[source2]])),ISNUMBER(SEARCH("c[0x", Table219[[#This Row],[source3]])),ISNUMBER(SEARCH("c[0x", Table219[[#This Row],[source4]]))),Q10=""), "cmb. const", "")</f>
        <v>cmb. const</v>
      </c>
      <c r="S10" s="2" t="s">
        <v>482</v>
      </c>
      <c r="U10" s="42">
        <f>Table219[[#This Row],[delay]]</f>
        <v>2</v>
      </c>
      <c r="V10" s="42">
        <v>290</v>
      </c>
      <c r="W10" s="42"/>
    </row>
    <row r="11" spans="1:23" x14ac:dyDescent="0.2">
      <c r="A11" s="5">
        <v>6</v>
      </c>
      <c r="B11" t="s">
        <v>49</v>
      </c>
      <c r="C11" t="s">
        <v>50</v>
      </c>
      <c r="D11" t="s">
        <v>51</v>
      </c>
      <c r="E11" t="s">
        <v>12</v>
      </c>
      <c r="F11" t="s">
        <v>52</v>
      </c>
      <c r="G11" t="s">
        <v>51</v>
      </c>
      <c r="H11" t="s">
        <v>95</v>
      </c>
      <c r="I11">
        <v>4</v>
      </c>
      <c r="K11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11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>alu</v>
      </c>
      <c r="M11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1" s="2" t="str">
        <f>IF(OR(ISNUMBER(SEARCH("s2r", Table219[[#This Row],[Column1]])),ISNUMBER(SEARCH("s2ur", Table219[[#This Row],[Column1]]))), "special", "")</f>
        <v/>
      </c>
      <c r="O11" s="2" t="str">
        <f>IF(OR(ISNUMBER(SEARCH("stg", Table219[[#This Row],[Column1]])),ISNUMBER(SEARCH("ldg", Table219[[#This Row],[Column1]]))), "global", "")</f>
        <v/>
      </c>
      <c r="P11" s="2" t="str">
        <f>IF(OR(ISNUMBER(SEARCH("sts", Table219[[#This Row],[Column1]])),ISNUMBER(SEARCH("lds", Table219[[#This Row],[Column1]]))), "shared", "")</f>
        <v/>
      </c>
      <c r="Q11" s="2" t="str">
        <f>IF(OR(ISNUMBER(SEARCH("LDC", Table219[[#This Row],[Column1]])),ISNUMBER(SEARCH("STC", Table219[[#This Row],[Column1]]))), "ind. const", "")</f>
        <v/>
      </c>
      <c r="R11" s="2" t="str">
        <f>IF(AND(OR(ISNUMBER(SEARCH("c[0x", Table219[[#This Row],[source]])),ISNUMBER(SEARCH("c[0x", Table219[[#This Row],[source2]])),ISNUMBER(SEARCH("c[0x", Table219[[#This Row],[source3]])),ISNUMBER(SEARCH("c[0x", Table219[[#This Row],[source4]]))),Q11=""), "cmb. const", "")</f>
        <v/>
      </c>
      <c r="S11" s="2"/>
      <c r="U11" s="42">
        <f>Table219[[#This Row],[delay]]</f>
        <v>4</v>
      </c>
      <c r="V11" s="42">
        <v>0</v>
      </c>
      <c r="W11" s="42"/>
    </row>
    <row r="12" spans="1:23" x14ac:dyDescent="0.2">
      <c r="A12" s="5">
        <v>7</v>
      </c>
      <c r="B12" t="s">
        <v>3</v>
      </c>
      <c r="C12" t="s">
        <v>7</v>
      </c>
      <c r="D12" t="s">
        <v>13</v>
      </c>
      <c r="H12" t="s">
        <v>792</v>
      </c>
      <c r="I12">
        <v>10</v>
      </c>
      <c r="K12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12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2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2" s="2" t="str">
        <f>IF(OR(ISNUMBER(SEARCH("s2r", Table219[[#This Row],[Column1]])),ISNUMBER(SEARCH("s2ur", Table219[[#This Row],[Column1]]))), "special", "")</f>
        <v>special</v>
      </c>
      <c r="O12" s="2" t="str">
        <f>IF(OR(ISNUMBER(SEARCH("stg", Table219[[#This Row],[Column1]])),ISNUMBER(SEARCH("ldg", Table219[[#This Row],[Column1]]))), "global", "")</f>
        <v/>
      </c>
      <c r="P12" s="2" t="str">
        <f>IF(OR(ISNUMBER(SEARCH("sts", Table219[[#This Row],[Column1]])),ISNUMBER(SEARCH("lds", Table219[[#This Row],[Column1]]))), "shared", "")</f>
        <v/>
      </c>
      <c r="Q12" s="2" t="str">
        <f>IF(OR(ISNUMBER(SEARCH("LDC", Table219[[#This Row],[Column1]])),ISNUMBER(SEARCH("STC", Table219[[#This Row],[Column1]]))), "ind. const", "")</f>
        <v/>
      </c>
      <c r="R12" s="2" t="str">
        <f>IF(AND(OR(ISNUMBER(SEARCH("c[0x", Table219[[#This Row],[source]])),ISNUMBER(SEARCH("c[0x", Table219[[#This Row],[source2]])),ISNUMBER(SEARCH("c[0x", Table219[[#This Row],[source3]])),ISNUMBER(SEARCH("c[0x", Table219[[#This Row],[source4]]))),Q12=""), "cmb. const", "")</f>
        <v/>
      </c>
      <c r="S12" s="2"/>
      <c r="U12" s="42">
        <f>Table219[[#This Row],[delay]]</f>
        <v>10</v>
      </c>
      <c r="V12" s="42">
        <v>0</v>
      </c>
      <c r="W12" s="42"/>
    </row>
    <row r="13" spans="1:23" x14ac:dyDescent="0.2">
      <c r="A13" s="5">
        <v>8</v>
      </c>
      <c r="B13" t="s">
        <v>45</v>
      </c>
      <c r="C13" t="s">
        <v>23</v>
      </c>
      <c r="D13" t="s">
        <v>8</v>
      </c>
      <c r="E13" t="s">
        <v>8</v>
      </c>
      <c r="F13" t="s">
        <v>53</v>
      </c>
      <c r="H13" t="s">
        <v>92</v>
      </c>
      <c r="I13">
        <v>4</v>
      </c>
      <c r="K13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3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>alu</v>
      </c>
      <c r="M13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3" s="2" t="str">
        <f>IF(OR(ISNUMBER(SEARCH("s2r", Table219[[#This Row],[Column1]])),ISNUMBER(SEARCH("s2ur", Table219[[#This Row],[Column1]]))), "special", "")</f>
        <v/>
      </c>
      <c r="O13" s="2" t="str">
        <f>IF(OR(ISNUMBER(SEARCH("stg", Table219[[#This Row],[Column1]])),ISNUMBER(SEARCH("ldg", Table219[[#This Row],[Column1]]))), "global", "")</f>
        <v/>
      </c>
      <c r="P13" s="2" t="str">
        <f>IF(OR(ISNUMBER(SEARCH("sts", Table219[[#This Row],[Column1]])),ISNUMBER(SEARCH("lds", Table219[[#This Row],[Column1]]))), "shared", "")</f>
        <v/>
      </c>
      <c r="Q13" s="2" t="str">
        <f>IF(OR(ISNUMBER(SEARCH("LDC", Table219[[#This Row],[Column1]])),ISNUMBER(SEARCH("STC", Table219[[#This Row],[Column1]]))), "ind. const", "")</f>
        <v/>
      </c>
      <c r="R13" s="2" t="str">
        <f>IF(AND(OR(ISNUMBER(SEARCH("c[0x", Table219[[#This Row],[source]])),ISNUMBER(SEARCH("c[0x", Table219[[#This Row],[source2]])),ISNUMBER(SEARCH("c[0x", Table219[[#This Row],[source3]])),ISNUMBER(SEARCH("c[0x", Table219[[#This Row],[source4]]))),Q13=""), "cmb. const", "")</f>
        <v/>
      </c>
      <c r="S13" s="2"/>
      <c r="U13" s="42">
        <f>Table219[[#This Row],[delay]]</f>
        <v>4</v>
      </c>
      <c r="V13" s="42">
        <v>0</v>
      </c>
      <c r="W13" s="42"/>
    </row>
    <row r="14" spans="1:23" x14ac:dyDescent="0.2">
      <c r="A14" s="5">
        <v>9</v>
      </c>
      <c r="B14" t="s">
        <v>54</v>
      </c>
      <c r="C14" t="s">
        <v>17</v>
      </c>
      <c r="D14" t="s">
        <v>46</v>
      </c>
      <c r="E14" t="s">
        <v>23</v>
      </c>
      <c r="F14" t="s">
        <v>55</v>
      </c>
      <c r="H14" t="s">
        <v>92</v>
      </c>
      <c r="I14">
        <v>4</v>
      </c>
      <c r="K14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4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4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4" s="2" t="str">
        <f>IF(OR(ISNUMBER(SEARCH("s2r", Table219[[#This Row],[Column1]])),ISNUMBER(SEARCH("s2ur", Table219[[#This Row],[Column1]]))), "special", "")</f>
        <v/>
      </c>
      <c r="O14" s="2" t="str">
        <f>IF(OR(ISNUMBER(SEARCH("stg", Table219[[#This Row],[Column1]])),ISNUMBER(SEARCH("ldg", Table219[[#This Row],[Column1]]))), "global", "")</f>
        <v/>
      </c>
      <c r="P14" s="2" t="str">
        <f>IF(OR(ISNUMBER(SEARCH("sts", Table219[[#This Row],[Column1]])),ISNUMBER(SEARCH("lds", Table219[[#This Row],[Column1]]))), "shared", "")</f>
        <v/>
      </c>
      <c r="Q14" s="2" t="str">
        <f>IF(OR(ISNUMBER(SEARCH("LDC", Table219[[#This Row],[Column1]])),ISNUMBER(SEARCH("STC", Table219[[#This Row],[Column1]]))), "ind. const", "")</f>
        <v/>
      </c>
      <c r="R14" s="2" t="str">
        <f>IF(AND(OR(ISNUMBER(SEARCH("c[0x", Table219[[#This Row],[source]])),ISNUMBER(SEARCH("c[0x", Table219[[#This Row],[source2]])),ISNUMBER(SEARCH("c[0x", Table219[[#This Row],[source3]])),ISNUMBER(SEARCH("c[0x", Table219[[#This Row],[source4]]))),Q14=""), "cmb. const", "")</f>
        <v>cmb. const</v>
      </c>
      <c r="S14" s="2" t="s">
        <v>482</v>
      </c>
      <c r="U14" s="42">
        <f>Table219[[#This Row],[delay]]</f>
        <v>4</v>
      </c>
      <c r="V14" s="42">
        <v>290</v>
      </c>
      <c r="W14" s="42"/>
    </row>
    <row r="15" spans="1:23" x14ac:dyDescent="0.2">
      <c r="A15" s="5">
        <v>10</v>
      </c>
      <c r="B15" t="s">
        <v>16</v>
      </c>
      <c r="C15" t="s">
        <v>17</v>
      </c>
      <c r="D15" t="s">
        <v>7</v>
      </c>
      <c r="E15" t="s">
        <v>56</v>
      </c>
      <c r="F15" t="s">
        <v>17</v>
      </c>
      <c r="H15" t="s">
        <v>92</v>
      </c>
      <c r="I15">
        <v>4</v>
      </c>
      <c r="K15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5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5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5" s="2" t="str">
        <f>IF(OR(ISNUMBER(SEARCH("s2r", Table219[[#This Row],[Column1]])),ISNUMBER(SEARCH("s2ur", Table219[[#This Row],[Column1]]))), "special", "")</f>
        <v/>
      </c>
      <c r="O15" s="2" t="str">
        <f>IF(OR(ISNUMBER(SEARCH("stg", Table219[[#This Row],[Column1]])),ISNUMBER(SEARCH("ldg", Table219[[#This Row],[Column1]]))), "global", "")</f>
        <v/>
      </c>
      <c r="P15" s="2" t="str">
        <f>IF(OR(ISNUMBER(SEARCH("sts", Table219[[#This Row],[Column1]])),ISNUMBER(SEARCH("lds", Table219[[#This Row],[Column1]]))), "shared", "")</f>
        <v/>
      </c>
      <c r="Q15" s="2" t="str">
        <f>IF(OR(ISNUMBER(SEARCH("LDC", Table219[[#This Row],[Column1]])),ISNUMBER(SEARCH("STC", Table219[[#This Row],[Column1]]))), "ind. const", "")</f>
        <v/>
      </c>
      <c r="R15" s="2" t="str">
        <f>IF(AND(OR(ISNUMBER(SEARCH("c[0x", Table219[[#This Row],[source]])),ISNUMBER(SEARCH("c[0x", Table219[[#This Row],[source2]])),ISNUMBER(SEARCH("c[0x", Table219[[#This Row],[source3]])),ISNUMBER(SEARCH("c[0x", Table219[[#This Row],[source4]]))),Q15=""), "cmb. const", "")</f>
        <v/>
      </c>
      <c r="S15" s="2"/>
      <c r="U15" s="42">
        <f>Table219[[#This Row],[delay]]</f>
        <v>4</v>
      </c>
      <c r="V15" s="42">
        <v>0</v>
      </c>
      <c r="W15" s="42"/>
    </row>
    <row r="16" spans="1:23" x14ac:dyDescent="0.2">
      <c r="A16" s="5">
        <v>11</v>
      </c>
      <c r="B16" t="s">
        <v>57</v>
      </c>
      <c r="C16" t="s">
        <v>58</v>
      </c>
      <c r="D16" t="s">
        <v>22</v>
      </c>
      <c r="H16" t="s">
        <v>767</v>
      </c>
      <c r="I16">
        <v>290</v>
      </c>
      <c r="K16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16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6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6" s="2" t="str">
        <f>IF(OR(ISNUMBER(SEARCH("s2r", Table219[[#This Row],[Column1]])),ISNUMBER(SEARCH("s2ur", Table219[[#This Row],[Column1]]))), "special", "")</f>
        <v/>
      </c>
      <c r="O16" s="2" t="str">
        <f>IF(OR(ISNUMBER(SEARCH("stg", Table219[[#This Row],[Column1]])),ISNUMBER(SEARCH("ldg", Table219[[#This Row],[Column1]]))), "global", "")</f>
        <v>global</v>
      </c>
      <c r="P16" s="2" t="str">
        <f>IF(OR(ISNUMBER(SEARCH("sts", Table219[[#This Row],[Column1]])),ISNUMBER(SEARCH("lds", Table219[[#This Row],[Column1]]))), "shared", "")</f>
        <v/>
      </c>
      <c r="Q16" s="2" t="str">
        <f>IF(OR(ISNUMBER(SEARCH("LDC", Table219[[#This Row],[Column1]])),ISNUMBER(SEARCH("STC", Table219[[#This Row],[Column1]]))), "ind. const", "")</f>
        <v/>
      </c>
      <c r="R16" s="2" t="str">
        <f>IF(AND(OR(ISNUMBER(SEARCH("c[0x", Table219[[#This Row],[source]])),ISNUMBER(SEARCH("c[0x", Table219[[#This Row],[source2]])),ISNUMBER(SEARCH("c[0x", Table219[[#This Row],[source3]])),ISNUMBER(SEARCH("c[0x", Table219[[#This Row],[source4]]))),Q16=""), "cmb. const", "")</f>
        <v/>
      </c>
      <c r="S16" s="2"/>
      <c r="U16" s="42">
        <v>0</v>
      </c>
      <c r="V16" s="42">
        <f>Table219[[#This Row],[delay]]</f>
        <v>290</v>
      </c>
      <c r="W16" s="42"/>
    </row>
    <row r="17" spans="1:23" x14ac:dyDescent="0.2">
      <c r="A17" s="5">
        <v>12</v>
      </c>
      <c r="B17" t="s">
        <v>54</v>
      </c>
      <c r="C17" t="s">
        <v>19</v>
      </c>
      <c r="D17" t="s">
        <v>46</v>
      </c>
      <c r="E17" t="s">
        <v>23</v>
      </c>
      <c r="F17" t="s">
        <v>25</v>
      </c>
      <c r="H17" t="s">
        <v>92</v>
      </c>
      <c r="I17">
        <v>4</v>
      </c>
      <c r="K17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7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7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7" s="2" t="str">
        <f>IF(OR(ISNUMBER(SEARCH("s2r", Table219[[#This Row],[Column1]])),ISNUMBER(SEARCH("s2ur", Table219[[#This Row],[Column1]]))), "special", "")</f>
        <v/>
      </c>
      <c r="O17" s="2" t="str">
        <f>IF(OR(ISNUMBER(SEARCH("stg", Table219[[#This Row],[Column1]])),ISNUMBER(SEARCH("ldg", Table219[[#This Row],[Column1]]))), "global", "")</f>
        <v/>
      </c>
      <c r="P17" s="2" t="str">
        <f>IF(OR(ISNUMBER(SEARCH("sts", Table219[[#This Row],[Column1]])),ISNUMBER(SEARCH("lds", Table219[[#This Row],[Column1]]))), "shared", "")</f>
        <v/>
      </c>
      <c r="Q17" s="2" t="str">
        <f>IF(OR(ISNUMBER(SEARCH("LDC", Table219[[#This Row],[Column1]])),ISNUMBER(SEARCH("STC", Table219[[#This Row],[Column1]]))), "ind. const", "")</f>
        <v/>
      </c>
      <c r="R17" s="2" t="str">
        <f>IF(AND(OR(ISNUMBER(SEARCH("c[0x", Table219[[#This Row],[source]])),ISNUMBER(SEARCH("c[0x", Table219[[#This Row],[source2]])),ISNUMBER(SEARCH("c[0x", Table219[[#This Row],[source3]])),ISNUMBER(SEARCH("c[0x", Table219[[#This Row],[source4]]))),Q17=""), "cmb. const", "")</f>
        <v>cmb. const</v>
      </c>
      <c r="S17" s="2" t="s">
        <v>482</v>
      </c>
      <c r="U17" s="42">
        <f>Table219[[#This Row],[delay]]</f>
        <v>4</v>
      </c>
      <c r="V17" s="42">
        <v>290</v>
      </c>
      <c r="W17" s="42"/>
    </row>
    <row r="18" spans="1:23" x14ac:dyDescent="0.2">
      <c r="A18" s="5">
        <v>13</v>
      </c>
      <c r="B18" t="s">
        <v>54</v>
      </c>
      <c r="C18" t="s">
        <v>19</v>
      </c>
      <c r="D18" t="s">
        <v>7</v>
      </c>
      <c r="E18" t="s">
        <v>56</v>
      </c>
      <c r="F18" t="s">
        <v>19</v>
      </c>
      <c r="H18" t="s">
        <v>92</v>
      </c>
      <c r="I18">
        <v>4</v>
      </c>
      <c r="K18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8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8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8" s="2" t="str">
        <f>IF(OR(ISNUMBER(SEARCH("s2r", Table219[[#This Row],[Column1]])),ISNUMBER(SEARCH("s2ur", Table219[[#This Row],[Column1]]))), "special", "")</f>
        <v/>
      </c>
      <c r="O18" s="2" t="str">
        <f>IF(OR(ISNUMBER(SEARCH("stg", Table219[[#This Row],[Column1]])),ISNUMBER(SEARCH("ldg", Table219[[#This Row],[Column1]]))), "global", "")</f>
        <v/>
      </c>
      <c r="P18" s="2" t="str">
        <f>IF(OR(ISNUMBER(SEARCH("sts", Table219[[#This Row],[Column1]])),ISNUMBER(SEARCH("lds", Table219[[#This Row],[Column1]]))), "shared", "")</f>
        <v/>
      </c>
      <c r="Q18" s="2" t="str">
        <f>IF(OR(ISNUMBER(SEARCH("LDC", Table219[[#This Row],[Column1]])),ISNUMBER(SEARCH("STC", Table219[[#This Row],[Column1]]))), "ind. const", "")</f>
        <v/>
      </c>
      <c r="R18" s="2" t="str">
        <f>IF(AND(OR(ISNUMBER(SEARCH("c[0x", Table219[[#This Row],[source]])),ISNUMBER(SEARCH("c[0x", Table219[[#This Row],[source2]])),ISNUMBER(SEARCH("c[0x", Table219[[#This Row],[source3]])),ISNUMBER(SEARCH("c[0x", Table219[[#This Row],[source4]]))),Q18=""), "cmb. const", "")</f>
        <v/>
      </c>
      <c r="S18" s="2"/>
      <c r="U18" s="42">
        <f>Table219[[#This Row],[delay]]</f>
        <v>4</v>
      </c>
      <c r="V18" s="42">
        <v>0</v>
      </c>
      <c r="W18" s="42"/>
    </row>
    <row r="19" spans="1:23" x14ac:dyDescent="0.2">
      <c r="A19" s="5">
        <v>14</v>
      </c>
      <c r="B19" t="s">
        <v>59</v>
      </c>
      <c r="C19" t="s">
        <v>60</v>
      </c>
      <c r="D19" t="s">
        <v>60</v>
      </c>
      <c r="E19" t="s">
        <v>20</v>
      </c>
      <c r="H19" t="s">
        <v>92</v>
      </c>
      <c r="I19">
        <v>4</v>
      </c>
      <c r="K19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19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19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19" s="2" t="str">
        <f>IF(OR(ISNUMBER(SEARCH("s2r", Table219[[#This Row],[Column1]])),ISNUMBER(SEARCH("s2ur", Table219[[#This Row],[Column1]]))), "special", "")</f>
        <v/>
      </c>
      <c r="O19" s="2" t="str">
        <f>IF(OR(ISNUMBER(SEARCH("stg", Table219[[#This Row],[Column1]])),ISNUMBER(SEARCH("ldg", Table219[[#This Row],[Column1]]))), "global", "")</f>
        <v/>
      </c>
      <c r="P19" s="2" t="str">
        <f>IF(OR(ISNUMBER(SEARCH("sts", Table219[[#This Row],[Column1]])),ISNUMBER(SEARCH("lds", Table219[[#This Row],[Column1]]))), "shared", "")</f>
        <v/>
      </c>
      <c r="Q19" s="2" t="str">
        <f>IF(OR(ISNUMBER(SEARCH("LDC", Table219[[#This Row],[Column1]])),ISNUMBER(SEARCH("STC", Table219[[#This Row],[Column1]]))), "ind. const", "")</f>
        <v/>
      </c>
      <c r="R19" s="2" t="str">
        <f>IF(AND(OR(ISNUMBER(SEARCH("c[0x", Table219[[#This Row],[source]])),ISNUMBER(SEARCH("c[0x", Table219[[#This Row],[source2]])),ISNUMBER(SEARCH("c[0x", Table219[[#This Row],[source3]])),ISNUMBER(SEARCH("c[0x", Table219[[#This Row],[source4]]))),Q19=""), "cmb. const", "")</f>
        <v>cmb. const</v>
      </c>
      <c r="S19" s="2" t="s">
        <v>482</v>
      </c>
      <c r="U19" s="42">
        <f>Table219[[#This Row],[delay]]</f>
        <v>4</v>
      </c>
      <c r="V19" s="42">
        <v>290</v>
      </c>
      <c r="W19" s="42"/>
    </row>
    <row r="20" spans="1:23" x14ac:dyDescent="0.2">
      <c r="A20" s="5">
        <v>15</v>
      </c>
      <c r="B20" t="s">
        <v>59</v>
      </c>
      <c r="C20" t="s">
        <v>61</v>
      </c>
      <c r="D20" t="s">
        <v>61</v>
      </c>
      <c r="E20" t="s">
        <v>20</v>
      </c>
      <c r="H20" t="s">
        <v>92</v>
      </c>
      <c r="I20">
        <v>4</v>
      </c>
      <c r="K20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20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20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20" s="2" t="str">
        <f>IF(OR(ISNUMBER(SEARCH("s2r", Table219[[#This Row],[Column1]])),ISNUMBER(SEARCH("s2ur", Table219[[#This Row],[Column1]]))), "special", "")</f>
        <v/>
      </c>
      <c r="O20" s="2" t="str">
        <f>IF(OR(ISNUMBER(SEARCH("stg", Table219[[#This Row],[Column1]])),ISNUMBER(SEARCH("ldg", Table219[[#This Row],[Column1]]))), "global", "")</f>
        <v/>
      </c>
      <c r="P20" s="2" t="str">
        <f>IF(OR(ISNUMBER(SEARCH("sts", Table219[[#This Row],[Column1]])),ISNUMBER(SEARCH("lds", Table219[[#This Row],[Column1]]))), "shared", "")</f>
        <v/>
      </c>
      <c r="Q20" s="2" t="str">
        <f>IF(OR(ISNUMBER(SEARCH("LDC", Table219[[#This Row],[Column1]])),ISNUMBER(SEARCH("STC", Table219[[#This Row],[Column1]]))), "ind. const", "")</f>
        <v/>
      </c>
      <c r="R20" s="2" t="str">
        <f>IF(AND(OR(ISNUMBER(SEARCH("c[0x", Table219[[#This Row],[source]])),ISNUMBER(SEARCH("c[0x", Table219[[#This Row],[source2]])),ISNUMBER(SEARCH("c[0x", Table219[[#This Row],[source3]])),ISNUMBER(SEARCH("c[0x", Table219[[#This Row],[source4]]))),Q20=""), "cmb. const", "")</f>
        <v>cmb. const</v>
      </c>
      <c r="S20" s="2" t="s">
        <v>481</v>
      </c>
      <c r="U20" s="42">
        <f>Table219[[#This Row],[delay]]</f>
        <v>4</v>
      </c>
      <c r="V20" s="42">
        <v>0</v>
      </c>
      <c r="W20" s="42"/>
    </row>
    <row r="21" spans="1:23" x14ac:dyDescent="0.2">
      <c r="A21" s="5">
        <v>16</v>
      </c>
      <c r="B21" t="s">
        <v>59</v>
      </c>
      <c r="C21" t="s">
        <v>27</v>
      </c>
      <c r="D21" t="s">
        <v>27</v>
      </c>
      <c r="E21" t="s">
        <v>20</v>
      </c>
      <c r="H21" t="s">
        <v>92</v>
      </c>
      <c r="I21">
        <v>4</v>
      </c>
      <c r="K21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21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21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21" s="2" t="str">
        <f>IF(OR(ISNUMBER(SEARCH("s2r", Table219[[#This Row],[Column1]])),ISNUMBER(SEARCH("s2ur", Table219[[#This Row],[Column1]]))), "special", "")</f>
        <v/>
      </c>
      <c r="O21" s="2" t="str">
        <f>IF(OR(ISNUMBER(SEARCH("stg", Table219[[#This Row],[Column1]])),ISNUMBER(SEARCH("ldg", Table219[[#This Row],[Column1]]))), "global", "")</f>
        <v/>
      </c>
      <c r="P21" s="2" t="str">
        <f>IF(OR(ISNUMBER(SEARCH("sts", Table219[[#This Row],[Column1]])),ISNUMBER(SEARCH("lds", Table219[[#This Row],[Column1]]))), "shared", "")</f>
        <v/>
      </c>
      <c r="Q21" s="2" t="str">
        <f>IF(OR(ISNUMBER(SEARCH("LDC", Table219[[#This Row],[Column1]])),ISNUMBER(SEARCH("STC", Table219[[#This Row],[Column1]]))), "ind. const", "")</f>
        <v/>
      </c>
      <c r="R21" s="2" t="str">
        <f>IF(AND(OR(ISNUMBER(SEARCH("c[0x", Table219[[#This Row],[source]])),ISNUMBER(SEARCH("c[0x", Table219[[#This Row],[source2]])),ISNUMBER(SEARCH("c[0x", Table219[[#This Row],[source3]])),ISNUMBER(SEARCH("c[0x", Table219[[#This Row],[source4]]))),Q21=""), "cmb. const", "")</f>
        <v>cmb. const</v>
      </c>
      <c r="S21" s="2" t="s">
        <v>481</v>
      </c>
      <c r="U21" s="42">
        <f>Table219[[#This Row],[delay]]</f>
        <v>4</v>
      </c>
      <c r="V21" s="42">
        <v>0</v>
      </c>
      <c r="W21" s="42"/>
    </row>
    <row r="22" spans="1:23" x14ac:dyDescent="0.2">
      <c r="A22" s="5">
        <v>17</v>
      </c>
      <c r="B22" t="s">
        <v>59</v>
      </c>
      <c r="C22" t="s">
        <v>58</v>
      </c>
      <c r="D22" t="s">
        <v>58</v>
      </c>
      <c r="E22" t="s">
        <v>20</v>
      </c>
      <c r="H22" t="s">
        <v>92</v>
      </c>
      <c r="I22">
        <v>4</v>
      </c>
      <c r="K22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>fma</v>
      </c>
      <c r="L22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22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22" s="2" t="str">
        <f>IF(OR(ISNUMBER(SEARCH("s2r", Table219[[#This Row],[Column1]])),ISNUMBER(SEARCH("s2ur", Table219[[#This Row],[Column1]]))), "special", "")</f>
        <v/>
      </c>
      <c r="O22" s="2" t="str">
        <f>IF(OR(ISNUMBER(SEARCH("stg", Table219[[#This Row],[Column1]])),ISNUMBER(SEARCH("ldg", Table219[[#This Row],[Column1]]))), "global", "")</f>
        <v/>
      </c>
      <c r="P22" s="2" t="str">
        <f>IF(OR(ISNUMBER(SEARCH("sts", Table219[[#This Row],[Column1]])),ISNUMBER(SEARCH("lds", Table219[[#This Row],[Column1]]))), "shared", "")</f>
        <v/>
      </c>
      <c r="Q22" s="2" t="str">
        <f>IF(OR(ISNUMBER(SEARCH("LDC", Table219[[#This Row],[Column1]])),ISNUMBER(SEARCH("STC", Table219[[#This Row],[Column1]]))), "ind. const", "")</f>
        <v/>
      </c>
      <c r="R22" s="2" t="str">
        <f>IF(AND(OR(ISNUMBER(SEARCH("c[0x", Table219[[#This Row],[source]])),ISNUMBER(SEARCH("c[0x", Table219[[#This Row],[source2]])),ISNUMBER(SEARCH("c[0x", Table219[[#This Row],[source3]])),ISNUMBER(SEARCH("c[0x", Table219[[#This Row],[source4]]))),Q22=""), "cmb. const", "")</f>
        <v>cmb. const</v>
      </c>
      <c r="S22" s="2" t="s">
        <v>481</v>
      </c>
      <c r="U22" s="42">
        <f>Table219[[#This Row],[delay]]</f>
        <v>4</v>
      </c>
      <c r="V22" s="42">
        <v>0</v>
      </c>
      <c r="W22" s="42"/>
    </row>
    <row r="23" spans="1:23" x14ac:dyDescent="0.2">
      <c r="A23" s="5">
        <v>18</v>
      </c>
      <c r="B23" t="s">
        <v>62</v>
      </c>
      <c r="C23" t="s">
        <v>24</v>
      </c>
      <c r="D23" t="s">
        <v>58</v>
      </c>
      <c r="H23" t="s">
        <v>767</v>
      </c>
      <c r="I23">
        <v>290</v>
      </c>
      <c r="K23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23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23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23" s="2" t="str">
        <f>IF(OR(ISNUMBER(SEARCH("s2r", Table219[[#This Row],[Column1]])),ISNUMBER(SEARCH("s2ur", Table219[[#This Row],[Column1]]))), "special", "")</f>
        <v/>
      </c>
      <c r="O23" s="2" t="str">
        <f>IF(OR(ISNUMBER(SEARCH("stg", Table219[[#This Row],[Column1]])),ISNUMBER(SEARCH("ldg", Table219[[#This Row],[Column1]]))), "global", "")</f>
        <v>global</v>
      </c>
      <c r="P23" s="2" t="str">
        <f>IF(OR(ISNUMBER(SEARCH("sts", Table219[[#This Row],[Column1]])),ISNUMBER(SEARCH("lds", Table219[[#This Row],[Column1]]))), "shared", "")</f>
        <v/>
      </c>
      <c r="Q23" s="2" t="str">
        <f>IF(OR(ISNUMBER(SEARCH("LDC", Table219[[#This Row],[Column1]])),ISNUMBER(SEARCH("STC", Table219[[#This Row],[Column1]]))), "ind. const", "")</f>
        <v/>
      </c>
      <c r="R23" s="2" t="str">
        <f>IF(AND(OR(ISNUMBER(SEARCH("c[0x", Table219[[#This Row],[source]])),ISNUMBER(SEARCH("c[0x", Table219[[#This Row],[source2]])),ISNUMBER(SEARCH("c[0x", Table219[[#This Row],[source3]])),ISNUMBER(SEARCH("c[0x", Table219[[#This Row],[source4]]))),Q23=""), "cmb. const", "")</f>
        <v/>
      </c>
      <c r="S23" s="2"/>
      <c r="U23" s="42">
        <v>0</v>
      </c>
      <c r="V23" s="42">
        <f>Table219[[#This Row],[delay]]</f>
        <v>290</v>
      </c>
      <c r="W23" s="42"/>
    </row>
    <row r="24" spans="1:23" x14ac:dyDescent="0.2">
      <c r="A24" s="5">
        <v>19</v>
      </c>
      <c r="B24" t="s">
        <v>30</v>
      </c>
      <c r="K24" s="2" t="str">
        <f>IF(OR(ISNUMBER(SEARCH("imad", Table219[[#This Row],[Column1]])), ISNUMBER(SEARCH("ffma", Table219[[#This Row],[Column1]])), ISNUMBER(SEARCH("fadd", Table219[[#This Row],[Column1]])), ISNUMBER(SEARCH("fmul", Table219[[#This Row],[Column1]]))), "fma", "")</f>
        <v/>
      </c>
      <c r="L24" s="2" t="str">
        <f>IF(OR(ISNUMBER(SEARCH("lop", Table219[[#This Row],[Column1]])),ISNUMBER(SEARCH("isetp", Table219[[#This Row],[Column1]])),ISNUMBER(SEARCH("mov", Table219[[#This Row],[Column1]])),ISNUMBER(SEARCH("iadd3", Table219[[#This Row],[Column1]])), ISNUMBER(SEARCH("shf", Table219[[#This Row],[Column1]])), ISNUMBER(SEARCH("lea", Table219[[#This Row],[Column1]]))), "alu", "")</f>
        <v/>
      </c>
      <c r="M24" s="2" t="str">
        <f>IF(OR(ISNUMBER(SEARCH("bssy", Table219[[#This Row],[Column1]])),ISNUMBER(SEARCH("bra", Table219[[#This Row],[Column1]])),ISNUMBER(SEARCH("bsync", Table219[[#This Row],[Column1]])),ISNUMBER(SEARCH("bar", Table219[[#This Row],[Column1]]))), "cba", "")</f>
        <v/>
      </c>
      <c r="N24" s="2" t="str">
        <f>IF(OR(ISNUMBER(SEARCH("s2r", Table219[[#This Row],[Column1]])),ISNUMBER(SEARCH("s2ur", Table219[[#This Row],[Column1]]))), "special", "")</f>
        <v/>
      </c>
      <c r="O24" s="2" t="str">
        <f>IF(OR(ISNUMBER(SEARCH("stg", Table219[[#This Row],[Column1]])),ISNUMBER(SEARCH("ldg", Table219[[#This Row],[Column1]]))), "global", "")</f>
        <v/>
      </c>
      <c r="P24" s="2" t="str">
        <f>IF(OR(ISNUMBER(SEARCH("sts", Table219[[#This Row],[Column1]])),ISNUMBER(SEARCH("lds", Table219[[#This Row],[Column1]]))), "shared", "")</f>
        <v/>
      </c>
      <c r="Q24" s="2" t="str">
        <f>IF(OR(ISNUMBER(SEARCH("LDC", Table219[[#This Row],[Column1]])),ISNUMBER(SEARCH("STC", Table219[[#This Row],[Column1]]))), "ind. const", "")</f>
        <v/>
      </c>
      <c r="R24" s="2" t="str">
        <f>IF(AND(OR(ISNUMBER(SEARCH("c[0x", Table219[[#This Row],[source]])),ISNUMBER(SEARCH("c[0x", Table219[[#This Row],[source2]])),ISNUMBER(SEARCH("c[0x", Table219[[#This Row],[source3]])),ISNUMBER(SEARCH("c[0x", Table219[[#This Row],[source4]]))),Q24=""), "cmb. const", "")</f>
        <v/>
      </c>
      <c r="S24" s="2"/>
      <c r="U24" s="43">
        <f>Table219[[#This Row],[delay]]</f>
        <v>0</v>
      </c>
      <c r="V24" s="43">
        <v>0</v>
      </c>
      <c r="W24" s="43"/>
    </row>
    <row r="25" spans="1:23" x14ac:dyDescent="0.2">
      <c r="K25" s="2"/>
      <c r="L25" s="2"/>
      <c r="M25" s="2"/>
      <c r="N25" s="2"/>
      <c r="O25" s="2"/>
      <c r="P25" s="2"/>
      <c r="Q25" s="2"/>
      <c r="R25" s="2"/>
      <c r="S25" s="2"/>
      <c r="U25" s="43"/>
      <c r="V25" s="43"/>
      <c r="W25" s="43" cm="1">
        <f t="array" ref="W25">SUM(Table21[TotalDelay])*Table1220[w] + SUM(Table21[mem])</f>
        <v>4000</v>
      </c>
    </row>
    <row r="26" spans="1:23" x14ac:dyDescent="0.2">
      <c r="K26" s="2"/>
      <c r="L26" s="2"/>
      <c r="M26" s="2"/>
      <c r="N26" s="2"/>
      <c r="O26" s="2"/>
      <c r="P26" s="2"/>
      <c r="Q26" s="2"/>
      <c r="R26" s="2"/>
      <c r="S26" s="2"/>
    </row>
    <row r="27" spans="1:23" x14ac:dyDescent="0.2">
      <c r="K27" s="2"/>
      <c r="L27" s="2"/>
      <c r="M27" s="2"/>
      <c r="N27" s="2"/>
      <c r="O27" s="2"/>
      <c r="P27" s="2"/>
      <c r="Q27" s="2"/>
      <c r="R27" s="2"/>
      <c r="S27" s="2"/>
    </row>
    <row r="28" spans="1:23" x14ac:dyDescent="0.2">
      <c r="K28" s="2"/>
      <c r="L28" s="2"/>
      <c r="M28" s="2"/>
      <c r="N28" s="2"/>
      <c r="O28" s="2"/>
      <c r="P28" s="2"/>
      <c r="Q28" s="2"/>
      <c r="R28" s="2"/>
      <c r="S28" s="2"/>
    </row>
    <row r="29" spans="1:23" x14ac:dyDescent="0.2">
      <c r="K29" s="2"/>
      <c r="L29" s="2"/>
      <c r="M29" s="2"/>
      <c r="N29" s="2"/>
      <c r="O29" s="2"/>
      <c r="P29" s="2"/>
      <c r="Q29" s="2"/>
      <c r="R29" s="2"/>
      <c r="S29" s="2"/>
    </row>
    <row r="30" spans="1:23" x14ac:dyDescent="0.2">
      <c r="K30" s="2"/>
      <c r="L30" s="2"/>
      <c r="M30" s="2"/>
      <c r="N30" s="2"/>
      <c r="O30" s="2"/>
      <c r="P30" s="2"/>
      <c r="Q30" s="2"/>
      <c r="R30" s="2"/>
      <c r="S30" s="2"/>
    </row>
    <row r="31" spans="1:23" x14ac:dyDescent="0.2">
      <c r="K31" s="2"/>
      <c r="L31" s="2"/>
      <c r="M31" s="2"/>
      <c r="N31" s="2"/>
      <c r="O31" s="2"/>
      <c r="P31" s="2"/>
      <c r="Q31" s="2"/>
      <c r="R31" s="2"/>
      <c r="S31" s="2"/>
    </row>
    <row r="34" spans="6:6" x14ac:dyDescent="0.2">
      <c r="F34" s="5"/>
    </row>
    <row r="35" spans="6:6" x14ac:dyDescent="0.2">
      <c r="F35" s="5"/>
    </row>
    <row r="36" spans="6:6" x14ac:dyDescent="0.2">
      <c r="F36" s="5"/>
    </row>
    <row r="37" spans="6:6" x14ac:dyDescent="0.2">
      <c r="F37" s="5"/>
    </row>
    <row r="38" spans="6:6" x14ac:dyDescent="0.2">
      <c r="F38" s="5"/>
    </row>
    <row r="39" spans="6:6" x14ac:dyDescent="0.2">
      <c r="F39" s="5"/>
    </row>
    <row r="40" spans="6:6" x14ac:dyDescent="0.2">
      <c r="F40" s="5"/>
    </row>
    <row r="41" spans="6:6" x14ac:dyDescent="0.2">
      <c r="F41" s="5"/>
    </row>
    <row r="42" spans="6:6" x14ac:dyDescent="0.2">
      <c r="F42" s="5"/>
    </row>
    <row r="43" spans="6:6" x14ac:dyDescent="0.2">
      <c r="F43" s="5"/>
    </row>
    <row r="44" spans="6:6" x14ac:dyDescent="0.2">
      <c r="F44" s="5"/>
    </row>
    <row r="45" spans="6:6" x14ac:dyDescent="0.2">
      <c r="F45" s="5"/>
    </row>
    <row r="46" spans="6:6" x14ac:dyDescent="0.2">
      <c r="F46" s="5"/>
    </row>
    <row r="47" spans="6:6" x14ac:dyDescent="0.2">
      <c r="F47" s="5"/>
    </row>
    <row r="48" spans="6:6" x14ac:dyDescent="0.2">
      <c r="F48" s="5"/>
    </row>
    <row r="49" spans="6:6" x14ac:dyDescent="0.2">
      <c r="F49" s="5"/>
    </row>
    <row r="50" spans="6:6" x14ac:dyDescent="0.2">
      <c r="F50" s="5"/>
    </row>
    <row r="51" spans="6:6" x14ac:dyDescent="0.2">
      <c r="F51" s="5"/>
    </row>
    <row r="52" spans="6:6" x14ac:dyDescent="0.2">
      <c r="F52" s="5"/>
    </row>
  </sheetData>
  <mergeCells count="1">
    <mergeCell ref="N4:Q4"/>
  </mergeCells>
  <pageMargins left="0.7" right="0.7" top="0.75" bottom="0.75" header="0.3" footer="0.3"/>
  <legacy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A3B6-AAF1-4B40-ABD3-E9815B49D3C1}">
  <dimension ref="A1:Y874"/>
  <sheetViews>
    <sheetView topLeftCell="A6" zoomScale="125" workbookViewId="0">
      <selection activeCell="J6" sqref="J6"/>
    </sheetView>
  </sheetViews>
  <sheetFormatPr baseColWidth="10" defaultRowHeight="16" x14ac:dyDescent="0.2"/>
  <cols>
    <col min="1" max="1" width="6" customWidth="1"/>
    <col min="2" max="2" width="21.1640625" customWidth="1"/>
    <col min="4" max="4" width="11.5" customWidth="1"/>
    <col min="5" max="5" width="12.6640625" customWidth="1"/>
    <col min="6" max="6" width="13" customWidth="1"/>
    <col min="9" max="9" width="17.6640625" customWidth="1"/>
    <col min="13" max="13" width="14.33203125" style="2" customWidth="1"/>
    <col min="14" max="14" width="13.5" style="2" customWidth="1"/>
    <col min="15" max="15" width="14" style="2" customWidth="1"/>
    <col min="16" max="18" width="10.83203125" style="2"/>
    <col min="19" max="19" width="11.5" style="2" customWidth="1"/>
    <col min="20" max="21" width="13" style="2" customWidth="1"/>
    <col min="22" max="22" width="15.33203125" style="2" customWidth="1"/>
    <col min="23" max="23" width="11.33203125" customWidth="1"/>
    <col min="24" max="24" width="11.1640625" customWidth="1"/>
  </cols>
  <sheetData>
    <row r="1" spans="1:25" x14ac:dyDescent="0.2">
      <c r="B1" s="2" t="s">
        <v>806</v>
      </c>
      <c r="C1" s="2" t="s">
        <v>800</v>
      </c>
      <c r="D1" s="2" t="s">
        <v>801</v>
      </c>
      <c r="E1" s="2" t="s">
        <v>802</v>
      </c>
      <c r="F1" s="2" t="s">
        <v>795</v>
      </c>
      <c r="G1" s="2" t="s">
        <v>803</v>
      </c>
      <c r="H1" s="2" t="s">
        <v>809</v>
      </c>
      <c r="M1" s="27" t="s">
        <v>34</v>
      </c>
      <c r="N1" s="2" t="s">
        <v>92</v>
      </c>
      <c r="O1" s="2" t="s">
        <v>95</v>
      </c>
      <c r="P1" s="2" t="s">
        <v>791</v>
      </c>
      <c r="Q1" s="2" t="s">
        <v>792</v>
      </c>
      <c r="R1" s="2" t="s">
        <v>767</v>
      </c>
      <c r="S1" s="2" t="s">
        <v>768</v>
      </c>
      <c r="T1" s="2" t="s">
        <v>793</v>
      </c>
      <c r="U1" s="2" t="s">
        <v>777</v>
      </c>
    </row>
    <row r="2" spans="1:25" x14ac:dyDescent="0.2">
      <c r="B2" s="2">
        <v>173</v>
      </c>
      <c r="C2" s="2" t="s">
        <v>411</v>
      </c>
      <c r="D2" s="2">
        <v>4083</v>
      </c>
      <c r="E2" s="2" t="s">
        <v>480</v>
      </c>
      <c r="F2" s="2">
        <v>32</v>
      </c>
      <c r="G2" s="2">
        <f>Y105</f>
        <v>4774</v>
      </c>
      <c r="H2" s="2">
        <f>Table12[[#This Row],[exec time ]]/Table12[[#This Row],[wcet]]</f>
        <v>0.85525764558022621</v>
      </c>
      <c r="M2" s="27" t="s">
        <v>805</v>
      </c>
      <c r="N2" s="2">
        <f>COUNTIF(I5:I104,"fma")</f>
        <v>25</v>
      </c>
      <c r="O2" s="2">
        <f>COUNTIF(I5:I104,"alu")</f>
        <v>31</v>
      </c>
      <c r="P2" s="2">
        <f>COUNTIF(I6:I105,"cba")</f>
        <v>10</v>
      </c>
      <c r="Q2" s="2">
        <f>COUNTIF(I6:I104,"special")</f>
        <v>3</v>
      </c>
      <c r="R2" s="2">
        <f>COUNTIF(I6:I104,"global")</f>
        <v>3</v>
      </c>
      <c r="S2" s="2">
        <f>COUNTIF(I6:I104,"shared")</f>
        <v>23</v>
      </c>
      <c r="T2" s="2">
        <f>COUNTIF(I6:I104,"ind. const")</f>
        <v>2</v>
      </c>
      <c r="U2" s="2">
        <f>SUM(N2:T2)+1</f>
        <v>98</v>
      </c>
    </row>
    <row r="3" spans="1:25" x14ac:dyDescent="0.2">
      <c r="B3" s="2"/>
      <c r="C3" s="2"/>
      <c r="D3" s="2"/>
      <c r="E3" s="2"/>
      <c r="F3" s="2"/>
      <c r="G3" s="2"/>
      <c r="I3" s="28"/>
      <c r="J3" s="2"/>
      <c r="K3" s="2"/>
      <c r="L3" s="2"/>
    </row>
    <row r="4" spans="1:25" x14ac:dyDescent="0.2">
      <c r="H4" s="3"/>
      <c r="I4" s="3"/>
      <c r="J4" s="3"/>
      <c r="P4" s="50" t="s">
        <v>776</v>
      </c>
      <c r="Q4" s="50"/>
      <c r="R4" s="50"/>
      <c r="S4" s="50"/>
    </row>
    <row r="5" spans="1:25" x14ac:dyDescent="0.2">
      <c r="A5" t="s">
        <v>483</v>
      </c>
      <c r="B5" t="s">
        <v>65</v>
      </c>
      <c r="C5" t="s">
        <v>471</v>
      </c>
      <c r="D5" t="s">
        <v>472</v>
      </c>
      <c r="E5" t="s">
        <v>473</v>
      </c>
      <c r="F5" t="s">
        <v>474</v>
      </c>
      <c r="G5" t="s">
        <v>475</v>
      </c>
      <c r="H5" s="3" t="s">
        <v>476</v>
      </c>
      <c r="I5" s="3" t="s">
        <v>477</v>
      </c>
      <c r="J5" s="3" t="s">
        <v>478</v>
      </c>
      <c r="K5" s="2" t="s">
        <v>769</v>
      </c>
      <c r="M5" s="2" t="s">
        <v>774</v>
      </c>
      <c r="N5" s="2" t="s">
        <v>775</v>
      </c>
      <c r="O5" s="2" t="s">
        <v>790</v>
      </c>
      <c r="P5" s="2" t="s">
        <v>93</v>
      </c>
      <c r="Q5" s="2" t="s">
        <v>767</v>
      </c>
      <c r="R5" s="2" t="s">
        <v>768</v>
      </c>
      <c r="S5" s="2" t="s">
        <v>778</v>
      </c>
      <c r="T5" s="2" t="s">
        <v>779</v>
      </c>
      <c r="U5" s="2" t="s">
        <v>796</v>
      </c>
      <c r="W5" s="2" t="s">
        <v>782</v>
      </c>
      <c r="X5" t="s">
        <v>815</v>
      </c>
      <c r="Y5" t="s">
        <v>804</v>
      </c>
    </row>
    <row r="6" spans="1:25" x14ac:dyDescent="0.2">
      <c r="A6">
        <v>1</v>
      </c>
      <c r="B6" t="s">
        <v>45</v>
      </c>
      <c r="C6" t="s">
        <v>1</v>
      </c>
      <c r="D6" t="s">
        <v>8</v>
      </c>
      <c r="E6" t="s">
        <v>8</v>
      </c>
      <c r="F6" t="s">
        <v>2</v>
      </c>
      <c r="H6" s="3"/>
      <c r="I6" s="3" t="str">
        <f t="shared" ref="I6:I14" si="0">IF(M6&lt;&gt;"", M6, IF(N6&lt;&gt;"", N6, IF(O6&lt;&gt;"", O6, IF(P6&lt;&gt;"", P6, IF(Q6&lt;&gt;"", Q6, IF(R6&lt;&gt;"", R6, IF(S6&lt;&gt;"", S6, "")))))))</f>
        <v>fma</v>
      </c>
      <c r="J6" s="3">
        <v>4</v>
      </c>
      <c r="K6" s="3"/>
      <c r="M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6" s="2" t="str">
        <f>IF(OR(ISNUMBER(SEARCH("lop", Table36[[#This Row],[inst]])),ISNUMBER(SEARCH("isetp", Table36[[#This Row],[inst]])),ISNUMBER(SEARCH("mov", Table36[[#This Row],[inst]])),ISNUMBER(SEARCH("iadd3", Table36[[#This Row],[inst]])), ISNUMBER(SEARCH("shf", Table36[[#This Row],[inst]])), ISNUMBER(SEARCH("lea", Table36[[#This Row],[inst]]))), "alu", "")</f>
        <v>alu</v>
      </c>
      <c r="O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" s="2" t="str">
        <f>IF(OR(ISNUMBER(SEARCH("s2r", Table36[[#This Row],[inst]])),ISNUMBER(SEARCH("s2ur", Table36[[#This Row],[inst]]))), "special", "")</f>
        <v/>
      </c>
      <c r="Q6" s="2" t="str">
        <f>IF(OR(ISNUMBER(SEARCH("stg", Table36[[#This Row],[inst]])),ISNUMBER(SEARCH("ldg", Table36[[#This Row],[inst]]))), "global", "")</f>
        <v/>
      </c>
      <c r="R6" s="2" t="str">
        <f>IF(OR(ISNUMBER(SEARCH("sts", Table36[[#This Row],[inst]])),ISNUMBER(SEARCH("lds", Table36[[#This Row],[inst]]))), "shared", "")</f>
        <v/>
      </c>
      <c r="S6" s="2" t="str">
        <f>IF(OR(ISNUMBER(SEARCH("LDC", Table36[[#This Row],[inst]])),ISNUMBER(SEARCH("STC", Table36[[#This Row],[inst]]))), "ind. const", "")</f>
        <v/>
      </c>
      <c r="T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Row],[S5]]))),S6=""), "cmb. const", "")</f>
        <v>cmb. const</v>
      </c>
      <c r="U6" s="2" t="s">
        <v>482</v>
      </c>
      <c r="W6">
        <f>IF(Table36[[#This Row],[Pipeline]]="alu",Table36[[#This Row],[Delay]],0)</f>
        <v>0</v>
      </c>
      <c r="X6">
        <f>IF(AND(Table36[[#This Row],[Pipeline]]="alu",Table7[[#This Row],[const stat]]="new"),290,0)</f>
        <v>0</v>
      </c>
    </row>
    <row r="7" spans="1:25" x14ac:dyDescent="0.2">
      <c r="A7">
        <v>2</v>
      </c>
      <c r="B7" t="s">
        <v>3</v>
      </c>
      <c r="C7" t="s">
        <v>46</v>
      </c>
      <c r="D7" t="s">
        <v>412</v>
      </c>
      <c r="H7" s="3"/>
      <c r="I7" s="3" t="str">
        <f t="shared" si="0"/>
        <v>special</v>
      </c>
      <c r="J7" s="3">
        <v>10</v>
      </c>
      <c r="K7" s="3"/>
      <c r="M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" s="2" t="str">
        <f>IF(OR(ISNUMBER(SEARCH("s2r", Table36[[#This Row],[inst]])),ISNUMBER(SEARCH("s2ur", Table36[[#This Row],[inst]]))), "special", "")</f>
        <v>special</v>
      </c>
      <c r="Q7" s="2" t="str">
        <f>IF(OR(ISNUMBER(SEARCH("stg", Table36[[#This Row],[inst]])),ISNUMBER(SEARCH("ldg", Table36[[#This Row],[inst]]))), "global", "")</f>
        <v/>
      </c>
      <c r="R7" s="2" t="str">
        <f>IF(OR(ISNUMBER(SEARCH("sts", Table36[[#This Row],[inst]])),ISNUMBER(SEARCH("lds", Table36[[#This Row],[inst]]))), "shared", "")</f>
        <v/>
      </c>
      <c r="S7" s="2" t="str">
        <f>IF(OR(ISNUMBER(SEARCH("LDC", Table36[[#This Row],[inst]])),ISNUMBER(SEARCH("STC", Table36[[#This Row],[inst]]))), "ind. const", "")</f>
        <v/>
      </c>
      <c r="T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Row],[S5]]))),S7=""), "cmb. const", "")</f>
        <v/>
      </c>
      <c r="W7">
        <f>IF(Table36[[#This Row],[Pipeline]]="alu",Table36[[#This Row],[Delay]],0)</f>
        <v>0</v>
      </c>
      <c r="X7">
        <f>IF(AND(Table36[[#This Row],[Pipeline]]="alu",Table7[[#This Row],[const stat]]="new"),290,0)</f>
        <v>0</v>
      </c>
    </row>
    <row r="8" spans="1:25" x14ac:dyDescent="0.2">
      <c r="A8">
        <v>3</v>
      </c>
      <c r="B8" t="s">
        <v>0</v>
      </c>
      <c r="C8" t="s">
        <v>84</v>
      </c>
      <c r="D8" t="s">
        <v>413</v>
      </c>
      <c r="H8" s="3"/>
      <c r="I8" s="3" t="str">
        <f t="shared" si="0"/>
        <v>ind. const</v>
      </c>
      <c r="J8" s="3"/>
      <c r="K8" s="3"/>
      <c r="M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" s="2" t="str">
        <f>IF(OR(ISNUMBER(SEARCH("s2r", Table36[[#This Row],[inst]])),ISNUMBER(SEARCH("s2ur", Table36[[#This Row],[inst]]))), "special", "")</f>
        <v/>
      </c>
      <c r="Q8" s="2" t="str">
        <f>IF(OR(ISNUMBER(SEARCH("stg", Table36[[#This Row],[inst]])),ISNUMBER(SEARCH("ldg", Table36[[#This Row],[inst]]))), "global", "")</f>
        <v/>
      </c>
      <c r="R8" s="2" t="str">
        <f>IF(OR(ISNUMBER(SEARCH("sts", Table36[[#This Row],[inst]])),ISNUMBER(SEARCH("lds", Table36[[#This Row],[inst]]))), "shared", "")</f>
        <v/>
      </c>
      <c r="S8" s="2" t="s">
        <v>798</v>
      </c>
      <c r="T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Row],[S5]]))),S8=""), "cmb. const", "")</f>
        <v/>
      </c>
      <c r="U8" s="2" t="s">
        <v>482</v>
      </c>
      <c r="W8">
        <f>IF(Table36[[#This Row],[Pipeline]]="alu",Table36[[#This Row],[Delay]],0)</f>
        <v>0</v>
      </c>
      <c r="X8">
        <f>IF(AND(Table36[[#This Row],[Pipeline]]="alu",Table7[[#This Row],[const stat]]="new"),290,0)</f>
        <v>0</v>
      </c>
    </row>
    <row r="9" spans="1:25" x14ac:dyDescent="0.2">
      <c r="A9">
        <v>4</v>
      </c>
      <c r="B9" t="s">
        <v>45</v>
      </c>
      <c r="C9" t="s">
        <v>61</v>
      </c>
      <c r="D9" t="s">
        <v>8</v>
      </c>
      <c r="E9" t="s">
        <v>8</v>
      </c>
      <c r="F9" t="s">
        <v>414</v>
      </c>
      <c r="H9" s="3"/>
      <c r="I9" s="3" t="str">
        <f t="shared" si="0"/>
        <v>fma</v>
      </c>
      <c r="J9" s="3">
        <v>4</v>
      </c>
      <c r="K9" s="3"/>
      <c r="M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" s="2" t="str">
        <f>IF(OR(ISNUMBER(SEARCH("s2r", Table36[[#This Row],[inst]])),ISNUMBER(SEARCH("s2ur", Table36[[#This Row],[inst]]))), "special", "")</f>
        <v/>
      </c>
      <c r="Q9" s="2" t="str">
        <f>IF(OR(ISNUMBER(SEARCH("stg", Table36[[#This Row],[inst]])),ISNUMBER(SEARCH("ldg", Table36[[#This Row],[inst]]))), "global", "")</f>
        <v/>
      </c>
      <c r="R9" s="2" t="str">
        <f>IF(OR(ISNUMBER(SEARCH("sts", Table36[[#This Row],[inst]])),ISNUMBER(SEARCH("lds", Table36[[#This Row],[inst]]))), "shared", "")</f>
        <v/>
      </c>
      <c r="S9" s="2" t="str">
        <f>IF(OR(ISNUMBER(SEARCH("LDC", Table36[[#This Row],[inst]])),ISNUMBER(SEARCH("STC", Table36[[#This Row],[inst]]))), "ind. const", "")</f>
        <v/>
      </c>
      <c r="T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Row],[S5]]))),S9=""), "cmb. const", "")</f>
        <v>cmb. const</v>
      </c>
      <c r="U9" s="2" t="s">
        <v>781</v>
      </c>
      <c r="W9">
        <f>IF(Table36[[#This Row],[Pipeline]]="alu",Table36[[#This Row],[Delay]],0)</f>
        <v>0</v>
      </c>
      <c r="X9">
        <f>IF(AND(Table36[[#This Row],[Pipeline]]="alu",Table7[[#This Row],[const stat]]="new"),290,0)</f>
        <v>0</v>
      </c>
    </row>
    <row r="10" spans="1:25" x14ac:dyDescent="0.2">
      <c r="A10">
        <v>5</v>
      </c>
      <c r="B10" t="s">
        <v>415</v>
      </c>
      <c r="C10" t="s">
        <v>50</v>
      </c>
      <c r="D10" t="s">
        <v>51</v>
      </c>
      <c r="E10" t="s">
        <v>8</v>
      </c>
      <c r="F10" t="s">
        <v>413</v>
      </c>
      <c r="G10" t="s">
        <v>51</v>
      </c>
      <c r="H10" s="3"/>
      <c r="I10" s="3" t="str">
        <f t="shared" si="0"/>
        <v>alu</v>
      </c>
      <c r="J10" s="3">
        <v>4</v>
      </c>
      <c r="K10" s="3"/>
      <c r="M1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" s="2" t="str">
        <f>IF(OR(ISNUMBER(SEARCH("s2r", Table36[[#This Row],[inst]])),ISNUMBER(SEARCH("s2ur", Table36[[#This Row],[inst]]))), "special", "")</f>
        <v/>
      </c>
      <c r="Q10" s="2" t="str">
        <f>IF(OR(ISNUMBER(SEARCH("stg", Table36[[#This Row],[inst]])),ISNUMBER(SEARCH("ldg", Table36[[#This Row],[inst]]))), "global", "")</f>
        <v/>
      </c>
      <c r="R10" s="2" t="str">
        <f>IF(OR(ISNUMBER(SEARCH("sts", Table36[[#This Row],[inst]])),ISNUMBER(SEARCH("lds", Table36[[#This Row],[inst]]))), "shared", "")</f>
        <v/>
      </c>
      <c r="S10" s="2" t="str">
        <f>IF(OR(ISNUMBER(SEARCH("LDC", Table36[[#This Row],[inst]])),ISNUMBER(SEARCH("STC", Table36[[#This Row],[inst]]))), "ind. const", "")</f>
        <v/>
      </c>
      <c r="T1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Row],[S5]]))),S10=""), "cmb. const", "")</f>
        <v>cmb. const</v>
      </c>
      <c r="U10" s="2" t="s">
        <v>481</v>
      </c>
      <c r="W10">
        <f>IF(Table36[[#This Row],[Pipeline]]="alu",Table36[[#This Row],[Delay]],0)</f>
        <v>4</v>
      </c>
      <c r="X10">
        <f>IF(AND(Table36[[#This Row],[Pipeline]]="alu",Table7[[#This Row],[const stat]]="new"),290,0)</f>
        <v>0</v>
      </c>
    </row>
    <row r="11" spans="1:25" x14ac:dyDescent="0.2">
      <c r="A11">
        <v>6</v>
      </c>
      <c r="B11" t="s">
        <v>3</v>
      </c>
      <c r="C11" t="s">
        <v>17</v>
      </c>
      <c r="D11" t="s">
        <v>13</v>
      </c>
      <c r="H11" s="3"/>
      <c r="I11" s="3" t="str">
        <f t="shared" si="0"/>
        <v>special</v>
      </c>
      <c r="J11" s="3">
        <v>10</v>
      </c>
      <c r="K11" s="3"/>
      <c r="M1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1" s="2" t="str">
        <f>IF(OR(ISNUMBER(SEARCH("s2r", Table36[[#This Row],[inst]])),ISNUMBER(SEARCH("s2ur", Table36[[#This Row],[inst]]))), "special", "")</f>
        <v>special</v>
      </c>
      <c r="Q11" s="2" t="str">
        <f>IF(OR(ISNUMBER(SEARCH("stg", Table36[[#This Row],[inst]])),ISNUMBER(SEARCH("ldg", Table36[[#This Row],[inst]]))), "global", "")</f>
        <v/>
      </c>
      <c r="R11" s="2" t="str">
        <f>IF(OR(ISNUMBER(SEARCH("sts", Table36[[#This Row],[inst]])),ISNUMBER(SEARCH("lds", Table36[[#This Row],[inst]]))), "shared", "")</f>
        <v/>
      </c>
      <c r="S11" s="2" t="str">
        <f>IF(OR(ISNUMBER(SEARCH("LDC", Table36[[#This Row],[inst]])),ISNUMBER(SEARCH("STC", Table36[[#This Row],[inst]]))), "ind. const", "")</f>
        <v/>
      </c>
      <c r="T1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Row],[S5]]))),S11=""), "cmb. const", "")</f>
        <v/>
      </c>
      <c r="W11">
        <f>IF(Table36[[#This Row],[Pipeline]]="alu",Table36[[#This Row],[Delay]],0)</f>
        <v>0</v>
      </c>
      <c r="X11">
        <f>IF(AND(Table36[[#This Row],[Pipeline]]="alu",Table7[[#This Row],[const stat]]="new"),290,0)</f>
        <v>0</v>
      </c>
    </row>
    <row r="12" spans="1:25" x14ac:dyDescent="0.2">
      <c r="A12">
        <v>7</v>
      </c>
      <c r="B12" t="s">
        <v>416</v>
      </c>
      <c r="C12" t="s">
        <v>78</v>
      </c>
      <c r="D12" t="s">
        <v>51</v>
      </c>
      <c r="E12" t="s">
        <v>84</v>
      </c>
      <c r="F12" t="s">
        <v>417</v>
      </c>
      <c r="G12" t="s">
        <v>51</v>
      </c>
      <c r="H12" s="3"/>
      <c r="I12" s="3" t="str">
        <f t="shared" si="0"/>
        <v>alu</v>
      </c>
      <c r="J12" s="3">
        <v>4</v>
      </c>
      <c r="K12" s="3"/>
      <c r="M1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2" s="2" t="str">
        <f>IF(OR(ISNUMBER(SEARCH("s2r", Table36[[#This Row],[inst]])),ISNUMBER(SEARCH("s2ur", Table36[[#This Row],[inst]]))), "special", "")</f>
        <v/>
      </c>
      <c r="Q12" s="2" t="str">
        <f>IF(OR(ISNUMBER(SEARCH("stg", Table36[[#This Row],[inst]])),ISNUMBER(SEARCH("ldg", Table36[[#This Row],[inst]]))), "global", "")</f>
        <v/>
      </c>
      <c r="R12" s="2" t="str">
        <f>IF(OR(ISNUMBER(SEARCH("sts", Table36[[#This Row],[inst]])),ISNUMBER(SEARCH("lds", Table36[[#This Row],[inst]]))), "shared", "")</f>
        <v/>
      </c>
      <c r="S12" s="2" t="str">
        <f>IF(OR(ISNUMBER(SEARCH("LDC", Table36[[#This Row],[inst]])),ISNUMBER(SEARCH("STC", Table36[[#This Row],[inst]]))), "ind. const", "")</f>
        <v/>
      </c>
      <c r="T1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Row],[S5]]))),S12=""), "cmb. const", "")</f>
        <v>cmb. const</v>
      </c>
      <c r="U12" s="2" t="s">
        <v>781</v>
      </c>
      <c r="W12">
        <f>IF(Table36[[#This Row],[Pipeline]]="alu",Table36[[#This Row],[Delay]],0)</f>
        <v>4</v>
      </c>
      <c r="X12">
        <f>IF(AND(Table36[[#This Row],[Pipeline]]="alu",Table7[[#This Row],[const stat]]="new"),290,0)</f>
        <v>0</v>
      </c>
    </row>
    <row r="13" spans="1:25" x14ac:dyDescent="0.2">
      <c r="A13">
        <v>8</v>
      </c>
      <c r="B13" t="s">
        <v>9</v>
      </c>
      <c r="C13" t="s">
        <v>418</v>
      </c>
      <c r="D13" t="s">
        <v>11</v>
      </c>
      <c r="H13" s="3"/>
      <c r="I13" s="3" t="str">
        <f t="shared" si="0"/>
        <v>ind. const</v>
      </c>
      <c r="J13" s="3">
        <v>290</v>
      </c>
      <c r="K13" s="3"/>
      <c r="M1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3" s="2" t="str">
        <f>IF(OR(ISNUMBER(SEARCH("s2r", Table36[[#This Row],[inst]])),ISNUMBER(SEARCH("s2ur", Table36[[#This Row],[inst]]))), "special", "")</f>
        <v/>
      </c>
      <c r="Q13" s="2" t="str">
        <f>IF(OR(ISNUMBER(SEARCH("stg", Table36[[#This Row],[inst]])),ISNUMBER(SEARCH("ldg", Table36[[#This Row],[inst]]))), "global", "")</f>
        <v/>
      </c>
      <c r="R13" s="2" t="str">
        <f>IF(OR(ISNUMBER(SEARCH("sts", Table36[[#This Row],[inst]])),ISNUMBER(SEARCH("lds", Table36[[#This Row],[inst]]))), "shared", "")</f>
        <v/>
      </c>
      <c r="S13" s="2" t="str">
        <f>IF(OR(ISNUMBER(SEARCH("LDC", Table36[[#This Row],[inst]])),ISNUMBER(SEARCH("STC", Table36[[#This Row],[inst]]))), "ind. const", "")</f>
        <v>ind. const</v>
      </c>
      <c r="T1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Row],[S5]]))),S13=""), "cmb. const", "")</f>
        <v/>
      </c>
      <c r="W13">
        <f>IF(Table36[[#This Row],[Pipeline]]="alu",Table36[[#This Row],[Delay]],0)</f>
        <v>0</v>
      </c>
      <c r="X13">
        <f>IF(AND(Table36[[#This Row],[Pipeline]]="alu",Table7[[#This Row],[const stat]]="new"),290,0)</f>
        <v>0</v>
      </c>
    </row>
    <row r="14" spans="1:25" x14ac:dyDescent="0.2">
      <c r="A14">
        <v>9</v>
      </c>
      <c r="B14" t="s">
        <v>419</v>
      </c>
      <c r="C14" t="s">
        <v>50</v>
      </c>
      <c r="D14" t="s">
        <v>51</v>
      </c>
      <c r="E14" t="s">
        <v>61</v>
      </c>
      <c r="F14" t="s">
        <v>8</v>
      </c>
      <c r="G14" t="s">
        <v>51</v>
      </c>
      <c r="H14" s="3" t="s">
        <v>50</v>
      </c>
      <c r="I14" s="3" t="str">
        <f t="shared" si="0"/>
        <v>alu</v>
      </c>
      <c r="J14" s="3">
        <v>4</v>
      </c>
      <c r="K14" s="3"/>
      <c r="M1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4" s="2" t="str">
        <f>IF(OR(ISNUMBER(SEARCH("s2r", Table36[[#This Row],[inst]])),ISNUMBER(SEARCH("s2ur", Table36[[#This Row],[inst]]))), "special", "")</f>
        <v/>
      </c>
      <c r="Q14" s="2" t="str">
        <f>IF(OR(ISNUMBER(SEARCH("stg", Table36[[#This Row],[inst]])),ISNUMBER(SEARCH("ldg", Table36[[#This Row],[inst]]))), "global", "")</f>
        <v/>
      </c>
      <c r="R14" s="2" t="str">
        <f>IF(OR(ISNUMBER(SEARCH("sts", Table36[[#This Row],[inst]])),ISNUMBER(SEARCH("lds", Table36[[#This Row],[inst]]))), "shared", "")</f>
        <v/>
      </c>
      <c r="S14" s="2" t="str">
        <f>IF(OR(ISNUMBER(SEARCH("LDC", Table36[[#This Row],[inst]])),ISNUMBER(SEARCH("STC", Table36[[#This Row],[inst]]))), "ind. const", "")</f>
        <v/>
      </c>
      <c r="T1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Row],[S5]]))),S14=""), "cmb. const", "")</f>
        <v/>
      </c>
      <c r="W14">
        <f>IF(Table36[[#This Row],[Pipeline]]="alu",Table36[[#This Row],[Delay]],0)</f>
        <v>4</v>
      </c>
      <c r="X14">
        <f>IF(AND(Table36[[#This Row],[Pipeline]]="alu",Table7[[#This Row],[const stat]]="new"),290,0)</f>
        <v>0</v>
      </c>
    </row>
    <row r="15" spans="1:25" x14ac:dyDescent="0.2">
      <c r="A15">
        <v>10</v>
      </c>
      <c r="B15" t="s">
        <v>67</v>
      </c>
      <c r="C15" t="s">
        <v>68</v>
      </c>
      <c r="D15" t="s">
        <v>420</v>
      </c>
      <c r="H15" s="3"/>
      <c r="I15" s="3" t="str">
        <f t="shared" ref="I15:I78" si="1">IF(M15&lt;&gt;"", M15, IF(N15&lt;&gt;"", N15, IF(O15&lt;&gt;"", O15, IF(P15&lt;&gt;"", P15, IF(Q15&lt;&gt;"", Q15, IF(R15&lt;&gt;"", R15, IF(S15&lt;&gt;"", S15, "")))))))</f>
        <v>cba</v>
      </c>
      <c r="J15" s="3"/>
      <c r="K15" s="3"/>
      <c r="M1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5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15" s="2" t="str">
        <f>IF(OR(ISNUMBER(SEARCH("s2r", Table36[[#This Row],[inst]])),ISNUMBER(SEARCH("s2ur", Table36[[#This Row],[inst]]))), "special", "")</f>
        <v/>
      </c>
      <c r="Q15" s="2" t="str">
        <f>IF(OR(ISNUMBER(SEARCH("stg", Table36[[#This Row],[inst]])),ISNUMBER(SEARCH("ldg", Table36[[#This Row],[inst]]))), "global", "")</f>
        <v/>
      </c>
      <c r="R15" s="2" t="str">
        <f>IF(OR(ISNUMBER(SEARCH("sts", Table36[[#This Row],[inst]])),ISNUMBER(SEARCH("lds", Table36[[#This Row],[inst]]))), "shared", "")</f>
        <v/>
      </c>
      <c r="S15" s="2" t="str">
        <f>IF(OR(ISNUMBER(SEARCH("LDC", Table36[[#This Row],[inst]])),ISNUMBER(SEARCH("STC", Table36[[#This Row],[inst]]))), "ind. const", "")</f>
        <v/>
      </c>
      <c r="T1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Row],[S5]]))),S15=""), "cmb. const", "")</f>
        <v/>
      </c>
      <c r="W15">
        <f>IF(Table36[[#This Row],[Pipeline]]="alu",Table36[[#This Row],[Delay]],0)</f>
        <v>0</v>
      </c>
      <c r="X15">
        <f>IF(AND(Table36[[#This Row],[Pipeline]]="alu",Table7[[#This Row],[const stat]]="new"),290,0)</f>
        <v>0</v>
      </c>
    </row>
    <row r="16" spans="1:25" x14ac:dyDescent="0.2">
      <c r="A16">
        <v>11</v>
      </c>
      <c r="B16" t="s">
        <v>421</v>
      </c>
      <c r="C16" t="s">
        <v>78</v>
      </c>
      <c r="D16" t="s">
        <v>51</v>
      </c>
      <c r="E16" t="s">
        <v>61</v>
      </c>
      <c r="F16" t="s">
        <v>422</v>
      </c>
      <c r="G16" t="s">
        <v>51</v>
      </c>
      <c r="H16" s="3" t="s">
        <v>78</v>
      </c>
      <c r="I16" s="3" t="str">
        <f t="shared" si="1"/>
        <v>alu</v>
      </c>
      <c r="J16" s="3">
        <v>4</v>
      </c>
      <c r="K16" s="3"/>
      <c r="M1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6" s="2" t="str">
        <f>IF(OR(ISNUMBER(SEARCH("s2r", Table36[[#This Row],[inst]])),ISNUMBER(SEARCH("s2ur", Table36[[#This Row],[inst]]))), "special", "")</f>
        <v/>
      </c>
      <c r="Q16" s="2" t="str">
        <f>IF(OR(ISNUMBER(SEARCH("stg", Table36[[#This Row],[inst]])),ISNUMBER(SEARCH("ldg", Table36[[#This Row],[inst]]))), "global", "")</f>
        <v/>
      </c>
      <c r="R16" s="2" t="str">
        <f>IF(OR(ISNUMBER(SEARCH("sts", Table36[[#This Row],[inst]])),ISNUMBER(SEARCH("lds", Table36[[#This Row],[inst]]))), "shared", "")</f>
        <v/>
      </c>
      <c r="S16" s="2" t="str">
        <f>IF(OR(ISNUMBER(SEARCH("LDC", Table36[[#This Row],[inst]])),ISNUMBER(SEARCH("STC", Table36[[#This Row],[inst]]))), "ind. const", "")</f>
        <v/>
      </c>
      <c r="T1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Row],[S5]]))),S16=""), "cmb. const", "")</f>
        <v>cmb. const</v>
      </c>
      <c r="U16" s="2" t="s">
        <v>482</v>
      </c>
      <c r="W16">
        <f>IF(Table36[[#This Row],[Pipeline]]="alu",Table36[[#This Row],[Delay]],0)</f>
        <v>4</v>
      </c>
      <c r="X16">
        <f>IF(AND(Table36[[#This Row],[Pipeline]]="alu",Table7[[#This Row],[const stat]]="new"),290,0)</f>
        <v>290</v>
      </c>
    </row>
    <row r="17" spans="1:24" x14ac:dyDescent="0.2">
      <c r="A17">
        <v>12</v>
      </c>
      <c r="B17" t="s">
        <v>45</v>
      </c>
      <c r="C17" t="s">
        <v>12</v>
      </c>
      <c r="D17" t="s">
        <v>8</v>
      </c>
      <c r="E17" t="s">
        <v>8</v>
      </c>
      <c r="F17" t="s">
        <v>8</v>
      </c>
      <c r="H17" s="3"/>
      <c r="I17" s="3" t="str">
        <f t="shared" si="1"/>
        <v>fma</v>
      </c>
      <c r="J17" s="3">
        <v>4</v>
      </c>
      <c r="K17" s="3"/>
      <c r="M1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1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7" s="2" t="str">
        <f>IF(OR(ISNUMBER(SEARCH("s2r", Table36[[#This Row],[inst]])),ISNUMBER(SEARCH("s2ur", Table36[[#This Row],[inst]]))), "special", "")</f>
        <v/>
      </c>
      <c r="Q17" s="2" t="str">
        <f>IF(OR(ISNUMBER(SEARCH("stg", Table36[[#This Row],[inst]])),ISNUMBER(SEARCH("ldg", Table36[[#This Row],[inst]]))), "global", "")</f>
        <v/>
      </c>
      <c r="R17" s="2" t="str">
        <f>IF(OR(ISNUMBER(SEARCH("sts", Table36[[#This Row],[inst]])),ISNUMBER(SEARCH("lds", Table36[[#This Row],[inst]]))), "shared", "")</f>
        <v/>
      </c>
      <c r="S17" s="2" t="str">
        <f>IF(OR(ISNUMBER(SEARCH("LDC", Table36[[#This Row],[inst]])),ISNUMBER(SEARCH("STC", Table36[[#This Row],[inst]]))), "ind. const", "")</f>
        <v/>
      </c>
      <c r="T1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Row],[S5]]))),S17=""), "cmb. const", "")</f>
        <v/>
      </c>
      <c r="W17">
        <f>IF(Table36[[#This Row],[Pipeline]]="alu",Table36[[#This Row],[Delay]],0)</f>
        <v>0</v>
      </c>
      <c r="X17">
        <f>IF(AND(Table36[[#This Row],[Pipeline]]="alu",Table7[[#This Row],[const stat]]="new"),290,0)</f>
        <v>0</v>
      </c>
    </row>
    <row r="18" spans="1:24" x14ac:dyDescent="0.2">
      <c r="A18">
        <v>13</v>
      </c>
      <c r="B18" t="s">
        <v>14</v>
      </c>
      <c r="C18" t="s">
        <v>60</v>
      </c>
      <c r="D18" t="s">
        <v>46</v>
      </c>
      <c r="E18" t="s">
        <v>423</v>
      </c>
      <c r="F18" t="s">
        <v>8</v>
      </c>
      <c r="H18" s="3"/>
      <c r="I18" s="3" t="str">
        <f t="shared" si="1"/>
        <v>fma</v>
      </c>
      <c r="J18" s="3">
        <v>4</v>
      </c>
      <c r="K18" s="3"/>
      <c r="M1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1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8" s="2" t="str">
        <f>IF(OR(ISNUMBER(SEARCH("s2r", Table36[[#This Row],[inst]])),ISNUMBER(SEARCH("s2ur", Table36[[#This Row],[inst]]))), "special", "")</f>
        <v/>
      </c>
      <c r="Q18" s="2" t="str">
        <f>IF(OR(ISNUMBER(SEARCH("stg", Table36[[#This Row],[inst]])),ISNUMBER(SEARCH("ldg", Table36[[#This Row],[inst]]))), "global", "")</f>
        <v/>
      </c>
      <c r="R18" s="2" t="str">
        <f>IF(OR(ISNUMBER(SEARCH("sts", Table36[[#This Row],[inst]])),ISNUMBER(SEARCH("lds", Table36[[#This Row],[inst]]))), "shared", "")</f>
        <v/>
      </c>
      <c r="S18" s="2" t="str">
        <f>IF(OR(ISNUMBER(SEARCH("LDC", Table36[[#This Row],[inst]])),ISNUMBER(SEARCH("STC", Table36[[#This Row],[inst]]))), "ind. const", "")</f>
        <v/>
      </c>
      <c r="T1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Row],[S5]]))),S18=""), "cmb. const", "")</f>
        <v>cmb. const</v>
      </c>
      <c r="U18" s="2" t="s">
        <v>482</v>
      </c>
      <c r="W18">
        <f>IF(Table36[[#This Row],[Pipeline]]="alu",Table36[[#This Row],[Delay]],0)</f>
        <v>0</v>
      </c>
      <c r="X18">
        <f>IF(AND(Table36[[#This Row],[Pipeline]]="alu",Table7[[#This Row],[const stat]]="new"),290,0)</f>
        <v>0</v>
      </c>
    </row>
    <row r="19" spans="1:24" x14ac:dyDescent="0.2">
      <c r="A19">
        <v>14</v>
      </c>
      <c r="B19" t="s">
        <v>16</v>
      </c>
      <c r="C19" t="s">
        <v>58</v>
      </c>
      <c r="D19" t="s">
        <v>46</v>
      </c>
      <c r="E19" t="s">
        <v>55</v>
      </c>
      <c r="F19" t="s">
        <v>8</v>
      </c>
      <c r="H19" s="3"/>
      <c r="I19" s="3" t="str">
        <f t="shared" si="1"/>
        <v>fma</v>
      </c>
      <c r="J19" s="3">
        <v>4</v>
      </c>
      <c r="K19" s="3"/>
      <c r="M1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1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9" s="2" t="str">
        <f>IF(OR(ISNUMBER(SEARCH("s2r", Table36[[#This Row],[inst]])),ISNUMBER(SEARCH("s2ur", Table36[[#This Row],[inst]]))), "special", "")</f>
        <v/>
      </c>
      <c r="Q19" s="2" t="str">
        <f>IF(OR(ISNUMBER(SEARCH("stg", Table36[[#This Row],[inst]])),ISNUMBER(SEARCH("ldg", Table36[[#This Row],[inst]]))), "global", "")</f>
        <v/>
      </c>
      <c r="R19" s="2" t="str">
        <f>IF(OR(ISNUMBER(SEARCH("sts", Table36[[#This Row],[inst]])),ISNUMBER(SEARCH("lds", Table36[[#This Row],[inst]]))), "shared", "")</f>
        <v/>
      </c>
      <c r="S19" s="2" t="str">
        <f>IF(OR(ISNUMBER(SEARCH("LDC", Table36[[#This Row],[inst]])),ISNUMBER(SEARCH("STC", Table36[[#This Row],[inst]]))), "ind. const", "")</f>
        <v/>
      </c>
      <c r="T1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Row],[S5]]))),S19=""), "cmb. const", "")</f>
        <v>cmb. const</v>
      </c>
      <c r="U19" s="2" t="s">
        <v>781</v>
      </c>
      <c r="W19">
        <f>IF(Table36[[#This Row],[Pipeline]]="alu",Table36[[#This Row],[Delay]],0)</f>
        <v>0</v>
      </c>
      <c r="X19">
        <f>IF(AND(Table36[[#This Row],[Pipeline]]="alu",Table7[[#This Row],[const stat]]="new"),290,0)</f>
        <v>0</v>
      </c>
    </row>
    <row r="20" spans="1:24" x14ac:dyDescent="0.2">
      <c r="A20">
        <v>15</v>
      </c>
      <c r="B20" t="s">
        <v>14</v>
      </c>
      <c r="C20" t="s">
        <v>71</v>
      </c>
      <c r="D20" t="s">
        <v>46</v>
      </c>
      <c r="E20" t="s">
        <v>424</v>
      </c>
      <c r="F20" t="s">
        <v>8</v>
      </c>
      <c r="H20" s="3"/>
      <c r="I20" s="3" t="str">
        <f t="shared" si="1"/>
        <v>fma</v>
      </c>
      <c r="J20" s="3">
        <v>4</v>
      </c>
      <c r="K20" s="3"/>
      <c r="M2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2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0" s="2" t="str">
        <f>IF(OR(ISNUMBER(SEARCH("s2r", Table36[[#This Row],[inst]])),ISNUMBER(SEARCH("s2ur", Table36[[#This Row],[inst]]))), "special", "")</f>
        <v/>
      </c>
      <c r="Q20" s="2" t="str">
        <f>IF(OR(ISNUMBER(SEARCH("stg", Table36[[#This Row],[inst]])),ISNUMBER(SEARCH("ldg", Table36[[#This Row],[inst]]))), "global", "")</f>
        <v/>
      </c>
      <c r="R20" s="2" t="str">
        <f>IF(OR(ISNUMBER(SEARCH("sts", Table36[[#This Row],[inst]])),ISNUMBER(SEARCH("lds", Table36[[#This Row],[inst]]))), "shared", "")</f>
        <v/>
      </c>
      <c r="S20" s="2" t="str">
        <f>IF(OR(ISNUMBER(SEARCH("LDC", Table36[[#This Row],[inst]])),ISNUMBER(SEARCH("STC", Table36[[#This Row],[inst]]))), "ind. const", "")</f>
        <v/>
      </c>
      <c r="T2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Row],[S5]]))),S20=""), "cmb. const", "")</f>
        <v>cmb. const</v>
      </c>
      <c r="U20" s="2" t="s">
        <v>482</v>
      </c>
      <c r="W20">
        <f>IF(Table36[[#This Row],[Pipeline]]="alu",Table36[[#This Row],[Delay]],0)</f>
        <v>0</v>
      </c>
      <c r="X20">
        <f>IF(AND(Table36[[#This Row],[Pipeline]]="alu",Table7[[#This Row],[const stat]]="new"),290,0)</f>
        <v>0</v>
      </c>
    </row>
    <row r="21" spans="1:24" x14ac:dyDescent="0.2">
      <c r="A21">
        <v>16</v>
      </c>
      <c r="B21" t="s">
        <v>26</v>
      </c>
      <c r="C21" t="s">
        <v>82</v>
      </c>
      <c r="D21" t="s">
        <v>27</v>
      </c>
      <c r="E21" t="s">
        <v>60</v>
      </c>
      <c r="F21" t="s">
        <v>8</v>
      </c>
      <c r="H21" s="3"/>
      <c r="I21" s="3" t="str">
        <f t="shared" si="1"/>
        <v>alu</v>
      </c>
      <c r="J21" s="3">
        <v>2</v>
      </c>
      <c r="K21" s="3"/>
      <c r="M2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2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2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1" s="2" t="str">
        <f>IF(OR(ISNUMBER(SEARCH("s2r", Table36[[#This Row],[inst]])),ISNUMBER(SEARCH("s2ur", Table36[[#This Row],[inst]]))), "special", "")</f>
        <v/>
      </c>
      <c r="Q21" s="2" t="str">
        <f>IF(OR(ISNUMBER(SEARCH("stg", Table36[[#This Row],[inst]])),ISNUMBER(SEARCH("ldg", Table36[[#This Row],[inst]]))), "global", "")</f>
        <v/>
      </c>
      <c r="R21" s="2" t="str">
        <f>IF(OR(ISNUMBER(SEARCH("sts", Table36[[#This Row],[inst]])),ISNUMBER(SEARCH("lds", Table36[[#This Row],[inst]]))), "shared", "")</f>
        <v/>
      </c>
      <c r="S21" s="2" t="str">
        <f>IF(OR(ISNUMBER(SEARCH("LDC", Table36[[#This Row],[inst]])),ISNUMBER(SEARCH("STC", Table36[[#This Row],[inst]]))), "ind. const", "")</f>
        <v/>
      </c>
      <c r="T2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Row],[S5]]))),S21=""), "cmb. const", "")</f>
        <v/>
      </c>
      <c r="W21">
        <f>IF(Table36[[#This Row],[Pipeline]]="alu",Table36[[#This Row],[Delay]],0)</f>
        <v>2</v>
      </c>
      <c r="X21">
        <f>IF(AND(Table36[[#This Row],[Pipeline]]="alu",Table7[[#This Row],[const stat]]="new"),290,0)</f>
        <v>0</v>
      </c>
    </row>
    <row r="22" spans="1:24" x14ac:dyDescent="0.2">
      <c r="A22">
        <v>17</v>
      </c>
      <c r="B22" t="s">
        <v>16</v>
      </c>
      <c r="C22" t="s">
        <v>4</v>
      </c>
      <c r="D22" t="s">
        <v>46</v>
      </c>
      <c r="E22" t="s">
        <v>20</v>
      </c>
      <c r="F22" t="s">
        <v>8</v>
      </c>
      <c r="H22" s="3"/>
      <c r="I22" s="3" t="str">
        <f t="shared" si="1"/>
        <v>fma</v>
      </c>
      <c r="J22" s="3">
        <v>4</v>
      </c>
      <c r="K22" s="3"/>
      <c r="M2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2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2" s="2" t="str">
        <f>IF(OR(ISNUMBER(SEARCH("s2r", Table36[[#This Row],[inst]])),ISNUMBER(SEARCH("s2ur", Table36[[#This Row],[inst]]))), "special", "")</f>
        <v/>
      </c>
      <c r="Q22" s="2" t="str">
        <f>IF(OR(ISNUMBER(SEARCH("stg", Table36[[#This Row],[inst]])),ISNUMBER(SEARCH("ldg", Table36[[#This Row],[inst]]))), "global", "")</f>
        <v/>
      </c>
      <c r="R22" s="2" t="str">
        <f>IF(OR(ISNUMBER(SEARCH("sts", Table36[[#This Row],[inst]])),ISNUMBER(SEARCH("lds", Table36[[#This Row],[inst]]))), "shared", "")</f>
        <v/>
      </c>
      <c r="S22" s="2" t="str">
        <f>IF(OR(ISNUMBER(SEARCH("LDC", Table36[[#This Row],[inst]])),ISNUMBER(SEARCH("STC", Table36[[#This Row],[inst]]))), "ind. const", "")</f>
        <v/>
      </c>
      <c r="T2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Row],[S5]]))),S22=""), "cmb. const", "")</f>
        <v>cmb. const</v>
      </c>
      <c r="U22" s="2" t="s">
        <v>781</v>
      </c>
      <c r="W22">
        <f>IF(Table36[[#This Row],[Pipeline]]="alu",Table36[[#This Row],[Delay]],0)</f>
        <v>0</v>
      </c>
      <c r="X22">
        <f>IF(AND(Table36[[#This Row],[Pipeline]]="alu",Table7[[#This Row],[const stat]]="new"),290,0)</f>
        <v>0</v>
      </c>
    </row>
    <row r="23" spans="1:24" x14ac:dyDescent="0.2">
      <c r="A23">
        <v>18</v>
      </c>
      <c r="B23" t="s">
        <v>425</v>
      </c>
      <c r="C23" t="s">
        <v>23</v>
      </c>
      <c r="D23" t="s">
        <v>7</v>
      </c>
      <c r="E23" t="s">
        <v>75</v>
      </c>
      <c r="F23" t="s">
        <v>71</v>
      </c>
      <c r="H23" s="3"/>
      <c r="I23" s="3" t="str">
        <f t="shared" si="1"/>
        <v>fma</v>
      </c>
      <c r="J23" s="3">
        <v>4</v>
      </c>
      <c r="K23" s="3"/>
      <c r="M2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2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3" s="2" t="str">
        <f>IF(OR(ISNUMBER(SEARCH("s2r", Table36[[#This Row],[inst]])),ISNUMBER(SEARCH("s2ur", Table36[[#This Row],[inst]]))), "special", "")</f>
        <v/>
      </c>
      <c r="Q23" s="2" t="str">
        <f>IF(OR(ISNUMBER(SEARCH("stg", Table36[[#This Row],[inst]])),ISNUMBER(SEARCH("ldg", Table36[[#This Row],[inst]]))), "global", "")</f>
        <v/>
      </c>
      <c r="R23" s="2" t="str">
        <f>IF(OR(ISNUMBER(SEARCH("sts", Table36[[#This Row],[inst]])),ISNUMBER(SEARCH("lds", Table36[[#This Row],[inst]]))), "shared", "")</f>
        <v/>
      </c>
      <c r="S23" s="2" t="str">
        <f>IF(OR(ISNUMBER(SEARCH("LDC", Table36[[#This Row],[inst]])),ISNUMBER(SEARCH("STC", Table36[[#This Row],[inst]]))), "ind. const", "")</f>
        <v/>
      </c>
      <c r="T2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Row],[S5]]))),S23=""), "cmb. const", "")</f>
        <v/>
      </c>
      <c r="W23">
        <f>IF(Table36[[#This Row],[Pipeline]]="alu",Table36[[#This Row],[Delay]],0)</f>
        <v>0</v>
      </c>
      <c r="X23">
        <f>IF(AND(Table36[[#This Row],[Pipeline]]="alu",Table7[[#This Row],[const stat]]="new"),290,0)</f>
        <v>0</v>
      </c>
    </row>
    <row r="24" spans="1:24" x14ac:dyDescent="0.2">
      <c r="A24">
        <v>19</v>
      </c>
      <c r="B24" t="s">
        <v>3</v>
      </c>
      <c r="C24" t="s">
        <v>19</v>
      </c>
      <c r="D24" t="s">
        <v>5</v>
      </c>
      <c r="H24" s="3"/>
      <c r="I24" s="3" t="str">
        <f t="shared" si="1"/>
        <v>special</v>
      </c>
      <c r="J24" s="25">
        <v>10</v>
      </c>
      <c r="K24" s="3"/>
      <c r="M2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2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4" s="2" t="str">
        <f>IF(OR(ISNUMBER(SEARCH("s2r", Table36[[#This Row],[inst]])),ISNUMBER(SEARCH("s2ur", Table36[[#This Row],[inst]]))), "special", "")</f>
        <v>special</v>
      </c>
      <c r="Q24" s="2" t="str">
        <f>IF(OR(ISNUMBER(SEARCH("stg", Table36[[#This Row],[inst]])),ISNUMBER(SEARCH("ldg", Table36[[#This Row],[inst]]))), "global", "")</f>
        <v/>
      </c>
      <c r="R24" s="2" t="str">
        <f>IF(OR(ISNUMBER(SEARCH("sts", Table36[[#This Row],[inst]])),ISNUMBER(SEARCH("lds", Table36[[#This Row],[inst]]))), "shared", "")</f>
        <v/>
      </c>
      <c r="S24" s="2" t="str">
        <f>IF(OR(ISNUMBER(SEARCH("LDC", Table36[[#This Row],[inst]])),ISNUMBER(SEARCH("STC", Table36[[#This Row],[inst]]))), "ind. const", "")</f>
        <v/>
      </c>
      <c r="T2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Row],[S5]]))),S24=""), "cmb. const", "")</f>
        <v/>
      </c>
      <c r="W24">
        <f>IF(Table36[[#This Row],[Pipeline]]="alu",Table36[[#This Row],[Delay]],0)</f>
        <v>0</v>
      </c>
      <c r="X24">
        <f>IF(AND(Table36[[#This Row],[Pipeline]]="alu",Table7[[#This Row],[const stat]]="new"),290,0)</f>
        <v>0</v>
      </c>
    </row>
    <row r="25" spans="1:24" x14ac:dyDescent="0.2">
      <c r="A25">
        <v>20</v>
      </c>
      <c r="B25" t="s">
        <v>426</v>
      </c>
      <c r="C25" t="s">
        <v>50</v>
      </c>
      <c r="D25" t="s">
        <v>51</v>
      </c>
      <c r="E25" t="s">
        <v>84</v>
      </c>
      <c r="F25" t="s">
        <v>75</v>
      </c>
      <c r="G25" t="s">
        <v>51</v>
      </c>
      <c r="H25" s="3"/>
      <c r="I25" s="3" t="str">
        <f t="shared" si="1"/>
        <v>alu</v>
      </c>
      <c r="J25" s="3">
        <v>4</v>
      </c>
      <c r="K25" s="3"/>
      <c r="M2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2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2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5" s="2" t="str">
        <f>IF(OR(ISNUMBER(SEARCH("s2r", Table36[[#This Row],[inst]])),ISNUMBER(SEARCH("s2ur", Table36[[#This Row],[inst]]))), "special", "")</f>
        <v/>
      </c>
      <c r="Q25" s="2" t="str">
        <f>IF(OR(ISNUMBER(SEARCH("stg", Table36[[#This Row],[inst]])),ISNUMBER(SEARCH("ldg", Table36[[#This Row],[inst]]))), "global", "")</f>
        <v/>
      </c>
      <c r="R25" s="2" t="str">
        <f>IF(OR(ISNUMBER(SEARCH("sts", Table36[[#This Row],[inst]])),ISNUMBER(SEARCH("lds", Table36[[#This Row],[inst]]))), "shared", "")</f>
        <v/>
      </c>
      <c r="S25" s="2" t="str">
        <f>IF(OR(ISNUMBER(SEARCH("LDC", Table36[[#This Row],[inst]])),ISNUMBER(SEARCH("STC", Table36[[#This Row],[inst]]))), "ind. const", "")</f>
        <v/>
      </c>
      <c r="T2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Row],[S5]]))),S25=""), "cmb. const", "")</f>
        <v/>
      </c>
      <c r="W25">
        <f>IF(Table36[[#This Row],[Pipeline]]="alu",Table36[[#This Row],[Delay]],0)</f>
        <v>4</v>
      </c>
      <c r="X25">
        <f>IF(AND(Table36[[#This Row],[Pipeline]]="alu",Table7[[#This Row],[const stat]]="new"),290,0)</f>
        <v>0</v>
      </c>
    </row>
    <row r="26" spans="1:24" x14ac:dyDescent="0.2">
      <c r="A26">
        <v>21</v>
      </c>
      <c r="B26" t="s">
        <v>45</v>
      </c>
      <c r="C26" t="s">
        <v>61</v>
      </c>
      <c r="D26" t="s">
        <v>8</v>
      </c>
      <c r="E26" t="s">
        <v>8</v>
      </c>
      <c r="F26" t="s">
        <v>17</v>
      </c>
      <c r="H26" s="3"/>
      <c r="I26" s="3" t="str">
        <f t="shared" si="1"/>
        <v>fma</v>
      </c>
      <c r="J26" s="3">
        <v>4</v>
      </c>
      <c r="K26" s="3"/>
      <c r="M2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2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6" s="2" t="str">
        <f>IF(OR(ISNUMBER(SEARCH("s2r", Table36[[#This Row],[inst]])),ISNUMBER(SEARCH("s2ur", Table36[[#This Row],[inst]]))), "special", "")</f>
        <v/>
      </c>
      <c r="Q26" s="2" t="str">
        <f>IF(OR(ISNUMBER(SEARCH("stg", Table36[[#This Row],[inst]])),ISNUMBER(SEARCH("ldg", Table36[[#This Row],[inst]]))), "global", "")</f>
        <v/>
      </c>
      <c r="R26" s="2" t="str">
        <f>IF(OR(ISNUMBER(SEARCH("sts", Table36[[#This Row],[inst]])),ISNUMBER(SEARCH("lds", Table36[[#This Row],[inst]]))), "shared", "")</f>
        <v/>
      </c>
      <c r="S26" s="2" t="str">
        <f>IF(OR(ISNUMBER(SEARCH("LDC", Table36[[#This Row],[inst]])),ISNUMBER(SEARCH("STC", Table36[[#This Row],[inst]]))), "ind. const", "")</f>
        <v/>
      </c>
      <c r="T2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Row],[S5]]))),S26=""), "cmb. const", "")</f>
        <v/>
      </c>
      <c r="W26">
        <f>IF(Table36[[#This Row],[Pipeline]]="alu",Table36[[#This Row],[Delay]],0)</f>
        <v>0</v>
      </c>
      <c r="X26">
        <f>IF(AND(Table36[[#This Row],[Pipeline]]="alu",Table7[[#This Row],[const stat]]="new"),290,0)</f>
        <v>0</v>
      </c>
    </row>
    <row r="27" spans="1:24" x14ac:dyDescent="0.2">
      <c r="A27">
        <v>22</v>
      </c>
      <c r="B27" t="s">
        <v>427</v>
      </c>
      <c r="C27" t="s">
        <v>60</v>
      </c>
      <c r="D27" t="s">
        <v>8</v>
      </c>
      <c r="E27" t="s">
        <v>428</v>
      </c>
      <c r="F27" t="s">
        <v>17</v>
      </c>
      <c r="H27" s="3"/>
      <c r="I27" s="3" t="str">
        <f t="shared" si="1"/>
        <v>alu</v>
      </c>
      <c r="J27" s="3">
        <v>4</v>
      </c>
      <c r="K27" s="3"/>
      <c r="M2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2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2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7" s="2" t="str">
        <f>IF(OR(ISNUMBER(SEARCH("s2r", Table36[[#This Row],[inst]])),ISNUMBER(SEARCH("s2ur", Table36[[#This Row],[inst]]))), "special", "")</f>
        <v/>
      </c>
      <c r="Q27" s="2" t="str">
        <f>IF(OR(ISNUMBER(SEARCH("stg", Table36[[#This Row],[inst]])),ISNUMBER(SEARCH("ldg", Table36[[#This Row],[inst]]))), "global", "")</f>
        <v/>
      </c>
      <c r="R27" s="2" t="str">
        <f>IF(OR(ISNUMBER(SEARCH("sts", Table36[[#This Row],[inst]])),ISNUMBER(SEARCH("lds", Table36[[#This Row],[inst]]))), "shared", "")</f>
        <v/>
      </c>
      <c r="S27" s="2" t="str">
        <f>IF(OR(ISNUMBER(SEARCH("LDC", Table36[[#This Row],[inst]])),ISNUMBER(SEARCH("STC", Table36[[#This Row],[inst]]))), "ind. const", "")</f>
        <v/>
      </c>
      <c r="T2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Row],[S5]]))),S27=""), "cmb. const", "")</f>
        <v/>
      </c>
      <c r="W27">
        <f>IF(Table36[[#This Row],[Pipeline]]="alu",Table36[[#This Row],[Delay]],0)</f>
        <v>4</v>
      </c>
      <c r="X27">
        <f>IF(AND(Table36[[#This Row],[Pipeline]]="alu",Table7[[#This Row],[const stat]]="new"),290,0)</f>
        <v>0</v>
      </c>
    </row>
    <row r="28" spans="1:24" x14ac:dyDescent="0.2">
      <c r="A28">
        <v>23</v>
      </c>
      <c r="B28" t="s">
        <v>429</v>
      </c>
      <c r="C28" t="s">
        <v>50</v>
      </c>
      <c r="D28" t="s">
        <v>51</v>
      </c>
      <c r="E28" t="s">
        <v>8</v>
      </c>
      <c r="F28" t="s">
        <v>414</v>
      </c>
      <c r="G28" t="s">
        <v>51</v>
      </c>
      <c r="H28" s="3" t="s">
        <v>50</v>
      </c>
      <c r="I28" s="3" t="str">
        <f t="shared" si="1"/>
        <v>alu</v>
      </c>
      <c r="J28" s="3">
        <v>4</v>
      </c>
      <c r="K28" s="3"/>
      <c r="M2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2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2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8" s="2" t="str">
        <f>IF(OR(ISNUMBER(SEARCH("s2r", Table36[[#This Row],[inst]])),ISNUMBER(SEARCH("s2ur", Table36[[#This Row],[inst]]))), "special", "")</f>
        <v/>
      </c>
      <c r="Q28" s="2" t="str">
        <f>IF(OR(ISNUMBER(SEARCH("stg", Table36[[#This Row],[inst]])),ISNUMBER(SEARCH("ldg", Table36[[#This Row],[inst]]))), "global", "")</f>
        <v/>
      </c>
      <c r="R28" s="2" t="str">
        <f>IF(OR(ISNUMBER(SEARCH("sts", Table36[[#This Row],[inst]])),ISNUMBER(SEARCH("lds", Table36[[#This Row],[inst]]))), "shared", "")</f>
        <v/>
      </c>
      <c r="S28" s="2" t="str">
        <f>IF(OR(ISNUMBER(SEARCH("LDC", Table36[[#This Row],[inst]])),ISNUMBER(SEARCH("STC", Table36[[#This Row],[inst]]))), "ind. const", "")</f>
        <v/>
      </c>
      <c r="T2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Row],[S5]]))),S28=""), "cmb. const", "")</f>
        <v>cmb. const</v>
      </c>
      <c r="U28" s="2" t="s">
        <v>781</v>
      </c>
      <c r="W28">
        <f>IF(Table36[[#This Row],[Pipeline]]="alu",Table36[[#This Row],[Delay]],0)</f>
        <v>4</v>
      </c>
      <c r="X28">
        <f>IF(AND(Table36[[#This Row],[Pipeline]]="alu",Table7[[#This Row],[const stat]]="new"),290,0)</f>
        <v>0</v>
      </c>
    </row>
    <row r="29" spans="1:24" x14ac:dyDescent="0.2">
      <c r="A29">
        <v>24</v>
      </c>
      <c r="B29" t="s">
        <v>16</v>
      </c>
      <c r="C29" t="s">
        <v>430</v>
      </c>
      <c r="D29" t="s">
        <v>19</v>
      </c>
      <c r="E29" t="s">
        <v>431</v>
      </c>
      <c r="F29" t="s">
        <v>61</v>
      </c>
      <c r="H29" s="3"/>
      <c r="I29" s="3" t="str">
        <f t="shared" si="1"/>
        <v>fma</v>
      </c>
      <c r="J29" s="3">
        <v>4</v>
      </c>
      <c r="K29" s="3"/>
      <c r="M2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2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2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29" s="2" t="str">
        <f>IF(OR(ISNUMBER(SEARCH("s2r", Table36[[#This Row],[inst]])),ISNUMBER(SEARCH("s2ur", Table36[[#This Row],[inst]]))), "special", "")</f>
        <v/>
      </c>
      <c r="Q29" s="2" t="str">
        <f>IF(OR(ISNUMBER(SEARCH("stg", Table36[[#This Row],[inst]])),ISNUMBER(SEARCH("ldg", Table36[[#This Row],[inst]]))), "global", "")</f>
        <v/>
      </c>
      <c r="R29" s="2" t="str">
        <f>IF(OR(ISNUMBER(SEARCH("sts", Table36[[#This Row],[inst]])),ISNUMBER(SEARCH("lds", Table36[[#This Row],[inst]]))), "shared", "")</f>
        <v/>
      </c>
      <c r="S29" s="2" t="str">
        <f>IF(OR(ISNUMBER(SEARCH("LDC", Table36[[#This Row],[inst]])),ISNUMBER(SEARCH("STC", Table36[[#This Row],[inst]]))), "ind. const", "")</f>
        <v/>
      </c>
      <c r="T2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Row],[S5]]))),S29=""), "cmb. const", "")</f>
        <v/>
      </c>
      <c r="W29">
        <f>IF(Table36[[#This Row],[Pipeline]]="alu",Table36[[#This Row],[Delay]],0)</f>
        <v>0</v>
      </c>
      <c r="X29">
        <f>IF(AND(Table36[[#This Row],[Pipeline]]="alu",Table7[[#This Row],[const stat]]="new"),290,0)</f>
        <v>0</v>
      </c>
    </row>
    <row r="30" spans="1:24" x14ac:dyDescent="0.2">
      <c r="A30">
        <v>25</v>
      </c>
      <c r="B30" t="s">
        <v>0</v>
      </c>
      <c r="C30" t="s">
        <v>84</v>
      </c>
      <c r="D30" t="s">
        <v>430</v>
      </c>
      <c r="H30" s="3"/>
      <c r="I30" s="3" t="s">
        <v>95</v>
      </c>
      <c r="J30" s="3">
        <v>1</v>
      </c>
      <c r="K30" s="3"/>
      <c r="M3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3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0" s="2" t="str">
        <f>IF(OR(ISNUMBER(SEARCH("s2r", Table36[[#This Row],[inst]])),ISNUMBER(SEARCH("s2ur", Table36[[#This Row],[inst]]))), "special", "")</f>
        <v/>
      </c>
      <c r="Q30" s="2" t="str">
        <f>IF(OR(ISNUMBER(SEARCH("stg", Table36[[#This Row],[inst]])),ISNUMBER(SEARCH("ldg", Table36[[#This Row],[inst]]))), "global", "")</f>
        <v/>
      </c>
      <c r="R30" s="2" t="str">
        <f>IF(OR(ISNUMBER(SEARCH("sts", Table36[[#This Row],[inst]])),ISNUMBER(SEARCH("lds", Table36[[#This Row],[inst]]))), "shared", "")</f>
        <v/>
      </c>
      <c r="S30" s="2" t="str">
        <f>IF(OR(ISNUMBER(SEARCH("LDC", Table36[[#This Row],[inst]])),ISNUMBER(SEARCH("STC", Table36[[#This Row],[inst]]))), "ind. const", "")</f>
        <v/>
      </c>
      <c r="T3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Row],[S5]]))),S30=""), "cmb. const", "")</f>
        <v/>
      </c>
      <c r="W30">
        <f>IF(Table36[[#This Row],[Pipeline]]="alu",Table36[[#This Row],[Delay]],0)</f>
        <v>1</v>
      </c>
      <c r="X30">
        <f>IF(AND(Table36[[#This Row],[Pipeline]]="alu",Table7[[#This Row],[const stat]]="new"),290,0)</f>
        <v>0</v>
      </c>
    </row>
    <row r="31" spans="1:24" x14ac:dyDescent="0.2">
      <c r="A31">
        <v>26</v>
      </c>
      <c r="B31" t="s">
        <v>87</v>
      </c>
      <c r="C31" t="s">
        <v>50</v>
      </c>
      <c r="D31" t="s">
        <v>51</v>
      </c>
      <c r="E31" t="s">
        <v>84</v>
      </c>
      <c r="F31" t="s">
        <v>432</v>
      </c>
      <c r="G31" t="s">
        <v>51</v>
      </c>
      <c r="H31" s="3"/>
      <c r="I31" s="3" t="str">
        <f t="shared" si="1"/>
        <v>alu</v>
      </c>
      <c r="J31" s="3">
        <v>4</v>
      </c>
      <c r="K31" s="3"/>
      <c r="M3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1" s="2" t="str">
        <f>IF(OR(ISNUMBER(SEARCH("s2r", Table36[[#This Row],[inst]])),ISNUMBER(SEARCH("s2ur", Table36[[#This Row],[inst]]))), "special", "")</f>
        <v/>
      </c>
      <c r="Q31" s="2" t="str">
        <f>IF(OR(ISNUMBER(SEARCH("stg", Table36[[#This Row],[inst]])),ISNUMBER(SEARCH("ldg", Table36[[#This Row],[inst]]))), "global", "")</f>
        <v/>
      </c>
      <c r="R31" s="2" t="str">
        <f>IF(OR(ISNUMBER(SEARCH("sts", Table36[[#This Row],[inst]])),ISNUMBER(SEARCH("lds", Table36[[#This Row],[inst]]))), "shared", "")</f>
        <v/>
      </c>
      <c r="S31" s="2" t="str">
        <f>IF(OR(ISNUMBER(SEARCH("LDC", Table36[[#This Row],[inst]])),ISNUMBER(SEARCH("STC", Table36[[#This Row],[inst]]))), "ind. const", "")</f>
        <v/>
      </c>
      <c r="T3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Row],[S5]]))),S31=""), "cmb. const", "")</f>
        <v>cmb. const</v>
      </c>
      <c r="U31" s="2" t="s">
        <v>482</v>
      </c>
      <c r="W31">
        <f>IF(Table36[[#This Row],[Pipeline]]="alu",Table36[[#This Row],[Delay]],0)</f>
        <v>4</v>
      </c>
      <c r="X31">
        <f>IF(AND(Table36[[#This Row],[Pipeline]]="alu",Table7[[#This Row],[const stat]]="new"),290,0)</f>
        <v>290</v>
      </c>
    </row>
    <row r="32" spans="1:24" x14ac:dyDescent="0.2">
      <c r="A32">
        <v>27</v>
      </c>
      <c r="B32" t="s">
        <v>433</v>
      </c>
      <c r="C32" t="s">
        <v>50</v>
      </c>
      <c r="D32" t="s">
        <v>51</v>
      </c>
      <c r="E32" t="s">
        <v>71</v>
      </c>
      <c r="F32" t="s">
        <v>434</v>
      </c>
      <c r="G32" t="s">
        <v>51</v>
      </c>
      <c r="H32" s="3" t="s">
        <v>50</v>
      </c>
      <c r="I32" s="3" t="str">
        <f t="shared" si="1"/>
        <v>alu</v>
      </c>
      <c r="J32" s="3">
        <v>4</v>
      </c>
      <c r="K32" s="3"/>
      <c r="M3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2" s="2" t="str">
        <f>IF(OR(ISNUMBER(SEARCH("s2r", Table36[[#This Row],[inst]])),ISNUMBER(SEARCH("s2ur", Table36[[#This Row],[inst]]))), "special", "")</f>
        <v/>
      </c>
      <c r="Q32" s="2" t="str">
        <f>IF(OR(ISNUMBER(SEARCH("stg", Table36[[#This Row],[inst]])),ISNUMBER(SEARCH("ldg", Table36[[#This Row],[inst]]))), "global", "")</f>
        <v/>
      </c>
      <c r="R32" s="2" t="str">
        <f>IF(OR(ISNUMBER(SEARCH("sts", Table36[[#This Row],[inst]])),ISNUMBER(SEARCH("lds", Table36[[#This Row],[inst]]))), "shared", "")</f>
        <v/>
      </c>
      <c r="S32" s="2" t="str">
        <f>IF(OR(ISNUMBER(SEARCH("LDC", Table36[[#This Row],[inst]])),ISNUMBER(SEARCH("STC", Table36[[#This Row],[inst]]))), "ind. const", "")</f>
        <v/>
      </c>
      <c r="T3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Row],[S5]]))),S32=""), "cmb. const", "")</f>
        <v>cmb. const</v>
      </c>
      <c r="U32" s="2" t="s">
        <v>781</v>
      </c>
      <c r="W32">
        <f>IF(Table36[[#This Row],[Pipeline]]="alu",Table36[[#This Row],[Delay]],0)</f>
        <v>4</v>
      </c>
      <c r="X32">
        <f>IF(AND(Table36[[#This Row],[Pipeline]]="alu",Table7[[#This Row],[const stat]]="new"),290,0)</f>
        <v>0</v>
      </c>
    </row>
    <row r="33" spans="1:24" x14ac:dyDescent="0.2">
      <c r="A33">
        <v>28</v>
      </c>
      <c r="B33" t="s">
        <v>359</v>
      </c>
      <c r="C33" t="s">
        <v>435</v>
      </c>
      <c r="H33" s="3"/>
      <c r="I33" s="3" t="str">
        <f t="shared" si="1"/>
        <v>cba</v>
      </c>
      <c r="J33" s="3"/>
      <c r="K33" s="3" t="s">
        <v>770</v>
      </c>
      <c r="M3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33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33" s="2" t="str">
        <f>IF(OR(ISNUMBER(SEARCH("s2r", Table36[[#This Row],[inst]])),ISNUMBER(SEARCH("s2ur", Table36[[#This Row],[inst]]))), "special", "")</f>
        <v/>
      </c>
      <c r="Q33" s="2" t="str">
        <f>IF(OR(ISNUMBER(SEARCH("stg", Table36[[#This Row],[inst]])),ISNUMBER(SEARCH("ldg", Table36[[#This Row],[inst]]))), "global", "")</f>
        <v/>
      </c>
      <c r="R33" s="2" t="str">
        <f>IF(OR(ISNUMBER(SEARCH("sts", Table36[[#This Row],[inst]])),ISNUMBER(SEARCH("lds", Table36[[#This Row],[inst]]))), "shared", "")</f>
        <v/>
      </c>
      <c r="S33" s="2" t="str">
        <f>IF(OR(ISNUMBER(SEARCH("LDC", Table36[[#This Row],[inst]])),ISNUMBER(SEARCH("STC", Table36[[#This Row],[inst]]))), "ind. const", "")</f>
        <v/>
      </c>
      <c r="T3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Row],[S5]]))),S33=""), "cmb. const", "")</f>
        <v/>
      </c>
      <c r="W33">
        <f>IF(Table36[[#This Row],[Pipeline]]="alu",Table36[[#This Row],[Delay]],0)</f>
        <v>0</v>
      </c>
      <c r="X33">
        <f>IF(AND(Table36[[#This Row],[Pipeline]]="alu",Table7[[#This Row],[const stat]]="new"),290,0)</f>
        <v>0</v>
      </c>
    </row>
    <row r="34" spans="1:24" x14ac:dyDescent="0.2">
      <c r="A34">
        <v>29</v>
      </c>
      <c r="B34" t="s">
        <v>45</v>
      </c>
      <c r="C34" t="s">
        <v>12</v>
      </c>
      <c r="D34" t="s">
        <v>8</v>
      </c>
      <c r="E34" t="s">
        <v>8</v>
      </c>
      <c r="F34" t="s">
        <v>8</v>
      </c>
      <c r="H34" s="3"/>
      <c r="I34" s="3" t="str">
        <f t="shared" si="1"/>
        <v>fma</v>
      </c>
      <c r="J34" s="3">
        <v>4</v>
      </c>
      <c r="K34" s="3"/>
      <c r="M3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3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3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4" s="2" t="str">
        <f>IF(OR(ISNUMBER(SEARCH("s2r", Table36[[#This Row],[inst]])),ISNUMBER(SEARCH("s2ur", Table36[[#This Row],[inst]]))), "special", "")</f>
        <v/>
      </c>
      <c r="Q34" s="2" t="str">
        <f>IF(OR(ISNUMBER(SEARCH("stg", Table36[[#This Row],[inst]])),ISNUMBER(SEARCH("ldg", Table36[[#This Row],[inst]]))), "global", "")</f>
        <v/>
      </c>
      <c r="R34" s="2" t="str">
        <f>IF(OR(ISNUMBER(SEARCH("sts", Table36[[#This Row],[inst]])),ISNUMBER(SEARCH("lds", Table36[[#This Row],[inst]]))), "shared", "")</f>
        <v/>
      </c>
      <c r="S34" s="2" t="str">
        <f>IF(OR(ISNUMBER(SEARCH("LDC", Table36[[#This Row],[inst]])),ISNUMBER(SEARCH("STC", Table36[[#This Row],[inst]]))), "ind. const", "")</f>
        <v/>
      </c>
      <c r="T3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Row],[S5]]))),S34=""), "cmb. const", "")</f>
        <v/>
      </c>
      <c r="W34">
        <f>IF(Table36[[#This Row],[Pipeline]]="alu",Table36[[#This Row],[Delay]],0)</f>
        <v>0</v>
      </c>
      <c r="X34">
        <f>IF(AND(Table36[[#This Row],[Pipeline]]="alu",Table7[[#This Row],[const stat]]="new"),290,0)</f>
        <v>0</v>
      </c>
    </row>
    <row r="35" spans="1:24" x14ac:dyDescent="0.2">
      <c r="A35">
        <v>30</v>
      </c>
      <c r="B35" t="s">
        <v>26</v>
      </c>
      <c r="C35" t="s">
        <v>60</v>
      </c>
      <c r="D35" t="s">
        <v>50</v>
      </c>
      <c r="E35" t="s">
        <v>84</v>
      </c>
      <c r="F35" t="s">
        <v>58</v>
      </c>
      <c r="G35" t="s">
        <v>8</v>
      </c>
      <c r="H35" s="3"/>
      <c r="I35" s="3" t="str">
        <f t="shared" si="1"/>
        <v>alu</v>
      </c>
      <c r="J35" s="3">
        <v>2</v>
      </c>
      <c r="K35" s="3"/>
      <c r="M3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5" s="2" t="str">
        <f>IF(OR(ISNUMBER(SEARCH("s2r", Table36[[#This Row],[inst]])),ISNUMBER(SEARCH("s2ur", Table36[[#This Row],[inst]]))), "special", "")</f>
        <v/>
      </c>
      <c r="Q35" s="2" t="str">
        <f>IF(OR(ISNUMBER(SEARCH("stg", Table36[[#This Row],[inst]])),ISNUMBER(SEARCH("ldg", Table36[[#This Row],[inst]]))), "global", "")</f>
        <v/>
      </c>
      <c r="R35" s="2" t="str">
        <f>IF(OR(ISNUMBER(SEARCH("sts", Table36[[#This Row],[inst]])),ISNUMBER(SEARCH("lds", Table36[[#This Row],[inst]]))), "shared", "")</f>
        <v/>
      </c>
      <c r="S35" s="2" t="str">
        <f>IF(OR(ISNUMBER(SEARCH("LDC", Table36[[#This Row],[inst]])),ISNUMBER(SEARCH("STC", Table36[[#This Row],[inst]]))), "ind. const", "")</f>
        <v/>
      </c>
      <c r="T3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Row],[S5]]))),S35=""), "cmb. const", "")</f>
        <v/>
      </c>
      <c r="W35">
        <f>IF(Table36[[#This Row],[Pipeline]]="alu",Table36[[#This Row],[Delay]],0)</f>
        <v>2</v>
      </c>
      <c r="X35">
        <f>IF(AND(Table36[[#This Row],[Pipeline]]="alu",Table7[[#This Row],[const stat]]="new"),290,0)</f>
        <v>0</v>
      </c>
    </row>
    <row r="36" spans="1:24" x14ac:dyDescent="0.2">
      <c r="A36">
        <v>31</v>
      </c>
      <c r="B36" t="s">
        <v>26</v>
      </c>
      <c r="C36" t="s">
        <v>436</v>
      </c>
      <c r="D36" t="s">
        <v>78</v>
      </c>
      <c r="E36" t="s">
        <v>84</v>
      </c>
      <c r="F36" t="s">
        <v>4</v>
      </c>
      <c r="G36" t="s">
        <v>8</v>
      </c>
      <c r="H36" s="3"/>
      <c r="I36" s="3" t="str">
        <f t="shared" si="1"/>
        <v>alu</v>
      </c>
      <c r="J36" s="3">
        <v>2</v>
      </c>
      <c r="K36" s="3"/>
      <c r="M3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6" s="2" t="str">
        <f>IF(OR(ISNUMBER(SEARCH("s2r", Table36[[#This Row],[inst]])),ISNUMBER(SEARCH("s2ur", Table36[[#This Row],[inst]]))), "special", "")</f>
        <v/>
      </c>
      <c r="Q36" s="2" t="str">
        <f>IF(OR(ISNUMBER(SEARCH("stg", Table36[[#This Row],[inst]])),ISNUMBER(SEARCH("ldg", Table36[[#This Row],[inst]]))), "global", "")</f>
        <v/>
      </c>
      <c r="R36" s="2" t="str">
        <f>IF(OR(ISNUMBER(SEARCH("sts", Table36[[#This Row],[inst]])),ISNUMBER(SEARCH("lds", Table36[[#This Row],[inst]]))), "shared", "")</f>
        <v/>
      </c>
      <c r="S36" s="2" t="str">
        <f>IF(OR(ISNUMBER(SEARCH("LDC", Table36[[#This Row],[inst]])),ISNUMBER(SEARCH("STC", Table36[[#This Row],[inst]]))), "ind. const", "")</f>
        <v/>
      </c>
      <c r="T3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Row],[S5]]))),S36=""), "cmb. const", "")</f>
        <v/>
      </c>
      <c r="W36">
        <f>IF(Table36[[#This Row],[Pipeline]]="alu",Table36[[#This Row],[Delay]],0)</f>
        <v>2</v>
      </c>
      <c r="X36">
        <f>IF(AND(Table36[[#This Row],[Pipeline]]="alu",Table7[[#This Row],[const stat]]="new"),290,0)</f>
        <v>0</v>
      </c>
    </row>
    <row r="37" spans="1:24" x14ac:dyDescent="0.2">
      <c r="A37">
        <v>32</v>
      </c>
      <c r="B37" t="s">
        <v>437</v>
      </c>
      <c r="C37" t="s">
        <v>430</v>
      </c>
      <c r="D37" t="s">
        <v>71</v>
      </c>
      <c r="E37" t="s">
        <v>75</v>
      </c>
      <c r="F37" t="s">
        <v>82</v>
      </c>
      <c r="G37" t="s">
        <v>50</v>
      </c>
      <c r="H37" s="3"/>
      <c r="I37" s="3" t="str">
        <f t="shared" si="1"/>
        <v>fma</v>
      </c>
      <c r="J37" s="3">
        <v>4</v>
      </c>
      <c r="K37" s="3"/>
      <c r="M3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3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3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7" s="2" t="str">
        <f>IF(OR(ISNUMBER(SEARCH("s2r", Table36[[#This Row],[inst]])),ISNUMBER(SEARCH("s2ur", Table36[[#This Row],[inst]]))), "special", "")</f>
        <v/>
      </c>
      <c r="Q37" s="2" t="str">
        <f>IF(OR(ISNUMBER(SEARCH("stg", Table36[[#This Row],[inst]])),ISNUMBER(SEARCH("ldg", Table36[[#This Row],[inst]]))), "global", "")</f>
        <v/>
      </c>
      <c r="R37" s="2" t="str">
        <f>IF(OR(ISNUMBER(SEARCH("sts", Table36[[#This Row],[inst]])),ISNUMBER(SEARCH("lds", Table36[[#This Row],[inst]]))), "shared", "")</f>
        <v/>
      </c>
      <c r="S37" s="2" t="str">
        <f>IF(OR(ISNUMBER(SEARCH("LDC", Table36[[#This Row],[inst]])),ISNUMBER(SEARCH("STC", Table36[[#This Row],[inst]]))), "ind. const", "")</f>
        <v/>
      </c>
      <c r="T3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Row],[S5]]))),S37=""), "cmb. const", "")</f>
        <v/>
      </c>
      <c r="W37">
        <f>IF(Table36[[#This Row],[Pipeline]]="alu",Table36[[#This Row],[Delay]],0)</f>
        <v>0</v>
      </c>
      <c r="X37">
        <f>IF(AND(Table36[[#This Row],[Pipeline]]="alu",Table7[[#This Row],[const stat]]="new"),290,0)</f>
        <v>0</v>
      </c>
    </row>
    <row r="38" spans="1:24" x14ac:dyDescent="0.2">
      <c r="A38">
        <v>33</v>
      </c>
      <c r="B38" t="s">
        <v>438</v>
      </c>
      <c r="C38" t="s">
        <v>439</v>
      </c>
      <c r="D38" t="s">
        <v>71</v>
      </c>
      <c r="E38" t="s">
        <v>23</v>
      </c>
      <c r="F38" t="s">
        <v>8</v>
      </c>
      <c r="G38" t="s">
        <v>78</v>
      </c>
      <c r="H38" s="3" t="s">
        <v>77</v>
      </c>
      <c r="I38" s="3" t="str">
        <f t="shared" si="1"/>
        <v>alu</v>
      </c>
      <c r="J38" s="3">
        <v>2</v>
      </c>
      <c r="K38" s="3"/>
      <c r="M3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8" s="2" t="str">
        <f>IF(OR(ISNUMBER(SEARCH("s2r", Table36[[#This Row],[inst]])),ISNUMBER(SEARCH("s2ur", Table36[[#This Row],[inst]]))), "special", "")</f>
        <v/>
      </c>
      <c r="Q38" s="2" t="str">
        <f>IF(OR(ISNUMBER(SEARCH("stg", Table36[[#This Row],[inst]])),ISNUMBER(SEARCH("ldg", Table36[[#This Row],[inst]]))), "global", "")</f>
        <v/>
      </c>
      <c r="R38" s="2" t="str">
        <f>IF(OR(ISNUMBER(SEARCH("sts", Table36[[#This Row],[inst]])),ISNUMBER(SEARCH("lds", Table36[[#This Row],[inst]]))), "shared", "")</f>
        <v/>
      </c>
      <c r="S38" s="2" t="str">
        <f>IF(OR(ISNUMBER(SEARCH("LDC", Table36[[#This Row],[inst]])),ISNUMBER(SEARCH("STC", Table36[[#This Row],[inst]]))), "ind. const", "")</f>
        <v/>
      </c>
      <c r="T3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Row],[S5]]))),S38=""), "cmb. const", "")</f>
        <v/>
      </c>
      <c r="W38">
        <f>IF(Table36[[#This Row],[Pipeline]]="alu",Table36[[#This Row],[Delay]],0)</f>
        <v>2</v>
      </c>
      <c r="X38">
        <f>IF(AND(Table36[[#This Row],[Pipeline]]="alu",Table7[[#This Row],[const stat]]="new"),290,0)</f>
        <v>0</v>
      </c>
    </row>
    <row r="39" spans="1:24" x14ac:dyDescent="0.2">
      <c r="A39">
        <v>34</v>
      </c>
      <c r="B39" t="s">
        <v>200</v>
      </c>
      <c r="C39" t="s">
        <v>440</v>
      </c>
      <c r="D39" t="s">
        <v>78</v>
      </c>
      <c r="E39" t="s">
        <v>436</v>
      </c>
      <c r="F39" t="s">
        <v>18</v>
      </c>
      <c r="G39" t="s">
        <v>79</v>
      </c>
      <c r="H39" s="3"/>
      <c r="I39" s="3" t="str">
        <f t="shared" si="1"/>
        <v>alu</v>
      </c>
      <c r="J39" s="3">
        <v>6</v>
      </c>
      <c r="K39" s="3"/>
      <c r="M3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3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3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39" s="2" t="str">
        <f>IF(OR(ISNUMBER(SEARCH("s2r", Table36[[#This Row],[inst]])),ISNUMBER(SEARCH("s2ur", Table36[[#This Row],[inst]]))), "special", "")</f>
        <v/>
      </c>
      <c r="Q39" s="2" t="str">
        <f>IF(OR(ISNUMBER(SEARCH("stg", Table36[[#This Row],[inst]])),ISNUMBER(SEARCH("ldg", Table36[[#This Row],[inst]]))), "global", "")</f>
        <v/>
      </c>
      <c r="R39" s="2" t="str">
        <f>IF(OR(ISNUMBER(SEARCH("sts", Table36[[#This Row],[inst]])),ISNUMBER(SEARCH("lds", Table36[[#This Row],[inst]]))), "shared", "")</f>
        <v/>
      </c>
      <c r="S39" s="2" t="str">
        <f>IF(OR(ISNUMBER(SEARCH("LDC", Table36[[#This Row],[inst]])),ISNUMBER(SEARCH("STC", Table36[[#This Row],[inst]]))), "ind. const", "")</f>
        <v/>
      </c>
      <c r="T3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Row],[S5]]))),S39=""), "cmb. const", "")</f>
        <v>cmb. const</v>
      </c>
      <c r="U39" s="6" t="s">
        <v>482</v>
      </c>
      <c r="W39">
        <f>IF(Table36[[#This Row],[Pipeline]]="alu",Table36[[#This Row],[Delay]],0)</f>
        <v>6</v>
      </c>
      <c r="X39">
        <f>IF(AND(Table36[[#This Row],[Pipeline]]="alu",Table7[[#This Row],[const stat]]="new"),290,0)</f>
        <v>290</v>
      </c>
    </row>
    <row r="40" spans="1:24" x14ac:dyDescent="0.2">
      <c r="A40">
        <v>35</v>
      </c>
      <c r="B40" t="s">
        <v>200</v>
      </c>
      <c r="C40" t="s">
        <v>61</v>
      </c>
      <c r="D40" t="s">
        <v>50</v>
      </c>
      <c r="E40" t="s">
        <v>60</v>
      </c>
      <c r="F40" t="s">
        <v>25</v>
      </c>
      <c r="G40" t="s">
        <v>79</v>
      </c>
      <c r="H40" s="3"/>
      <c r="I40" s="3" t="str">
        <f t="shared" si="1"/>
        <v>alu</v>
      </c>
      <c r="J40" s="3">
        <v>6</v>
      </c>
      <c r="K40" s="3"/>
      <c r="M4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4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0" s="2" t="str">
        <f>IF(OR(ISNUMBER(SEARCH("s2r", Table36[[#This Row],[inst]])),ISNUMBER(SEARCH("s2ur", Table36[[#This Row],[inst]]))), "special", "")</f>
        <v/>
      </c>
      <c r="Q40" s="2" t="str">
        <f>IF(OR(ISNUMBER(SEARCH("stg", Table36[[#This Row],[inst]])),ISNUMBER(SEARCH("ldg", Table36[[#This Row],[inst]]))), "global", "")</f>
        <v/>
      </c>
      <c r="R40" s="2" t="str">
        <f>IF(OR(ISNUMBER(SEARCH("sts", Table36[[#This Row],[inst]])),ISNUMBER(SEARCH("lds", Table36[[#This Row],[inst]]))), "shared", "")</f>
        <v/>
      </c>
      <c r="S40" s="2" t="str">
        <f>IF(OR(ISNUMBER(SEARCH("LDC", Table36[[#This Row],[inst]])),ISNUMBER(SEARCH("STC", Table36[[#This Row],[inst]]))), "ind. const", "")</f>
        <v/>
      </c>
      <c r="T4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Row],[S5]]))),S40=""), "cmb. const", "")</f>
        <v>cmb. const</v>
      </c>
      <c r="U40" s="6" t="s">
        <v>781</v>
      </c>
      <c r="W40">
        <f>IF(Table36[[#This Row],[Pipeline]]="alu",Table36[[#This Row],[Delay]],0)</f>
        <v>6</v>
      </c>
      <c r="X40">
        <f>IF(AND(Table36[[#This Row],[Pipeline]]="alu",Table7[[#This Row],[const stat]]="new"),290,0)</f>
        <v>0</v>
      </c>
    </row>
    <row r="41" spans="1:24" x14ac:dyDescent="0.2">
      <c r="A41">
        <v>36</v>
      </c>
      <c r="B41" t="s">
        <v>441</v>
      </c>
      <c r="C41" t="s">
        <v>436</v>
      </c>
      <c r="D41" t="s">
        <v>436</v>
      </c>
      <c r="E41" t="s">
        <v>442</v>
      </c>
      <c r="F41" t="s">
        <v>439</v>
      </c>
      <c r="G41" t="s">
        <v>79</v>
      </c>
      <c r="H41" s="3" t="s">
        <v>78</v>
      </c>
      <c r="I41" s="3" t="str">
        <f t="shared" si="1"/>
        <v>alu</v>
      </c>
      <c r="J41" s="3">
        <v>6</v>
      </c>
      <c r="K41" s="3"/>
      <c r="M4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4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1" s="2" t="str">
        <f>IF(OR(ISNUMBER(SEARCH("s2r", Table36[[#This Row],[inst]])),ISNUMBER(SEARCH("s2ur", Table36[[#This Row],[inst]]))), "special", "")</f>
        <v/>
      </c>
      <c r="Q41" s="2" t="str">
        <f>IF(OR(ISNUMBER(SEARCH("stg", Table36[[#This Row],[inst]])),ISNUMBER(SEARCH("ldg", Table36[[#This Row],[inst]]))), "global", "")</f>
        <v/>
      </c>
      <c r="R41" s="2" t="str">
        <f>IF(OR(ISNUMBER(SEARCH("sts", Table36[[#This Row],[inst]])),ISNUMBER(SEARCH("lds", Table36[[#This Row],[inst]]))), "shared", "")</f>
        <v/>
      </c>
      <c r="S41" s="2" t="str">
        <f>IF(OR(ISNUMBER(SEARCH("LDC", Table36[[#This Row],[inst]])),ISNUMBER(SEARCH("STC", Table36[[#This Row],[inst]]))), "ind. const", "")</f>
        <v/>
      </c>
      <c r="T4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Row],[S5]]))),S41=""), "cmb. const", "")</f>
        <v>cmb. const</v>
      </c>
      <c r="U41" s="5" t="s">
        <v>781</v>
      </c>
      <c r="W41">
        <f>IF(Table36[[#This Row],[Pipeline]]="alu",Table36[[#This Row],[Delay]],0)</f>
        <v>6</v>
      </c>
      <c r="X41">
        <f>IF(AND(Table36[[#This Row],[Pipeline]]="alu",Table7[[#This Row],[const stat]]="new"),290,0)</f>
        <v>0</v>
      </c>
    </row>
    <row r="42" spans="1:24" x14ac:dyDescent="0.2">
      <c r="A42">
        <v>37</v>
      </c>
      <c r="B42" t="s">
        <v>441</v>
      </c>
      <c r="C42" t="s">
        <v>60</v>
      </c>
      <c r="D42" t="s">
        <v>60</v>
      </c>
      <c r="E42" t="s">
        <v>443</v>
      </c>
      <c r="F42" t="s">
        <v>430</v>
      </c>
      <c r="G42" t="s">
        <v>79</v>
      </c>
      <c r="H42" s="3" t="s">
        <v>50</v>
      </c>
      <c r="I42" s="3" t="str">
        <f t="shared" si="1"/>
        <v>alu</v>
      </c>
      <c r="J42" s="3">
        <v>6</v>
      </c>
      <c r="K42" s="3"/>
      <c r="M4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4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2" s="2" t="str">
        <f>IF(OR(ISNUMBER(SEARCH("s2r", Table36[[#This Row],[inst]])),ISNUMBER(SEARCH("s2ur", Table36[[#This Row],[inst]]))), "special", "")</f>
        <v/>
      </c>
      <c r="Q42" s="2" t="str">
        <f>IF(OR(ISNUMBER(SEARCH("stg", Table36[[#This Row],[inst]])),ISNUMBER(SEARCH("ldg", Table36[[#This Row],[inst]]))), "global", "")</f>
        <v/>
      </c>
      <c r="R42" s="2" t="str">
        <f>IF(OR(ISNUMBER(SEARCH("sts", Table36[[#This Row],[inst]])),ISNUMBER(SEARCH("lds", Table36[[#This Row],[inst]]))), "shared", "")</f>
        <v/>
      </c>
      <c r="S42" s="2" t="str">
        <f>IF(OR(ISNUMBER(SEARCH("LDC", Table36[[#This Row],[inst]])),ISNUMBER(SEARCH("STC", Table36[[#This Row],[inst]]))), "ind. const", "")</f>
        <v/>
      </c>
      <c r="T4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Row],[S5]]))),S42=""), "cmb. const", "")</f>
        <v>cmb. const</v>
      </c>
      <c r="U42" s="5" t="s">
        <v>781</v>
      </c>
      <c r="W42">
        <f>IF(Table36[[#This Row],[Pipeline]]="alu",Table36[[#This Row],[Delay]],0)</f>
        <v>6</v>
      </c>
      <c r="X42">
        <f>IF(AND(Table36[[#This Row],[Pipeline]]="alu",Table7[[#This Row],[const stat]]="new"),290,0)</f>
        <v>0</v>
      </c>
    </row>
    <row r="43" spans="1:24" x14ac:dyDescent="0.2">
      <c r="A43">
        <v>38</v>
      </c>
      <c r="B43" t="s">
        <v>444</v>
      </c>
      <c r="C43" t="s">
        <v>440</v>
      </c>
      <c r="D43" t="s">
        <v>445</v>
      </c>
      <c r="H43" s="3"/>
      <c r="I43" s="3" t="str">
        <f t="shared" si="1"/>
        <v>global</v>
      </c>
      <c r="J43" s="3">
        <v>33</v>
      </c>
      <c r="K43" s="3" t="s">
        <v>797</v>
      </c>
      <c r="M4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3" s="2" t="str">
        <f>IF(OR(ISNUMBER(SEARCH("s2r", Table36[[#This Row],[inst]])),ISNUMBER(SEARCH("s2ur", Table36[[#This Row],[inst]]))), "special", "")</f>
        <v/>
      </c>
      <c r="Q43" s="2" t="str">
        <f>IF(OR(ISNUMBER(SEARCH("stg", Table36[[#This Row],[inst]])),ISNUMBER(SEARCH("ldg", Table36[[#This Row],[inst]]))), "global", "")</f>
        <v>global</v>
      </c>
      <c r="R43" s="2" t="str">
        <f>IF(OR(ISNUMBER(SEARCH("sts", Table36[[#This Row],[inst]])),ISNUMBER(SEARCH("lds", Table36[[#This Row],[inst]]))), "shared", "")</f>
        <v/>
      </c>
      <c r="S43" s="2" t="str">
        <f>IF(OR(ISNUMBER(SEARCH("LDC", Table36[[#This Row],[inst]])),ISNUMBER(SEARCH("STC", Table36[[#This Row],[inst]]))), "ind. const", "")</f>
        <v/>
      </c>
      <c r="T4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Row],[S5]]))),S43=""), "cmb. const", "")</f>
        <v/>
      </c>
      <c r="W43">
        <f>IF(Table36[[#This Row],[Pipeline]]="alu",Table36[[#This Row],[Delay]],0)</f>
        <v>0</v>
      </c>
      <c r="X43">
        <f>IF(AND(Table36[[#This Row],[Pipeline]]="alu",Table7[[#This Row],[const stat]]="new"),290,0)</f>
        <v>0</v>
      </c>
    </row>
    <row r="44" spans="1:24" x14ac:dyDescent="0.2">
      <c r="A44">
        <v>39</v>
      </c>
      <c r="B44" t="s">
        <v>444</v>
      </c>
      <c r="C44" t="s">
        <v>61</v>
      </c>
      <c r="D44" t="s">
        <v>446</v>
      </c>
      <c r="H44" s="3"/>
      <c r="I44" s="3" t="str">
        <f t="shared" si="1"/>
        <v>global</v>
      </c>
      <c r="J44" s="3">
        <v>33</v>
      </c>
      <c r="K44" s="3" t="s">
        <v>797</v>
      </c>
      <c r="M4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4" s="2" t="str">
        <f>IF(OR(ISNUMBER(SEARCH("s2r", Table36[[#This Row],[inst]])),ISNUMBER(SEARCH("s2ur", Table36[[#This Row],[inst]]))), "special", "")</f>
        <v/>
      </c>
      <c r="Q44" s="2" t="str">
        <f>IF(OR(ISNUMBER(SEARCH("stg", Table36[[#This Row],[inst]])),ISNUMBER(SEARCH("ldg", Table36[[#This Row],[inst]]))), "global", "")</f>
        <v>global</v>
      </c>
      <c r="R44" s="2" t="str">
        <f>IF(OR(ISNUMBER(SEARCH("sts", Table36[[#This Row],[inst]])),ISNUMBER(SEARCH("lds", Table36[[#This Row],[inst]]))), "shared", "")</f>
        <v/>
      </c>
      <c r="S44" s="2" t="str">
        <f>IF(OR(ISNUMBER(SEARCH("LDC", Table36[[#This Row],[inst]])),ISNUMBER(SEARCH("STC", Table36[[#This Row],[inst]]))), "ind. const", "")</f>
        <v/>
      </c>
      <c r="T4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Row],[S5]]))),S44=""), "cmb. const", "")</f>
        <v/>
      </c>
      <c r="W44">
        <f>IF(Table36[[#This Row],[Pipeline]]="alu",Table36[[#This Row],[Delay]],0)</f>
        <v>0</v>
      </c>
      <c r="X44">
        <f>IF(AND(Table36[[#This Row],[Pipeline]]="alu",Table7[[#This Row],[const stat]]="new"),290,0)</f>
        <v>0</v>
      </c>
    </row>
    <row r="45" spans="1:24" x14ac:dyDescent="0.2">
      <c r="A45">
        <v>40</v>
      </c>
      <c r="B45" t="s">
        <v>0</v>
      </c>
      <c r="C45" t="s">
        <v>430</v>
      </c>
      <c r="D45" t="s">
        <v>84</v>
      </c>
      <c r="H45" s="3"/>
      <c r="I45" s="3" t="s">
        <v>95</v>
      </c>
      <c r="J45" s="3">
        <v>1</v>
      </c>
      <c r="K45" s="3"/>
      <c r="M4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5" s="2" t="str">
        <f>IF(OR(ISNUMBER(SEARCH("s2r", Table36[[#This Row],[inst]])),ISNUMBER(SEARCH("s2ur", Table36[[#This Row],[inst]]))), "special", "")</f>
        <v/>
      </c>
      <c r="Q45" s="2" t="str">
        <f>IF(OR(ISNUMBER(SEARCH("stg", Table36[[#This Row],[inst]])),ISNUMBER(SEARCH("ldg", Table36[[#This Row],[inst]]))), "global", "")</f>
        <v/>
      </c>
      <c r="R45" s="2" t="str">
        <f>IF(OR(ISNUMBER(SEARCH("sts", Table36[[#This Row],[inst]])),ISNUMBER(SEARCH("lds", Table36[[#This Row],[inst]]))), "shared", "")</f>
        <v/>
      </c>
      <c r="S45" s="2" t="str">
        <f>IF(OR(ISNUMBER(SEARCH("LDC", Table36[[#This Row],[inst]])),ISNUMBER(SEARCH("STC", Table36[[#This Row],[inst]]))), "ind. const", "")</f>
        <v/>
      </c>
      <c r="T4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Row],[S5]]))),S45=""), "cmb. const", "")</f>
        <v/>
      </c>
      <c r="W45">
        <f>IF(Table36[[#This Row],[Pipeline]]="alu",Table36[[#This Row],[Delay]],0)</f>
        <v>1</v>
      </c>
      <c r="X45">
        <f>IF(AND(Table36[[#This Row],[Pipeline]]="alu",Table7[[#This Row],[const stat]]="new"),290,0)</f>
        <v>0</v>
      </c>
    </row>
    <row r="46" spans="1:24" x14ac:dyDescent="0.2">
      <c r="A46">
        <v>41</v>
      </c>
      <c r="B46" t="s">
        <v>45</v>
      </c>
      <c r="C46" t="s">
        <v>447</v>
      </c>
      <c r="D46" t="s">
        <v>8</v>
      </c>
      <c r="E46" t="s">
        <v>8</v>
      </c>
      <c r="F46" t="s">
        <v>448</v>
      </c>
      <c r="H46" s="3"/>
      <c r="I46" s="3" t="str">
        <f t="shared" si="1"/>
        <v>fma</v>
      </c>
      <c r="J46" s="3">
        <v>4</v>
      </c>
      <c r="K46" s="3"/>
      <c r="M4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4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6" s="2" t="str">
        <f>IF(OR(ISNUMBER(SEARCH("s2r", Table36[[#This Row],[inst]])),ISNUMBER(SEARCH("s2ur", Table36[[#This Row],[inst]]))), "special", "")</f>
        <v/>
      </c>
      <c r="Q46" s="2" t="str">
        <f>IF(OR(ISNUMBER(SEARCH("stg", Table36[[#This Row],[inst]])),ISNUMBER(SEARCH("ldg", Table36[[#This Row],[inst]]))), "global", "")</f>
        <v/>
      </c>
      <c r="R46" s="2" t="str">
        <f>IF(OR(ISNUMBER(SEARCH("sts", Table36[[#This Row],[inst]])),ISNUMBER(SEARCH("lds", Table36[[#This Row],[inst]]))), "shared", "")</f>
        <v/>
      </c>
      <c r="S46" s="2" t="str">
        <f>IF(OR(ISNUMBER(SEARCH("LDC", Table36[[#This Row],[inst]])),ISNUMBER(SEARCH("STC", Table36[[#This Row],[inst]]))), "ind. const", "")</f>
        <v/>
      </c>
      <c r="T4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Row],[S5]]))),S46=""), "cmb. const", "")</f>
        <v>cmb. const</v>
      </c>
      <c r="U46" s="2" t="s">
        <v>482</v>
      </c>
      <c r="W46">
        <f>IF(Table36[[#This Row],[Pipeline]]="alu",Table36[[#This Row],[Delay]],0)</f>
        <v>0</v>
      </c>
      <c r="X46">
        <f>IF(AND(Table36[[#This Row],[Pipeline]]="alu",Table7[[#This Row],[const stat]]="new"),290,0)</f>
        <v>0</v>
      </c>
    </row>
    <row r="47" spans="1:24" x14ac:dyDescent="0.2">
      <c r="A47">
        <v>42</v>
      </c>
      <c r="B47" t="s">
        <v>16</v>
      </c>
      <c r="C47" t="s">
        <v>430</v>
      </c>
      <c r="D47" t="s">
        <v>447</v>
      </c>
      <c r="E47" t="s">
        <v>431</v>
      </c>
      <c r="F47" t="s">
        <v>430</v>
      </c>
      <c r="H47" s="3"/>
      <c r="I47" s="3" t="str">
        <f t="shared" si="1"/>
        <v>fma</v>
      </c>
      <c r="J47" s="3">
        <v>4</v>
      </c>
      <c r="K47" s="3"/>
      <c r="M4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4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7" s="2" t="str">
        <f>IF(OR(ISNUMBER(SEARCH("s2r", Table36[[#This Row],[inst]])),ISNUMBER(SEARCH("s2ur", Table36[[#This Row],[inst]]))), "special", "")</f>
        <v/>
      </c>
      <c r="Q47" s="2" t="str">
        <f>IF(OR(ISNUMBER(SEARCH("stg", Table36[[#This Row],[inst]])),ISNUMBER(SEARCH("ldg", Table36[[#This Row],[inst]]))), "global", "")</f>
        <v/>
      </c>
      <c r="R47" s="2" t="str">
        <f>IF(OR(ISNUMBER(SEARCH("sts", Table36[[#This Row],[inst]])),ISNUMBER(SEARCH("lds", Table36[[#This Row],[inst]]))), "shared", "")</f>
        <v/>
      </c>
      <c r="S47" s="2" t="str">
        <f>IF(OR(ISNUMBER(SEARCH("LDC", Table36[[#This Row],[inst]])),ISNUMBER(SEARCH("STC", Table36[[#This Row],[inst]]))), "ind. const", "")</f>
        <v/>
      </c>
      <c r="T4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Row],[S5]]))),S47=""), "cmb. const", "")</f>
        <v/>
      </c>
      <c r="W47">
        <f>IF(Table36[[#This Row],[Pipeline]]="alu",Table36[[#This Row],[Delay]],0)</f>
        <v>0</v>
      </c>
      <c r="X47">
        <f>IF(AND(Table36[[#This Row],[Pipeline]]="alu",Table7[[#This Row],[const stat]]="new"),290,0)</f>
        <v>0</v>
      </c>
    </row>
    <row r="48" spans="1:24" x14ac:dyDescent="0.2">
      <c r="A48">
        <v>43</v>
      </c>
      <c r="B48" t="s">
        <v>45</v>
      </c>
      <c r="C48" t="s">
        <v>84</v>
      </c>
      <c r="D48" t="s">
        <v>8</v>
      </c>
      <c r="E48" t="s">
        <v>8</v>
      </c>
      <c r="F48" t="s">
        <v>430</v>
      </c>
      <c r="H48" s="3"/>
      <c r="I48" s="3" t="str">
        <f t="shared" si="1"/>
        <v>fma</v>
      </c>
      <c r="J48" s="3">
        <v>4</v>
      </c>
      <c r="K48" s="3"/>
      <c r="M4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4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4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8" s="2" t="str">
        <f>IF(OR(ISNUMBER(SEARCH("s2r", Table36[[#This Row],[inst]])),ISNUMBER(SEARCH("s2ur", Table36[[#This Row],[inst]]))), "special", "")</f>
        <v/>
      </c>
      <c r="Q48" s="2" t="str">
        <f>IF(OR(ISNUMBER(SEARCH("stg", Table36[[#This Row],[inst]])),ISNUMBER(SEARCH("ldg", Table36[[#This Row],[inst]]))), "global", "")</f>
        <v/>
      </c>
      <c r="R48" s="2" t="str">
        <f>IF(OR(ISNUMBER(SEARCH("sts", Table36[[#This Row],[inst]])),ISNUMBER(SEARCH("lds", Table36[[#This Row],[inst]]))), "shared", "")</f>
        <v/>
      </c>
      <c r="S48" s="2" t="str">
        <f>IF(OR(ISNUMBER(SEARCH("LDC", Table36[[#This Row],[inst]])),ISNUMBER(SEARCH("STC", Table36[[#This Row],[inst]]))), "ind. const", "")</f>
        <v/>
      </c>
      <c r="T4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Row],[S5]]))),S48=""), "cmb. const", "")</f>
        <v/>
      </c>
      <c r="W48">
        <f>IF(Table36[[#This Row],[Pipeline]]="alu",Table36[[#This Row],[Delay]],0)</f>
        <v>0</v>
      </c>
      <c r="X48">
        <f>IF(AND(Table36[[#This Row],[Pipeline]]="alu",Table7[[#This Row],[const stat]]="new"),290,0)</f>
        <v>0</v>
      </c>
    </row>
    <row r="49" spans="1:24" x14ac:dyDescent="0.2">
      <c r="A49">
        <v>44</v>
      </c>
      <c r="B49" t="s">
        <v>87</v>
      </c>
      <c r="C49" t="s">
        <v>50</v>
      </c>
      <c r="D49" t="s">
        <v>51</v>
      </c>
      <c r="E49" t="s">
        <v>430</v>
      </c>
      <c r="F49" t="s">
        <v>432</v>
      </c>
      <c r="G49" t="s">
        <v>51</v>
      </c>
      <c r="H49" s="3"/>
      <c r="I49" s="3" t="str">
        <f t="shared" si="1"/>
        <v>alu</v>
      </c>
      <c r="J49" s="3">
        <v>4</v>
      </c>
      <c r="K49" s="3"/>
      <c r="M4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4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4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49" s="2" t="str">
        <f>IF(OR(ISNUMBER(SEARCH("s2r", Table36[[#This Row],[inst]])),ISNUMBER(SEARCH("s2ur", Table36[[#This Row],[inst]]))), "special", "")</f>
        <v/>
      </c>
      <c r="Q49" s="2" t="str">
        <f>IF(OR(ISNUMBER(SEARCH("stg", Table36[[#This Row],[inst]])),ISNUMBER(SEARCH("ldg", Table36[[#This Row],[inst]]))), "global", "")</f>
        <v/>
      </c>
      <c r="R49" s="2" t="str">
        <f>IF(OR(ISNUMBER(SEARCH("sts", Table36[[#This Row],[inst]])),ISNUMBER(SEARCH("lds", Table36[[#This Row],[inst]]))), "shared", "")</f>
        <v/>
      </c>
      <c r="S49" s="2" t="str">
        <f>IF(OR(ISNUMBER(SEARCH("LDC", Table36[[#This Row],[inst]])),ISNUMBER(SEARCH("STC", Table36[[#This Row],[inst]]))), "ind. const", "")</f>
        <v/>
      </c>
      <c r="T4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Row],[S5]]))),S49=""), "cmb. const", "")</f>
        <v>cmb. const</v>
      </c>
      <c r="U49" s="3" t="s">
        <v>481</v>
      </c>
      <c r="W49">
        <f>IF(Table36[[#This Row],[Pipeline]]="alu",Table36[[#This Row],[Delay]],0)</f>
        <v>4</v>
      </c>
      <c r="X49">
        <f>IF(AND(Table36[[#This Row],[Pipeline]]="alu",Table7[[#This Row],[const stat]]="new"),290,0)</f>
        <v>0</v>
      </c>
    </row>
    <row r="50" spans="1:24" x14ac:dyDescent="0.2">
      <c r="A50">
        <v>45</v>
      </c>
      <c r="B50" t="s">
        <v>433</v>
      </c>
      <c r="C50" t="s">
        <v>50</v>
      </c>
      <c r="D50" t="s">
        <v>51</v>
      </c>
      <c r="E50" t="s">
        <v>71</v>
      </c>
      <c r="F50" t="s">
        <v>434</v>
      </c>
      <c r="G50" t="s">
        <v>51</v>
      </c>
      <c r="H50" s="3" t="s">
        <v>50</v>
      </c>
      <c r="I50" s="3" t="str">
        <f t="shared" si="1"/>
        <v>alu</v>
      </c>
      <c r="J50" s="3">
        <v>4</v>
      </c>
      <c r="K50" s="3"/>
      <c r="M5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5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0" s="2" t="str">
        <f>IF(OR(ISNUMBER(SEARCH("s2r", Table36[[#This Row],[inst]])),ISNUMBER(SEARCH("s2ur", Table36[[#This Row],[inst]]))), "special", "")</f>
        <v/>
      </c>
      <c r="Q50" s="2" t="str">
        <f>IF(OR(ISNUMBER(SEARCH("stg", Table36[[#This Row],[inst]])),ISNUMBER(SEARCH("ldg", Table36[[#This Row],[inst]]))), "global", "")</f>
        <v/>
      </c>
      <c r="R50" s="2" t="str">
        <f>IF(OR(ISNUMBER(SEARCH("sts", Table36[[#This Row],[inst]])),ISNUMBER(SEARCH("lds", Table36[[#This Row],[inst]]))), "shared", "")</f>
        <v/>
      </c>
      <c r="S50" s="2" t="str">
        <f>IF(OR(ISNUMBER(SEARCH("LDC", Table36[[#This Row],[inst]])),ISNUMBER(SEARCH("STC", Table36[[#This Row],[inst]]))), "ind. const", "")</f>
        <v/>
      </c>
      <c r="T5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Row],[S5]]))),S50=""), "cmb. const", "")</f>
        <v>cmb. const</v>
      </c>
      <c r="U50" s="3" t="s">
        <v>481</v>
      </c>
      <c r="W50">
        <f>IF(Table36[[#This Row],[Pipeline]]="alu",Table36[[#This Row],[Delay]],0)</f>
        <v>4</v>
      </c>
      <c r="X50">
        <f>IF(AND(Table36[[#This Row],[Pipeline]]="alu",Table7[[#This Row],[const stat]]="new"),290,0)</f>
        <v>0</v>
      </c>
    </row>
    <row r="51" spans="1:24" x14ac:dyDescent="0.2">
      <c r="A51">
        <v>46</v>
      </c>
      <c r="B51" t="s">
        <v>70</v>
      </c>
      <c r="C51" t="s">
        <v>12</v>
      </c>
      <c r="D51" t="s">
        <v>440</v>
      </c>
      <c r="E51" t="s">
        <v>61</v>
      </c>
      <c r="F51" t="s">
        <v>12</v>
      </c>
      <c r="H51" s="3"/>
      <c r="I51" s="3" t="str">
        <f t="shared" si="1"/>
        <v>fma</v>
      </c>
      <c r="J51" s="3">
        <v>4</v>
      </c>
      <c r="K51" s="3"/>
      <c r="M5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5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1" s="2" t="str">
        <f>IF(OR(ISNUMBER(SEARCH("s2r", Table36[[#This Row],[inst]])),ISNUMBER(SEARCH("s2ur", Table36[[#This Row],[inst]]))), "special", "")</f>
        <v/>
      </c>
      <c r="Q51" s="2" t="str">
        <f>IF(OR(ISNUMBER(SEARCH("stg", Table36[[#This Row],[inst]])),ISNUMBER(SEARCH("ldg", Table36[[#This Row],[inst]]))), "global", "")</f>
        <v/>
      </c>
      <c r="R51" s="2" t="str">
        <f>IF(OR(ISNUMBER(SEARCH("sts", Table36[[#This Row],[inst]])),ISNUMBER(SEARCH("lds", Table36[[#This Row],[inst]]))), "shared", "")</f>
        <v/>
      </c>
      <c r="S51" s="2" t="str">
        <f>IF(OR(ISNUMBER(SEARCH("LDC", Table36[[#This Row],[inst]])),ISNUMBER(SEARCH("STC", Table36[[#This Row],[inst]]))), "ind. const", "")</f>
        <v/>
      </c>
      <c r="T5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Row],[S5]]))),S51=""), "cmb. const", "")</f>
        <v/>
      </c>
      <c r="W51">
        <f>IF(Table36[[#This Row],[Pipeline]]="alu",Table36[[#This Row],[Delay]],0)</f>
        <v>0</v>
      </c>
      <c r="X51">
        <f>IF(AND(Table36[[#This Row],[Pipeline]]="alu",Table7[[#This Row],[const stat]]="new"),290,0)</f>
        <v>0</v>
      </c>
    </row>
    <row r="52" spans="1:24" x14ac:dyDescent="0.2">
      <c r="A52">
        <v>47</v>
      </c>
      <c r="B52" t="s">
        <v>72</v>
      </c>
      <c r="C52" t="s">
        <v>68</v>
      </c>
      <c r="H52" s="3"/>
      <c r="I52" s="3" t="str">
        <f t="shared" si="1"/>
        <v>cba</v>
      </c>
      <c r="J52" s="3"/>
      <c r="K52" s="3"/>
      <c r="M5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2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52" s="2" t="str">
        <f>IF(OR(ISNUMBER(SEARCH("s2r", Table36[[#This Row],[inst]])),ISNUMBER(SEARCH("s2ur", Table36[[#This Row],[inst]]))), "special", "")</f>
        <v/>
      </c>
      <c r="Q52" s="2" t="str">
        <f>IF(OR(ISNUMBER(SEARCH("stg", Table36[[#This Row],[inst]])),ISNUMBER(SEARCH("ldg", Table36[[#This Row],[inst]]))), "global", "")</f>
        <v/>
      </c>
      <c r="R52" s="2" t="str">
        <f>IF(OR(ISNUMBER(SEARCH("sts", Table36[[#This Row],[inst]])),ISNUMBER(SEARCH("lds", Table36[[#This Row],[inst]]))), "shared", "")</f>
        <v/>
      </c>
      <c r="S52" s="2" t="str">
        <f>IF(OR(ISNUMBER(SEARCH("LDC", Table36[[#This Row],[inst]])),ISNUMBER(SEARCH("STC", Table36[[#This Row],[inst]]))), "ind. const", "")</f>
        <v/>
      </c>
      <c r="T5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Row],[S5]]))),S52=""), "cmb. const", "")</f>
        <v/>
      </c>
      <c r="W52">
        <f>IF(Table36[[#This Row],[Pipeline]]="alu",Table36[[#This Row],[Delay]],0)</f>
        <v>0</v>
      </c>
      <c r="X52">
        <f>IF(AND(Table36[[#This Row],[Pipeline]]="alu",Table7[[#This Row],[const stat]]="new"),290,0)</f>
        <v>0</v>
      </c>
    </row>
    <row r="53" spans="1:24" x14ac:dyDescent="0.2">
      <c r="A53">
        <v>48</v>
      </c>
      <c r="B53" t="s">
        <v>449</v>
      </c>
      <c r="C53" t="s">
        <v>78</v>
      </c>
      <c r="D53" t="s">
        <v>51</v>
      </c>
      <c r="E53" t="s">
        <v>17</v>
      </c>
      <c r="F53" t="s">
        <v>450</v>
      </c>
      <c r="G53" t="s">
        <v>51</v>
      </c>
      <c r="H53" s="3"/>
      <c r="I53" s="3" t="str">
        <f t="shared" si="1"/>
        <v>alu</v>
      </c>
      <c r="J53" s="3">
        <v>4</v>
      </c>
      <c r="K53" s="3"/>
      <c r="M5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5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3" s="2" t="str">
        <f>IF(OR(ISNUMBER(SEARCH("s2r", Table36[[#This Row],[inst]])),ISNUMBER(SEARCH("s2ur", Table36[[#This Row],[inst]]))), "special", "")</f>
        <v/>
      </c>
      <c r="Q53" s="2" t="str">
        <f>IF(OR(ISNUMBER(SEARCH("stg", Table36[[#This Row],[inst]])),ISNUMBER(SEARCH("ldg", Table36[[#This Row],[inst]]))), "global", "")</f>
        <v/>
      </c>
      <c r="R53" s="2" t="str">
        <f>IF(OR(ISNUMBER(SEARCH("sts", Table36[[#This Row],[inst]])),ISNUMBER(SEARCH("lds", Table36[[#This Row],[inst]]))), "shared", "")</f>
        <v/>
      </c>
      <c r="S53" s="2" t="str">
        <f>IF(OR(ISNUMBER(SEARCH("LDC", Table36[[#This Row],[inst]])),ISNUMBER(SEARCH("STC", Table36[[#This Row],[inst]]))), "ind. const", "")</f>
        <v/>
      </c>
      <c r="T5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Row],[S5]]))),S53=""), "cmb. const", "")</f>
        <v/>
      </c>
      <c r="W53">
        <f>IF(Table36[[#This Row],[Pipeline]]="alu",Table36[[#This Row],[Delay]],0)</f>
        <v>4</v>
      </c>
      <c r="X53">
        <f>IF(AND(Table36[[#This Row],[Pipeline]]="alu",Table7[[#This Row],[const stat]]="new"),290,0)</f>
        <v>0</v>
      </c>
    </row>
    <row r="54" spans="1:24" x14ac:dyDescent="0.2">
      <c r="A54">
        <v>49</v>
      </c>
      <c r="B54" t="s">
        <v>277</v>
      </c>
      <c r="C54" t="s">
        <v>451</v>
      </c>
      <c r="D54" t="s">
        <v>12</v>
      </c>
      <c r="H54" s="3"/>
      <c r="I54" s="3" t="str">
        <f t="shared" si="1"/>
        <v>shared</v>
      </c>
      <c r="J54" s="3">
        <v>19</v>
      </c>
      <c r="K54" s="3"/>
      <c r="M5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4" s="2" t="str">
        <f>IF(OR(ISNUMBER(SEARCH("s2r", Table36[[#This Row],[inst]])),ISNUMBER(SEARCH("s2ur", Table36[[#This Row],[inst]]))), "special", "")</f>
        <v/>
      </c>
      <c r="Q54" s="2" t="str">
        <f>IF(OR(ISNUMBER(SEARCH("stg", Table36[[#This Row],[inst]])),ISNUMBER(SEARCH("ldg", Table36[[#This Row],[inst]]))), "global", "")</f>
        <v/>
      </c>
      <c r="R54" s="2" t="str">
        <f>IF(OR(ISNUMBER(SEARCH("sts", Table36[[#This Row],[inst]])),ISNUMBER(SEARCH("lds", Table36[[#This Row],[inst]]))), "shared", "")</f>
        <v>shared</v>
      </c>
      <c r="S54" s="2" t="str">
        <f>IF(OR(ISNUMBER(SEARCH("LDC", Table36[[#This Row],[inst]])),ISNUMBER(SEARCH("STC", Table36[[#This Row],[inst]]))), "ind. const", "")</f>
        <v/>
      </c>
      <c r="T5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Row],[S5]]))),S54=""), "cmb. const", "")</f>
        <v/>
      </c>
      <c r="W54">
        <f>IF(Table36[[#This Row],[Pipeline]]="alu",Table36[[#This Row],[Delay]],0)</f>
        <v>0</v>
      </c>
      <c r="X54">
        <f>IF(AND(Table36[[#This Row],[Pipeline]]="alu",Table7[[#This Row],[const stat]]="new"),290,0)</f>
        <v>0</v>
      </c>
    </row>
    <row r="55" spans="1:24" x14ac:dyDescent="0.2">
      <c r="A55">
        <v>50</v>
      </c>
      <c r="B55" t="s">
        <v>452</v>
      </c>
      <c r="C55" t="s">
        <v>453</v>
      </c>
      <c r="H55" s="3"/>
      <c r="I55" s="3" t="str">
        <f t="shared" si="1"/>
        <v>cba</v>
      </c>
      <c r="J55" s="3"/>
      <c r="K55" s="3"/>
      <c r="M5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5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55" s="2" t="str">
        <f>IF(OR(ISNUMBER(SEARCH("s2r", Table36[[#This Row],[inst]])),ISNUMBER(SEARCH("s2ur", Table36[[#This Row],[inst]]))), "special", "")</f>
        <v/>
      </c>
      <c r="Q55" s="2" t="str">
        <f>IF(OR(ISNUMBER(SEARCH("stg", Table36[[#This Row],[inst]])),ISNUMBER(SEARCH("ldg", Table36[[#This Row],[inst]]))), "global", "")</f>
        <v/>
      </c>
      <c r="R55" s="2" t="str">
        <f>IF(OR(ISNUMBER(SEARCH("sts", Table36[[#This Row],[inst]])),ISNUMBER(SEARCH("lds", Table36[[#This Row],[inst]]))), "shared", "")</f>
        <v/>
      </c>
      <c r="S55" s="2" t="str">
        <f>IF(OR(ISNUMBER(SEARCH("LDC", Table36[[#This Row],[inst]])),ISNUMBER(SEARCH("STC", Table36[[#This Row],[inst]]))), "ind. const", "")</f>
        <v/>
      </c>
      <c r="T5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Row],[S5]]))),S55=""), "cmb. const", "")</f>
        <v/>
      </c>
      <c r="W55">
        <f>IF(Table36[[#This Row],[Pipeline]]="alu",Table36[[#This Row],[Delay]],0)</f>
        <v>0</v>
      </c>
      <c r="X55">
        <f>IF(AND(Table36[[#This Row],[Pipeline]]="alu",Table7[[#This Row],[const stat]]="new"),290,0)</f>
        <v>0</v>
      </c>
    </row>
    <row r="56" spans="1:24" x14ac:dyDescent="0.2">
      <c r="A56">
        <v>51</v>
      </c>
      <c r="B56" t="s">
        <v>449</v>
      </c>
      <c r="C56" t="s">
        <v>50</v>
      </c>
      <c r="D56" t="s">
        <v>51</v>
      </c>
      <c r="E56" t="s">
        <v>17</v>
      </c>
      <c r="F56" t="s">
        <v>428</v>
      </c>
      <c r="G56" t="s">
        <v>51</v>
      </c>
      <c r="H56" s="3"/>
      <c r="I56" s="3" t="str">
        <f t="shared" si="1"/>
        <v>alu</v>
      </c>
      <c r="J56" s="3">
        <v>4</v>
      </c>
      <c r="K56" s="3"/>
      <c r="M5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5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6" s="2" t="str">
        <f>IF(OR(ISNUMBER(SEARCH("s2r", Table36[[#This Row],[inst]])),ISNUMBER(SEARCH("s2ur", Table36[[#This Row],[inst]]))), "special", "")</f>
        <v/>
      </c>
      <c r="Q56" s="2" t="str">
        <f>IF(OR(ISNUMBER(SEARCH("stg", Table36[[#This Row],[inst]])),ISNUMBER(SEARCH("ldg", Table36[[#This Row],[inst]]))), "global", "")</f>
        <v/>
      </c>
      <c r="R56" s="2" t="str">
        <f>IF(OR(ISNUMBER(SEARCH("sts", Table36[[#This Row],[inst]])),ISNUMBER(SEARCH("lds", Table36[[#This Row],[inst]]))), "shared", "")</f>
        <v/>
      </c>
      <c r="S56" s="2" t="str">
        <f>IF(OR(ISNUMBER(SEARCH("LDC", Table36[[#This Row],[inst]])),ISNUMBER(SEARCH("STC", Table36[[#This Row],[inst]]))), "ind. const", "")</f>
        <v/>
      </c>
      <c r="T5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Row],[S5]]))),S56=""), "cmb. const", "")</f>
        <v/>
      </c>
      <c r="W56">
        <f>IF(Table36[[#This Row],[Pipeline]]="alu",Table36[[#This Row],[Delay]],0)</f>
        <v>4</v>
      </c>
      <c r="X56">
        <f>IF(AND(Table36[[#This Row],[Pipeline]]="alu",Table7[[#This Row],[const stat]]="new"),290,0)</f>
        <v>0</v>
      </c>
    </row>
    <row r="57" spans="1:24" x14ac:dyDescent="0.2">
      <c r="A57">
        <v>52</v>
      </c>
      <c r="B57" t="s">
        <v>267</v>
      </c>
      <c r="C57" t="s">
        <v>23</v>
      </c>
      <c r="D57" t="s">
        <v>451</v>
      </c>
      <c r="H57" s="3"/>
      <c r="I57" s="3" t="str">
        <f t="shared" si="1"/>
        <v>shared</v>
      </c>
      <c r="J57" s="3">
        <v>23</v>
      </c>
      <c r="K57" s="3"/>
      <c r="M5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7" s="2" t="str">
        <f>IF(OR(ISNUMBER(SEARCH("s2r", Table36[[#This Row],[inst]])),ISNUMBER(SEARCH("s2ur", Table36[[#This Row],[inst]]))), "special", "")</f>
        <v/>
      </c>
      <c r="Q57" s="2" t="str">
        <f>IF(OR(ISNUMBER(SEARCH("stg", Table36[[#This Row],[inst]])),ISNUMBER(SEARCH("ldg", Table36[[#This Row],[inst]]))), "global", "")</f>
        <v/>
      </c>
      <c r="R57" s="2" t="str">
        <f>IF(OR(ISNUMBER(SEARCH("sts", Table36[[#This Row],[inst]])),ISNUMBER(SEARCH("lds", Table36[[#This Row],[inst]]))), "shared", "")</f>
        <v>shared</v>
      </c>
      <c r="S57" s="2" t="str">
        <f>IF(OR(ISNUMBER(SEARCH("LDC", Table36[[#This Row],[inst]])),ISNUMBER(SEARCH("STC", Table36[[#This Row],[inst]]))), "ind. const", "")</f>
        <v/>
      </c>
      <c r="T5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Row],[S5]]))),S57=""), "cmb. const", "")</f>
        <v/>
      </c>
      <c r="W57">
        <f>IF(Table36[[#This Row],[Pipeline]]="alu",Table36[[#This Row],[Delay]],0)</f>
        <v>0</v>
      </c>
      <c r="X57">
        <f>IF(AND(Table36[[#This Row],[Pipeline]]="alu",Table7[[#This Row],[const stat]]="new"),290,0)</f>
        <v>0</v>
      </c>
    </row>
    <row r="58" spans="1:24" x14ac:dyDescent="0.2">
      <c r="A58">
        <v>53</v>
      </c>
      <c r="B58" t="s">
        <v>267</v>
      </c>
      <c r="C58" t="s">
        <v>4</v>
      </c>
      <c r="D58" t="s">
        <v>454</v>
      </c>
      <c r="H58" s="3"/>
      <c r="I58" s="3" t="str">
        <f t="shared" si="1"/>
        <v>shared</v>
      </c>
      <c r="J58" s="3">
        <v>23</v>
      </c>
      <c r="K58" s="3"/>
      <c r="M5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5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8" s="2" t="str">
        <f>IF(OR(ISNUMBER(SEARCH("s2r", Table36[[#This Row],[inst]])),ISNUMBER(SEARCH("s2ur", Table36[[#This Row],[inst]]))), "special", "")</f>
        <v/>
      </c>
      <c r="Q58" s="2" t="str">
        <f>IF(OR(ISNUMBER(SEARCH("stg", Table36[[#This Row],[inst]])),ISNUMBER(SEARCH("ldg", Table36[[#This Row],[inst]]))), "global", "")</f>
        <v/>
      </c>
      <c r="R58" s="2" t="str">
        <f>IF(OR(ISNUMBER(SEARCH("sts", Table36[[#This Row],[inst]])),ISNUMBER(SEARCH("lds", Table36[[#This Row],[inst]]))), "shared", "")</f>
        <v>shared</v>
      </c>
      <c r="S58" s="2" t="str">
        <f>IF(OR(ISNUMBER(SEARCH("LDC", Table36[[#This Row],[inst]])),ISNUMBER(SEARCH("STC", Table36[[#This Row],[inst]]))), "ind. const", "")</f>
        <v/>
      </c>
      <c r="T5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Row],[S5]]))),S58=""), "cmb. const", "")</f>
        <v/>
      </c>
      <c r="W58">
        <f>IF(Table36[[#This Row],[Pipeline]]="alu",Table36[[#This Row],[Delay]],0)</f>
        <v>0</v>
      </c>
      <c r="X58">
        <f>IF(AND(Table36[[#This Row],[Pipeline]]="alu",Table7[[#This Row],[const stat]]="new"),290,0)</f>
        <v>0</v>
      </c>
    </row>
    <row r="59" spans="1:24" x14ac:dyDescent="0.2">
      <c r="A59">
        <v>54</v>
      </c>
      <c r="B59" t="s">
        <v>88</v>
      </c>
      <c r="C59" t="s">
        <v>23</v>
      </c>
      <c r="D59" t="s">
        <v>23</v>
      </c>
      <c r="E59" t="s">
        <v>4</v>
      </c>
      <c r="H59" s="3"/>
      <c r="I59" s="3" t="str">
        <f t="shared" si="1"/>
        <v>fma</v>
      </c>
      <c r="J59" s="3">
        <v>4</v>
      </c>
      <c r="K59" s="3"/>
      <c r="M5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5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5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59" s="2" t="str">
        <f>IF(OR(ISNUMBER(SEARCH("s2r", Table36[[#This Row],[inst]])),ISNUMBER(SEARCH("s2ur", Table36[[#This Row],[inst]]))), "special", "")</f>
        <v/>
      </c>
      <c r="Q59" s="2" t="str">
        <f>IF(OR(ISNUMBER(SEARCH("stg", Table36[[#This Row],[inst]])),ISNUMBER(SEARCH("ldg", Table36[[#This Row],[inst]]))), "global", "")</f>
        <v/>
      </c>
      <c r="R59" s="2" t="str">
        <f>IF(OR(ISNUMBER(SEARCH("sts", Table36[[#This Row],[inst]])),ISNUMBER(SEARCH("lds", Table36[[#This Row],[inst]]))), "shared", "")</f>
        <v/>
      </c>
      <c r="S59" s="2" t="str">
        <f>IF(OR(ISNUMBER(SEARCH("LDC", Table36[[#This Row],[inst]])),ISNUMBER(SEARCH("STC", Table36[[#This Row],[inst]]))), "ind. const", "")</f>
        <v/>
      </c>
      <c r="T5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Row],[S5]]))),S59=""), "cmb. const", "")</f>
        <v/>
      </c>
      <c r="W59">
        <f>IF(Table36[[#This Row],[Pipeline]]="alu",Table36[[#This Row],[Delay]],0)</f>
        <v>0</v>
      </c>
      <c r="X59">
        <f>IF(AND(Table36[[#This Row],[Pipeline]]="alu",Table7[[#This Row],[const stat]]="new"),290,0)</f>
        <v>0</v>
      </c>
    </row>
    <row r="60" spans="1:24" x14ac:dyDescent="0.2">
      <c r="A60">
        <v>55</v>
      </c>
      <c r="B60" t="s">
        <v>277</v>
      </c>
      <c r="C60" t="s">
        <v>451</v>
      </c>
      <c r="D60" t="s">
        <v>23</v>
      </c>
      <c r="H60" s="3"/>
      <c r="I60" s="3" t="str">
        <f t="shared" si="1"/>
        <v>shared</v>
      </c>
      <c r="J60" s="3">
        <v>19</v>
      </c>
      <c r="K60" s="3"/>
      <c r="M6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0" s="2" t="str">
        <f>IF(OR(ISNUMBER(SEARCH("s2r", Table36[[#This Row],[inst]])),ISNUMBER(SEARCH("s2ur", Table36[[#This Row],[inst]]))), "special", "")</f>
        <v/>
      </c>
      <c r="Q60" s="2" t="str">
        <f>IF(OR(ISNUMBER(SEARCH("stg", Table36[[#This Row],[inst]])),ISNUMBER(SEARCH("ldg", Table36[[#This Row],[inst]]))), "global", "")</f>
        <v/>
      </c>
      <c r="R60" s="2" t="str">
        <f>IF(OR(ISNUMBER(SEARCH("sts", Table36[[#This Row],[inst]])),ISNUMBER(SEARCH("lds", Table36[[#This Row],[inst]]))), "shared", "")</f>
        <v>shared</v>
      </c>
      <c r="S60" s="2" t="str">
        <f>IF(OR(ISNUMBER(SEARCH("LDC", Table36[[#This Row],[inst]])),ISNUMBER(SEARCH("STC", Table36[[#This Row],[inst]]))), "ind. const", "")</f>
        <v/>
      </c>
      <c r="T6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Row],[S5]]))),S60=""), "cmb. const", "")</f>
        <v/>
      </c>
      <c r="W60">
        <f>IF(Table36[[#This Row],[Pipeline]]="alu",Table36[[#This Row],[Delay]],0)</f>
        <v>0</v>
      </c>
      <c r="X60">
        <f>IF(AND(Table36[[#This Row],[Pipeline]]="alu",Table7[[#This Row],[const stat]]="new"),290,0)</f>
        <v>0</v>
      </c>
    </row>
    <row r="61" spans="1:24" x14ac:dyDescent="0.2">
      <c r="A61">
        <v>56</v>
      </c>
      <c r="B61" t="s">
        <v>452</v>
      </c>
      <c r="C61" t="s">
        <v>453</v>
      </c>
      <c r="H61" s="3"/>
      <c r="I61" s="3" t="str">
        <f t="shared" si="1"/>
        <v>cba</v>
      </c>
      <c r="J61" s="3"/>
      <c r="K61" s="3"/>
      <c r="M6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1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61" s="2" t="str">
        <f>IF(OR(ISNUMBER(SEARCH("s2r", Table36[[#This Row],[inst]])),ISNUMBER(SEARCH("s2ur", Table36[[#This Row],[inst]]))), "special", "")</f>
        <v/>
      </c>
      <c r="Q61" s="2" t="str">
        <f>IF(OR(ISNUMBER(SEARCH("stg", Table36[[#This Row],[inst]])),ISNUMBER(SEARCH("ldg", Table36[[#This Row],[inst]]))), "global", "")</f>
        <v/>
      </c>
      <c r="R61" s="2" t="str">
        <f>IF(OR(ISNUMBER(SEARCH("sts", Table36[[#This Row],[inst]])),ISNUMBER(SEARCH("lds", Table36[[#This Row],[inst]]))), "shared", "")</f>
        <v/>
      </c>
      <c r="S61" s="2" t="str">
        <f>IF(OR(ISNUMBER(SEARCH("LDC", Table36[[#This Row],[inst]])),ISNUMBER(SEARCH("STC", Table36[[#This Row],[inst]]))), "ind. const", "")</f>
        <v/>
      </c>
      <c r="T6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Row],[S5]]))),S61=""), "cmb. const", "")</f>
        <v/>
      </c>
      <c r="W61">
        <f>IF(Table36[[#This Row],[Pipeline]]="alu",Table36[[#This Row],[Delay]],0)</f>
        <v>0</v>
      </c>
      <c r="X61">
        <f>IF(AND(Table36[[#This Row],[Pipeline]]="alu",Table7[[#This Row],[const stat]]="new"),290,0)</f>
        <v>0</v>
      </c>
    </row>
    <row r="62" spans="1:24" x14ac:dyDescent="0.2">
      <c r="A62">
        <v>57</v>
      </c>
      <c r="B62" t="s">
        <v>267</v>
      </c>
      <c r="C62" t="s">
        <v>4</v>
      </c>
      <c r="D62" t="s">
        <v>451</v>
      </c>
      <c r="H62" s="3"/>
      <c r="I62" s="3" t="str">
        <f t="shared" si="1"/>
        <v>shared</v>
      </c>
      <c r="J62" s="3">
        <v>23</v>
      </c>
      <c r="K62" s="3"/>
      <c r="M6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2" s="2" t="str">
        <f>IF(OR(ISNUMBER(SEARCH("s2r", Table36[[#This Row],[inst]])),ISNUMBER(SEARCH("s2ur", Table36[[#This Row],[inst]]))), "special", "")</f>
        <v/>
      </c>
      <c r="Q62" s="2" t="str">
        <f>IF(OR(ISNUMBER(SEARCH("stg", Table36[[#This Row],[inst]])),ISNUMBER(SEARCH("ldg", Table36[[#This Row],[inst]]))), "global", "")</f>
        <v/>
      </c>
      <c r="R62" s="2" t="str">
        <f>IF(OR(ISNUMBER(SEARCH("sts", Table36[[#This Row],[inst]])),ISNUMBER(SEARCH("lds", Table36[[#This Row],[inst]]))), "shared", "")</f>
        <v>shared</v>
      </c>
      <c r="S62" s="2" t="str">
        <f>IF(OR(ISNUMBER(SEARCH("LDC", Table36[[#This Row],[inst]])),ISNUMBER(SEARCH("STC", Table36[[#This Row],[inst]]))), "ind. const", "")</f>
        <v/>
      </c>
      <c r="T6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Row],[S5]]))),S62=""), "cmb. const", "")</f>
        <v/>
      </c>
      <c r="W62">
        <f>IF(Table36[[#This Row],[Pipeline]]="alu",Table36[[#This Row],[Delay]],0)</f>
        <v>0</v>
      </c>
      <c r="X62">
        <f>IF(AND(Table36[[#This Row],[Pipeline]]="alu",Table7[[#This Row],[const stat]]="new"),290,0)</f>
        <v>0</v>
      </c>
    </row>
    <row r="63" spans="1:24" x14ac:dyDescent="0.2">
      <c r="A63">
        <v>58</v>
      </c>
      <c r="B63" t="s">
        <v>449</v>
      </c>
      <c r="C63" t="s">
        <v>78</v>
      </c>
      <c r="D63" t="s">
        <v>51</v>
      </c>
      <c r="E63" t="s">
        <v>17</v>
      </c>
      <c r="F63" t="s">
        <v>455</v>
      </c>
      <c r="G63" t="s">
        <v>51</v>
      </c>
      <c r="H63" s="3"/>
      <c r="I63" s="3" t="str">
        <f t="shared" si="1"/>
        <v>alu</v>
      </c>
      <c r="J63" s="3">
        <v>4</v>
      </c>
      <c r="K63" s="3"/>
      <c r="M6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6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3" s="2" t="str">
        <f>IF(OR(ISNUMBER(SEARCH("s2r", Table36[[#This Row],[inst]])),ISNUMBER(SEARCH("s2ur", Table36[[#This Row],[inst]]))), "special", "")</f>
        <v/>
      </c>
      <c r="Q63" s="2" t="str">
        <f>IF(OR(ISNUMBER(SEARCH("stg", Table36[[#This Row],[inst]])),ISNUMBER(SEARCH("ldg", Table36[[#This Row],[inst]]))), "global", "")</f>
        <v/>
      </c>
      <c r="R63" s="2" t="str">
        <f>IF(OR(ISNUMBER(SEARCH("sts", Table36[[#This Row],[inst]])),ISNUMBER(SEARCH("lds", Table36[[#This Row],[inst]]))), "shared", "")</f>
        <v/>
      </c>
      <c r="S63" s="2" t="str">
        <f>IF(OR(ISNUMBER(SEARCH("LDC", Table36[[#This Row],[inst]])),ISNUMBER(SEARCH("STC", Table36[[#This Row],[inst]]))), "ind. const", "")</f>
        <v/>
      </c>
      <c r="T6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Row],[S5]]))),S63=""), "cmb. const", "")</f>
        <v/>
      </c>
      <c r="W63">
        <f>IF(Table36[[#This Row],[Pipeline]]="alu",Table36[[#This Row],[Delay]],0)</f>
        <v>4</v>
      </c>
      <c r="X63">
        <f>IF(AND(Table36[[#This Row],[Pipeline]]="alu",Table7[[#This Row],[const stat]]="new"),290,0)</f>
        <v>0</v>
      </c>
    </row>
    <row r="64" spans="1:24" x14ac:dyDescent="0.2">
      <c r="A64">
        <v>59</v>
      </c>
      <c r="B64" t="s">
        <v>267</v>
      </c>
      <c r="C64" t="s">
        <v>7</v>
      </c>
      <c r="D64" t="s">
        <v>456</v>
      </c>
      <c r="H64" s="3"/>
      <c r="I64" s="3" t="str">
        <f t="shared" si="1"/>
        <v>shared</v>
      </c>
      <c r="J64" s="3">
        <v>23</v>
      </c>
      <c r="K64" s="3"/>
      <c r="M6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4" s="2" t="str">
        <f>IF(OR(ISNUMBER(SEARCH("s2r", Table36[[#This Row],[inst]])),ISNUMBER(SEARCH("s2ur", Table36[[#This Row],[inst]]))), "special", "")</f>
        <v/>
      </c>
      <c r="Q64" s="2" t="str">
        <f>IF(OR(ISNUMBER(SEARCH("stg", Table36[[#This Row],[inst]])),ISNUMBER(SEARCH("ldg", Table36[[#This Row],[inst]]))), "global", "")</f>
        <v/>
      </c>
      <c r="R64" s="2" t="str">
        <f>IF(OR(ISNUMBER(SEARCH("sts", Table36[[#This Row],[inst]])),ISNUMBER(SEARCH("lds", Table36[[#This Row],[inst]]))), "shared", "")</f>
        <v>shared</v>
      </c>
      <c r="S64" s="2" t="str">
        <f>IF(OR(ISNUMBER(SEARCH("LDC", Table36[[#This Row],[inst]])),ISNUMBER(SEARCH("STC", Table36[[#This Row],[inst]]))), "ind. const", "")</f>
        <v/>
      </c>
      <c r="T6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Row],[S5]]))),S64=""), "cmb. const", "")</f>
        <v/>
      </c>
      <c r="W64">
        <f>IF(Table36[[#This Row],[Pipeline]]="alu",Table36[[#This Row],[Delay]],0)</f>
        <v>0</v>
      </c>
      <c r="X64">
        <f>IF(AND(Table36[[#This Row],[Pipeline]]="alu",Table7[[#This Row],[const stat]]="new"),290,0)</f>
        <v>0</v>
      </c>
    </row>
    <row r="65" spans="1:24" x14ac:dyDescent="0.2">
      <c r="A65">
        <v>60</v>
      </c>
      <c r="B65" t="s">
        <v>88</v>
      </c>
      <c r="C65" t="s">
        <v>7</v>
      </c>
      <c r="D65" t="s">
        <v>4</v>
      </c>
      <c r="E65" t="s">
        <v>7</v>
      </c>
      <c r="H65" s="3"/>
      <c r="I65" s="3" t="str">
        <f t="shared" si="1"/>
        <v>fma</v>
      </c>
      <c r="J65" s="3">
        <v>4</v>
      </c>
      <c r="K65" s="3"/>
      <c r="M6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6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5" s="2" t="str">
        <f>IF(OR(ISNUMBER(SEARCH("s2r", Table36[[#This Row],[inst]])),ISNUMBER(SEARCH("s2ur", Table36[[#This Row],[inst]]))), "special", "")</f>
        <v/>
      </c>
      <c r="Q65" s="2" t="str">
        <f>IF(OR(ISNUMBER(SEARCH("stg", Table36[[#This Row],[inst]])),ISNUMBER(SEARCH("ldg", Table36[[#This Row],[inst]]))), "global", "")</f>
        <v/>
      </c>
      <c r="R65" s="2" t="str">
        <f>IF(OR(ISNUMBER(SEARCH("sts", Table36[[#This Row],[inst]])),ISNUMBER(SEARCH("lds", Table36[[#This Row],[inst]]))), "shared", "")</f>
        <v/>
      </c>
      <c r="S65" s="2" t="str">
        <f>IF(OR(ISNUMBER(SEARCH("LDC", Table36[[#This Row],[inst]])),ISNUMBER(SEARCH("STC", Table36[[#This Row],[inst]]))), "ind. const", "")</f>
        <v/>
      </c>
      <c r="T6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Row],[S5]]))),S65=""), "cmb. const", "")</f>
        <v/>
      </c>
      <c r="W65">
        <f>IF(Table36[[#This Row],[Pipeline]]="alu",Table36[[#This Row],[Delay]],0)</f>
        <v>0</v>
      </c>
      <c r="X65">
        <f>IF(AND(Table36[[#This Row],[Pipeline]]="alu",Table7[[#This Row],[const stat]]="new"),290,0)</f>
        <v>0</v>
      </c>
    </row>
    <row r="66" spans="1:24" x14ac:dyDescent="0.2">
      <c r="A66">
        <v>61</v>
      </c>
      <c r="B66" t="s">
        <v>277</v>
      </c>
      <c r="C66" t="s">
        <v>451</v>
      </c>
      <c r="D66" t="s">
        <v>7</v>
      </c>
      <c r="H66" s="3"/>
      <c r="I66" s="3" t="str">
        <f t="shared" si="1"/>
        <v>shared</v>
      </c>
      <c r="J66" s="3">
        <v>19</v>
      </c>
      <c r="K66" s="3"/>
      <c r="M6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6" s="2" t="str">
        <f>IF(OR(ISNUMBER(SEARCH("s2r", Table36[[#This Row],[inst]])),ISNUMBER(SEARCH("s2ur", Table36[[#This Row],[inst]]))), "special", "")</f>
        <v/>
      </c>
      <c r="Q66" s="2" t="str">
        <f>IF(OR(ISNUMBER(SEARCH("stg", Table36[[#This Row],[inst]])),ISNUMBER(SEARCH("ldg", Table36[[#This Row],[inst]]))), "global", "")</f>
        <v/>
      </c>
      <c r="R66" s="2" t="str">
        <f>IF(OR(ISNUMBER(SEARCH("sts", Table36[[#This Row],[inst]])),ISNUMBER(SEARCH("lds", Table36[[#This Row],[inst]]))), "shared", "")</f>
        <v>shared</v>
      </c>
      <c r="S66" s="2" t="str">
        <f>IF(OR(ISNUMBER(SEARCH("LDC", Table36[[#This Row],[inst]])),ISNUMBER(SEARCH("STC", Table36[[#This Row],[inst]]))), "ind. const", "")</f>
        <v/>
      </c>
      <c r="T6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Row],[S5]]))),S66=""), "cmb. const", "")</f>
        <v/>
      </c>
      <c r="W66">
        <f>IF(Table36[[#This Row],[Pipeline]]="alu",Table36[[#This Row],[Delay]],0)</f>
        <v>0</v>
      </c>
      <c r="X66">
        <f>IF(AND(Table36[[#This Row],[Pipeline]]="alu",Table7[[#This Row],[const stat]]="new"),290,0)</f>
        <v>0</v>
      </c>
    </row>
    <row r="67" spans="1:24" x14ac:dyDescent="0.2">
      <c r="A67">
        <v>62</v>
      </c>
      <c r="B67" t="s">
        <v>452</v>
      </c>
      <c r="C67" t="s">
        <v>453</v>
      </c>
      <c r="H67" s="3"/>
      <c r="I67" s="3" t="str">
        <f t="shared" si="1"/>
        <v>cba</v>
      </c>
      <c r="J67" s="3"/>
      <c r="K67" s="3"/>
      <c r="M6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7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67" s="2" t="str">
        <f>IF(OR(ISNUMBER(SEARCH("s2r", Table36[[#This Row],[inst]])),ISNUMBER(SEARCH("s2ur", Table36[[#This Row],[inst]]))), "special", "")</f>
        <v/>
      </c>
      <c r="Q67" s="2" t="str">
        <f>IF(OR(ISNUMBER(SEARCH("stg", Table36[[#This Row],[inst]])),ISNUMBER(SEARCH("ldg", Table36[[#This Row],[inst]]))), "global", "")</f>
        <v/>
      </c>
      <c r="R67" s="2" t="str">
        <f>IF(OR(ISNUMBER(SEARCH("sts", Table36[[#This Row],[inst]])),ISNUMBER(SEARCH("lds", Table36[[#This Row],[inst]]))), "shared", "")</f>
        <v/>
      </c>
      <c r="S67" s="2" t="str">
        <f>IF(OR(ISNUMBER(SEARCH("LDC", Table36[[#This Row],[inst]])),ISNUMBER(SEARCH("STC", Table36[[#This Row],[inst]]))), "ind. const", "")</f>
        <v/>
      </c>
      <c r="T6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Row],[S5]]))),S67=""), "cmb. const", "")</f>
        <v/>
      </c>
      <c r="W67">
        <f>IF(Table36[[#This Row],[Pipeline]]="alu",Table36[[#This Row],[Delay]],0)</f>
        <v>0</v>
      </c>
      <c r="X67">
        <f>IF(AND(Table36[[#This Row],[Pipeline]]="alu",Table7[[#This Row],[const stat]]="new"),290,0)</f>
        <v>0</v>
      </c>
    </row>
    <row r="68" spans="1:24" x14ac:dyDescent="0.2">
      <c r="A68">
        <v>63</v>
      </c>
      <c r="B68" t="s">
        <v>267</v>
      </c>
      <c r="C68" t="s">
        <v>12</v>
      </c>
      <c r="D68" t="s">
        <v>451</v>
      </c>
      <c r="H68" s="3"/>
      <c r="I68" s="3" t="str">
        <f t="shared" si="1"/>
        <v>shared</v>
      </c>
      <c r="J68" s="3">
        <v>23</v>
      </c>
      <c r="K68" s="3"/>
      <c r="M6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6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8" s="2" t="str">
        <f>IF(OR(ISNUMBER(SEARCH("s2r", Table36[[#This Row],[inst]])),ISNUMBER(SEARCH("s2ur", Table36[[#This Row],[inst]]))), "special", "")</f>
        <v/>
      </c>
      <c r="Q68" s="2" t="str">
        <f>IF(OR(ISNUMBER(SEARCH("stg", Table36[[#This Row],[inst]])),ISNUMBER(SEARCH("ldg", Table36[[#This Row],[inst]]))), "global", "")</f>
        <v/>
      </c>
      <c r="R68" s="2" t="str">
        <f>IF(OR(ISNUMBER(SEARCH("sts", Table36[[#This Row],[inst]])),ISNUMBER(SEARCH("lds", Table36[[#This Row],[inst]]))), "shared", "")</f>
        <v>shared</v>
      </c>
      <c r="S68" s="2" t="str">
        <f>IF(OR(ISNUMBER(SEARCH("LDC", Table36[[#This Row],[inst]])),ISNUMBER(SEARCH("STC", Table36[[#This Row],[inst]]))), "ind. const", "")</f>
        <v/>
      </c>
      <c r="T6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Row],[S5]]))),S68=""), "cmb. const", "")</f>
        <v/>
      </c>
      <c r="W68">
        <f>IF(Table36[[#This Row],[Pipeline]]="alu",Table36[[#This Row],[Delay]],0)</f>
        <v>0</v>
      </c>
      <c r="X68">
        <f>IF(AND(Table36[[#This Row],[Pipeline]]="alu",Table7[[#This Row],[const stat]]="new"),290,0)</f>
        <v>0</v>
      </c>
    </row>
    <row r="69" spans="1:24" x14ac:dyDescent="0.2">
      <c r="A69">
        <v>64</v>
      </c>
      <c r="B69" t="s">
        <v>449</v>
      </c>
      <c r="C69" t="s">
        <v>50</v>
      </c>
      <c r="D69" t="s">
        <v>51</v>
      </c>
      <c r="E69" t="s">
        <v>17</v>
      </c>
      <c r="F69" t="s">
        <v>457</v>
      </c>
      <c r="G69" t="s">
        <v>51</v>
      </c>
      <c r="H69" s="3"/>
      <c r="I69" s="3" t="str">
        <f t="shared" si="1"/>
        <v>alu</v>
      </c>
      <c r="J69" s="3">
        <v>4</v>
      </c>
      <c r="K69" s="3"/>
      <c r="M6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6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6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69" s="2" t="str">
        <f>IF(OR(ISNUMBER(SEARCH("s2r", Table36[[#This Row],[inst]])),ISNUMBER(SEARCH("s2ur", Table36[[#This Row],[inst]]))), "special", "")</f>
        <v/>
      </c>
      <c r="Q69" s="2" t="str">
        <f>IF(OR(ISNUMBER(SEARCH("stg", Table36[[#This Row],[inst]])),ISNUMBER(SEARCH("ldg", Table36[[#This Row],[inst]]))), "global", "")</f>
        <v/>
      </c>
      <c r="R69" s="2" t="str">
        <f>IF(OR(ISNUMBER(SEARCH("sts", Table36[[#This Row],[inst]])),ISNUMBER(SEARCH("lds", Table36[[#This Row],[inst]]))), "shared", "")</f>
        <v/>
      </c>
      <c r="S69" s="2" t="str">
        <f>IF(OR(ISNUMBER(SEARCH("LDC", Table36[[#This Row],[inst]])),ISNUMBER(SEARCH("STC", Table36[[#This Row],[inst]]))), "ind. const", "")</f>
        <v/>
      </c>
      <c r="T6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Row],[S5]]))),S69=""), "cmb. const", "")</f>
        <v/>
      </c>
      <c r="W69">
        <f>IF(Table36[[#This Row],[Pipeline]]="alu",Table36[[#This Row],[Delay]],0)</f>
        <v>4</v>
      </c>
      <c r="X69">
        <f>IF(AND(Table36[[#This Row],[Pipeline]]="alu",Table7[[#This Row],[const stat]]="new"),290,0)</f>
        <v>0</v>
      </c>
    </row>
    <row r="70" spans="1:24" x14ac:dyDescent="0.2">
      <c r="A70">
        <v>65</v>
      </c>
      <c r="B70" t="s">
        <v>267</v>
      </c>
      <c r="C70" t="s">
        <v>4</v>
      </c>
      <c r="D70" t="s">
        <v>458</v>
      </c>
      <c r="H70" s="3"/>
      <c r="I70" s="3" t="str">
        <f t="shared" si="1"/>
        <v>shared</v>
      </c>
      <c r="J70" s="3">
        <v>23</v>
      </c>
      <c r="K70" s="3"/>
      <c r="M7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0" s="2" t="str">
        <f>IF(OR(ISNUMBER(SEARCH("s2r", Table36[[#This Row],[inst]])),ISNUMBER(SEARCH("s2ur", Table36[[#This Row],[inst]]))), "special", "")</f>
        <v/>
      </c>
      <c r="Q70" s="2" t="str">
        <f>IF(OR(ISNUMBER(SEARCH("stg", Table36[[#This Row],[inst]])),ISNUMBER(SEARCH("ldg", Table36[[#This Row],[inst]]))), "global", "")</f>
        <v/>
      </c>
      <c r="R70" s="2" t="str">
        <f>IF(OR(ISNUMBER(SEARCH("sts", Table36[[#This Row],[inst]])),ISNUMBER(SEARCH("lds", Table36[[#This Row],[inst]]))), "shared", "")</f>
        <v>shared</v>
      </c>
      <c r="S70" s="2" t="str">
        <f>IF(OR(ISNUMBER(SEARCH("LDC", Table36[[#This Row],[inst]])),ISNUMBER(SEARCH("STC", Table36[[#This Row],[inst]]))), "ind. const", "")</f>
        <v/>
      </c>
      <c r="T7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Row],[S5]]))),S70=""), "cmb. const", "")</f>
        <v/>
      </c>
      <c r="W70">
        <f>IF(Table36[[#This Row],[Pipeline]]="alu",Table36[[#This Row],[Delay]],0)</f>
        <v>0</v>
      </c>
      <c r="X70">
        <f>IF(AND(Table36[[#This Row],[Pipeline]]="alu",Table7[[#This Row],[const stat]]="new"),290,0)</f>
        <v>0</v>
      </c>
    </row>
    <row r="71" spans="1:24" x14ac:dyDescent="0.2">
      <c r="A71">
        <v>66</v>
      </c>
      <c r="B71" t="s">
        <v>88</v>
      </c>
      <c r="C71" t="s">
        <v>12</v>
      </c>
      <c r="D71" t="s">
        <v>12</v>
      </c>
      <c r="E71" t="s">
        <v>4</v>
      </c>
      <c r="H71" s="3"/>
      <c r="I71" s="3" t="str">
        <f t="shared" si="1"/>
        <v>fma</v>
      </c>
      <c r="J71" s="3">
        <v>4</v>
      </c>
      <c r="K71" s="3"/>
      <c r="M7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7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1" s="2" t="str">
        <f>IF(OR(ISNUMBER(SEARCH("s2r", Table36[[#This Row],[inst]])),ISNUMBER(SEARCH("s2ur", Table36[[#This Row],[inst]]))), "special", "")</f>
        <v/>
      </c>
      <c r="Q71" s="2" t="str">
        <f>IF(OR(ISNUMBER(SEARCH("stg", Table36[[#This Row],[inst]])),ISNUMBER(SEARCH("ldg", Table36[[#This Row],[inst]]))), "global", "")</f>
        <v/>
      </c>
      <c r="R71" s="2" t="str">
        <f>IF(OR(ISNUMBER(SEARCH("sts", Table36[[#This Row],[inst]])),ISNUMBER(SEARCH("lds", Table36[[#This Row],[inst]]))), "shared", "")</f>
        <v/>
      </c>
      <c r="S71" s="2" t="str">
        <f>IF(OR(ISNUMBER(SEARCH("LDC", Table36[[#This Row],[inst]])),ISNUMBER(SEARCH("STC", Table36[[#This Row],[inst]]))), "ind. const", "")</f>
        <v/>
      </c>
      <c r="T7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Row],[S5]]))),S71=""), "cmb. const", "")</f>
        <v/>
      </c>
      <c r="W71">
        <f>IF(Table36[[#This Row],[Pipeline]]="alu",Table36[[#This Row],[Delay]],0)</f>
        <v>0</v>
      </c>
      <c r="X71">
        <f>IF(AND(Table36[[#This Row],[Pipeline]]="alu",Table7[[#This Row],[const stat]]="new"),290,0)</f>
        <v>0</v>
      </c>
    </row>
    <row r="72" spans="1:24" x14ac:dyDescent="0.2">
      <c r="A72">
        <v>67</v>
      </c>
      <c r="B72" t="s">
        <v>277</v>
      </c>
      <c r="C72" t="s">
        <v>451</v>
      </c>
      <c r="D72" t="s">
        <v>12</v>
      </c>
      <c r="H72" s="3"/>
      <c r="I72" s="3" t="str">
        <f t="shared" si="1"/>
        <v>shared</v>
      </c>
      <c r="J72" s="3">
        <v>19</v>
      </c>
      <c r="K72" s="3"/>
      <c r="M7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2" s="2" t="str">
        <f>IF(OR(ISNUMBER(SEARCH("s2r", Table36[[#This Row],[inst]])),ISNUMBER(SEARCH("s2ur", Table36[[#This Row],[inst]]))), "special", "")</f>
        <v/>
      </c>
      <c r="Q72" s="2" t="str">
        <f>IF(OR(ISNUMBER(SEARCH("stg", Table36[[#This Row],[inst]])),ISNUMBER(SEARCH("ldg", Table36[[#This Row],[inst]]))), "global", "")</f>
        <v/>
      </c>
      <c r="R72" s="2" t="str">
        <f>IF(OR(ISNUMBER(SEARCH("sts", Table36[[#This Row],[inst]])),ISNUMBER(SEARCH("lds", Table36[[#This Row],[inst]]))), "shared", "")</f>
        <v>shared</v>
      </c>
      <c r="S72" s="2" t="str">
        <f>IF(OR(ISNUMBER(SEARCH("LDC", Table36[[#This Row],[inst]])),ISNUMBER(SEARCH("STC", Table36[[#This Row],[inst]]))), "ind. const", "")</f>
        <v/>
      </c>
      <c r="T7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Row],[S5]]))),S72=""), "cmb. const", "")</f>
        <v/>
      </c>
      <c r="W72">
        <f>IF(Table36[[#This Row],[Pipeline]]="alu",Table36[[#This Row],[Delay]],0)</f>
        <v>0</v>
      </c>
      <c r="X72">
        <f>IF(AND(Table36[[#This Row],[Pipeline]]="alu",Table7[[#This Row],[const stat]]="new"),290,0)</f>
        <v>0</v>
      </c>
    </row>
    <row r="73" spans="1:24" x14ac:dyDescent="0.2">
      <c r="A73">
        <v>68</v>
      </c>
      <c r="B73" t="s">
        <v>452</v>
      </c>
      <c r="C73" t="s">
        <v>453</v>
      </c>
      <c r="H73" s="3"/>
      <c r="I73" s="3" t="str">
        <f t="shared" si="1"/>
        <v>cba</v>
      </c>
      <c r="J73" s="3"/>
      <c r="K73" s="3"/>
      <c r="M7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3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73" s="2" t="str">
        <f>IF(OR(ISNUMBER(SEARCH("s2r", Table36[[#This Row],[inst]])),ISNUMBER(SEARCH("s2ur", Table36[[#This Row],[inst]]))), "special", "")</f>
        <v/>
      </c>
      <c r="Q73" s="2" t="str">
        <f>IF(OR(ISNUMBER(SEARCH("stg", Table36[[#This Row],[inst]])),ISNUMBER(SEARCH("ldg", Table36[[#This Row],[inst]]))), "global", "")</f>
        <v/>
      </c>
      <c r="R73" s="2" t="str">
        <f>IF(OR(ISNUMBER(SEARCH("sts", Table36[[#This Row],[inst]])),ISNUMBER(SEARCH("lds", Table36[[#This Row],[inst]]))), "shared", "")</f>
        <v/>
      </c>
      <c r="S73" s="2" t="str">
        <f>IF(OR(ISNUMBER(SEARCH("LDC", Table36[[#This Row],[inst]])),ISNUMBER(SEARCH("STC", Table36[[#This Row],[inst]]))), "ind. const", "")</f>
        <v/>
      </c>
      <c r="T7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Row],[S5]]))),S73=""), "cmb. const", "")</f>
        <v/>
      </c>
      <c r="W73">
        <f>IF(Table36[[#This Row],[Pipeline]]="alu",Table36[[#This Row],[Delay]],0)</f>
        <v>0</v>
      </c>
      <c r="X73">
        <f>IF(AND(Table36[[#This Row],[Pipeline]]="alu",Table7[[#This Row],[const stat]]="new"),290,0)</f>
        <v>0</v>
      </c>
    </row>
    <row r="74" spans="1:24" x14ac:dyDescent="0.2">
      <c r="A74">
        <v>69</v>
      </c>
      <c r="B74" t="s">
        <v>267</v>
      </c>
      <c r="C74" t="s">
        <v>23</v>
      </c>
      <c r="D74" t="s">
        <v>451</v>
      </c>
      <c r="H74" s="3"/>
      <c r="I74" s="3" t="str">
        <f t="shared" si="1"/>
        <v>shared</v>
      </c>
      <c r="J74" s="3">
        <v>23</v>
      </c>
      <c r="K74" s="3"/>
      <c r="M7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4" s="2" t="str">
        <f>IF(OR(ISNUMBER(SEARCH("s2r", Table36[[#This Row],[inst]])),ISNUMBER(SEARCH("s2ur", Table36[[#This Row],[inst]]))), "special", "")</f>
        <v/>
      </c>
      <c r="Q74" s="2" t="str">
        <f>IF(OR(ISNUMBER(SEARCH("stg", Table36[[#This Row],[inst]])),ISNUMBER(SEARCH("ldg", Table36[[#This Row],[inst]]))), "global", "")</f>
        <v/>
      </c>
      <c r="R74" s="2" t="str">
        <f>IF(OR(ISNUMBER(SEARCH("sts", Table36[[#This Row],[inst]])),ISNUMBER(SEARCH("lds", Table36[[#This Row],[inst]]))), "shared", "")</f>
        <v>shared</v>
      </c>
      <c r="S74" s="2" t="str">
        <f>IF(OR(ISNUMBER(SEARCH("LDC", Table36[[#This Row],[inst]])),ISNUMBER(SEARCH("STC", Table36[[#This Row],[inst]]))), "ind. const", "")</f>
        <v/>
      </c>
      <c r="T7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Row],[S5]]))),S74=""), "cmb. const", "")</f>
        <v/>
      </c>
      <c r="W74">
        <f>IF(Table36[[#This Row],[Pipeline]]="alu",Table36[[#This Row],[Delay]],0)</f>
        <v>0</v>
      </c>
      <c r="X74">
        <f>IF(AND(Table36[[#This Row],[Pipeline]]="alu",Table7[[#This Row],[const stat]]="new"),290,0)</f>
        <v>0</v>
      </c>
    </row>
    <row r="75" spans="1:24" x14ac:dyDescent="0.2">
      <c r="A75">
        <v>70</v>
      </c>
      <c r="B75" t="s">
        <v>449</v>
      </c>
      <c r="C75" t="s">
        <v>78</v>
      </c>
      <c r="D75" t="s">
        <v>51</v>
      </c>
      <c r="E75" t="s">
        <v>17</v>
      </c>
      <c r="F75" t="s">
        <v>459</v>
      </c>
      <c r="G75" t="s">
        <v>51</v>
      </c>
      <c r="H75" s="3"/>
      <c r="I75" s="3" t="str">
        <f t="shared" si="1"/>
        <v>alu</v>
      </c>
      <c r="J75" s="3">
        <v>4</v>
      </c>
      <c r="K75" s="3"/>
      <c r="M7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7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5" s="2" t="str">
        <f>IF(OR(ISNUMBER(SEARCH("s2r", Table36[[#This Row],[inst]])),ISNUMBER(SEARCH("s2ur", Table36[[#This Row],[inst]]))), "special", "")</f>
        <v/>
      </c>
      <c r="Q75" s="2" t="str">
        <f>IF(OR(ISNUMBER(SEARCH("stg", Table36[[#This Row],[inst]])),ISNUMBER(SEARCH("ldg", Table36[[#This Row],[inst]]))), "global", "")</f>
        <v/>
      </c>
      <c r="R75" s="2" t="str">
        <f>IF(OR(ISNUMBER(SEARCH("sts", Table36[[#This Row],[inst]])),ISNUMBER(SEARCH("lds", Table36[[#This Row],[inst]]))), "shared", "")</f>
        <v/>
      </c>
      <c r="S75" s="2" t="str">
        <f>IF(OR(ISNUMBER(SEARCH("LDC", Table36[[#This Row],[inst]])),ISNUMBER(SEARCH("STC", Table36[[#This Row],[inst]]))), "ind. const", "")</f>
        <v/>
      </c>
      <c r="T7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Row],[S5]]))),S75=""), "cmb. const", "")</f>
        <v/>
      </c>
      <c r="W75">
        <f>IF(Table36[[#This Row],[Pipeline]]="alu",Table36[[#This Row],[Delay]],0)</f>
        <v>4</v>
      </c>
      <c r="X75">
        <f>IF(AND(Table36[[#This Row],[Pipeline]]="alu",Table7[[#This Row],[const stat]]="new"),290,0)</f>
        <v>0</v>
      </c>
    </row>
    <row r="76" spans="1:24" x14ac:dyDescent="0.2">
      <c r="A76">
        <v>71</v>
      </c>
      <c r="B76" t="s">
        <v>267</v>
      </c>
      <c r="C76" t="s">
        <v>4</v>
      </c>
      <c r="D76" t="s">
        <v>460</v>
      </c>
      <c r="H76" s="3"/>
      <c r="I76" s="3" t="str">
        <f t="shared" si="1"/>
        <v>shared</v>
      </c>
      <c r="J76" s="3">
        <v>23</v>
      </c>
      <c r="K76" s="3"/>
      <c r="M7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6" s="2" t="str">
        <f>IF(OR(ISNUMBER(SEARCH("s2r", Table36[[#This Row],[inst]])),ISNUMBER(SEARCH("s2ur", Table36[[#This Row],[inst]]))), "special", "")</f>
        <v/>
      </c>
      <c r="Q76" s="2" t="str">
        <f>IF(OR(ISNUMBER(SEARCH("stg", Table36[[#This Row],[inst]])),ISNUMBER(SEARCH("ldg", Table36[[#This Row],[inst]]))), "global", "")</f>
        <v/>
      </c>
      <c r="R76" s="2" t="str">
        <f>IF(OR(ISNUMBER(SEARCH("sts", Table36[[#This Row],[inst]])),ISNUMBER(SEARCH("lds", Table36[[#This Row],[inst]]))), "shared", "")</f>
        <v>shared</v>
      </c>
      <c r="S76" s="2" t="str">
        <f>IF(OR(ISNUMBER(SEARCH("LDC", Table36[[#This Row],[inst]])),ISNUMBER(SEARCH("STC", Table36[[#This Row],[inst]]))), "ind. const", "")</f>
        <v/>
      </c>
      <c r="T7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Row],[S5]]))),S76=""), "cmb. const", "")</f>
        <v/>
      </c>
      <c r="W76">
        <f>IF(Table36[[#This Row],[Pipeline]]="alu",Table36[[#This Row],[Delay]],0)</f>
        <v>0</v>
      </c>
      <c r="X76">
        <f>IF(AND(Table36[[#This Row],[Pipeline]]="alu",Table7[[#This Row],[const stat]]="new"),290,0)</f>
        <v>0</v>
      </c>
    </row>
    <row r="77" spans="1:24" x14ac:dyDescent="0.2">
      <c r="A77">
        <v>72</v>
      </c>
      <c r="B77" t="s">
        <v>88</v>
      </c>
      <c r="C77" t="s">
        <v>23</v>
      </c>
      <c r="D77" t="s">
        <v>23</v>
      </c>
      <c r="E77" t="s">
        <v>4</v>
      </c>
      <c r="H77" s="3"/>
      <c r="I77" s="3" t="str">
        <f t="shared" si="1"/>
        <v>fma</v>
      </c>
      <c r="J77" s="3">
        <v>4</v>
      </c>
      <c r="K77" s="3"/>
      <c r="M7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7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7" s="2" t="str">
        <f>IF(OR(ISNUMBER(SEARCH("s2r", Table36[[#This Row],[inst]])),ISNUMBER(SEARCH("s2ur", Table36[[#This Row],[inst]]))), "special", "")</f>
        <v/>
      </c>
      <c r="Q77" s="2" t="str">
        <f>IF(OR(ISNUMBER(SEARCH("stg", Table36[[#This Row],[inst]])),ISNUMBER(SEARCH("ldg", Table36[[#This Row],[inst]]))), "global", "")</f>
        <v/>
      </c>
      <c r="R77" s="2" t="str">
        <f>IF(OR(ISNUMBER(SEARCH("sts", Table36[[#This Row],[inst]])),ISNUMBER(SEARCH("lds", Table36[[#This Row],[inst]]))), "shared", "")</f>
        <v/>
      </c>
      <c r="S77" s="2" t="str">
        <f>IF(OR(ISNUMBER(SEARCH("LDC", Table36[[#This Row],[inst]])),ISNUMBER(SEARCH("STC", Table36[[#This Row],[inst]]))), "ind. const", "")</f>
        <v/>
      </c>
      <c r="T7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Row],[S5]]))),S77=""), "cmb. const", "")</f>
        <v/>
      </c>
      <c r="W77">
        <f>IF(Table36[[#This Row],[Pipeline]]="alu",Table36[[#This Row],[Delay]],0)</f>
        <v>0</v>
      </c>
      <c r="X77">
        <f>IF(AND(Table36[[#This Row],[Pipeline]]="alu",Table7[[#This Row],[const stat]]="new"),290,0)</f>
        <v>0</v>
      </c>
    </row>
    <row r="78" spans="1:24" x14ac:dyDescent="0.2">
      <c r="A78">
        <v>73</v>
      </c>
      <c r="B78" t="s">
        <v>277</v>
      </c>
      <c r="C78" t="s">
        <v>451</v>
      </c>
      <c r="D78" t="s">
        <v>23</v>
      </c>
      <c r="H78" s="3"/>
      <c r="I78" s="3" t="str">
        <f t="shared" si="1"/>
        <v>shared</v>
      </c>
      <c r="J78" s="3">
        <v>19</v>
      </c>
      <c r="K78" s="3"/>
      <c r="M7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78" s="2" t="str">
        <f>IF(OR(ISNUMBER(SEARCH("s2r", Table36[[#This Row],[inst]])),ISNUMBER(SEARCH("s2ur", Table36[[#This Row],[inst]]))), "special", "")</f>
        <v/>
      </c>
      <c r="Q78" s="2" t="str">
        <f>IF(OR(ISNUMBER(SEARCH("stg", Table36[[#This Row],[inst]])),ISNUMBER(SEARCH("ldg", Table36[[#This Row],[inst]]))), "global", "")</f>
        <v/>
      </c>
      <c r="R78" s="2" t="str">
        <f>IF(OR(ISNUMBER(SEARCH("sts", Table36[[#This Row],[inst]])),ISNUMBER(SEARCH("lds", Table36[[#This Row],[inst]]))), "shared", "")</f>
        <v>shared</v>
      </c>
      <c r="S78" s="2" t="str">
        <f>IF(OR(ISNUMBER(SEARCH("LDC", Table36[[#This Row],[inst]])),ISNUMBER(SEARCH("STC", Table36[[#This Row],[inst]]))), "ind. const", "")</f>
        <v/>
      </c>
      <c r="T7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Row],[S5]]))),S78=""), "cmb. const", "")</f>
        <v/>
      </c>
      <c r="W78">
        <f>IF(Table36[[#This Row],[Pipeline]]="alu",Table36[[#This Row],[Delay]],0)</f>
        <v>0</v>
      </c>
      <c r="X78">
        <f>IF(AND(Table36[[#This Row],[Pipeline]]="alu",Table7[[#This Row],[const stat]]="new"),290,0)</f>
        <v>0</v>
      </c>
    </row>
    <row r="79" spans="1:24" x14ac:dyDescent="0.2">
      <c r="A79">
        <v>74</v>
      </c>
      <c r="B79" t="s">
        <v>452</v>
      </c>
      <c r="C79" t="s">
        <v>453</v>
      </c>
      <c r="H79" s="3"/>
      <c r="I79" s="3" t="str">
        <f t="shared" ref="I79:I104" si="2">IF(M79&lt;&gt;"", M79, IF(N79&lt;&gt;"", N79, IF(O79&lt;&gt;"", O79, IF(P79&lt;&gt;"", P79, IF(Q79&lt;&gt;"", Q79, IF(R79&lt;&gt;"", R79, IF(S79&lt;&gt;"", S79, "")))))))</f>
        <v>cba</v>
      </c>
      <c r="J79" s="3"/>
      <c r="K79" s="3"/>
      <c r="M7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7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79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79" s="2" t="str">
        <f>IF(OR(ISNUMBER(SEARCH("s2r", Table36[[#This Row],[inst]])),ISNUMBER(SEARCH("s2ur", Table36[[#This Row],[inst]]))), "special", "")</f>
        <v/>
      </c>
      <c r="Q79" s="2" t="str">
        <f>IF(OR(ISNUMBER(SEARCH("stg", Table36[[#This Row],[inst]])),ISNUMBER(SEARCH("ldg", Table36[[#This Row],[inst]]))), "global", "")</f>
        <v/>
      </c>
      <c r="R79" s="2" t="str">
        <f>IF(OR(ISNUMBER(SEARCH("sts", Table36[[#This Row],[inst]])),ISNUMBER(SEARCH("lds", Table36[[#This Row],[inst]]))), "shared", "")</f>
        <v/>
      </c>
      <c r="S79" s="2" t="str">
        <f>IF(OR(ISNUMBER(SEARCH("LDC", Table36[[#This Row],[inst]])),ISNUMBER(SEARCH("STC", Table36[[#This Row],[inst]]))), "ind. const", "")</f>
        <v/>
      </c>
      <c r="T7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Row],[S5]]))),S79=""), "cmb. const", "")</f>
        <v/>
      </c>
      <c r="W79">
        <f>IF(Table36[[#This Row],[Pipeline]]="alu",Table36[[#This Row],[Delay]],0)</f>
        <v>0</v>
      </c>
      <c r="X79">
        <f>IF(AND(Table36[[#This Row],[Pipeline]]="alu",Table7[[#This Row],[const stat]]="new"),290,0)</f>
        <v>0</v>
      </c>
    </row>
    <row r="80" spans="1:24" x14ac:dyDescent="0.2">
      <c r="A80">
        <v>75</v>
      </c>
      <c r="B80" t="s">
        <v>267</v>
      </c>
      <c r="C80" t="s">
        <v>4</v>
      </c>
      <c r="D80" t="s">
        <v>451</v>
      </c>
      <c r="H80" s="3"/>
      <c r="I80" s="3" t="str">
        <f t="shared" si="2"/>
        <v>shared</v>
      </c>
      <c r="J80" s="3">
        <v>23</v>
      </c>
      <c r="K80" s="3"/>
      <c r="M8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0" s="2" t="str">
        <f>IF(OR(ISNUMBER(SEARCH("s2r", Table36[[#This Row],[inst]])),ISNUMBER(SEARCH("s2ur", Table36[[#This Row],[inst]]))), "special", "")</f>
        <v/>
      </c>
      <c r="Q80" s="2" t="str">
        <f>IF(OR(ISNUMBER(SEARCH("stg", Table36[[#This Row],[inst]])),ISNUMBER(SEARCH("ldg", Table36[[#This Row],[inst]]))), "global", "")</f>
        <v/>
      </c>
      <c r="R80" s="2" t="str">
        <f>IF(OR(ISNUMBER(SEARCH("sts", Table36[[#This Row],[inst]])),ISNUMBER(SEARCH("lds", Table36[[#This Row],[inst]]))), "shared", "")</f>
        <v>shared</v>
      </c>
      <c r="S80" s="2" t="str">
        <f>IF(OR(ISNUMBER(SEARCH("LDC", Table36[[#This Row],[inst]])),ISNUMBER(SEARCH("STC", Table36[[#This Row],[inst]]))), "ind. const", "")</f>
        <v/>
      </c>
      <c r="T8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Row],[S5]]))),S80=""), "cmb. const", "")</f>
        <v/>
      </c>
      <c r="W80">
        <f>IF(Table36[[#This Row],[Pipeline]]="alu",Table36[[#This Row],[Delay]],0)</f>
        <v>0</v>
      </c>
      <c r="X80">
        <f>IF(AND(Table36[[#This Row],[Pipeline]]="alu",Table7[[#This Row],[const stat]]="new"),290,0)</f>
        <v>0</v>
      </c>
    </row>
    <row r="81" spans="1:24" x14ac:dyDescent="0.2">
      <c r="A81">
        <v>76</v>
      </c>
      <c r="B81" t="s">
        <v>449</v>
      </c>
      <c r="C81" t="s">
        <v>50</v>
      </c>
      <c r="D81" t="s">
        <v>51</v>
      </c>
      <c r="E81" t="s">
        <v>17</v>
      </c>
      <c r="F81" t="s">
        <v>75</v>
      </c>
      <c r="G81" t="s">
        <v>51</v>
      </c>
      <c r="H81" s="3"/>
      <c r="I81" s="3" t="str">
        <f t="shared" si="2"/>
        <v>alu</v>
      </c>
      <c r="J81" s="3">
        <v>4</v>
      </c>
      <c r="K81" s="3"/>
      <c r="M8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8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1" s="2" t="str">
        <f>IF(OR(ISNUMBER(SEARCH("s2r", Table36[[#This Row],[inst]])),ISNUMBER(SEARCH("s2ur", Table36[[#This Row],[inst]]))), "special", "")</f>
        <v/>
      </c>
      <c r="Q81" s="2" t="str">
        <f>IF(OR(ISNUMBER(SEARCH("stg", Table36[[#This Row],[inst]])),ISNUMBER(SEARCH("ldg", Table36[[#This Row],[inst]]))), "global", "")</f>
        <v/>
      </c>
      <c r="R81" s="2" t="str">
        <f>IF(OR(ISNUMBER(SEARCH("sts", Table36[[#This Row],[inst]])),ISNUMBER(SEARCH("lds", Table36[[#This Row],[inst]]))), "shared", "")</f>
        <v/>
      </c>
      <c r="S81" s="2" t="str">
        <f>IF(OR(ISNUMBER(SEARCH("LDC", Table36[[#This Row],[inst]])),ISNUMBER(SEARCH("STC", Table36[[#This Row],[inst]]))), "ind. const", "")</f>
        <v/>
      </c>
      <c r="T8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Row],[S5]]))),S81=""), "cmb. const", "")</f>
        <v/>
      </c>
      <c r="W81">
        <f>IF(Table36[[#This Row],[Pipeline]]="alu",Table36[[#This Row],[Delay]],0)</f>
        <v>4</v>
      </c>
      <c r="X81">
        <f>IF(AND(Table36[[#This Row],[Pipeline]]="alu",Table7[[#This Row],[const stat]]="new"),290,0)</f>
        <v>0</v>
      </c>
    </row>
    <row r="82" spans="1:24" x14ac:dyDescent="0.2">
      <c r="A82">
        <v>77</v>
      </c>
      <c r="B82" t="s">
        <v>267</v>
      </c>
      <c r="C82" t="s">
        <v>7</v>
      </c>
      <c r="D82" t="s">
        <v>461</v>
      </c>
      <c r="H82" s="3"/>
      <c r="I82" s="3" t="str">
        <f t="shared" si="2"/>
        <v>shared</v>
      </c>
      <c r="J82" s="3">
        <v>23</v>
      </c>
      <c r="K82" s="3"/>
      <c r="M8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2" s="2" t="str">
        <f>IF(OR(ISNUMBER(SEARCH("s2r", Table36[[#This Row],[inst]])),ISNUMBER(SEARCH("s2ur", Table36[[#This Row],[inst]]))), "special", "")</f>
        <v/>
      </c>
      <c r="Q82" s="2" t="str">
        <f>IF(OR(ISNUMBER(SEARCH("stg", Table36[[#This Row],[inst]])),ISNUMBER(SEARCH("ldg", Table36[[#This Row],[inst]]))), "global", "")</f>
        <v/>
      </c>
      <c r="R82" s="2" t="str">
        <f>IF(OR(ISNUMBER(SEARCH("sts", Table36[[#This Row],[inst]])),ISNUMBER(SEARCH("lds", Table36[[#This Row],[inst]]))), "shared", "")</f>
        <v>shared</v>
      </c>
      <c r="S82" s="2" t="str">
        <f>IF(OR(ISNUMBER(SEARCH("LDC", Table36[[#This Row],[inst]])),ISNUMBER(SEARCH("STC", Table36[[#This Row],[inst]]))), "ind. const", "")</f>
        <v/>
      </c>
      <c r="T8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Row],[S5]]))),S82=""), "cmb. const", "")</f>
        <v/>
      </c>
      <c r="W82">
        <f>IF(Table36[[#This Row],[Pipeline]]="alu",Table36[[#This Row],[Delay]],0)</f>
        <v>0</v>
      </c>
      <c r="X82">
        <f>IF(AND(Table36[[#This Row],[Pipeline]]="alu",Table7[[#This Row],[const stat]]="new"),290,0)</f>
        <v>0</v>
      </c>
    </row>
    <row r="83" spans="1:24" x14ac:dyDescent="0.2">
      <c r="A83">
        <v>78</v>
      </c>
      <c r="B83" t="s">
        <v>88</v>
      </c>
      <c r="C83" t="s">
        <v>7</v>
      </c>
      <c r="D83" t="s">
        <v>4</v>
      </c>
      <c r="E83" t="s">
        <v>7</v>
      </c>
      <c r="H83" s="3"/>
      <c r="I83" s="3" t="str">
        <f t="shared" si="2"/>
        <v>fma</v>
      </c>
      <c r="J83" s="3">
        <v>4</v>
      </c>
      <c r="K83" s="3"/>
      <c r="M8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8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3" s="2" t="str">
        <f>IF(OR(ISNUMBER(SEARCH("s2r", Table36[[#This Row],[inst]])),ISNUMBER(SEARCH("s2ur", Table36[[#This Row],[inst]]))), "special", "")</f>
        <v/>
      </c>
      <c r="Q83" s="2" t="str">
        <f>IF(OR(ISNUMBER(SEARCH("stg", Table36[[#This Row],[inst]])),ISNUMBER(SEARCH("ldg", Table36[[#This Row],[inst]]))), "global", "")</f>
        <v/>
      </c>
      <c r="R83" s="2" t="str">
        <f>IF(OR(ISNUMBER(SEARCH("sts", Table36[[#This Row],[inst]])),ISNUMBER(SEARCH("lds", Table36[[#This Row],[inst]]))), "shared", "")</f>
        <v/>
      </c>
      <c r="S83" s="2" t="str">
        <f>IF(OR(ISNUMBER(SEARCH("LDC", Table36[[#This Row],[inst]])),ISNUMBER(SEARCH("STC", Table36[[#This Row],[inst]]))), "ind. const", "")</f>
        <v/>
      </c>
      <c r="T8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Row],[S5]]))),S83=""), "cmb. const", "")</f>
        <v/>
      </c>
      <c r="W83">
        <f>IF(Table36[[#This Row],[Pipeline]]="alu",Table36[[#This Row],[Delay]],0)</f>
        <v>0</v>
      </c>
      <c r="X83">
        <f>IF(AND(Table36[[#This Row],[Pipeline]]="alu",Table7[[#This Row],[const stat]]="new"),290,0)</f>
        <v>0</v>
      </c>
    </row>
    <row r="84" spans="1:24" x14ac:dyDescent="0.2">
      <c r="A84">
        <v>79</v>
      </c>
      <c r="B84" t="s">
        <v>277</v>
      </c>
      <c r="C84" t="s">
        <v>451</v>
      </c>
      <c r="D84" t="s">
        <v>7</v>
      </c>
      <c r="H84" s="3"/>
      <c r="I84" s="3" t="str">
        <f t="shared" si="2"/>
        <v>shared</v>
      </c>
      <c r="J84" s="3">
        <v>19</v>
      </c>
      <c r="K84" s="3"/>
      <c r="M8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4" s="2" t="str">
        <f>IF(OR(ISNUMBER(SEARCH("s2r", Table36[[#This Row],[inst]])),ISNUMBER(SEARCH("s2ur", Table36[[#This Row],[inst]]))), "special", "")</f>
        <v/>
      </c>
      <c r="Q84" s="2" t="str">
        <f>IF(OR(ISNUMBER(SEARCH("stg", Table36[[#This Row],[inst]])),ISNUMBER(SEARCH("ldg", Table36[[#This Row],[inst]]))), "global", "")</f>
        <v/>
      </c>
      <c r="R84" s="2" t="str">
        <f>IF(OR(ISNUMBER(SEARCH("sts", Table36[[#This Row],[inst]])),ISNUMBER(SEARCH("lds", Table36[[#This Row],[inst]]))), "shared", "")</f>
        <v>shared</v>
      </c>
      <c r="S84" s="2" t="str">
        <f>IF(OR(ISNUMBER(SEARCH("LDC", Table36[[#This Row],[inst]])),ISNUMBER(SEARCH("STC", Table36[[#This Row],[inst]]))), "ind. const", "")</f>
        <v/>
      </c>
      <c r="T8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Row],[S5]]))),S84=""), "cmb. const", "")</f>
        <v/>
      </c>
      <c r="W84">
        <f>IF(Table36[[#This Row],[Pipeline]]="alu",Table36[[#This Row],[Delay]],0)</f>
        <v>0</v>
      </c>
      <c r="X84">
        <f>IF(AND(Table36[[#This Row],[Pipeline]]="alu",Table7[[#This Row],[const stat]]="new"),290,0)</f>
        <v>0</v>
      </c>
    </row>
    <row r="85" spans="1:24" x14ac:dyDescent="0.2">
      <c r="A85">
        <v>80</v>
      </c>
      <c r="B85" t="s">
        <v>452</v>
      </c>
      <c r="C85" t="s">
        <v>453</v>
      </c>
      <c r="H85" s="3"/>
      <c r="I85" s="3" t="str">
        <f t="shared" si="2"/>
        <v>cba</v>
      </c>
      <c r="J85" s="3"/>
      <c r="K85" s="3"/>
      <c r="M8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5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85" s="2" t="str">
        <f>IF(OR(ISNUMBER(SEARCH("s2r", Table36[[#This Row],[inst]])),ISNUMBER(SEARCH("s2ur", Table36[[#This Row],[inst]]))), "special", "")</f>
        <v/>
      </c>
      <c r="Q85" s="2" t="str">
        <f>IF(OR(ISNUMBER(SEARCH("stg", Table36[[#This Row],[inst]])),ISNUMBER(SEARCH("ldg", Table36[[#This Row],[inst]]))), "global", "")</f>
        <v/>
      </c>
      <c r="R85" s="2" t="str">
        <f>IF(OR(ISNUMBER(SEARCH("sts", Table36[[#This Row],[inst]])),ISNUMBER(SEARCH("lds", Table36[[#This Row],[inst]]))), "shared", "")</f>
        <v/>
      </c>
      <c r="S85" s="2" t="str">
        <f>IF(OR(ISNUMBER(SEARCH("LDC", Table36[[#This Row],[inst]])),ISNUMBER(SEARCH("STC", Table36[[#This Row],[inst]]))), "ind. const", "")</f>
        <v/>
      </c>
      <c r="T8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Row],[S5]]))),S85=""), "cmb. const", "")</f>
        <v/>
      </c>
      <c r="W85">
        <f>IF(Table36[[#This Row],[Pipeline]]="alu",Table36[[#This Row],[Delay]],0)</f>
        <v>0</v>
      </c>
      <c r="X85">
        <f>IF(AND(Table36[[#This Row],[Pipeline]]="alu",Table7[[#This Row],[const stat]]="new"),290,0)</f>
        <v>0</v>
      </c>
    </row>
    <row r="86" spans="1:24" x14ac:dyDescent="0.2">
      <c r="A86">
        <v>81</v>
      </c>
      <c r="B86" t="s">
        <v>267</v>
      </c>
      <c r="C86" t="s">
        <v>12</v>
      </c>
      <c r="D86" t="s">
        <v>451</v>
      </c>
      <c r="H86" s="3"/>
      <c r="I86" s="3" t="str">
        <f t="shared" si="2"/>
        <v>shared</v>
      </c>
      <c r="J86" s="3">
        <v>23</v>
      </c>
      <c r="K86" s="3"/>
      <c r="M8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6" s="2" t="str">
        <f>IF(OR(ISNUMBER(SEARCH("s2r", Table36[[#This Row],[inst]])),ISNUMBER(SEARCH("s2ur", Table36[[#This Row],[inst]]))), "special", "")</f>
        <v/>
      </c>
      <c r="Q86" s="2" t="str">
        <f>IF(OR(ISNUMBER(SEARCH("stg", Table36[[#This Row],[inst]])),ISNUMBER(SEARCH("ldg", Table36[[#This Row],[inst]]))), "global", "")</f>
        <v/>
      </c>
      <c r="R86" s="2" t="str">
        <f>IF(OR(ISNUMBER(SEARCH("sts", Table36[[#This Row],[inst]])),ISNUMBER(SEARCH("lds", Table36[[#This Row],[inst]]))), "shared", "")</f>
        <v>shared</v>
      </c>
      <c r="S86" s="2" t="str">
        <f>IF(OR(ISNUMBER(SEARCH("LDC", Table36[[#This Row],[inst]])),ISNUMBER(SEARCH("STC", Table36[[#This Row],[inst]]))), "ind. const", "")</f>
        <v/>
      </c>
      <c r="T8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Row],[S5]]))),S86=""), "cmb. const", "")</f>
        <v/>
      </c>
      <c r="W86">
        <f>IF(Table36[[#This Row],[Pipeline]]="alu",Table36[[#This Row],[Delay]],0)</f>
        <v>0</v>
      </c>
      <c r="X86">
        <f>IF(AND(Table36[[#This Row],[Pipeline]]="alu",Table7[[#This Row],[const stat]]="new"),290,0)</f>
        <v>0</v>
      </c>
    </row>
    <row r="87" spans="1:24" x14ac:dyDescent="0.2">
      <c r="A87">
        <v>82</v>
      </c>
      <c r="B87" t="s">
        <v>449</v>
      </c>
      <c r="C87" t="s">
        <v>78</v>
      </c>
      <c r="D87" t="s">
        <v>51</v>
      </c>
      <c r="E87" t="s">
        <v>17</v>
      </c>
      <c r="F87" t="s">
        <v>8</v>
      </c>
      <c r="G87" t="s">
        <v>51</v>
      </c>
      <c r="H87" s="3"/>
      <c r="I87" s="3" t="str">
        <f t="shared" si="2"/>
        <v>alu</v>
      </c>
      <c r="J87" s="3">
        <v>4</v>
      </c>
      <c r="K87" s="3"/>
      <c r="M8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8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7" s="2" t="str">
        <f>IF(OR(ISNUMBER(SEARCH("s2r", Table36[[#This Row],[inst]])),ISNUMBER(SEARCH("s2ur", Table36[[#This Row],[inst]]))), "special", "")</f>
        <v/>
      </c>
      <c r="Q87" s="2" t="str">
        <f>IF(OR(ISNUMBER(SEARCH("stg", Table36[[#This Row],[inst]])),ISNUMBER(SEARCH("ldg", Table36[[#This Row],[inst]]))), "global", "")</f>
        <v/>
      </c>
      <c r="R87" s="2" t="str">
        <f>IF(OR(ISNUMBER(SEARCH("sts", Table36[[#This Row],[inst]])),ISNUMBER(SEARCH("lds", Table36[[#This Row],[inst]]))), "shared", "")</f>
        <v/>
      </c>
      <c r="S87" s="2" t="str">
        <f>IF(OR(ISNUMBER(SEARCH("LDC", Table36[[#This Row],[inst]])),ISNUMBER(SEARCH("STC", Table36[[#This Row],[inst]]))), "ind. const", "")</f>
        <v/>
      </c>
      <c r="T8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Row],[S5]]))),S87=""), "cmb. const", "")</f>
        <v/>
      </c>
      <c r="W87">
        <f>IF(Table36[[#This Row],[Pipeline]]="alu",Table36[[#This Row],[Delay]],0)</f>
        <v>4</v>
      </c>
      <c r="X87">
        <f>IF(AND(Table36[[#This Row],[Pipeline]]="alu",Table7[[#This Row],[const stat]]="new"),290,0)</f>
        <v>0</v>
      </c>
    </row>
    <row r="88" spans="1:24" x14ac:dyDescent="0.2">
      <c r="A88">
        <v>83</v>
      </c>
      <c r="B88" t="s">
        <v>267</v>
      </c>
      <c r="C88" t="s">
        <v>4</v>
      </c>
      <c r="D88" t="s">
        <v>462</v>
      </c>
      <c r="H88" s="3"/>
      <c r="I88" s="3" t="str">
        <f t="shared" si="2"/>
        <v>shared</v>
      </c>
      <c r="J88" s="3">
        <v>23</v>
      </c>
      <c r="K88" s="3"/>
      <c r="M8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8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8" s="2" t="str">
        <f>IF(OR(ISNUMBER(SEARCH("s2r", Table36[[#This Row],[inst]])),ISNUMBER(SEARCH("s2ur", Table36[[#This Row],[inst]]))), "special", "")</f>
        <v/>
      </c>
      <c r="Q88" s="2" t="str">
        <f>IF(OR(ISNUMBER(SEARCH("stg", Table36[[#This Row],[inst]])),ISNUMBER(SEARCH("ldg", Table36[[#This Row],[inst]]))), "global", "")</f>
        <v/>
      </c>
      <c r="R88" s="2" t="str">
        <f>IF(OR(ISNUMBER(SEARCH("sts", Table36[[#This Row],[inst]])),ISNUMBER(SEARCH("lds", Table36[[#This Row],[inst]]))), "shared", "")</f>
        <v>shared</v>
      </c>
      <c r="S88" s="2" t="str">
        <f>IF(OR(ISNUMBER(SEARCH("LDC", Table36[[#This Row],[inst]])),ISNUMBER(SEARCH("STC", Table36[[#This Row],[inst]]))), "ind. const", "")</f>
        <v/>
      </c>
      <c r="T8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Row],[S5]]))),S88=""), "cmb. const", "")</f>
        <v/>
      </c>
      <c r="W88">
        <f>IF(Table36[[#This Row],[Pipeline]]="alu",Table36[[#This Row],[Delay]],0)</f>
        <v>0</v>
      </c>
      <c r="X88">
        <f>IF(AND(Table36[[#This Row],[Pipeline]]="alu",Table7[[#This Row],[const stat]]="new"),290,0)</f>
        <v>0</v>
      </c>
    </row>
    <row r="89" spans="1:24" x14ac:dyDescent="0.2">
      <c r="A89">
        <v>84</v>
      </c>
      <c r="B89" t="s">
        <v>88</v>
      </c>
      <c r="C89" t="s">
        <v>12</v>
      </c>
      <c r="D89" t="s">
        <v>12</v>
      </c>
      <c r="E89" t="s">
        <v>4</v>
      </c>
      <c r="H89" s="3"/>
      <c r="I89" s="3" t="str">
        <f t="shared" si="2"/>
        <v>fma</v>
      </c>
      <c r="J89" s="3">
        <v>4</v>
      </c>
      <c r="K89" s="3"/>
      <c r="M8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8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8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89" s="2" t="str">
        <f>IF(OR(ISNUMBER(SEARCH("s2r", Table36[[#This Row],[inst]])),ISNUMBER(SEARCH("s2ur", Table36[[#This Row],[inst]]))), "special", "")</f>
        <v/>
      </c>
      <c r="Q89" s="2" t="str">
        <f>IF(OR(ISNUMBER(SEARCH("stg", Table36[[#This Row],[inst]])),ISNUMBER(SEARCH("ldg", Table36[[#This Row],[inst]]))), "global", "")</f>
        <v/>
      </c>
      <c r="R89" s="2" t="str">
        <f>IF(OR(ISNUMBER(SEARCH("sts", Table36[[#This Row],[inst]])),ISNUMBER(SEARCH("lds", Table36[[#This Row],[inst]]))), "shared", "")</f>
        <v/>
      </c>
      <c r="S89" s="2" t="str">
        <f>IF(OR(ISNUMBER(SEARCH("LDC", Table36[[#This Row],[inst]])),ISNUMBER(SEARCH("STC", Table36[[#This Row],[inst]]))), "ind. const", "")</f>
        <v/>
      </c>
      <c r="T8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Row],[S5]]))),S89=""), "cmb. const", "")</f>
        <v/>
      </c>
      <c r="W89">
        <f>IF(Table36[[#This Row],[Pipeline]]="alu",Table36[[#This Row],[Delay]],0)</f>
        <v>0</v>
      </c>
      <c r="X89">
        <f>IF(AND(Table36[[#This Row],[Pipeline]]="alu",Table7[[#This Row],[const stat]]="new"),290,0)</f>
        <v>0</v>
      </c>
    </row>
    <row r="90" spans="1:24" x14ac:dyDescent="0.2">
      <c r="A90">
        <v>85</v>
      </c>
      <c r="B90" t="s">
        <v>277</v>
      </c>
      <c r="C90" t="s">
        <v>451</v>
      </c>
      <c r="D90" t="s">
        <v>12</v>
      </c>
      <c r="H90" s="3"/>
      <c r="I90" s="3" t="str">
        <f t="shared" si="2"/>
        <v>shared</v>
      </c>
      <c r="J90" s="3">
        <v>19</v>
      </c>
      <c r="K90" s="3"/>
      <c r="M9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0" s="2" t="str">
        <f>IF(OR(ISNUMBER(SEARCH("s2r", Table36[[#This Row],[inst]])),ISNUMBER(SEARCH("s2ur", Table36[[#This Row],[inst]]))), "special", "")</f>
        <v/>
      </c>
      <c r="Q90" s="2" t="str">
        <f>IF(OR(ISNUMBER(SEARCH("stg", Table36[[#This Row],[inst]])),ISNUMBER(SEARCH("ldg", Table36[[#This Row],[inst]]))), "global", "")</f>
        <v/>
      </c>
      <c r="R90" s="2" t="str">
        <f>IF(OR(ISNUMBER(SEARCH("sts", Table36[[#This Row],[inst]])),ISNUMBER(SEARCH("lds", Table36[[#This Row],[inst]]))), "shared", "")</f>
        <v>shared</v>
      </c>
      <c r="S90" s="2" t="str">
        <f>IF(OR(ISNUMBER(SEARCH("LDC", Table36[[#This Row],[inst]])),ISNUMBER(SEARCH("STC", Table36[[#This Row],[inst]]))), "ind. const", "")</f>
        <v/>
      </c>
      <c r="T9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Row],[S5]]))),S90=""), "cmb. const", "")</f>
        <v/>
      </c>
      <c r="W90">
        <f>IF(Table36[[#This Row],[Pipeline]]="alu",Table36[[#This Row],[Delay]],0)</f>
        <v>0</v>
      </c>
      <c r="X90">
        <f>IF(AND(Table36[[#This Row],[Pipeline]]="alu",Table7[[#This Row],[const stat]]="new"),290,0)</f>
        <v>0</v>
      </c>
    </row>
    <row r="91" spans="1:24" x14ac:dyDescent="0.2">
      <c r="A91">
        <v>86</v>
      </c>
      <c r="B91" t="s">
        <v>452</v>
      </c>
      <c r="C91" t="s">
        <v>453</v>
      </c>
      <c r="H91" s="3"/>
      <c r="I91" s="3" t="str">
        <f t="shared" si="2"/>
        <v>cba</v>
      </c>
      <c r="J91" s="3"/>
      <c r="K91" s="3"/>
      <c r="M9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1" s="2" t="str">
        <f>IF(OR(ISNUMBER(SEARCH("bssy", Table36[[#This Row],[inst]])),ISNUMBER(SEARCH("bra", Table36[[#This Row],[inst]])),ISNUMBER(SEARCH("bsync", Table36[[#This Row],[inst]])),ISNUMBER(SEARCH("bar", Table36[[#This Row],[inst]]))), "cba", "")</f>
        <v>cba</v>
      </c>
      <c r="P91" s="2" t="str">
        <f>IF(OR(ISNUMBER(SEARCH("s2r", Table36[[#This Row],[inst]])),ISNUMBER(SEARCH("s2ur", Table36[[#This Row],[inst]]))), "special", "")</f>
        <v/>
      </c>
      <c r="Q91" s="2" t="str">
        <f>IF(OR(ISNUMBER(SEARCH("stg", Table36[[#This Row],[inst]])),ISNUMBER(SEARCH("ldg", Table36[[#This Row],[inst]]))), "global", "")</f>
        <v/>
      </c>
      <c r="R91" s="2" t="str">
        <f>IF(OR(ISNUMBER(SEARCH("sts", Table36[[#This Row],[inst]])),ISNUMBER(SEARCH("lds", Table36[[#This Row],[inst]]))), "shared", "")</f>
        <v/>
      </c>
      <c r="S91" s="2" t="str">
        <f>IF(OR(ISNUMBER(SEARCH("LDC", Table36[[#This Row],[inst]])),ISNUMBER(SEARCH("STC", Table36[[#This Row],[inst]]))), "ind. const", "")</f>
        <v/>
      </c>
      <c r="T9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Row],[S5]]))),S91=""), "cmb. const", "")</f>
        <v/>
      </c>
      <c r="W91">
        <f>IF(Table36[[#This Row],[Pipeline]]="alu",Table36[[#This Row],[Delay]],0)</f>
        <v>0</v>
      </c>
      <c r="X91">
        <f>IF(AND(Table36[[#This Row],[Pipeline]]="alu",Table7[[#This Row],[const stat]]="new"),290,0)</f>
        <v>0</v>
      </c>
    </row>
    <row r="92" spans="1:24" x14ac:dyDescent="0.2">
      <c r="A92">
        <v>87</v>
      </c>
      <c r="B92" t="s">
        <v>267</v>
      </c>
      <c r="C92" t="s">
        <v>23</v>
      </c>
      <c r="D92" t="s">
        <v>451</v>
      </c>
      <c r="H92" s="3"/>
      <c r="I92" s="3" t="str">
        <f t="shared" si="2"/>
        <v>shared</v>
      </c>
      <c r="J92" s="3">
        <v>23</v>
      </c>
      <c r="K92" s="3"/>
      <c r="M9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2" s="2" t="str">
        <f>IF(OR(ISNUMBER(SEARCH("s2r", Table36[[#This Row],[inst]])),ISNUMBER(SEARCH("s2ur", Table36[[#This Row],[inst]]))), "special", "")</f>
        <v/>
      </c>
      <c r="Q92" s="2" t="str">
        <f>IF(OR(ISNUMBER(SEARCH("stg", Table36[[#This Row],[inst]])),ISNUMBER(SEARCH("ldg", Table36[[#This Row],[inst]]))), "global", "")</f>
        <v/>
      </c>
      <c r="R92" s="2" t="str">
        <f>IF(OR(ISNUMBER(SEARCH("sts", Table36[[#This Row],[inst]])),ISNUMBER(SEARCH("lds", Table36[[#This Row],[inst]]))), "shared", "")</f>
        <v>shared</v>
      </c>
      <c r="S92" s="2" t="str">
        <f>IF(OR(ISNUMBER(SEARCH("LDC", Table36[[#This Row],[inst]])),ISNUMBER(SEARCH("STC", Table36[[#This Row],[inst]]))), "ind. const", "")</f>
        <v/>
      </c>
      <c r="T9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Row],[S5]]))),S92=""), "cmb. const", "")</f>
        <v/>
      </c>
      <c r="W92">
        <f>IF(Table36[[#This Row],[Pipeline]]="alu",Table36[[#This Row],[Delay]],0)</f>
        <v>0</v>
      </c>
      <c r="X92">
        <f>IF(AND(Table36[[#This Row],[Pipeline]]="alu",Table7[[#This Row],[const stat]]="new"),290,0)</f>
        <v>0</v>
      </c>
    </row>
    <row r="93" spans="1:24" x14ac:dyDescent="0.2">
      <c r="A93">
        <v>88</v>
      </c>
      <c r="B93" t="s">
        <v>463</v>
      </c>
      <c r="C93" t="s">
        <v>50</v>
      </c>
      <c r="D93" t="s">
        <v>51</v>
      </c>
      <c r="E93" t="s">
        <v>17</v>
      </c>
      <c r="F93" t="s">
        <v>8</v>
      </c>
      <c r="G93" t="s">
        <v>51</v>
      </c>
      <c r="H93" s="3"/>
      <c r="I93" s="3" t="str">
        <f t="shared" si="2"/>
        <v>alu</v>
      </c>
      <c r="J93" s="3">
        <v>4</v>
      </c>
      <c r="K93" s="3"/>
      <c r="M9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9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3" s="2" t="str">
        <f>IF(OR(ISNUMBER(SEARCH("s2r", Table36[[#This Row],[inst]])),ISNUMBER(SEARCH("s2ur", Table36[[#This Row],[inst]]))), "special", "")</f>
        <v/>
      </c>
      <c r="Q93" s="2" t="str">
        <f>IF(OR(ISNUMBER(SEARCH("stg", Table36[[#This Row],[inst]])),ISNUMBER(SEARCH("ldg", Table36[[#This Row],[inst]]))), "global", "")</f>
        <v/>
      </c>
      <c r="R93" s="2" t="str">
        <f>IF(OR(ISNUMBER(SEARCH("sts", Table36[[#This Row],[inst]])),ISNUMBER(SEARCH("lds", Table36[[#This Row],[inst]]))), "shared", "")</f>
        <v/>
      </c>
      <c r="S93" s="2" t="str">
        <f>IF(OR(ISNUMBER(SEARCH("LDC", Table36[[#This Row],[inst]])),ISNUMBER(SEARCH("STC", Table36[[#This Row],[inst]]))), "ind. const", "")</f>
        <v/>
      </c>
      <c r="T9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Row],[S5]]))),S93=""), "cmb. const", "")</f>
        <v/>
      </c>
      <c r="W93">
        <f>IF(Table36[[#This Row],[Pipeline]]="alu",Table36[[#This Row],[Delay]],0)</f>
        <v>4</v>
      </c>
      <c r="X93">
        <f>IF(AND(Table36[[#This Row],[Pipeline]]="alu",Table7[[#This Row],[const stat]]="new"),290,0)</f>
        <v>0</v>
      </c>
    </row>
    <row r="94" spans="1:24" x14ac:dyDescent="0.2">
      <c r="A94">
        <v>89</v>
      </c>
      <c r="B94" t="s">
        <v>267</v>
      </c>
      <c r="C94" t="s">
        <v>4</v>
      </c>
      <c r="D94" t="s">
        <v>464</v>
      </c>
      <c r="H94" s="3"/>
      <c r="I94" s="3" t="str">
        <f t="shared" si="2"/>
        <v>shared</v>
      </c>
      <c r="J94" s="3">
        <v>23</v>
      </c>
      <c r="K94" s="3"/>
      <c r="M9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4" s="2" t="str">
        <f>IF(OR(ISNUMBER(SEARCH("s2r", Table36[[#This Row],[inst]])),ISNUMBER(SEARCH("s2ur", Table36[[#This Row],[inst]]))), "special", "")</f>
        <v/>
      </c>
      <c r="Q94" s="2" t="str">
        <f>IF(OR(ISNUMBER(SEARCH("stg", Table36[[#This Row],[inst]])),ISNUMBER(SEARCH("ldg", Table36[[#This Row],[inst]]))), "global", "")</f>
        <v/>
      </c>
      <c r="R94" s="2" t="str">
        <f>IF(OR(ISNUMBER(SEARCH("sts", Table36[[#This Row],[inst]])),ISNUMBER(SEARCH("lds", Table36[[#This Row],[inst]]))), "shared", "")</f>
        <v>shared</v>
      </c>
      <c r="S94" s="2" t="str">
        <f>IF(OR(ISNUMBER(SEARCH("LDC", Table36[[#This Row],[inst]])),ISNUMBER(SEARCH("STC", Table36[[#This Row],[inst]]))), "ind. const", "")</f>
        <v/>
      </c>
      <c r="T9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Row],[S5]]))),S94=""), "cmb. const", "")</f>
        <v/>
      </c>
      <c r="W94">
        <f>IF(Table36[[#This Row],[Pipeline]]="alu",Table36[[#This Row],[Delay]],0)</f>
        <v>0</v>
      </c>
      <c r="X94">
        <f>IF(AND(Table36[[#This Row],[Pipeline]]="alu",Table7[[#This Row],[const stat]]="new"),290,0)</f>
        <v>0</v>
      </c>
    </row>
    <row r="95" spans="1:24" x14ac:dyDescent="0.2">
      <c r="A95">
        <v>90</v>
      </c>
      <c r="B95" t="s">
        <v>88</v>
      </c>
      <c r="C95" t="s">
        <v>23</v>
      </c>
      <c r="D95" t="s">
        <v>23</v>
      </c>
      <c r="E95" t="s">
        <v>4</v>
      </c>
      <c r="H95" s="3"/>
      <c r="I95" s="3" t="str">
        <f t="shared" si="2"/>
        <v>fma</v>
      </c>
      <c r="J95" s="3">
        <v>4</v>
      </c>
      <c r="K95" s="3"/>
      <c r="M9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9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5" s="2" t="str">
        <f>IF(OR(ISNUMBER(SEARCH("s2r", Table36[[#This Row],[inst]])),ISNUMBER(SEARCH("s2ur", Table36[[#This Row],[inst]]))), "special", "")</f>
        <v/>
      </c>
      <c r="Q95" s="2" t="str">
        <f>IF(OR(ISNUMBER(SEARCH("stg", Table36[[#This Row],[inst]])),ISNUMBER(SEARCH("ldg", Table36[[#This Row],[inst]]))), "global", "")</f>
        <v/>
      </c>
      <c r="R95" s="2" t="str">
        <f>IF(OR(ISNUMBER(SEARCH("sts", Table36[[#This Row],[inst]])),ISNUMBER(SEARCH("lds", Table36[[#This Row],[inst]]))), "shared", "")</f>
        <v/>
      </c>
      <c r="S95" s="2" t="str">
        <f>IF(OR(ISNUMBER(SEARCH("LDC", Table36[[#This Row],[inst]])),ISNUMBER(SEARCH("STC", Table36[[#This Row],[inst]]))), "ind. const", "")</f>
        <v/>
      </c>
      <c r="T9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Row],[S5]]))),S95=""), "cmb. const", "")</f>
        <v/>
      </c>
      <c r="W95">
        <f>IF(Table36[[#This Row],[Pipeline]]="alu",Table36[[#This Row],[Delay]],0)</f>
        <v>0</v>
      </c>
      <c r="X95">
        <f>IF(AND(Table36[[#This Row],[Pipeline]]="alu",Table7[[#This Row],[const stat]]="new"),290,0)</f>
        <v>0</v>
      </c>
    </row>
    <row r="96" spans="1:24" x14ac:dyDescent="0.2">
      <c r="A96">
        <v>91</v>
      </c>
      <c r="B96" t="s">
        <v>277</v>
      </c>
      <c r="C96" t="s">
        <v>451</v>
      </c>
      <c r="D96" t="s">
        <v>23</v>
      </c>
      <c r="H96" s="3"/>
      <c r="I96" s="3" t="str">
        <f t="shared" si="2"/>
        <v>shared</v>
      </c>
      <c r="J96" s="3">
        <v>19</v>
      </c>
      <c r="K96" s="3"/>
      <c r="M96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6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6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6" s="2" t="str">
        <f>IF(OR(ISNUMBER(SEARCH("s2r", Table36[[#This Row],[inst]])),ISNUMBER(SEARCH("s2ur", Table36[[#This Row],[inst]]))), "special", "")</f>
        <v/>
      </c>
      <c r="Q96" s="2" t="str">
        <f>IF(OR(ISNUMBER(SEARCH("stg", Table36[[#This Row],[inst]])),ISNUMBER(SEARCH("ldg", Table36[[#This Row],[inst]]))), "global", "")</f>
        <v/>
      </c>
      <c r="R96" s="2" t="str">
        <f>IF(OR(ISNUMBER(SEARCH("sts", Table36[[#This Row],[inst]])),ISNUMBER(SEARCH("lds", Table36[[#This Row],[inst]]))), "shared", "")</f>
        <v>shared</v>
      </c>
      <c r="S96" s="2" t="str">
        <f>IF(OR(ISNUMBER(SEARCH("LDC", Table36[[#This Row],[inst]])),ISNUMBER(SEARCH("STC", Table36[[#This Row],[inst]]))), "ind. const", "")</f>
        <v/>
      </c>
      <c r="T96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Row],[S5]]))),S96=""), "cmb. const", "")</f>
        <v/>
      </c>
      <c r="W96">
        <f>IF(Table36[[#This Row],[Pipeline]]="alu",Table36[[#This Row],[Delay]],0)</f>
        <v>0</v>
      </c>
      <c r="X96">
        <f>IF(AND(Table36[[#This Row],[Pipeline]]="alu",Table7[[#This Row],[const stat]]="new"),290,0)</f>
        <v>0</v>
      </c>
    </row>
    <row r="97" spans="1:25" x14ac:dyDescent="0.2">
      <c r="A97">
        <v>92</v>
      </c>
      <c r="B97" t="s">
        <v>267</v>
      </c>
      <c r="C97" t="s">
        <v>7</v>
      </c>
      <c r="D97" t="s">
        <v>465</v>
      </c>
      <c r="H97" s="3"/>
      <c r="I97" s="3" t="str">
        <f t="shared" si="2"/>
        <v>shared</v>
      </c>
      <c r="J97" s="3">
        <v>23</v>
      </c>
      <c r="K97" s="3"/>
      <c r="M97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7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7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7" s="2" t="str">
        <f>IF(OR(ISNUMBER(SEARCH("s2r", Table36[[#This Row],[inst]])),ISNUMBER(SEARCH("s2ur", Table36[[#This Row],[inst]]))), "special", "")</f>
        <v/>
      </c>
      <c r="Q97" s="2" t="str">
        <f>IF(OR(ISNUMBER(SEARCH("stg", Table36[[#This Row],[inst]])),ISNUMBER(SEARCH("ldg", Table36[[#This Row],[inst]]))), "global", "")</f>
        <v/>
      </c>
      <c r="R97" s="2" t="str">
        <f>IF(OR(ISNUMBER(SEARCH("sts", Table36[[#This Row],[inst]])),ISNUMBER(SEARCH("lds", Table36[[#This Row],[inst]]))), "shared", "")</f>
        <v>shared</v>
      </c>
      <c r="S97" s="2" t="str">
        <f>IF(OR(ISNUMBER(SEARCH("LDC", Table36[[#This Row],[inst]])),ISNUMBER(SEARCH("STC", Table36[[#This Row],[inst]]))), "ind. const", "")</f>
        <v/>
      </c>
      <c r="T97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Row],[S5]]))),S97=""), "cmb. const", "")</f>
        <v/>
      </c>
      <c r="W97">
        <f>IF(Table36[[#This Row],[Pipeline]]="alu",Table36[[#This Row],[Delay]],0)</f>
        <v>0</v>
      </c>
      <c r="X97">
        <f>IF(AND(Table36[[#This Row],[Pipeline]]="alu",Table7[[#This Row],[const stat]]="new"),290,0)</f>
        <v>0</v>
      </c>
    </row>
    <row r="98" spans="1:25" x14ac:dyDescent="0.2">
      <c r="A98">
        <v>93</v>
      </c>
      <c r="B98" t="s">
        <v>6</v>
      </c>
      <c r="C98" t="s">
        <v>23</v>
      </c>
      <c r="D98" t="s">
        <v>479</v>
      </c>
      <c r="E98" t="s">
        <v>8</v>
      </c>
      <c r="F98">
        <v>0</v>
      </c>
      <c r="G98">
        <v>0</v>
      </c>
      <c r="H98" s="3"/>
      <c r="I98" s="3" t="s">
        <v>106</v>
      </c>
      <c r="J98" s="3">
        <v>8</v>
      </c>
      <c r="K98" s="3" t="s">
        <v>794</v>
      </c>
      <c r="M98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98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8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8" s="2" t="str">
        <f>IF(OR(ISNUMBER(SEARCH("s2r", Table36[[#This Row],[inst]])),ISNUMBER(SEARCH("s2ur", Table36[[#This Row],[inst]]))), "special", "")</f>
        <v/>
      </c>
      <c r="Q98" s="2" t="str">
        <f>IF(OR(ISNUMBER(SEARCH("stg", Table36[[#This Row],[inst]])),ISNUMBER(SEARCH("ldg", Table36[[#This Row],[inst]]))), "global", "")</f>
        <v/>
      </c>
      <c r="R98" s="2" t="str">
        <f>IF(OR(ISNUMBER(SEARCH("sts", Table36[[#This Row],[inst]])),ISNUMBER(SEARCH("lds", Table36[[#This Row],[inst]]))), "shared", "")</f>
        <v/>
      </c>
      <c r="S98" s="2" t="str">
        <f>IF(OR(ISNUMBER(SEARCH("LDC", Table36[[#This Row],[inst]])),ISNUMBER(SEARCH("STC", Table36[[#This Row],[inst]]))), "ind. const", "")</f>
        <v/>
      </c>
      <c r="T98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Row],[S5]]))),S98=""), "cmb. const", "")</f>
        <v/>
      </c>
      <c r="W98">
        <f>IF(Table36[[#This Row],[Pipeline]]="alu",Table36[[#This Row],[Delay]],0)</f>
        <v>0</v>
      </c>
      <c r="X98">
        <f>IF(AND(Table36[[#This Row],[Pipeline]]="alu",Table7[[#This Row],[const stat]]="new"),290,0)</f>
        <v>0</v>
      </c>
    </row>
    <row r="99" spans="1:25" x14ac:dyDescent="0.2">
      <c r="A99">
        <v>94</v>
      </c>
      <c r="B99" t="s">
        <v>16</v>
      </c>
      <c r="C99" t="s">
        <v>17</v>
      </c>
      <c r="D99" t="s">
        <v>46</v>
      </c>
      <c r="E99" t="s">
        <v>466</v>
      </c>
      <c r="F99" t="s">
        <v>19</v>
      </c>
      <c r="H99" s="3"/>
      <c r="I99" s="3" t="str">
        <f t="shared" si="2"/>
        <v>fma</v>
      </c>
      <c r="J99" s="3">
        <v>4</v>
      </c>
      <c r="K99" s="3"/>
      <c r="M99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99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99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99" s="2" t="str">
        <f>IF(OR(ISNUMBER(SEARCH("s2r", Table36[[#This Row],[inst]])),ISNUMBER(SEARCH("s2ur", Table36[[#This Row],[inst]]))), "special", "")</f>
        <v/>
      </c>
      <c r="Q99" s="2" t="str">
        <f>IF(OR(ISNUMBER(SEARCH("stg", Table36[[#This Row],[inst]])),ISNUMBER(SEARCH("ldg", Table36[[#This Row],[inst]]))), "global", "")</f>
        <v/>
      </c>
      <c r="R99" s="2" t="str">
        <f>IF(OR(ISNUMBER(SEARCH("sts", Table36[[#This Row],[inst]])),ISNUMBER(SEARCH("lds", Table36[[#This Row],[inst]]))), "shared", "")</f>
        <v/>
      </c>
      <c r="S99" s="2" t="str">
        <f>IF(OR(ISNUMBER(SEARCH("LDC", Table36[[#This Row],[inst]])),ISNUMBER(SEARCH("STC", Table36[[#This Row],[inst]]))), "ind. const", "")</f>
        <v/>
      </c>
      <c r="T99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Row],[S5]]))),S99=""), "cmb. const", "")</f>
        <v>cmb. const</v>
      </c>
      <c r="U99" s="2" t="s">
        <v>482</v>
      </c>
      <c r="W99">
        <f>IF(Table36[[#This Row],[Pipeline]]="alu",Table36[[#This Row],[Delay]],0)</f>
        <v>0</v>
      </c>
      <c r="X99">
        <f>IF(AND(Table36[[#This Row],[Pipeline]]="alu",Table7[[#This Row],[const stat]]="new"),290,0)</f>
        <v>0</v>
      </c>
    </row>
    <row r="100" spans="1:25" x14ac:dyDescent="0.2">
      <c r="A100">
        <v>95</v>
      </c>
      <c r="B100" t="s">
        <v>14</v>
      </c>
      <c r="C100" t="s">
        <v>12</v>
      </c>
      <c r="D100" t="s">
        <v>46</v>
      </c>
      <c r="E100" t="s">
        <v>467</v>
      </c>
      <c r="F100" t="s">
        <v>12</v>
      </c>
      <c r="H100" s="3"/>
      <c r="I100" s="3" t="str">
        <f t="shared" si="2"/>
        <v>fma</v>
      </c>
      <c r="J100" s="3">
        <v>4</v>
      </c>
      <c r="K100" s="3"/>
      <c r="M100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>fma</v>
      </c>
      <c r="N100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00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0" s="2" t="str">
        <f>IF(OR(ISNUMBER(SEARCH("s2r", Table36[[#This Row],[inst]])),ISNUMBER(SEARCH("s2ur", Table36[[#This Row],[inst]]))), "special", "")</f>
        <v/>
      </c>
      <c r="Q100" s="2" t="str">
        <f>IF(OR(ISNUMBER(SEARCH("stg", Table36[[#This Row],[inst]])),ISNUMBER(SEARCH("ldg", Table36[[#This Row],[inst]]))), "global", "")</f>
        <v/>
      </c>
      <c r="R100" s="2" t="str">
        <f>IF(OR(ISNUMBER(SEARCH("sts", Table36[[#This Row],[inst]])),ISNUMBER(SEARCH("lds", Table36[[#This Row],[inst]]))), "shared", "")</f>
        <v/>
      </c>
      <c r="S100" s="2" t="str">
        <f>IF(OR(ISNUMBER(SEARCH("LDC", Table36[[#This Row],[inst]])),ISNUMBER(SEARCH("STC", Table36[[#This Row],[inst]]))), "ind. const", "")</f>
        <v/>
      </c>
      <c r="T100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Row],[S5]]))),S100=""), "cmb. const", "")</f>
        <v>cmb. const</v>
      </c>
      <c r="U100" s="2" t="s">
        <v>781</v>
      </c>
      <c r="W100">
        <f>IF(Table36[[#This Row],[Pipeline]]="alu",Table36[[#This Row],[Delay]],0)</f>
        <v>0</v>
      </c>
      <c r="X100">
        <f>IF(AND(Table36[[#This Row],[Pipeline]]="alu",Table7[[#This Row],[const stat]]="new"),290,0)</f>
        <v>0</v>
      </c>
    </row>
    <row r="101" spans="1:25" x14ac:dyDescent="0.2">
      <c r="A101">
        <v>96</v>
      </c>
      <c r="B101" t="s">
        <v>200</v>
      </c>
      <c r="C101" t="s">
        <v>19</v>
      </c>
      <c r="D101" t="s">
        <v>50</v>
      </c>
      <c r="E101" t="s">
        <v>17</v>
      </c>
      <c r="F101" t="s">
        <v>468</v>
      </c>
      <c r="G101" t="s">
        <v>79</v>
      </c>
      <c r="H101" s="3"/>
      <c r="I101" s="3" t="str">
        <f t="shared" si="2"/>
        <v>alu</v>
      </c>
      <c r="J101" s="3">
        <v>6</v>
      </c>
      <c r="K101" s="3"/>
      <c r="M101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1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01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1" s="2" t="str">
        <f>IF(OR(ISNUMBER(SEARCH("s2r", Table36[[#This Row],[inst]])),ISNUMBER(SEARCH("s2ur", Table36[[#This Row],[inst]]))), "special", "")</f>
        <v/>
      </c>
      <c r="Q101" s="2" t="str">
        <f>IF(OR(ISNUMBER(SEARCH("stg", Table36[[#This Row],[inst]])),ISNUMBER(SEARCH("ldg", Table36[[#This Row],[inst]]))), "global", "")</f>
        <v/>
      </c>
      <c r="R101" s="2" t="str">
        <f>IF(OR(ISNUMBER(SEARCH("sts", Table36[[#This Row],[inst]])),ISNUMBER(SEARCH("lds", Table36[[#This Row],[inst]]))), "shared", "")</f>
        <v/>
      </c>
      <c r="S101" s="2" t="str">
        <f>IF(OR(ISNUMBER(SEARCH("LDC", Table36[[#This Row],[inst]])),ISNUMBER(SEARCH("STC", Table36[[#This Row],[inst]]))), "ind. const", "")</f>
        <v/>
      </c>
      <c r="T101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Row],[S5]]))),S101=""), "cmb. const", "")</f>
        <v>cmb. const</v>
      </c>
      <c r="U101" s="2" t="s">
        <v>781</v>
      </c>
      <c r="W101">
        <f>IF(Table36[[#This Row],[Pipeline]]="alu",Table36[[#This Row],[Delay]],0)</f>
        <v>6</v>
      </c>
      <c r="X101">
        <f>IF(AND(Table36[[#This Row],[Pipeline]]="alu",Table7[[#This Row],[const stat]]="new"),290,0)</f>
        <v>0</v>
      </c>
    </row>
    <row r="102" spans="1:25" x14ac:dyDescent="0.2">
      <c r="A102">
        <v>97</v>
      </c>
      <c r="B102" t="s">
        <v>441</v>
      </c>
      <c r="C102" t="s">
        <v>23</v>
      </c>
      <c r="D102" t="s">
        <v>17</v>
      </c>
      <c r="E102" t="s">
        <v>469</v>
      </c>
      <c r="F102" t="s">
        <v>12</v>
      </c>
      <c r="G102" t="s">
        <v>79</v>
      </c>
      <c r="H102" s="3" t="s">
        <v>50</v>
      </c>
      <c r="I102" s="3" t="str">
        <f t="shared" si="2"/>
        <v>alu</v>
      </c>
      <c r="J102" s="3">
        <v>6</v>
      </c>
      <c r="K102" s="3"/>
      <c r="M102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2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>alu</v>
      </c>
      <c r="O102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2" s="2" t="str">
        <f>IF(OR(ISNUMBER(SEARCH("s2r", Table36[[#This Row],[inst]])),ISNUMBER(SEARCH("s2ur", Table36[[#This Row],[inst]]))), "special", "")</f>
        <v/>
      </c>
      <c r="Q102" s="2" t="str">
        <f>IF(OR(ISNUMBER(SEARCH("stg", Table36[[#This Row],[inst]])),ISNUMBER(SEARCH("ldg", Table36[[#This Row],[inst]]))), "global", "")</f>
        <v/>
      </c>
      <c r="R102" s="2" t="str">
        <f>IF(OR(ISNUMBER(SEARCH("sts", Table36[[#This Row],[inst]])),ISNUMBER(SEARCH("lds", Table36[[#This Row],[inst]]))), "shared", "")</f>
        <v/>
      </c>
      <c r="S102" s="2" t="str">
        <f>IF(OR(ISNUMBER(SEARCH("LDC", Table36[[#This Row],[inst]])),ISNUMBER(SEARCH("STC", Table36[[#This Row],[inst]]))), "ind. const", "")</f>
        <v/>
      </c>
      <c r="T102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Row],[S5]]))),S102=""), "cmb. const", "")</f>
        <v>cmb. const</v>
      </c>
      <c r="U102" s="2" t="s">
        <v>781</v>
      </c>
      <c r="W102">
        <f>IF(Table36[[#This Row],[Pipeline]]="alu",Table36[[#This Row],[Delay]],0)</f>
        <v>6</v>
      </c>
      <c r="X102">
        <f>IF(AND(Table36[[#This Row],[Pipeline]]="alu",Table7[[#This Row],[const stat]]="new"),290,0)</f>
        <v>0</v>
      </c>
    </row>
    <row r="103" spans="1:25" x14ac:dyDescent="0.2">
      <c r="A103">
        <v>98</v>
      </c>
      <c r="B103" t="s">
        <v>28</v>
      </c>
      <c r="C103" t="s">
        <v>24</v>
      </c>
      <c r="D103" t="s">
        <v>7</v>
      </c>
      <c r="H103" s="3"/>
      <c r="I103" s="3" t="str">
        <f t="shared" si="2"/>
        <v>global</v>
      </c>
      <c r="J103" s="3">
        <v>290</v>
      </c>
      <c r="K103" s="3"/>
      <c r="M103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3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03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3" s="2" t="str">
        <f>IF(OR(ISNUMBER(SEARCH("s2r", Table36[[#This Row],[inst]])),ISNUMBER(SEARCH("s2ur", Table36[[#This Row],[inst]]))), "special", "")</f>
        <v/>
      </c>
      <c r="Q103" s="2" t="str">
        <f>IF(OR(ISNUMBER(SEARCH("stg", Table36[[#This Row],[inst]])),ISNUMBER(SEARCH("ldg", Table36[[#This Row],[inst]]))), "global", "")</f>
        <v>global</v>
      </c>
      <c r="R103" s="2" t="str">
        <f>IF(OR(ISNUMBER(SEARCH("sts", Table36[[#This Row],[inst]])),ISNUMBER(SEARCH("lds", Table36[[#This Row],[inst]]))), "shared", "")</f>
        <v/>
      </c>
      <c r="S103" s="2" t="str">
        <f>IF(OR(ISNUMBER(SEARCH("LDC", Table36[[#This Row],[inst]])),ISNUMBER(SEARCH("STC", Table36[[#This Row],[inst]]))), "ind. const", "")</f>
        <v/>
      </c>
      <c r="T103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Row],[S5]]))),S103=""), "cmb. const", "")</f>
        <v/>
      </c>
      <c r="W103">
        <f>IF(Table36[[#This Row],[Pipeline]]="alu",Table36[[#This Row],[Delay]],0)</f>
        <v>0</v>
      </c>
      <c r="X103">
        <f>IF(AND(Table36[[#This Row],[Pipeline]]="alu",Table7[[#This Row],[const stat]]="new"),290,0)</f>
        <v>0</v>
      </c>
    </row>
    <row r="104" spans="1:25" x14ac:dyDescent="0.2">
      <c r="A104">
        <v>99</v>
      </c>
      <c r="B104" t="s">
        <v>30</v>
      </c>
      <c r="H104" s="3"/>
      <c r="I104" s="3" t="str">
        <f t="shared" si="2"/>
        <v/>
      </c>
      <c r="J104" s="3"/>
      <c r="K104" s="3"/>
      <c r="M104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4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04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4" s="2" t="str">
        <f>IF(OR(ISNUMBER(SEARCH("s2r", Table36[[#This Row],[inst]])),ISNUMBER(SEARCH("s2ur", Table36[[#This Row],[inst]]))), "special", "")</f>
        <v/>
      </c>
      <c r="Q104" s="2" t="str">
        <f>IF(OR(ISNUMBER(SEARCH("stg", Table36[[#This Row],[inst]])),ISNUMBER(SEARCH("ldg", Table36[[#This Row],[inst]]))), "global", "")</f>
        <v/>
      </c>
      <c r="R104" s="2" t="str">
        <f>IF(OR(ISNUMBER(SEARCH("sts", Table36[[#This Row],[inst]])),ISNUMBER(SEARCH("lds", Table36[[#This Row],[inst]]))), "shared", "")</f>
        <v/>
      </c>
      <c r="S104" s="2" t="str">
        <f>IF(OR(ISNUMBER(SEARCH("LDC", Table36[[#This Row],[inst]])),ISNUMBER(SEARCH("STC", Table36[[#This Row],[inst]]))), "ind. const", "")</f>
        <v/>
      </c>
      <c r="T104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Row],[S5]]))),S104=""), "cmb. const", "")</f>
        <v/>
      </c>
      <c r="W104">
        <f>IF(Table36[[#This Row],[Pipeline]]="alu",Table36[[#This Row],[Delay]],0)</f>
        <v>0</v>
      </c>
      <c r="X104">
        <f>IF(AND(Table36[[#This Row],[Pipeline]]="alu",Table7[[#This Row],[const stat]]="new"),290,0)</f>
        <v>0</v>
      </c>
    </row>
    <row r="105" spans="1:25" x14ac:dyDescent="0.2">
      <c r="M105" s="2" t="str">
        <f>IF(OR(ISNUMBER(SEARCH("imad", Table36[[#This Row],[inst]])), ISNUMBER(SEARCH("ffma", Table36[[#This Row],[inst]])), ISNUMBER(SEARCH("fadd", Table36[[#This Row],[inst]])), ISNUMBER(SEARCH("fmul", Table36[[#This Row],[inst]]))), "fma", "")</f>
        <v/>
      </c>
      <c r="N105" s="2" t="str">
        <f>IF(OR(ISNUMBER(SEARCH("lop", Table36[[#This Row],[inst]])),ISNUMBER(SEARCH("isetp", Table36[[#This Row],[inst]])),ISNUMBER(SEARCH("iadd3", Table36[[#This Row],[inst]])), ISNUMBER(SEARCH("shf", Table36[[#This Row],[inst]])), ISNUMBER(SEARCH("lea", Table36[[#This Row],[inst]]))), "alu", "")</f>
        <v/>
      </c>
      <c r="O105" s="2" t="str">
        <f>IF(OR(ISNUMBER(SEARCH("bssy", Table36[[#This Row],[inst]])),ISNUMBER(SEARCH("bra", Table36[[#This Row],[inst]])),ISNUMBER(SEARCH("bsync", Table36[[#This Row],[inst]])),ISNUMBER(SEARCH("bar", Table36[[#This Row],[inst]]))), "cba", "")</f>
        <v/>
      </c>
      <c r="P105" s="2" t="str">
        <f>IF(OR(ISNUMBER(SEARCH("s2r", Table36[[#This Row],[inst]])),ISNUMBER(SEARCH("s2ur", Table36[[#This Row],[inst]]))), "special", "")</f>
        <v/>
      </c>
      <c r="Q105" s="2" t="str">
        <f>IF(OR(ISNUMBER(SEARCH("stg", Table36[[#This Row],[inst]])),ISNUMBER(SEARCH("ldg", Table36[[#This Row],[inst]]))), "global", "")</f>
        <v/>
      </c>
      <c r="R105" s="2" t="str">
        <f>IF(OR(ISNUMBER(SEARCH("sts", Table36[[#This Row],[inst]])),ISNUMBER(SEARCH("lds", Table36[[#This Row],[inst]]))), "shared", "")</f>
        <v/>
      </c>
      <c r="S105" s="2" t="str">
        <f>IF(OR(ISNUMBER(SEARCH("LDC", Table36[[#This Row],[inst]])),ISNUMBER(SEARCH("STC", Table36[[#This Row],[inst]]))), "ind. const", "")</f>
        <v/>
      </c>
      <c r="T105" s="2" t="str">
        <f>IF(AND(OR(ISNUMBER(SEARCH("c[0x", Table36[[#This Row],[S0]])),ISNUMBER(SEARCH("c[0x", Table36[[#This Row],[S1]])),ISNUMBER(SEARCH("c[0x", Table36[[#This Row],[S2]])),ISNUMBER(SEARCH("c[0x", Table36[[#This Row],[S3]])),ISNUMBER(SEARCH("c[0x", Table36[[#This Row],[S4]])),ISNUMBER(SEARCH("c[0x", Table36[[#This Row],[S5]]))),S105=""), "cmb. const", "")</f>
        <v/>
      </c>
      <c r="Y105" s="27">
        <f>SUM(W6:W105)*32+SUM(X6:X105)</f>
        <v>4774</v>
      </c>
    </row>
    <row r="108" spans="1:25" x14ac:dyDescent="0.2">
      <c r="M108"/>
      <c r="N108"/>
      <c r="O108"/>
      <c r="P108"/>
      <c r="Q108"/>
      <c r="R108"/>
      <c r="S108"/>
      <c r="T108"/>
    </row>
    <row r="109" spans="1:25" x14ac:dyDescent="0.2">
      <c r="M109"/>
      <c r="N109"/>
      <c r="O109"/>
      <c r="P109"/>
      <c r="Q109"/>
      <c r="R109"/>
      <c r="S109"/>
      <c r="T109"/>
    </row>
    <row r="873" spans="22:22" x14ac:dyDescent="0.2">
      <c r="V873"/>
    </row>
    <row r="874" spans="22:22" x14ac:dyDescent="0.2">
      <c r="V874"/>
    </row>
  </sheetData>
  <mergeCells count="1">
    <mergeCell ref="P4:S4"/>
  </mergeCells>
  <pageMargins left="0.7" right="0.7" top="0.75" bottom="0.75" header="0.3" footer="0.3"/>
  <legacy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AE14-48FC-8F4D-BFCD-FC6FEF5D7F50}">
  <dimension ref="A1:AK908"/>
  <sheetViews>
    <sheetView topLeftCell="A348" zoomScale="125" workbookViewId="0">
      <selection activeCell="N196" sqref="N196"/>
    </sheetView>
  </sheetViews>
  <sheetFormatPr baseColWidth="10" defaultRowHeight="16" x14ac:dyDescent="0.2"/>
  <cols>
    <col min="1" max="1" width="7" style="31" customWidth="1"/>
    <col min="2" max="2" width="10" customWidth="1"/>
    <col min="3" max="3" width="24.6640625" customWidth="1"/>
    <col min="4" max="4" width="11.5" style="31" customWidth="1"/>
    <col min="5" max="5" width="11.6640625" style="31" customWidth="1"/>
    <col min="6" max="9" width="11" style="31" customWidth="1"/>
    <col min="10" max="10" width="12" style="31" customWidth="1"/>
    <col min="11" max="11" width="10.83203125" style="2"/>
    <col min="15" max="15" width="13.6640625" customWidth="1"/>
    <col min="16" max="16" width="13" customWidth="1"/>
    <col min="17" max="17" width="13.6640625" customWidth="1"/>
    <col min="18" max="20" width="10.83203125" customWidth="1"/>
    <col min="21" max="21" width="11" customWidth="1"/>
    <col min="22" max="22" width="12.33203125" customWidth="1"/>
    <col min="23" max="23" width="17.33203125" style="2" customWidth="1"/>
    <col min="25" max="26" width="11.6640625" customWidth="1"/>
    <col min="30" max="30" width="14.5" customWidth="1"/>
    <col min="31" max="31" width="14.1640625" customWidth="1"/>
  </cols>
  <sheetData>
    <row r="1" spans="1:37" x14ac:dyDescent="0.2">
      <c r="C1" s="37" t="s">
        <v>806</v>
      </c>
      <c r="D1" s="38" t="s">
        <v>800</v>
      </c>
      <c r="E1" s="38" t="s">
        <v>801</v>
      </c>
      <c r="F1" s="38" t="s">
        <v>802</v>
      </c>
      <c r="G1" s="38" t="s">
        <v>795</v>
      </c>
      <c r="H1" s="39" t="s">
        <v>803</v>
      </c>
      <c r="I1" s="38" t="s">
        <v>809</v>
      </c>
      <c r="O1" s="33" t="s">
        <v>808</v>
      </c>
      <c r="P1" s="5" t="s">
        <v>92</v>
      </c>
      <c r="Q1" s="5" t="s">
        <v>95</v>
      </c>
      <c r="R1" s="5" t="s">
        <v>791</v>
      </c>
      <c r="S1" s="5" t="s">
        <v>792</v>
      </c>
      <c r="T1" s="5" t="s">
        <v>767</v>
      </c>
      <c r="U1" s="5" t="s">
        <v>768</v>
      </c>
      <c r="V1" s="5" t="s">
        <v>793</v>
      </c>
    </row>
    <row r="2" spans="1:37" x14ac:dyDescent="0.2">
      <c r="C2" s="31">
        <v>17</v>
      </c>
      <c r="D2" t="s">
        <v>771</v>
      </c>
      <c r="E2" s="31">
        <v>8223</v>
      </c>
      <c r="F2" s="31" t="s">
        <v>810</v>
      </c>
      <c r="G2" s="2">
        <v>2</v>
      </c>
      <c r="H2" s="31">
        <f>AA892</f>
        <v>9290</v>
      </c>
      <c r="I2" s="31">
        <f>Table15[[#This Row],[exec time ]]/Table15[[#This Row],[wcet]]</f>
        <v>0.8851453175457481</v>
      </c>
      <c r="O2" s="33" t="s">
        <v>483</v>
      </c>
      <c r="P2" s="5">
        <f>COUNTIF(K6:K891,"fma")</f>
        <v>400</v>
      </c>
      <c r="Q2" s="5">
        <f>COUNTIF(K6:K891,"alu")</f>
        <v>312</v>
      </c>
      <c r="R2" s="5">
        <f>COUNTIF(K6:K891,"cba")</f>
        <v>44</v>
      </c>
      <c r="S2" s="5">
        <f>COUNTIF(K6:K891,"special")</f>
        <v>17</v>
      </c>
      <c r="T2" s="5">
        <f>COUNTIF(K6:K891,"global")</f>
        <v>31</v>
      </c>
      <c r="U2" s="5">
        <f>COUNTIF(K6:K891,"shared")</f>
        <v>40</v>
      </c>
      <c r="V2" s="5">
        <f>COUNTIF(K6:K891,"ind. const")</f>
        <v>4</v>
      </c>
    </row>
    <row r="3" spans="1:37" x14ac:dyDescent="0.2">
      <c r="C3" s="31"/>
      <c r="D3"/>
      <c r="R3" s="36"/>
      <c r="S3" s="36"/>
      <c r="T3" s="36"/>
      <c r="U3" s="36"/>
    </row>
    <row r="4" spans="1:37" x14ac:dyDescent="0.2">
      <c r="C4" s="31"/>
      <c r="R4" s="50" t="s">
        <v>776</v>
      </c>
      <c r="S4" s="50"/>
      <c r="T4" s="50"/>
      <c r="U4" s="50"/>
    </row>
    <row r="5" spans="1:37" x14ac:dyDescent="0.2">
      <c r="A5" s="31" t="s">
        <v>483</v>
      </c>
      <c r="B5" t="s">
        <v>758</v>
      </c>
      <c r="C5" t="s">
        <v>759</v>
      </c>
      <c r="D5" s="31" t="s">
        <v>760</v>
      </c>
      <c r="E5" s="31" t="s">
        <v>761</v>
      </c>
      <c r="F5" s="31" t="s">
        <v>762</v>
      </c>
      <c r="G5" s="31" t="s">
        <v>763</v>
      </c>
      <c r="H5" s="31" t="s">
        <v>764</v>
      </c>
      <c r="I5" s="31" t="s">
        <v>765</v>
      </c>
      <c r="J5" s="31" t="s">
        <v>766</v>
      </c>
      <c r="K5" s="2" t="s">
        <v>34</v>
      </c>
      <c r="L5" t="s">
        <v>484</v>
      </c>
      <c r="M5" t="s">
        <v>769</v>
      </c>
      <c r="O5" t="s">
        <v>774</v>
      </c>
      <c r="P5" t="s">
        <v>775</v>
      </c>
      <c r="Q5" t="s">
        <v>790</v>
      </c>
      <c r="R5" s="2" t="s">
        <v>93</v>
      </c>
      <c r="S5" s="2" t="s">
        <v>767</v>
      </c>
      <c r="T5" s="2" t="s">
        <v>768</v>
      </c>
      <c r="U5" s="2" t="s">
        <v>778</v>
      </c>
      <c r="V5" t="s">
        <v>779</v>
      </c>
      <c r="W5" s="2" t="s">
        <v>780</v>
      </c>
      <c r="Y5" s="2" t="s">
        <v>782</v>
      </c>
      <c r="Z5" t="s">
        <v>815</v>
      </c>
      <c r="AA5" t="s">
        <v>804</v>
      </c>
    </row>
    <row r="6" spans="1:37" ht="17" x14ac:dyDescent="0.2">
      <c r="A6" s="31">
        <v>1</v>
      </c>
      <c r="B6" s="32" t="s">
        <v>485</v>
      </c>
      <c r="C6" t="s">
        <v>0</v>
      </c>
      <c r="D6" s="31" t="s">
        <v>1</v>
      </c>
      <c r="E6" s="31" t="s">
        <v>486</v>
      </c>
      <c r="K6" s="2" t="str">
        <f t="shared" ref="K6:K69" si="0">IF(O6&lt;&gt;"", O6, IF(P6&lt;&gt;"", P6, IF(R6&lt;&gt;"", R6, IF(S6&lt;&gt;"", S6, IF(T6&lt;&gt;"", T6, IF(U6&lt;&gt;"", U6, IF(Q6&lt;&gt;"", Q6, "")))))))</f>
        <v/>
      </c>
      <c r="L6" cm="1">
        <f t="array" ref="L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" t="str">
        <f>IF(OR(ISNUMBER(SEARCH("imad", Table6[[#This Row],[instruction]])), ISNUMBER(SEARCH("ffma", Table6[[#This Row],[instruction]])), ISNUMBER(SEARCH("fmul", Table6[[#This Row],[instruction]]))), "fma", "")</f>
        <v/>
      </c>
      <c r="P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" t="str">
        <f>IF(OR(ISNUMBER(SEARCH("s2r", Table6[[#This Row],[instruction]])),ISNUMBER(SEARCH("s2ur", Table6[[#This Row],[instruction]]))), "special", "")</f>
        <v/>
      </c>
      <c r="S6" t="str">
        <f>IF(OR(ISNUMBER(SEARCH("stg", Table6[[#This Row],[instruction]])),ISNUMBER(SEARCH("ldg", Table6[[#This Row],[instruction]]))), "global", "")</f>
        <v/>
      </c>
      <c r="T6" t="str">
        <f>IF(OR(ISNUMBER(SEARCH("sts", Table6[[#This Row],[instruction]])),ISNUMBER(SEARCH("lds", Table6[[#This Row],[instruction]]))), "shared", "")</f>
        <v/>
      </c>
      <c r="U6" t="str">
        <f>IF(OR(ISNUMBER(SEARCH("LDC", Table6[[#This Row],[instruction]]))), "ind. const", "")</f>
        <v/>
      </c>
      <c r="V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Row],[s5]]))),U6=""), "cmb. const", "")</f>
        <v>cmb. const</v>
      </c>
      <c r="W6" s="2" t="s">
        <v>482</v>
      </c>
      <c r="Y6">
        <f>IF(Table6[[#This Row],[pipeline]]="alu",Table6[[#This Row],[delay]],0)</f>
        <v>0</v>
      </c>
      <c r="Z6">
        <f>IF(AND(Table6[[#This Row],[pipeline]]="alu",W6="new"),290,0)</f>
        <v>0</v>
      </c>
      <c r="AK6" s="34"/>
    </row>
    <row r="7" spans="1:37" ht="17" x14ac:dyDescent="0.2">
      <c r="A7" s="31">
        <v>2</v>
      </c>
      <c r="B7" s="32" t="s">
        <v>485</v>
      </c>
      <c r="C7" t="s">
        <v>3</v>
      </c>
      <c r="D7" s="31" t="s">
        <v>46</v>
      </c>
      <c r="E7" s="31" t="s">
        <v>487</v>
      </c>
      <c r="K7" s="2" t="str">
        <f t="shared" si="0"/>
        <v>special</v>
      </c>
      <c r="L7" cm="1">
        <f t="array" ref="L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7" t="str">
        <f>IF(OR(ISNUMBER(SEARCH("imad", Table6[[#This Row],[instruction]])), ISNUMBER(SEARCH("ffma", Table6[[#This Row],[instruction]])), ISNUMBER(SEARCH("fmul", Table6[[#This Row],[instruction]]))), "fma", "")</f>
        <v/>
      </c>
      <c r="P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" t="str">
        <f>IF(OR(ISNUMBER(SEARCH("s2r", Table6[[#This Row],[instruction]])),ISNUMBER(SEARCH("s2ur", Table6[[#This Row],[instruction]]))), "special", "")</f>
        <v>special</v>
      </c>
      <c r="S7" t="str">
        <f>IF(OR(ISNUMBER(SEARCH("stg", Table6[[#This Row],[instruction]])),ISNUMBER(SEARCH("ldg", Table6[[#This Row],[instruction]]))), "global", "")</f>
        <v/>
      </c>
      <c r="T7" t="str">
        <f>IF(OR(ISNUMBER(SEARCH("sts", Table6[[#This Row],[instruction]])),ISNUMBER(SEARCH("lds", Table6[[#This Row],[instruction]]))), "shared", "")</f>
        <v/>
      </c>
      <c r="U7" t="str">
        <f>IF(OR(ISNUMBER(SEARCH("LDC", Table6[[#This Row],[instruction]]))), "ind. const", "")</f>
        <v/>
      </c>
      <c r="V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Row],[s5]]))),U7=""), "cmb. const", "")</f>
        <v/>
      </c>
      <c r="Y7">
        <f>IF(Table6[[#This Row],[pipeline]]="fma",Table6[[#This Row],[delay]],0)</f>
        <v>0</v>
      </c>
      <c r="Z7">
        <f>IF(AND(Table6[[#This Row],[pipeline]]="fma",W7="new"),290,0)</f>
        <v>0</v>
      </c>
      <c r="AD7">
        <v>1</v>
      </c>
      <c r="AE7" t="s">
        <v>64</v>
      </c>
      <c r="AF7" t="e">
        <f>COUNTIF(#REF!, "*imad*")</f>
        <v>#REF!</v>
      </c>
      <c r="AK7" s="34"/>
    </row>
    <row r="8" spans="1:37" ht="17" x14ac:dyDescent="0.2">
      <c r="A8" s="31">
        <f>IF(Table6[[#This Row],[instruction]]&lt;&gt;"",MAX($A$6:A7)+1," ")</f>
        <v>3</v>
      </c>
      <c r="B8" s="32" t="s">
        <v>485</v>
      </c>
      <c r="C8" t="s">
        <v>45</v>
      </c>
      <c r="D8" s="31" t="s">
        <v>19</v>
      </c>
      <c r="E8" s="31" t="s">
        <v>8</v>
      </c>
      <c r="F8" s="31" t="s">
        <v>8</v>
      </c>
      <c r="G8" s="31" t="s">
        <v>488</v>
      </c>
      <c r="K8" s="2" t="str">
        <f t="shared" si="0"/>
        <v>fma</v>
      </c>
      <c r="L8" cm="1">
        <f t="array" ref="L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" t="str">
        <f>IF(OR(ISNUMBER(SEARCH("imad", Table6[[#This Row],[instruction]])), ISNUMBER(SEARCH("ffma", Table6[[#This Row],[instruction]])), ISNUMBER(SEARCH("fmul", Table6[[#This Row],[instruction]]))), "fma", "")</f>
        <v>fma</v>
      </c>
      <c r="P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" t="str">
        <f>IF(OR(ISNUMBER(SEARCH("s2r", Table6[[#This Row],[instruction]])),ISNUMBER(SEARCH("s2ur", Table6[[#This Row],[instruction]]))), "special", "")</f>
        <v/>
      </c>
      <c r="S8" t="str">
        <f>IF(OR(ISNUMBER(SEARCH("stg", Table6[[#This Row],[instruction]])),ISNUMBER(SEARCH("ldg", Table6[[#This Row],[instruction]]))), "global", "")</f>
        <v/>
      </c>
      <c r="T8" t="str">
        <f>IF(OR(ISNUMBER(SEARCH("sts", Table6[[#This Row],[instruction]])),ISNUMBER(SEARCH("lds", Table6[[#This Row],[instruction]]))), "shared", "")</f>
        <v/>
      </c>
      <c r="U8" t="str">
        <f>IF(OR(ISNUMBER(SEARCH("LDC", Table6[[#This Row],[instruction]]))), "ind. const", "")</f>
        <v/>
      </c>
      <c r="V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Row],[s5]]))),U8=""), "cmb. const", "")</f>
        <v>cmb. const</v>
      </c>
      <c r="W8" s="2" t="s">
        <v>482</v>
      </c>
      <c r="Y8">
        <f>IF(Table6[[#This Row],[pipeline]]="fma",Table6[[#This Row],[delay]],0)</f>
        <v>4</v>
      </c>
      <c r="Z8">
        <f>IF(AND(Table6[[#This Row],[pipeline]]="fma",W8="new"),290,0)</f>
        <v>290</v>
      </c>
      <c r="AD8">
        <v>2</v>
      </c>
      <c r="AE8" t="s">
        <v>772</v>
      </c>
      <c r="AF8" t="e">
        <f>COUNTIF(#REF!, "*ffma*")</f>
        <v>#REF!</v>
      </c>
      <c r="AK8" s="34"/>
    </row>
    <row r="9" spans="1:37" ht="17" x14ac:dyDescent="0.2">
      <c r="A9" s="31">
        <f>IF(Table6[[#This Row],[instruction]]&lt;&gt;"",MAX($A$6:A8)+1," ")</f>
        <v>4</v>
      </c>
      <c r="B9" s="32" t="s">
        <v>485</v>
      </c>
      <c r="C9" t="s">
        <v>305</v>
      </c>
      <c r="D9" s="31" t="s">
        <v>10</v>
      </c>
      <c r="E9" s="31" t="s">
        <v>489</v>
      </c>
      <c r="K9" s="2" t="str">
        <f t="shared" si="0"/>
        <v>special</v>
      </c>
      <c r="L9" cm="1">
        <f t="array" ref="L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9" t="str">
        <f>IF(OR(ISNUMBER(SEARCH("imad", Table6[[#This Row],[instruction]])), ISNUMBER(SEARCH("ffma", Table6[[#This Row],[instruction]])), ISNUMBER(SEARCH("fmul", Table6[[#This Row],[instruction]]))), "fma", "")</f>
        <v/>
      </c>
      <c r="P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" t="str">
        <f>IF(OR(ISNUMBER(SEARCH("s2r", Table6[[#This Row],[instruction]])),ISNUMBER(SEARCH("s2ur", Table6[[#This Row],[instruction]]))), "special", "")</f>
        <v>special</v>
      </c>
      <c r="S9" t="str">
        <f>IF(OR(ISNUMBER(SEARCH("stg", Table6[[#This Row],[instruction]])),ISNUMBER(SEARCH("ldg", Table6[[#This Row],[instruction]]))), "global", "")</f>
        <v/>
      </c>
      <c r="T9" t="str">
        <f>IF(OR(ISNUMBER(SEARCH("sts", Table6[[#This Row],[instruction]])),ISNUMBER(SEARCH("lds", Table6[[#This Row],[instruction]]))), "shared", "")</f>
        <v/>
      </c>
      <c r="U9" t="str">
        <f>IF(OR(ISNUMBER(SEARCH("LDC", Table6[[#This Row],[instruction]]))), "ind. const", "")</f>
        <v/>
      </c>
      <c r="V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Row],[s5]]))),U9=""), "cmb. const", "")</f>
        <v/>
      </c>
      <c r="Y9">
        <f>IF(Table6[[#This Row],[pipeline]]="fma",Table6[[#This Row],[delay]],0)</f>
        <v>0</v>
      </c>
      <c r="Z9">
        <f>IF(AND(Table6[[#This Row],[pipeline]]="fma",W9="new"),290,0)</f>
        <v>0</v>
      </c>
      <c r="AD9">
        <v>3</v>
      </c>
      <c r="AE9" t="s">
        <v>773</v>
      </c>
      <c r="AF9" t="e">
        <f>COUNTIF(#REF!, "*fmul*")</f>
        <v>#REF!</v>
      </c>
      <c r="AK9" s="34"/>
    </row>
    <row r="10" spans="1:37" ht="17" x14ac:dyDescent="0.2">
      <c r="A10" s="31">
        <f>IF(Table6[[#This Row],[instruction]]&lt;&gt;"",MAX($A$6:A9)+1," ")</f>
        <v>5</v>
      </c>
      <c r="B10" s="32" t="s">
        <v>485</v>
      </c>
      <c r="C10" t="s">
        <v>45</v>
      </c>
      <c r="D10" s="31" t="s">
        <v>4</v>
      </c>
      <c r="E10" s="31" t="s">
        <v>8</v>
      </c>
      <c r="F10" s="31" t="s">
        <v>8</v>
      </c>
      <c r="G10" s="31" t="s">
        <v>490</v>
      </c>
      <c r="K10" s="2" t="str">
        <f t="shared" si="0"/>
        <v>fma</v>
      </c>
      <c r="L10" cm="1">
        <f t="array" ref="L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" t="str">
        <f>IF(OR(ISNUMBER(SEARCH("imad", Table6[[#This Row],[instruction]])), ISNUMBER(SEARCH("ffma", Table6[[#This Row],[instruction]])), ISNUMBER(SEARCH("fmul", Table6[[#This Row],[instruction]]))), "fma", "")</f>
        <v>fma</v>
      </c>
      <c r="P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" t="str">
        <f>IF(OR(ISNUMBER(SEARCH("s2r", Table6[[#This Row],[instruction]])),ISNUMBER(SEARCH("s2ur", Table6[[#This Row],[instruction]]))), "special", "")</f>
        <v/>
      </c>
      <c r="S10" t="str">
        <f>IF(OR(ISNUMBER(SEARCH("stg", Table6[[#This Row],[instruction]])),ISNUMBER(SEARCH("ldg", Table6[[#This Row],[instruction]]))), "global", "")</f>
        <v/>
      </c>
      <c r="T10" t="str">
        <f>IF(OR(ISNUMBER(SEARCH("sts", Table6[[#This Row],[instruction]])),ISNUMBER(SEARCH("lds", Table6[[#This Row],[instruction]]))), "shared", "")</f>
        <v/>
      </c>
      <c r="U10" t="str">
        <f>IF(OR(ISNUMBER(SEARCH("LDC", Table6[[#This Row],[instruction]]))), "ind. const", "")</f>
        <v/>
      </c>
      <c r="V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Row],[s5]]))),U10=""), "cmb. const", "")</f>
        <v>cmb. const</v>
      </c>
      <c r="W10" s="2" t="s">
        <v>482</v>
      </c>
      <c r="Y10">
        <f>IF(Table6[[#This Row],[pipeline]]="fma",Table6[[#This Row],[delay]],0)</f>
        <v>4</v>
      </c>
      <c r="Z10">
        <f>IF(AND(Table6[[#This Row],[pipeline]]="fma",W10="new"),290,0)</f>
        <v>290</v>
      </c>
      <c r="AD10">
        <v>4</v>
      </c>
      <c r="AG10" t="e">
        <f>SUM(AF7:AF9)</f>
        <v>#REF!</v>
      </c>
      <c r="AK10" s="34"/>
    </row>
    <row r="11" spans="1:37" ht="17" x14ac:dyDescent="0.2">
      <c r="A11" s="31">
        <f>IF(Table6[[#This Row],[instruction]]&lt;&gt;"",MAX($A$6:A10)+1," ")</f>
        <v>6</v>
      </c>
      <c r="B11" s="32"/>
      <c r="C11" t="s">
        <v>3</v>
      </c>
      <c r="D11" s="31" t="s">
        <v>12</v>
      </c>
      <c r="E11" s="31" t="s">
        <v>491</v>
      </c>
      <c r="K11" s="2" t="str">
        <f t="shared" si="0"/>
        <v>special</v>
      </c>
      <c r="L11" cm="1">
        <f t="array" ref="L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11" t="str">
        <f>IF(OR(ISNUMBER(SEARCH("imad", Table6[[#This Row],[instruction]])), ISNUMBER(SEARCH("ffma", Table6[[#This Row],[instruction]])), ISNUMBER(SEARCH("fmul", Table6[[#This Row],[instruction]]))), "fma", "")</f>
        <v/>
      </c>
      <c r="P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" t="str">
        <f>IF(OR(ISNUMBER(SEARCH("s2r", Table6[[#This Row],[instruction]])),ISNUMBER(SEARCH("s2ur", Table6[[#This Row],[instruction]]))), "special", "")</f>
        <v>special</v>
      </c>
      <c r="S11" t="str">
        <f>IF(OR(ISNUMBER(SEARCH("stg", Table6[[#This Row],[instruction]])),ISNUMBER(SEARCH("ldg", Table6[[#This Row],[instruction]]))), "global", "")</f>
        <v/>
      </c>
      <c r="T11" t="str">
        <f>IF(OR(ISNUMBER(SEARCH("sts", Table6[[#This Row],[instruction]])),ISNUMBER(SEARCH("lds", Table6[[#This Row],[instruction]]))), "shared", "")</f>
        <v/>
      </c>
      <c r="U11" t="str">
        <f>IF(OR(ISNUMBER(SEARCH("LDC", Table6[[#This Row],[instruction]]))), "ind. const", "")</f>
        <v/>
      </c>
      <c r="V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Row],[s5]]))),U11=""), "cmb. const", "")</f>
        <v/>
      </c>
      <c r="Y11">
        <f>IF(Table6[[#This Row],[pipeline]]="fma",Table6[[#This Row],[delay]],0)</f>
        <v>0</v>
      </c>
      <c r="Z11">
        <f>IF(AND(Table6[[#This Row],[pipeline]]="fma",W11="new"),290,0)</f>
        <v>0</v>
      </c>
      <c r="AD11">
        <v>5</v>
      </c>
      <c r="AK11" s="34"/>
    </row>
    <row r="12" spans="1:37" ht="17" x14ac:dyDescent="0.2">
      <c r="A12" s="31">
        <f>IF(Table6[[#This Row],[instruction]]&lt;&gt;"",MAX($A$6:A11)+1," ")</f>
        <v>7</v>
      </c>
      <c r="B12" s="32" t="s">
        <v>485</v>
      </c>
      <c r="C12" t="s">
        <v>0</v>
      </c>
      <c r="D12" s="31" t="s">
        <v>60</v>
      </c>
      <c r="E12" s="31" t="s">
        <v>492</v>
      </c>
      <c r="K12" s="2" t="str">
        <f t="shared" si="0"/>
        <v/>
      </c>
      <c r="L12" cm="1">
        <f t="array" ref="L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2" t="str">
        <f>IF(OR(ISNUMBER(SEARCH("imad", Table6[[#This Row],[instruction]])), ISNUMBER(SEARCH("ffma", Table6[[#This Row],[instruction]])), ISNUMBER(SEARCH("fmul", Table6[[#This Row],[instruction]]))), "fma", "")</f>
        <v/>
      </c>
      <c r="P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" t="str">
        <f>IF(OR(ISNUMBER(SEARCH("s2r", Table6[[#This Row],[instruction]])),ISNUMBER(SEARCH("s2ur", Table6[[#This Row],[instruction]]))), "special", "")</f>
        <v/>
      </c>
      <c r="S12" t="str">
        <f>IF(OR(ISNUMBER(SEARCH("stg", Table6[[#This Row],[instruction]])),ISNUMBER(SEARCH("ldg", Table6[[#This Row],[instruction]]))), "global", "")</f>
        <v/>
      </c>
      <c r="T12" t="str">
        <f>IF(OR(ISNUMBER(SEARCH("sts", Table6[[#This Row],[instruction]])),ISNUMBER(SEARCH("lds", Table6[[#This Row],[instruction]]))), "shared", "")</f>
        <v/>
      </c>
      <c r="U12" t="str">
        <f>IF(OR(ISNUMBER(SEARCH("LDC", Table6[[#This Row],[instruction]]))), "ind. const", "")</f>
        <v/>
      </c>
      <c r="V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Row],[s5]]))),U12=""), "cmb. const", "")</f>
        <v>cmb. const</v>
      </c>
      <c r="W12" s="2" t="s">
        <v>482</v>
      </c>
      <c r="Y12">
        <f>IF(Table6[[#This Row],[pipeline]]="fma",Table6[[#This Row],[delay]],0)</f>
        <v>0</v>
      </c>
      <c r="Z12">
        <f>IF(AND(Table6[[#This Row],[pipeline]]="fma",W12="new"),290,0)</f>
        <v>0</v>
      </c>
      <c r="AD12">
        <v>6</v>
      </c>
      <c r="AK12" s="34"/>
    </row>
    <row r="13" spans="1:37" ht="17" x14ac:dyDescent="0.2">
      <c r="A13" s="31">
        <f>IF(Table6[[#This Row],[instruction]]&lt;&gt;"",MAX($A$6:A12)+1," ")</f>
        <v>8</v>
      </c>
      <c r="B13" s="32" t="s">
        <v>485</v>
      </c>
      <c r="C13" t="s">
        <v>45</v>
      </c>
      <c r="D13" s="31" t="s">
        <v>27</v>
      </c>
      <c r="E13" s="31" t="s">
        <v>8</v>
      </c>
      <c r="F13" s="31" t="s">
        <v>8</v>
      </c>
      <c r="G13" s="31" t="s">
        <v>493</v>
      </c>
      <c r="K13" s="2" t="str">
        <f t="shared" si="0"/>
        <v>fma</v>
      </c>
      <c r="L13" cm="1">
        <f t="array" ref="L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" t="str">
        <f>IF(OR(ISNUMBER(SEARCH("imad", Table6[[#This Row],[instruction]])), ISNUMBER(SEARCH("ffma", Table6[[#This Row],[instruction]])), ISNUMBER(SEARCH("fmul", Table6[[#This Row],[instruction]]))), "fma", "")</f>
        <v>fma</v>
      </c>
      <c r="P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" t="str">
        <f>IF(OR(ISNUMBER(SEARCH("s2r", Table6[[#This Row],[instruction]])),ISNUMBER(SEARCH("s2ur", Table6[[#This Row],[instruction]]))), "special", "")</f>
        <v/>
      </c>
      <c r="S13" t="str">
        <f>IF(OR(ISNUMBER(SEARCH("stg", Table6[[#This Row],[instruction]])),ISNUMBER(SEARCH("ldg", Table6[[#This Row],[instruction]]))), "global", "")</f>
        <v/>
      </c>
      <c r="T13" t="str">
        <f>IF(OR(ISNUMBER(SEARCH("sts", Table6[[#This Row],[instruction]])),ISNUMBER(SEARCH("lds", Table6[[#This Row],[instruction]]))), "shared", "")</f>
        <v/>
      </c>
      <c r="U13" t="str">
        <f>IF(OR(ISNUMBER(SEARCH("LDC", Table6[[#This Row],[instruction]]))), "ind. const", "")</f>
        <v/>
      </c>
      <c r="V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Row],[s5]]))),U13=""), "cmb. const", "")</f>
        <v>cmb. const</v>
      </c>
      <c r="W13" s="2" t="s">
        <v>482</v>
      </c>
      <c r="Y13">
        <f>IF(Table6[[#This Row],[pipeline]]="fma",Table6[[#This Row],[delay]],0)</f>
        <v>4</v>
      </c>
      <c r="Z13">
        <f>IF(AND(Table6[[#This Row],[pipeline]]="fma",W13="new"),290,0)</f>
        <v>290</v>
      </c>
      <c r="AD13">
        <v>7</v>
      </c>
      <c r="AK13" s="34"/>
    </row>
    <row r="14" spans="1:37" ht="17" x14ac:dyDescent="0.2">
      <c r="A14" s="31">
        <f>IF(Table6[[#This Row],[instruction]]&lt;&gt;"",MAX($A$6:A13)+1," ")</f>
        <v>9</v>
      </c>
      <c r="B14" s="32" t="s">
        <v>485</v>
      </c>
      <c r="C14" t="s">
        <v>463</v>
      </c>
      <c r="D14" s="31" t="s">
        <v>50</v>
      </c>
      <c r="E14" s="31" t="s">
        <v>51</v>
      </c>
      <c r="F14" s="31" t="s">
        <v>19</v>
      </c>
      <c r="G14" s="31" t="s">
        <v>75</v>
      </c>
      <c r="H14" s="31" t="s">
        <v>494</v>
      </c>
      <c r="K14" s="2" t="str">
        <f t="shared" si="0"/>
        <v>alu</v>
      </c>
      <c r="L14" cm="1">
        <f t="array" ref="L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4" t="str">
        <f>IF(OR(ISNUMBER(SEARCH("imad", Table6[[#This Row],[instruction]])), ISNUMBER(SEARCH("ffma", Table6[[#This Row],[instruction]])), ISNUMBER(SEARCH("fmul", Table6[[#This Row],[instruction]]))), "fma", "")</f>
        <v/>
      </c>
      <c r="P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" t="str">
        <f>IF(OR(ISNUMBER(SEARCH("s2r", Table6[[#This Row],[instruction]])),ISNUMBER(SEARCH("s2ur", Table6[[#This Row],[instruction]]))), "special", "")</f>
        <v/>
      </c>
      <c r="S14" t="str">
        <f>IF(OR(ISNUMBER(SEARCH("stg", Table6[[#This Row],[instruction]])),ISNUMBER(SEARCH("ldg", Table6[[#This Row],[instruction]]))), "global", "")</f>
        <v/>
      </c>
      <c r="T14" t="str">
        <f>IF(OR(ISNUMBER(SEARCH("sts", Table6[[#This Row],[instruction]])),ISNUMBER(SEARCH("lds", Table6[[#This Row],[instruction]]))), "shared", "")</f>
        <v/>
      </c>
      <c r="U14" t="str">
        <f>IF(OR(ISNUMBER(SEARCH("LDC", Table6[[#This Row],[instruction]]))), "ind. const", "")</f>
        <v/>
      </c>
      <c r="V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Row],[s5]]))),U14=""), "cmb. const", "")</f>
        <v/>
      </c>
      <c r="Y14">
        <f>IF(Table6[[#This Row],[pipeline]]="fma",Table6[[#This Row],[delay]],0)</f>
        <v>0</v>
      </c>
      <c r="Z14">
        <f>IF(AND(Table6[[#This Row],[pipeline]]="fma",W14="new"),290,0)</f>
        <v>0</v>
      </c>
      <c r="AD14">
        <v>8</v>
      </c>
      <c r="AK14" s="34"/>
    </row>
    <row r="15" spans="1:37" ht="17" x14ac:dyDescent="0.2">
      <c r="A15" s="31">
        <f>IF(Table6[[#This Row],[instruction]]&lt;&gt;"",MAX($A$6:A14)+1," ")</f>
        <v>10</v>
      </c>
      <c r="B15" s="32" t="s">
        <v>485</v>
      </c>
      <c r="C15" t="s">
        <v>3</v>
      </c>
      <c r="D15" s="31" t="s">
        <v>17</v>
      </c>
      <c r="E15" s="31" t="s">
        <v>495</v>
      </c>
      <c r="K15" s="2" t="str">
        <f t="shared" si="0"/>
        <v>special</v>
      </c>
      <c r="L15" cm="1">
        <f t="array" ref="L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15" t="str">
        <f>IF(OR(ISNUMBER(SEARCH("imad", Table6[[#This Row],[instruction]])), ISNUMBER(SEARCH("ffma", Table6[[#This Row],[instruction]])), ISNUMBER(SEARCH("fmul", Table6[[#This Row],[instruction]]))), "fma", "")</f>
        <v/>
      </c>
      <c r="P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" t="str">
        <f>IF(OR(ISNUMBER(SEARCH("s2r", Table6[[#This Row],[instruction]])),ISNUMBER(SEARCH("s2ur", Table6[[#This Row],[instruction]]))), "special", "")</f>
        <v>special</v>
      </c>
      <c r="S15" t="str">
        <f>IF(OR(ISNUMBER(SEARCH("stg", Table6[[#This Row],[instruction]])),ISNUMBER(SEARCH("ldg", Table6[[#This Row],[instruction]]))), "global", "")</f>
        <v/>
      </c>
      <c r="T15" t="str">
        <f>IF(OR(ISNUMBER(SEARCH("sts", Table6[[#This Row],[instruction]])),ISNUMBER(SEARCH("lds", Table6[[#This Row],[instruction]]))), "shared", "")</f>
        <v/>
      </c>
      <c r="U15" t="str">
        <f>IF(OR(ISNUMBER(SEARCH("LDC", Table6[[#This Row],[instruction]]))), "ind. const", "")</f>
        <v/>
      </c>
      <c r="V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Row],[s5]]))),U15=""), "cmb. const", "")</f>
        <v/>
      </c>
      <c r="Y15">
        <f>IF(Table6[[#This Row],[pipeline]]="fma",Table6[[#This Row],[delay]],0)</f>
        <v>0</v>
      </c>
      <c r="Z15">
        <f>IF(AND(Table6[[#This Row],[pipeline]]="fma",W15="new"),290,0)</f>
        <v>0</v>
      </c>
      <c r="AD15">
        <v>9</v>
      </c>
      <c r="AK15" s="34"/>
    </row>
    <row r="16" spans="1:37" ht="17" x14ac:dyDescent="0.2">
      <c r="A16" s="31">
        <f>IF(Table6[[#This Row],[instruction]]&lt;&gt;"",MAX($A$6:A15)+1," ")</f>
        <v>11</v>
      </c>
      <c r="B16" s="32" t="s">
        <v>485</v>
      </c>
      <c r="C16" t="s">
        <v>463</v>
      </c>
      <c r="D16" s="31" t="s">
        <v>78</v>
      </c>
      <c r="E16" s="31" t="s">
        <v>51</v>
      </c>
      <c r="F16" s="31" t="s">
        <v>4</v>
      </c>
      <c r="G16" s="31" t="s">
        <v>75</v>
      </c>
      <c r="H16" s="31" t="s">
        <v>494</v>
      </c>
      <c r="K16" s="2" t="str">
        <f t="shared" si="0"/>
        <v>alu</v>
      </c>
      <c r="L16" cm="1">
        <f t="array" ref="L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" t="str">
        <f>IF(OR(ISNUMBER(SEARCH("imad", Table6[[#This Row],[instruction]])), ISNUMBER(SEARCH("ffma", Table6[[#This Row],[instruction]])), ISNUMBER(SEARCH("fmul", Table6[[#This Row],[instruction]]))), "fma", "")</f>
        <v/>
      </c>
      <c r="P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" t="str">
        <f>IF(OR(ISNUMBER(SEARCH("s2r", Table6[[#This Row],[instruction]])),ISNUMBER(SEARCH("s2ur", Table6[[#This Row],[instruction]]))), "special", "")</f>
        <v/>
      </c>
      <c r="S16" t="str">
        <f>IF(OR(ISNUMBER(SEARCH("stg", Table6[[#This Row],[instruction]])),ISNUMBER(SEARCH("ldg", Table6[[#This Row],[instruction]]))), "global", "")</f>
        <v/>
      </c>
      <c r="T16" t="str">
        <f>IF(OR(ISNUMBER(SEARCH("sts", Table6[[#This Row],[instruction]])),ISNUMBER(SEARCH("lds", Table6[[#This Row],[instruction]]))), "shared", "")</f>
        <v/>
      </c>
      <c r="U16" t="str">
        <f>IF(OR(ISNUMBER(SEARCH("LDC", Table6[[#This Row],[instruction]]))), "ind. const", "")</f>
        <v/>
      </c>
      <c r="V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Row],[s5]]))),U16=""), "cmb. const", "")</f>
        <v/>
      </c>
      <c r="Y16">
        <f>IF(Table6[[#This Row],[pipeline]]="fma",Table6[[#This Row],[delay]],0)</f>
        <v>0</v>
      </c>
      <c r="Z16">
        <f>IF(AND(Table6[[#This Row],[pipeline]]="fma",W16="new"),290,0)</f>
        <v>0</v>
      </c>
      <c r="AK16" s="34"/>
    </row>
    <row r="17" spans="1:37" ht="17" x14ac:dyDescent="0.2">
      <c r="A17" s="31">
        <f>IF(Table6[[#This Row],[instruction]]&lt;&gt;"",MAX($A$6:A16)+1," ")</f>
        <v>12</v>
      </c>
      <c r="B17" s="32" t="s">
        <v>485</v>
      </c>
      <c r="C17" t="s">
        <v>9</v>
      </c>
      <c r="D17" s="31" t="s">
        <v>66</v>
      </c>
      <c r="E17" s="31" t="s">
        <v>496</v>
      </c>
      <c r="K17" s="2" t="str">
        <f t="shared" si="0"/>
        <v>ind. const</v>
      </c>
      <c r="L17" cm="1">
        <f t="array" ref="L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7" t="str">
        <f>IF(OR(ISNUMBER(SEARCH("imad", Table6[[#This Row],[instruction]])), ISNUMBER(SEARCH("ffma", Table6[[#This Row],[instruction]])), ISNUMBER(SEARCH("fmul", Table6[[#This Row],[instruction]]))), "fma", "")</f>
        <v/>
      </c>
      <c r="P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" t="str">
        <f>IF(OR(ISNUMBER(SEARCH("s2r", Table6[[#This Row],[instruction]])),ISNUMBER(SEARCH("s2ur", Table6[[#This Row],[instruction]]))), "special", "")</f>
        <v/>
      </c>
      <c r="S17" t="str">
        <f>IF(OR(ISNUMBER(SEARCH("stg", Table6[[#This Row],[instruction]])),ISNUMBER(SEARCH("ldg", Table6[[#This Row],[instruction]]))), "global", "")</f>
        <v/>
      </c>
      <c r="T17" t="str">
        <f>IF(OR(ISNUMBER(SEARCH("sts", Table6[[#This Row],[instruction]])),ISNUMBER(SEARCH("lds", Table6[[#This Row],[instruction]]))), "shared", "")</f>
        <v/>
      </c>
      <c r="U17" t="str">
        <f>IF(OR(ISNUMBER(SEARCH("LDC", Table6[[#This Row],[instruction]]))), "ind. const", "")</f>
        <v>ind. const</v>
      </c>
      <c r="V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Row],[s5]]))),U17=""), "cmb. const", "")</f>
        <v/>
      </c>
      <c r="W17" s="2" t="s">
        <v>482</v>
      </c>
      <c r="Y17">
        <f>IF(Table6[[#This Row],[pipeline]]="fma",Table6[[#This Row],[delay]],0)</f>
        <v>0</v>
      </c>
      <c r="Z17">
        <f>IF(AND(Table6[[#This Row],[pipeline]]="fma",W17="new"),290,0)</f>
        <v>0</v>
      </c>
      <c r="AK17" s="34"/>
    </row>
    <row r="18" spans="1:37" ht="17" x14ac:dyDescent="0.2">
      <c r="A18" s="31">
        <f>IF(Table6[[#This Row],[instruction]]&lt;&gt;"",MAX($A$6:A17)+1," ")</f>
        <v>13</v>
      </c>
      <c r="B18" s="32" t="s">
        <v>485</v>
      </c>
      <c r="C18" t="s">
        <v>0</v>
      </c>
      <c r="D18" s="31" t="s">
        <v>4</v>
      </c>
      <c r="E18" s="31" t="s">
        <v>497</v>
      </c>
      <c r="K18" s="2" t="s">
        <v>798</v>
      </c>
      <c r="L18" cm="1">
        <f t="array" ref="L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8" t="str">
        <f>IF(OR(ISNUMBER(SEARCH("imad", Table6[[#This Row],[instruction]])), ISNUMBER(SEARCH("ffma", Table6[[#This Row],[instruction]])), ISNUMBER(SEARCH("fmul", Table6[[#This Row],[instruction]]))), "fma", "")</f>
        <v/>
      </c>
      <c r="P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" t="str">
        <f>IF(OR(ISNUMBER(SEARCH("s2r", Table6[[#This Row],[instruction]])),ISNUMBER(SEARCH("s2ur", Table6[[#This Row],[instruction]]))), "special", "")</f>
        <v/>
      </c>
      <c r="S18" t="str">
        <f>IF(OR(ISNUMBER(SEARCH("stg", Table6[[#This Row],[instruction]])),ISNUMBER(SEARCH("ldg", Table6[[#This Row],[instruction]]))), "global", "")</f>
        <v/>
      </c>
      <c r="T18" t="str">
        <f>IF(OR(ISNUMBER(SEARCH("sts", Table6[[#This Row],[instruction]])),ISNUMBER(SEARCH("lds", Table6[[#This Row],[instruction]]))), "shared", "")</f>
        <v/>
      </c>
      <c r="U18" t="str">
        <f>IF(OR(ISNUMBER(SEARCH("LDC", Table6[[#This Row],[instruction]]))), "ind. const", "")</f>
        <v/>
      </c>
      <c r="V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Row],[s5]]))),U18=""), "cmb. const", "")</f>
        <v>cmb. const</v>
      </c>
      <c r="W18" s="2" t="s">
        <v>482</v>
      </c>
      <c r="Y18">
        <f>IF(Table6[[#This Row],[pipeline]]="fma",Table6[[#This Row],[delay]],0)</f>
        <v>0</v>
      </c>
      <c r="Z18">
        <f>IF(AND(Table6[[#This Row],[pipeline]]="fma",W18="new"),290,0)</f>
        <v>0</v>
      </c>
      <c r="AK18" s="34"/>
    </row>
    <row r="19" spans="1:37" ht="17" x14ac:dyDescent="0.2">
      <c r="A19" s="31">
        <f>IF(Table6[[#This Row],[instruction]]&lt;&gt;"",MAX($A$6:A18)+1," ")</f>
        <v>14</v>
      </c>
      <c r="B19" s="32" t="s">
        <v>485</v>
      </c>
      <c r="C19" t="s">
        <v>67</v>
      </c>
      <c r="D19" s="31" t="s">
        <v>68</v>
      </c>
      <c r="E19" s="31" t="s">
        <v>498</v>
      </c>
      <c r="K19" s="2" t="str">
        <f t="shared" si="0"/>
        <v>cba</v>
      </c>
      <c r="L19" cm="1">
        <f t="array" ref="L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9" t="str">
        <f>IF(OR(ISNUMBER(SEARCH("imad", Table6[[#This Row],[instruction]])), ISNUMBER(SEARCH("ffma", Table6[[#This Row],[instruction]])), ISNUMBER(SEARCH("fmul", Table6[[#This Row],[instruction]]))), "fma", "")</f>
        <v/>
      </c>
      <c r="P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9" t="str">
        <f>IF(OR(ISNUMBER(SEARCH("s2r", Table6[[#This Row],[instruction]])),ISNUMBER(SEARCH("s2ur", Table6[[#This Row],[instruction]]))), "special", "")</f>
        <v/>
      </c>
      <c r="S19" t="str">
        <f>IF(OR(ISNUMBER(SEARCH("stg", Table6[[#This Row],[instruction]])),ISNUMBER(SEARCH("ldg", Table6[[#This Row],[instruction]]))), "global", "")</f>
        <v/>
      </c>
      <c r="T19" t="str">
        <f>IF(OR(ISNUMBER(SEARCH("sts", Table6[[#This Row],[instruction]])),ISNUMBER(SEARCH("lds", Table6[[#This Row],[instruction]]))), "shared", "")</f>
        <v/>
      </c>
      <c r="U19" t="str">
        <f>IF(OR(ISNUMBER(SEARCH("LDC", Table6[[#This Row],[instruction]]))), "ind. const", "")</f>
        <v/>
      </c>
      <c r="V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Row],[s5]]))),U19=""), "cmb. const", "")</f>
        <v/>
      </c>
      <c r="Y19">
        <f>IF(Table6[[#This Row],[pipeline]]="fma",Table6[[#This Row],[delay]],0)</f>
        <v>0</v>
      </c>
      <c r="Z19">
        <f>IF(AND(Table6[[#This Row],[pipeline]]="fma",W19="new"),290,0)</f>
        <v>0</v>
      </c>
      <c r="AK19" s="35"/>
    </row>
    <row r="20" spans="1:37" ht="17" x14ac:dyDescent="0.2">
      <c r="A20" s="31">
        <f>IF(Table6[[#This Row],[instruction]]&lt;&gt;"",MAX($A$6:A19)+1," ")</f>
        <v>15</v>
      </c>
      <c r="B20" s="32" t="s">
        <v>485</v>
      </c>
      <c r="C20" t="s">
        <v>499</v>
      </c>
      <c r="D20" s="31" t="s">
        <v>10</v>
      </c>
      <c r="E20" s="31" t="s">
        <v>10</v>
      </c>
      <c r="F20" s="31" t="s">
        <v>91</v>
      </c>
      <c r="G20" s="31" t="s">
        <v>500</v>
      </c>
      <c r="K20" s="2" t="str">
        <f t="shared" si="0"/>
        <v>alu</v>
      </c>
      <c r="L20" cm="1">
        <f t="array" ref="L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0" t="str">
        <f>IF(OR(ISNUMBER(SEARCH("imad", Table6[[#This Row],[instruction]])), ISNUMBER(SEARCH("ffma", Table6[[#This Row],[instruction]])), ISNUMBER(SEARCH("fmul", Table6[[#This Row],[instruction]]))), "fma", "")</f>
        <v/>
      </c>
      <c r="P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" t="str">
        <f>IF(OR(ISNUMBER(SEARCH("s2r", Table6[[#This Row],[instruction]])),ISNUMBER(SEARCH("s2ur", Table6[[#This Row],[instruction]]))), "special", "")</f>
        <v/>
      </c>
      <c r="S20" t="str">
        <f>IF(OR(ISNUMBER(SEARCH("stg", Table6[[#This Row],[instruction]])),ISNUMBER(SEARCH("ldg", Table6[[#This Row],[instruction]]))), "global", "")</f>
        <v/>
      </c>
      <c r="T20" t="str">
        <f>IF(OR(ISNUMBER(SEARCH("sts", Table6[[#This Row],[instruction]])),ISNUMBER(SEARCH("lds", Table6[[#This Row],[instruction]]))), "shared", "")</f>
        <v/>
      </c>
      <c r="U20" t="str">
        <f>IF(OR(ISNUMBER(SEARCH("LDC", Table6[[#This Row],[instruction]]))), "ind. const", "")</f>
        <v/>
      </c>
      <c r="V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Row],[s5]]))),U20=""), "cmb. const", "")</f>
        <v/>
      </c>
      <c r="Y20">
        <f>IF(Table6[[#This Row],[pipeline]]="fma",Table6[[#This Row],[delay]],0)</f>
        <v>0</v>
      </c>
      <c r="Z20">
        <f>IF(AND(Table6[[#This Row],[pipeline]]="fma",W20="new"),290,0)</f>
        <v>0</v>
      </c>
      <c r="AK20" s="34"/>
    </row>
    <row r="21" spans="1:37" ht="17" x14ac:dyDescent="0.2">
      <c r="A21" s="31">
        <f>IF(Table6[[#This Row],[instruction]]&lt;&gt;"",MAX($A$6:A20)+1," ")</f>
        <v>16</v>
      </c>
      <c r="B21" s="32" t="s">
        <v>485</v>
      </c>
      <c r="C21" t="s">
        <v>14</v>
      </c>
      <c r="D21" s="31" t="s">
        <v>58</v>
      </c>
      <c r="E21" s="31" t="s">
        <v>46</v>
      </c>
      <c r="F21" s="31" t="s">
        <v>15</v>
      </c>
      <c r="G21" s="31" t="s">
        <v>501</v>
      </c>
      <c r="K21" s="2" t="str">
        <f t="shared" si="0"/>
        <v>fma</v>
      </c>
      <c r="L21" cm="1">
        <f t="array" ref="L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1" t="str">
        <f>IF(OR(ISNUMBER(SEARCH("imad", Table6[[#This Row],[instruction]])), ISNUMBER(SEARCH("ffma", Table6[[#This Row],[instruction]])), ISNUMBER(SEARCH("fmul", Table6[[#This Row],[instruction]]))), "fma", "")</f>
        <v>fma</v>
      </c>
      <c r="P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" t="str">
        <f>IF(OR(ISNUMBER(SEARCH("s2r", Table6[[#This Row],[instruction]])),ISNUMBER(SEARCH("s2ur", Table6[[#This Row],[instruction]]))), "special", "")</f>
        <v/>
      </c>
      <c r="S21" t="str">
        <f>IF(OR(ISNUMBER(SEARCH("stg", Table6[[#This Row],[instruction]])),ISNUMBER(SEARCH("ldg", Table6[[#This Row],[instruction]]))), "global", "")</f>
        <v/>
      </c>
      <c r="T21" t="str">
        <f>IF(OR(ISNUMBER(SEARCH("sts", Table6[[#This Row],[instruction]])),ISNUMBER(SEARCH("lds", Table6[[#This Row],[instruction]]))), "shared", "")</f>
        <v/>
      </c>
      <c r="U21" t="str">
        <f>IF(OR(ISNUMBER(SEARCH("LDC", Table6[[#This Row],[instruction]]))), "ind. const", "")</f>
        <v/>
      </c>
      <c r="V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Row],[s5]]))),U21=""), "cmb. const", "")</f>
        <v>cmb. const</v>
      </c>
      <c r="W21" s="2" t="s">
        <v>482</v>
      </c>
      <c r="Y21">
        <f>IF(Table6[[#This Row],[pipeline]]="fma",Table6[[#This Row],[delay]],0)</f>
        <v>4</v>
      </c>
      <c r="Z21">
        <f>IF(AND(Table6[[#This Row],[pipeline]]="fma",W21="new"),290,0)</f>
        <v>290</v>
      </c>
      <c r="AK21" s="34"/>
    </row>
    <row r="22" spans="1:37" ht="17" x14ac:dyDescent="0.2">
      <c r="A22" s="31">
        <f>IF(Table6[[#This Row],[instruction]]&lt;&gt;"",MAX($A$6:A21)+1," ")</f>
        <v>17</v>
      </c>
      <c r="B22" s="32" t="s">
        <v>485</v>
      </c>
      <c r="C22" t="s">
        <v>47</v>
      </c>
      <c r="D22" s="31" t="s">
        <v>23</v>
      </c>
      <c r="E22" s="31" t="s">
        <v>17</v>
      </c>
      <c r="F22" s="31" t="s">
        <v>91</v>
      </c>
      <c r="G22" s="31" t="s">
        <v>502</v>
      </c>
      <c r="K22" s="2" t="str">
        <f t="shared" si="0"/>
        <v>alu</v>
      </c>
      <c r="L22" cm="1">
        <f t="array" ref="L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2" t="str">
        <f>IF(OR(ISNUMBER(SEARCH("imad", Table6[[#This Row],[instruction]])), ISNUMBER(SEARCH("ffma", Table6[[#This Row],[instruction]])), ISNUMBER(SEARCH("fmul", Table6[[#This Row],[instruction]]))), "fma", "")</f>
        <v/>
      </c>
      <c r="P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" t="str">
        <f>IF(OR(ISNUMBER(SEARCH("s2r", Table6[[#This Row],[instruction]])),ISNUMBER(SEARCH("s2ur", Table6[[#This Row],[instruction]]))), "special", "")</f>
        <v/>
      </c>
      <c r="S22" t="str">
        <f>IF(OR(ISNUMBER(SEARCH("stg", Table6[[#This Row],[instruction]])),ISNUMBER(SEARCH("ldg", Table6[[#This Row],[instruction]]))), "global", "")</f>
        <v/>
      </c>
      <c r="T22" t="str">
        <f>IF(OR(ISNUMBER(SEARCH("sts", Table6[[#This Row],[instruction]])),ISNUMBER(SEARCH("lds", Table6[[#This Row],[instruction]]))), "shared", "")</f>
        <v/>
      </c>
      <c r="U22" t="str">
        <f>IF(OR(ISNUMBER(SEARCH("LDC", Table6[[#This Row],[instruction]]))), "ind. const", "")</f>
        <v/>
      </c>
      <c r="V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Row],[s5]]))),U22=""), "cmb. const", "")</f>
        <v/>
      </c>
      <c r="Y22">
        <f>IF(Table6[[#This Row],[pipeline]]="fma",Table6[[#This Row],[delay]],0)</f>
        <v>0</v>
      </c>
      <c r="Z22">
        <f>IF(AND(Table6[[#This Row],[pipeline]]="fma",W22="new"),290,0)</f>
        <v>0</v>
      </c>
      <c r="AK22" s="34"/>
    </row>
    <row r="23" spans="1:37" ht="17" x14ac:dyDescent="0.2">
      <c r="A23" s="31">
        <f>IF(Table6[[#This Row],[instruction]]&lt;&gt;"",MAX($A$6:A22)+1," ")</f>
        <v>18</v>
      </c>
      <c r="B23" s="32" t="s">
        <v>485</v>
      </c>
      <c r="C23" t="s">
        <v>427</v>
      </c>
      <c r="D23" s="31" t="s">
        <v>7</v>
      </c>
      <c r="E23" s="31" t="s">
        <v>8</v>
      </c>
      <c r="F23" s="31" t="s">
        <v>91</v>
      </c>
      <c r="G23" s="31" t="s">
        <v>503</v>
      </c>
      <c r="K23" s="2" t="str">
        <f t="shared" si="0"/>
        <v>alu</v>
      </c>
      <c r="L23" cm="1">
        <f t="array" ref="L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" t="str">
        <f>IF(OR(ISNUMBER(SEARCH("imad", Table6[[#This Row],[instruction]])), ISNUMBER(SEARCH("ffma", Table6[[#This Row],[instruction]])), ISNUMBER(SEARCH("fmul", Table6[[#This Row],[instruction]]))), "fma", "")</f>
        <v/>
      </c>
      <c r="P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" t="str">
        <f>IF(OR(ISNUMBER(SEARCH("s2r", Table6[[#This Row],[instruction]])),ISNUMBER(SEARCH("s2ur", Table6[[#This Row],[instruction]]))), "special", "")</f>
        <v/>
      </c>
      <c r="S23" t="str">
        <f>IF(OR(ISNUMBER(SEARCH("stg", Table6[[#This Row],[instruction]])),ISNUMBER(SEARCH("ldg", Table6[[#This Row],[instruction]]))), "global", "")</f>
        <v/>
      </c>
      <c r="T23" t="str">
        <f>IF(OR(ISNUMBER(SEARCH("sts", Table6[[#This Row],[instruction]])),ISNUMBER(SEARCH("lds", Table6[[#This Row],[instruction]]))), "shared", "")</f>
        <v/>
      </c>
      <c r="U23" t="str">
        <f>IF(OR(ISNUMBER(SEARCH("LDC", Table6[[#This Row],[instruction]]))), "ind. const", "")</f>
        <v/>
      </c>
      <c r="V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Row],[s5]]))),U23=""), "cmb. const", "")</f>
        <v/>
      </c>
      <c r="Y23">
        <f>IF(Table6[[#This Row],[pipeline]]="fma",Table6[[#This Row],[delay]],0)</f>
        <v>0</v>
      </c>
      <c r="Z23">
        <f>IF(AND(Table6[[#This Row],[pipeline]]="fma",W23="new"),290,0)</f>
        <v>0</v>
      </c>
      <c r="AK23" s="34"/>
    </row>
    <row r="24" spans="1:37" ht="17" x14ac:dyDescent="0.2">
      <c r="A24" s="31">
        <f>IF(Table6[[#This Row],[instruction]]&lt;&gt;"",MAX($A$6:A23)+1," ")</f>
        <v>19</v>
      </c>
      <c r="B24" s="32" t="s">
        <v>485</v>
      </c>
      <c r="C24" t="s">
        <v>73</v>
      </c>
      <c r="D24" s="31" t="s">
        <v>19</v>
      </c>
      <c r="E24" s="31" t="s">
        <v>23</v>
      </c>
      <c r="F24" s="31" t="s">
        <v>504</v>
      </c>
      <c r="G24" s="31" t="s">
        <v>58</v>
      </c>
      <c r="H24" s="31" t="s">
        <v>505</v>
      </c>
      <c r="I24" s="31" t="s">
        <v>506</v>
      </c>
      <c r="K24" s="2" t="str">
        <f t="shared" si="0"/>
        <v>alu</v>
      </c>
      <c r="L24" cm="1">
        <f t="array" ref="L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4" t="str">
        <f>IF(OR(ISNUMBER(SEARCH("imad", Table6[[#This Row],[instruction]])), ISNUMBER(SEARCH("ffma", Table6[[#This Row],[instruction]])), ISNUMBER(SEARCH("fmul", Table6[[#This Row],[instruction]]))), "fma", "")</f>
        <v/>
      </c>
      <c r="P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" t="str">
        <f>IF(OR(ISNUMBER(SEARCH("s2r", Table6[[#This Row],[instruction]])),ISNUMBER(SEARCH("s2ur", Table6[[#This Row],[instruction]]))), "special", "")</f>
        <v/>
      </c>
      <c r="S24" t="str">
        <f>IF(OR(ISNUMBER(SEARCH("stg", Table6[[#This Row],[instruction]])),ISNUMBER(SEARCH("ldg", Table6[[#This Row],[instruction]]))), "global", "")</f>
        <v/>
      </c>
      <c r="T24" t="str">
        <f>IF(OR(ISNUMBER(SEARCH("sts", Table6[[#This Row],[instruction]])),ISNUMBER(SEARCH("lds", Table6[[#This Row],[instruction]]))), "shared", "")</f>
        <v/>
      </c>
      <c r="U24" t="str">
        <f>IF(OR(ISNUMBER(SEARCH("LDC", Table6[[#This Row],[instruction]]))), "ind. const", "")</f>
        <v/>
      </c>
      <c r="V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Row],[s5]]))),U24=""), "cmb. const", "")</f>
        <v/>
      </c>
      <c r="Y24">
        <f>IF(Table6[[#This Row],[pipeline]]="fma",Table6[[#This Row],[delay]],0)</f>
        <v>0</v>
      </c>
      <c r="Z24">
        <f>IF(AND(Table6[[#This Row],[pipeline]]="fma",W24="new"),290,0)</f>
        <v>0</v>
      </c>
      <c r="AK24" s="34"/>
    </row>
    <row r="25" spans="1:37" ht="17" x14ac:dyDescent="0.2">
      <c r="A25" s="31">
        <f>IF(Table6[[#This Row],[instruction]]&lt;&gt;"",MAX($A$6:A24)+1," ")</f>
        <v>20</v>
      </c>
      <c r="B25" s="32" t="s">
        <v>485</v>
      </c>
      <c r="C25" t="s">
        <v>73</v>
      </c>
      <c r="D25" s="31" t="s">
        <v>507</v>
      </c>
      <c r="E25" s="31" t="s">
        <v>58</v>
      </c>
      <c r="F25" s="31" t="s">
        <v>428</v>
      </c>
      <c r="G25" s="31" t="s">
        <v>8</v>
      </c>
      <c r="H25" s="31" t="s">
        <v>76</v>
      </c>
      <c r="I25" s="31" t="s">
        <v>506</v>
      </c>
      <c r="K25" s="2" t="str">
        <f t="shared" si="0"/>
        <v>alu</v>
      </c>
      <c r="L25" cm="1">
        <f t="array" ref="L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5" t="str">
        <f>IF(OR(ISNUMBER(SEARCH("imad", Table6[[#This Row],[instruction]])), ISNUMBER(SEARCH("ffma", Table6[[#This Row],[instruction]])), ISNUMBER(SEARCH("fmul", Table6[[#This Row],[instruction]]))), "fma", "")</f>
        <v/>
      </c>
      <c r="P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" t="str">
        <f>IF(OR(ISNUMBER(SEARCH("s2r", Table6[[#This Row],[instruction]])),ISNUMBER(SEARCH("s2ur", Table6[[#This Row],[instruction]]))), "special", "")</f>
        <v/>
      </c>
      <c r="S25" t="str">
        <f>IF(OR(ISNUMBER(SEARCH("stg", Table6[[#This Row],[instruction]])),ISNUMBER(SEARCH("ldg", Table6[[#This Row],[instruction]]))), "global", "")</f>
        <v/>
      </c>
      <c r="T25" t="str">
        <f>IF(OR(ISNUMBER(SEARCH("sts", Table6[[#This Row],[instruction]])),ISNUMBER(SEARCH("lds", Table6[[#This Row],[instruction]]))), "shared", "")</f>
        <v/>
      </c>
      <c r="U25" t="str">
        <f>IF(OR(ISNUMBER(SEARCH("LDC", Table6[[#This Row],[instruction]]))), "ind. const", "")</f>
        <v/>
      </c>
      <c r="V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Row],[s5]]))),U25=""), "cmb. const", "")</f>
        <v/>
      </c>
      <c r="Y25">
        <f>IF(Table6[[#This Row],[pipeline]]="fma",Table6[[#This Row],[delay]],0)</f>
        <v>0</v>
      </c>
      <c r="Z25">
        <f>IF(AND(Table6[[#This Row],[pipeline]]="fma",W25="new"),290,0)</f>
        <v>0</v>
      </c>
      <c r="AK25" s="34"/>
    </row>
    <row r="26" spans="1:37" ht="17" x14ac:dyDescent="0.2">
      <c r="A26" s="31">
        <f>IF(Table6[[#This Row],[instruction]]&lt;&gt;"",MAX($A$6:A25)+1," ")</f>
        <v>21</v>
      </c>
      <c r="B26" s="32" t="s">
        <v>485</v>
      </c>
      <c r="C26" t="s">
        <v>0</v>
      </c>
      <c r="D26" s="31" t="s">
        <v>17</v>
      </c>
      <c r="E26" s="31" t="s">
        <v>508</v>
      </c>
      <c r="K26" s="2" t="s">
        <v>95</v>
      </c>
      <c r="L26" cm="1">
        <f t="array" ref="L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6" t="str">
        <f>IF(OR(ISNUMBER(SEARCH("imad", Table6[[#This Row],[instruction]])), ISNUMBER(SEARCH("ffma", Table6[[#This Row],[instruction]])), ISNUMBER(SEARCH("fmul", Table6[[#This Row],[instruction]]))), "fma", "")</f>
        <v/>
      </c>
      <c r="P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" t="str">
        <f>IF(OR(ISNUMBER(SEARCH("s2r", Table6[[#This Row],[instruction]])),ISNUMBER(SEARCH("s2ur", Table6[[#This Row],[instruction]]))), "special", "")</f>
        <v/>
      </c>
      <c r="S26" t="str">
        <f>IF(OR(ISNUMBER(SEARCH("stg", Table6[[#This Row],[instruction]])),ISNUMBER(SEARCH("ldg", Table6[[#This Row],[instruction]]))), "global", "")</f>
        <v/>
      </c>
      <c r="T26" t="str">
        <f>IF(OR(ISNUMBER(SEARCH("sts", Table6[[#This Row],[instruction]])),ISNUMBER(SEARCH("lds", Table6[[#This Row],[instruction]]))), "shared", "")</f>
        <v/>
      </c>
      <c r="U26" t="str">
        <f>IF(OR(ISNUMBER(SEARCH("LDC", Table6[[#This Row],[instruction]]))), "ind. const", "")</f>
        <v/>
      </c>
      <c r="V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Row],[s5]]))),U26=""), "cmb. const", "")</f>
        <v/>
      </c>
      <c r="Y26">
        <f>IF(Table6[[#This Row],[pipeline]]="fma",Table6[[#This Row],[delay]],0)</f>
        <v>0</v>
      </c>
      <c r="Z26">
        <f>IF(AND(Table6[[#This Row],[pipeline]]="fma",W26="new"),290,0)</f>
        <v>0</v>
      </c>
      <c r="AK26" s="34"/>
    </row>
    <row r="27" spans="1:37" ht="17" x14ac:dyDescent="0.2">
      <c r="A27" s="31">
        <f>IF(Table6[[#This Row],[instruction]]&lt;&gt;"",MAX($A$6:A26)+1," ")</f>
        <v>22</v>
      </c>
      <c r="B27" s="32" t="s">
        <v>86</v>
      </c>
      <c r="C27" t="s">
        <v>509</v>
      </c>
      <c r="D27" s="31" t="s">
        <v>23</v>
      </c>
      <c r="E27" s="31" t="s">
        <v>19</v>
      </c>
      <c r="F27" s="31" t="s">
        <v>510</v>
      </c>
      <c r="G27" s="31" t="s">
        <v>502</v>
      </c>
      <c r="K27" s="2" t="str">
        <f t="shared" si="0"/>
        <v>fma</v>
      </c>
      <c r="L27" cm="1">
        <f t="array" ref="L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" t="str">
        <f>IF(OR(ISNUMBER(SEARCH("imad", Table6[[#This Row],[instruction]])), ISNUMBER(SEARCH("ffma", Table6[[#This Row],[instruction]])), ISNUMBER(SEARCH("fmul", Table6[[#This Row],[instruction]]))), "fma", "")</f>
        <v>fma</v>
      </c>
      <c r="P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" t="str">
        <f>IF(OR(ISNUMBER(SEARCH("s2r", Table6[[#This Row],[instruction]])),ISNUMBER(SEARCH("s2ur", Table6[[#This Row],[instruction]]))), "special", "")</f>
        <v/>
      </c>
      <c r="S27" t="str">
        <f>IF(OR(ISNUMBER(SEARCH("stg", Table6[[#This Row],[instruction]])),ISNUMBER(SEARCH("ldg", Table6[[#This Row],[instruction]]))), "global", "")</f>
        <v/>
      </c>
      <c r="T27" t="str">
        <f>IF(OR(ISNUMBER(SEARCH("sts", Table6[[#This Row],[instruction]])),ISNUMBER(SEARCH("lds", Table6[[#This Row],[instruction]]))), "shared", "")</f>
        <v/>
      </c>
      <c r="U27" t="str">
        <f>IF(OR(ISNUMBER(SEARCH("LDC", Table6[[#This Row],[instruction]]))), "ind. const", "")</f>
        <v/>
      </c>
      <c r="V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Row],[s5]]))),U27=""), "cmb. const", "")</f>
        <v>cmb. const</v>
      </c>
      <c r="W27" s="2" t="s">
        <v>482</v>
      </c>
      <c r="Y27">
        <f>IF(Table6[[#This Row],[pipeline]]="fma",Table6[[#This Row],[delay]],0)</f>
        <v>4</v>
      </c>
      <c r="Z27">
        <f>IF(AND(Table6[[#This Row],[pipeline]]="fma",W27="new"),290,0)</f>
        <v>290</v>
      </c>
      <c r="AK27" s="34"/>
    </row>
    <row r="28" spans="1:37" ht="17" x14ac:dyDescent="0.2">
      <c r="A28" s="31">
        <f>IF(Table6[[#This Row],[instruction]]&lt;&gt;"",MAX($A$6:A27)+1," ")</f>
        <v>23</v>
      </c>
      <c r="B28" s="32" t="s">
        <v>485</v>
      </c>
      <c r="C28" t="s">
        <v>14</v>
      </c>
      <c r="D28" s="31" t="s">
        <v>507</v>
      </c>
      <c r="E28" s="31" t="s">
        <v>7</v>
      </c>
      <c r="F28" s="31" t="s">
        <v>511</v>
      </c>
      <c r="G28" s="31" t="s">
        <v>512</v>
      </c>
      <c r="K28" s="2" t="str">
        <f t="shared" si="0"/>
        <v>fma</v>
      </c>
      <c r="L28" cm="1">
        <f t="array" ref="L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" t="str">
        <f>IF(OR(ISNUMBER(SEARCH("imad", Table6[[#This Row],[instruction]])), ISNUMBER(SEARCH("ffma", Table6[[#This Row],[instruction]])), ISNUMBER(SEARCH("fmul", Table6[[#This Row],[instruction]]))), "fma", "")</f>
        <v>fma</v>
      </c>
      <c r="P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" t="str">
        <f>IF(OR(ISNUMBER(SEARCH("s2r", Table6[[#This Row],[instruction]])),ISNUMBER(SEARCH("s2ur", Table6[[#This Row],[instruction]]))), "special", "")</f>
        <v/>
      </c>
      <c r="S28" t="str">
        <f>IF(OR(ISNUMBER(SEARCH("stg", Table6[[#This Row],[instruction]])),ISNUMBER(SEARCH("ldg", Table6[[#This Row],[instruction]]))), "global", "")</f>
        <v/>
      </c>
      <c r="T28" t="str">
        <f>IF(OR(ISNUMBER(SEARCH("sts", Table6[[#This Row],[instruction]])),ISNUMBER(SEARCH("lds", Table6[[#This Row],[instruction]]))), "shared", "")</f>
        <v/>
      </c>
      <c r="U28" t="str">
        <f>IF(OR(ISNUMBER(SEARCH("LDC", Table6[[#This Row],[instruction]]))), "ind. const", "")</f>
        <v/>
      </c>
      <c r="V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Row],[s5]]))),U28=""), "cmb. const", "")</f>
        <v/>
      </c>
      <c r="Y28">
        <f>IF(Table6[[#This Row],[pipeline]]="fma",Table6[[#This Row],[delay]],0)</f>
        <v>4</v>
      </c>
      <c r="Z28">
        <f>IF(AND(Table6[[#This Row],[pipeline]]="fma",W28="new"),290,0)</f>
        <v>0</v>
      </c>
      <c r="AK28" s="34"/>
    </row>
    <row r="29" spans="1:37" ht="17" x14ac:dyDescent="0.2">
      <c r="A29" s="31">
        <f>IF(Table6[[#This Row],[instruction]]&lt;&gt;"",MAX($A$6:A28)+1," ")</f>
        <v>24</v>
      </c>
      <c r="B29" s="32" t="s">
        <v>86</v>
      </c>
      <c r="C29" t="s">
        <v>90</v>
      </c>
      <c r="D29" s="31" t="s">
        <v>17</v>
      </c>
      <c r="E29" s="31" t="s">
        <v>8</v>
      </c>
      <c r="F29" s="31" t="s">
        <v>513</v>
      </c>
      <c r="G29" s="31" t="s">
        <v>514</v>
      </c>
      <c r="K29" s="2" t="str">
        <f t="shared" si="0"/>
        <v>alu</v>
      </c>
      <c r="L29" cm="1">
        <f t="array" ref="L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" t="str">
        <f>IF(OR(ISNUMBER(SEARCH("imad", Table6[[#This Row],[instruction]])), ISNUMBER(SEARCH("ffma", Table6[[#This Row],[instruction]])), ISNUMBER(SEARCH("fmul", Table6[[#This Row],[instruction]]))), "fma", "")</f>
        <v/>
      </c>
      <c r="P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" t="str">
        <f>IF(OR(ISNUMBER(SEARCH("s2r", Table6[[#This Row],[instruction]])),ISNUMBER(SEARCH("s2ur", Table6[[#This Row],[instruction]]))), "special", "")</f>
        <v/>
      </c>
      <c r="S29" t="str">
        <f>IF(OR(ISNUMBER(SEARCH("stg", Table6[[#This Row],[instruction]])),ISNUMBER(SEARCH("ldg", Table6[[#This Row],[instruction]]))), "global", "")</f>
        <v/>
      </c>
      <c r="T29" t="str">
        <f>IF(OR(ISNUMBER(SEARCH("sts", Table6[[#This Row],[instruction]])),ISNUMBER(SEARCH("lds", Table6[[#This Row],[instruction]]))), "shared", "")</f>
        <v/>
      </c>
      <c r="U29" t="str">
        <f>IF(OR(ISNUMBER(SEARCH("LDC", Table6[[#This Row],[instruction]]))), "ind. const", "")</f>
        <v/>
      </c>
      <c r="V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Row],[s5]]))),U29=""), "cmb. const", "")</f>
        <v>cmb. const</v>
      </c>
      <c r="W29" s="2" t="s">
        <v>482</v>
      </c>
      <c r="Y29">
        <f>IF(Table6[[#This Row],[pipeline]]="fma",Table6[[#This Row],[delay]],0)</f>
        <v>0</v>
      </c>
      <c r="Z29">
        <f>IF(AND(Table6[[#This Row],[pipeline]]="fma",W29="new"),290,0)</f>
        <v>0</v>
      </c>
      <c r="AK29" s="34"/>
    </row>
    <row r="30" spans="1:37" ht="17" x14ac:dyDescent="0.2">
      <c r="A30" s="31">
        <f>IF(Table6[[#This Row],[instruction]]&lt;&gt;"",MAX($A$6:A29)+1," ")</f>
        <v>25</v>
      </c>
      <c r="B30" s="32" t="s">
        <v>485</v>
      </c>
      <c r="C30" t="s">
        <v>73</v>
      </c>
      <c r="D30" s="31" t="s">
        <v>50</v>
      </c>
      <c r="E30" s="31" t="s">
        <v>8</v>
      </c>
      <c r="F30" s="31" t="s">
        <v>4</v>
      </c>
      <c r="G30" s="31" t="s">
        <v>457</v>
      </c>
      <c r="H30" s="31" t="s">
        <v>8</v>
      </c>
      <c r="I30" s="31" t="s">
        <v>76</v>
      </c>
      <c r="J30" s="31" t="s">
        <v>506</v>
      </c>
      <c r="K30" s="2" t="str">
        <f t="shared" si="0"/>
        <v>alu</v>
      </c>
      <c r="L30" cm="1">
        <f t="array" ref="L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0" t="str">
        <f>IF(OR(ISNUMBER(SEARCH("imad", Table6[[#This Row],[instruction]])), ISNUMBER(SEARCH("ffma", Table6[[#This Row],[instruction]])), ISNUMBER(SEARCH("fmul", Table6[[#This Row],[instruction]]))), "fma", "")</f>
        <v/>
      </c>
      <c r="P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" t="str">
        <f>IF(OR(ISNUMBER(SEARCH("s2r", Table6[[#This Row],[instruction]])),ISNUMBER(SEARCH("s2ur", Table6[[#This Row],[instruction]]))), "special", "")</f>
        <v/>
      </c>
      <c r="S30" t="str">
        <f>IF(OR(ISNUMBER(SEARCH("stg", Table6[[#This Row],[instruction]])),ISNUMBER(SEARCH("ldg", Table6[[#This Row],[instruction]]))), "global", "")</f>
        <v/>
      </c>
      <c r="T30" t="str">
        <f>IF(OR(ISNUMBER(SEARCH("sts", Table6[[#This Row],[instruction]])),ISNUMBER(SEARCH("lds", Table6[[#This Row],[instruction]]))), "shared", "")</f>
        <v/>
      </c>
      <c r="U30" t="str">
        <f>IF(OR(ISNUMBER(SEARCH("LDC", Table6[[#This Row],[instruction]]))), "ind. const", "")</f>
        <v/>
      </c>
      <c r="V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Row],[s5]]))),U30=""), "cmb. const", "")</f>
        <v/>
      </c>
      <c r="Y30">
        <f>IF(Table6[[#This Row],[pipeline]]="fma",Table6[[#This Row],[delay]],0)</f>
        <v>0</v>
      </c>
      <c r="Z30">
        <f>IF(AND(Table6[[#This Row],[pipeline]]="fma",W30="new"),290,0)</f>
        <v>0</v>
      </c>
      <c r="AK30" s="34"/>
    </row>
    <row r="31" spans="1:37" ht="17" x14ac:dyDescent="0.2">
      <c r="A31" s="31">
        <f>IF(Table6[[#This Row],[instruction]]&lt;&gt;"",MAX($A$6:A30)+1," ")</f>
        <v>26</v>
      </c>
      <c r="B31" s="32" t="s">
        <v>485</v>
      </c>
      <c r="C31" t="s">
        <v>47</v>
      </c>
      <c r="D31" s="31" t="s">
        <v>7</v>
      </c>
      <c r="E31" s="31" t="s">
        <v>7</v>
      </c>
      <c r="F31" s="31" t="s">
        <v>79</v>
      </c>
      <c r="G31" s="31" t="s">
        <v>502</v>
      </c>
      <c r="K31" s="2" t="str">
        <f t="shared" si="0"/>
        <v>alu</v>
      </c>
      <c r="L31" cm="1">
        <f t="array" ref="L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" t="str">
        <f>IF(OR(ISNUMBER(SEARCH("imad", Table6[[#This Row],[instruction]])), ISNUMBER(SEARCH("ffma", Table6[[#This Row],[instruction]])), ISNUMBER(SEARCH("fmul", Table6[[#This Row],[instruction]]))), "fma", "")</f>
        <v/>
      </c>
      <c r="P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" t="str">
        <f>IF(OR(ISNUMBER(SEARCH("s2r", Table6[[#This Row],[instruction]])),ISNUMBER(SEARCH("s2ur", Table6[[#This Row],[instruction]]))), "special", "")</f>
        <v/>
      </c>
      <c r="S31" t="str">
        <f>IF(OR(ISNUMBER(SEARCH("stg", Table6[[#This Row],[instruction]])),ISNUMBER(SEARCH("ldg", Table6[[#This Row],[instruction]]))), "global", "")</f>
        <v/>
      </c>
      <c r="T31" t="str">
        <f>IF(OR(ISNUMBER(SEARCH("sts", Table6[[#This Row],[instruction]])),ISNUMBER(SEARCH("lds", Table6[[#This Row],[instruction]]))), "shared", "")</f>
        <v/>
      </c>
      <c r="U31" t="str">
        <f>IF(OR(ISNUMBER(SEARCH("LDC", Table6[[#This Row],[instruction]]))), "ind. const", "")</f>
        <v/>
      </c>
      <c r="V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Row],[s5]]))),U31=""), "cmb. const", "")</f>
        <v/>
      </c>
      <c r="Y31">
        <f>IF(Table6[[#This Row],[pipeline]]="fma",Table6[[#This Row],[delay]],0)</f>
        <v>0</v>
      </c>
      <c r="Z31">
        <f>IF(AND(Table6[[#This Row],[pipeline]]="fma",W31="new"),290,0)</f>
        <v>0</v>
      </c>
      <c r="AK31" s="34"/>
    </row>
    <row r="32" spans="1:37" ht="17" x14ac:dyDescent="0.2">
      <c r="A32" s="31">
        <f>IF(Table6[[#This Row],[instruction]]&lt;&gt;"",MAX($A$6:A31)+1," ")</f>
        <v>27</v>
      </c>
      <c r="B32" s="32" t="s">
        <v>485</v>
      </c>
      <c r="C32" t="s">
        <v>515</v>
      </c>
      <c r="D32" s="31" t="s">
        <v>23</v>
      </c>
      <c r="E32" s="31" t="s">
        <v>8</v>
      </c>
      <c r="F32" s="31" t="s">
        <v>8</v>
      </c>
      <c r="G32" s="31" t="s">
        <v>516</v>
      </c>
      <c r="K32" s="2" t="str">
        <f t="shared" si="0"/>
        <v>fma</v>
      </c>
      <c r="L32" cm="1">
        <f t="array" ref="L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2" t="str">
        <f>IF(OR(ISNUMBER(SEARCH("imad", Table6[[#This Row],[instruction]])), ISNUMBER(SEARCH("ffma", Table6[[#This Row],[instruction]])), ISNUMBER(SEARCH("fmul", Table6[[#This Row],[instruction]]))), "fma", "")</f>
        <v>fma</v>
      </c>
      <c r="P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" t="str">
        <f>IF(OR(ISNUMBER(SEARCH("s2r", Table6[[#This Row],[instruction]])),ISNUMBER(SEARCH("s2ur", Table6[[#This Row],[instruction]]))), "special", "")</f>
        <v/>
      </c>
      <c r="S32" t="str">
        <f>IF(OR(ISNUMBER(SEARCH("stg", Table6[[#This Row],[instruction]])),ISNUMBER(SEARCH("ldg", Table6[[#This Row],[instruction]]))), "global", "")</f>
        <v/>
      </c>
      <c r="T32" t="str">
        <f>IF(OR(ISNUMBER(SEARCH("sts", Table6[[#This Row],[instruction]])),ISNUMBER(SEARCH("lds", Table6[[#This Row],[instruction]]))), "shared", "")</f>
        <v/>
      </c>
      <c r="U32" t="str">
        <f>IF(OR(ISNUMBER(SEARCH("LDC", Table6[[#This Row],[instruction]]))), "ind. const", "")</f>
        <v/>
      </c>
      <c r="V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Row],[s5]]))),U32=""), "cmb. const", "")</f>
        <v/>
      </c>
      <c r="Y32">
        <f>IF(Table6[[#This Row],[pipeline]]="fma",Table6[[#This Row],[delay]],0)</f>
        <v>4</v>
      </c>
      <c r="Z32">
        <f>IF(AND(Table6[[#This Row],[pipeline]]="fma",W32="new"),290,0)</f>
        <v>0</v>
      </c>
      <c r="AK32" s="34"/>
    </row>
    <row r="33" spans="1:37" ht="17" x14ac:dyDescent="0.2">
      <c r="A33" s="31">
        <f>IF(Table6[[#This Row],[instruction]]&lt;&gt;"",MAX($A$6:A32)+1," ")</f>
        <v>28</v>
      </c>
      <c r="B33" s="32" t="s">
        <v>485</v>
      </c>
      <c r="C33" t="s">
        <v>49</v>
      </c>
      <c r="D33" s="31" t="s">
        <v>517</v>
      </c>
      <c r="E33" s="31" t="s">
        <v>51</v>
      </c>
      <c r="F33" s="31" t="s">
        <v>17</v>
      </c>
      <c r="G33" s="31" t="s">
        <v>432</v>
      </c>
      <c r="H33" s="31" t="s">
        <v>494</v>
      </c>
      <c r="K33" s="2" t="str">
        <f t="shared" si="0"/>
        <v>alu</v>
      </c>
      <c r="L33" cm="1">
        <f t="array" ref="L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" t="str">
        <f>IF(OR(ISNUMBER(SEARCH("imad", Table6[[#This Row],[instruction]])), ISNUMBER(SEARCH("ffma", Table6[[#This Row],[instruction]])), ISNUMBER(SEARCH("fmul", Table6[[#This Row],[instruction]]))), "fma", "")</f>
        <v/>
      </c>
      <c r="P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" t="str">
        <f>IF(OR(ISNUMBER(SEARCH("s2r", Table6[[#This Row],[instruction]])),ISNUMBER(SEARCH("s2ur", Table6[[#This Row],[instruction]]))), "special", "")</f>
        <v/>
      </c>
      <c r="S33" t="str">
        <f>IF(OR(ISNUMBER(SEARCH("stg", Table6[[#This Row],[instruction]])),ISNUMBER(SEARCH("ldg", Table6[[#This Row],[instruction]]))), "global", "")</f>
        <v/>
      </c>
      <c r="T33" t="str">
        <f>IF(OR(ISNUMBER(SEARCH("sts", Table6[[#This Row],[instruction]])),ISNUMBER(SEARCH("lds", Table6[[#This Row],[instruction]]))), "shared", "")</f>
        <v/>
      </c>
      <c r="U33" t="str">
        <f>IF(OR(ISNUMBER(SEARCH("LDC", Table6[[#This Row],[instruction]]))), "ind. const", "")</f>
        <v/>
      </c>
      <c r="V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Row],[s5]]))),U33=""), "cmb. const", "")</f>
        <v>cmb. const</v>
      </c>
      <c r="W33" s="2" t="s">
        <v>481</v>
      </c>
      <c r="Y33">
        <f>IF(Table6[[#This Row],[pipeline]]="fma",Table6[[#This Row],[delay]],0)</f>
        <v>0</v>
      </c>
      <c r="Z33">
        <f>IF(AND(Table6[[#This Row],[pipeline]]="fma",W33="new"),290,0)</f>
        <v>0</v>
      </c>
      <c r="AK33" s="34"/>
    </row>
    <row r="34" spans="1:37" ht="17" x14ac:dyDescent="0.2">
      <c r="A34" s="31">
        <f>IF(Table6[[#This Row],[instruction]]&lt;&gt;"",MAX($A$6:A33)+1," ")</f>
        <v>29</v>
      </c>
      <c r="B34" s="32" t="s">
        <v>485</v>
      </c>
      <c r="C34" t="s">
        <v>26</v>
      </c>
      <c r="D34" s="31" t="s">
        <v>436</v>
      </c>
      <c r="E34" s="31" t="s">
        <v>7</v>
      </c>
      <c r="F34" s="31" t="s">
        <v>75</v>
      </c>
      <c r="G34" s="31" t="s">
        <v>502</v>
      </c>
      <c r="K34" s="2" t="str">
        <f t="shared" si="0"/>
        <v>alu</v>
      </c>
      <c r="L34" cm="1">
        <f t="array" ref="L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4" t="str">
        <f>IF(OR(ISNUMBER(SEARCH("imad", Table6[[#This Row],[instruction]])), ISNUMBER(SEARCH("ffma", Table6[[#This Row],[instruction]])), ISNUMBER(SEARCH("fmul", Table6[[#This Row],[instruction]]))), "fma", "")</f>
        <v/>
      </c>
      <c r="P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" t="str">
        <f>IF(OR(ISNUMBER(SEARCH("s2r", Table6[[#This Row],[instruction]])),ISNUMBER(SEARCH("s2ur", Table6[[#This Row],[instruction]]))), "special", "")</f>
        <v/>
      </c>
      <c r="S34" t="str">
        <f>IF(OR(ISNUMBER(SEARCH("stg", Table6[[#This Row],[instruction]])),ISNUMBER(SEARCH("ldg", Table6[[#This Row],[instruction]]))), "global", "")</f>
        <v/>
      </c>
      <c r="T34" t="str">
        <f>IF(OR(ISNUMBER(SEARCH("sts", Table6[[#This Row],[instruction]])),ISNUMBER(SEARCH("lds", Table6[[#This Row],[instruction]]))), "shared", "")</f>
        <v/>
      </c>
      <c r="U34" t="str">
        <f>IF(OR(ISNUMBER(SEARCH("LDC", Table6[[#This Row],[instruction]]))), "ind. const", "")</f>
        <v/>
      </c>
      <c r="V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Row],[s5]]))),U34=""), "cmb. const", "")</f>
        <v/>
      </c>
      <c r="Y34">
        <f>IF(Table6[[#This Row],[pipeline]]="fma",Table6[[#This Row],[delay]],0)</f>
        <v>0</v>
      </c>
      <c r="Z34">
        <f>IF(AND(Table6[[#This Row],[pipeline]]="fma",W34="new"),290,0)</f>
        <v>0</v>
      </c>
      <c r="AK34" s="34"/>
    </row>
    <row r="35" spans="1:37" ht="17" x14ac:dyDescent="0.2">
      <c r="A35" s="31">
        <f>IF(Table6[[#This Row],[instruction]]&lt;&gt;"",MAX($A$6:A34)+1," ")</f>
        <v>30</v>
      </c>
      <c r="B35" s="32" t="s">
        <v>485</v>
      </c>
      <c r="C35" t="s">
        <v>14</v>
      </c>
      <c r="D35" s="31" t="s">
        <v>61</v>
      </c>
      <c r="E35" s="31" t="s">
        <v>23</v>
      </c>
      <c r="F35" s="31" t="s">
        <v>518</v>
      </c>
      <c r="G35" s="31" t="s">
        <v>508</v>
      </c>
      <c r="K35" s="2" t="str">
        <f t="shared" si="0"/>
        <v>fma</v>
      </c>
      <c r="L35" cm="1">
        <f t="array" ref="L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" t="str">
        <f>IF(OR(ISNUMBER(SEARCH("imad", Table6[[#This Row],[instruction]])), ISNUMBER(SEARCH("ffma", Table6[[#This Row],[instruction]])), ISNUMBER(SEARCH("fmul", Table6[[#This Row],[instruction]]))), "fma", "")</f>
        <v>fma</v>
      </c>
      <c r="P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" t="str">
        <f>IF(OR(ISNUMBER(SEARCH("s2r", Table6[[#This Row],[instruction]])),ISNUMBER(SEARCH("s2ur", Table6[[#This Row],[instruction]]))), "special", "")</f>
        <v/>
      </c>
      <c r="S35" t="str">
        <f>IF(OR(ISNUMBER(SEARCH("stg", Table6[[#This Row],[instruction]])),ISNUMBER(SEARCH("ldg", Table6[[#This Row],[instruction]]))), "global", "")</f>
        <v/>
      </c>
      <c r="T35" t="str">
        <f>IF(OR(ISNUMBER(SEARCH("sts", Table6[[#This Row],[instruction]])),ISNUMBER(SEARCH("lds", Table6[[#This Row],[instruction]]))), "shared", "")</f>
        <v/>
      </c>
      <c r="U35" t="str">
        <f>IF(OR(ISNUMBER(SEARCH("LDC", Table6[[#This Row],[instruction]]))), "ind. const", "")</f>
        <v/>
      </c>
      <c r="V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Row],[s5]]))),U35=""), "cmb. const", "")</f>
        <v>cmb. const</v>
      </c>
      <c r="W35" s="2" t="s">
        <v>481</v>
      </c>
      <c r="Y35">
        <f>IF(Table6[[#This Row],[pipeline]]="fma",Table6[[#This Row],[delay]],0)</f>
        <v>4</v>
      </c>
      <c r="Z35">
        <f>IF(AND(Table6[[#This Row],[pipeline]]="fma",W35="new"),290,0)</f>
        <v>0</v>
      </c>
      <c r="AK35" s="34"/>
    </row>
    <row r="36" spans="1:37" ht="17" x14ac:dyDescent="0.2">
      <c r="A36" s="31">
        <f>IF(Table6[[#This Row],[instruction]]&lt;&gt;"",MAX($A$6:A35)+1," ")</f>
        <v>31</v>
      </c>
      <c r="B36" s="32" t="s">
        <v>485</v>
      </c>
      <c r="C36" t="s">
        <v>26</v>
      </c>
      <c r="D36" s="31" t="s">
        <v>447</v>
      </c>
      <c r="E36" s="31" t="s">
        <v>7</v>
      </c>
      <c r="F36" s="31" t="s">
        <v>79</v>
      </c>
      <c r="G36" s="31" t="s">
        <v>502</v>
      </c>
      <c r="K36" s="2" t="str">
        <f t="shared" si="0"/>
        <v>alu</v>
      </c>
      <c r="L36" cm="1">
        <f t="array" ref="L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6" t="str">
        <f>IF(OR(ISNUMBER(SEARCH("imad", Table6[[#This Row],[instruction]])), ISNUMBER(SEARCH("ffma", Table6[[#This Row],[instruction]])), ISNUMBER(SEARCH("fmul", Table6[[#This Row],[instruction]]))), "fma", "")</f>
        <v/>
      </c>
      <c r="P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" t="str">
        <f>IF(OR(ISNUMBER(SEARCH("s2r", Table6[[#This Row],[instruction]])),ISNUMBER(SEARCH("s2ur", Table6[[#This Row],[instruction]]))), "special", "")</f>
        <v/>
      </c>
      <c r="S36" t="str">
        <f>IF(OR(ISNUMBER(SEARCH("stg", Table6[[#This Row],[instruction]])),ISNUMBER(SEARCH("ldg", Table6[[#This Row],[instruction]]))), "global", "")</f>
        <v/>
      </c>
      <c r="T36" t="str">
        <f>IF(OR(ISNUMBER(SEARCH("sts", Table6[[#This Row],[instruction]])),ISNUMBER(SEARCH("lds", Table6[[#This Row],[instruction]]))), "shared", "")</f>
        <v/>
      </c>
      <c r="U36" t="str">
        <f>IF(OR(ISNUMBER(SEARCH("LDC", Table6[[#This Row],[instruction]]))), "ind. const", "")</f>
        <v/>
      </c>
      <c r="V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Row],[s5]]))),U36=""), "cmb. const", "")</f>
        <v/>
      </c>
      <c r="Y36">
        <f>IF(Table6[[#This Row],[pipeline]]="fma",Table6[[#This Row],[delay]],0)</f>
        <v>0</v>
      </c>
      <c r="Z36">
        <f>IF(AND(Table6[[#This Row],[pipeline]]="fma",W36="new"),290,0)</f>
        <v>0</v>
      </c>
      <c r="AK36" s="34"/>
    </row>
    <row r="37" spans="1:37" ht="17" x14ac:dyDescent="0.2">
      <c r="A37" s="31">
        <f>IF(Table6[[#This Row],[instruction]]&lt;&gt;"",MAX($A$6:A36)+1," ")</f>
        <v>32</v>
      </c>
      <c r="B37" s="32" t="s">
        <v>485</v>
      </c>
      <c r="C37" t="s">
        <v>26</v>
      </c>
      <c r="D37" s="31" t="s">
        <v>82</v>
      </c>
      <c r="E37" s="31" t="s">
        <v>7</v>
      </c>
      <c r="F37" s="31" t="s">
        <v>459</v>
      </c>
      <c r="G37" s="31" t="s">
        <v>502</v>
      </c>
      <c r="K37" s="2" t="str">
        <f t="shared" si="0"/>
        <v>alu</v>
      </c>
      <c r="L37" cm="1">
        <f t="array" ref="L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7" t="str">
        <f>IF(OR(ISNUMBER(SEARCH("imad", Table6[[#This Row],[instruction]])), ISNUMBER(SEARCH("ffma", Table6[[#This Row],[instruction]])), ISNUMBER(SEARCH("fmul", Table6[[#This Row],[instruction]]))), "fma", "")</f>
        <v/>
      </c>
      <c r="P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" t="str">
        <f>IF(OR(ISNUMBER(SEARCH("s2r", Table6[[#This Row],[instruction]])),ISNUMBER(SEARCH("s2ur", Table6[[#This Row],[instruction]]))), "special", "")</f>
        <v/>
      </c>
      <c r="S37" t="str">
        <f>IF(OR(ISNUMBER(SEARCH("stg", Table6[[#This Row],[instruction]])),ISNUMBER(SEARCH("ldg", Table6[[#This Row],[instruction]]))), "global", "")</f>
        <v/>
      </c>
      <c r="T37" t="str">
        <f>IF(OR(ISNUMBER(SEARCH("sts", Table6[[#This Row],[instruction]])),ISNUMBER(SEARCH("lds", Table6[[#This Row],[instruction]]))), "shared", "")</f>
        <v/>
      </c>
      <c r="U37" t="str">
        <f>IF(OR(ISNUMBER(SEARCH("LDC", Table6[[#This Row],[instruction]]))), "ind. const", "")</f>
        <v/>
      </c>
      <c r="V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Row],[s5]]))),U37=""), "cmb. const", "")</f>
        <v/>
      </c>
      <c r="Y37">
        <f>IF(Table6[[#This Row],[pipeline]]="fma",Table6[[#This Row],[delay]],0)</f>
        <v>0</v>
      </c>
      <c r="Z37">
        <f>IF(AND(Table6[[#This Row],[pipeline]]="fma",W37="new"),290,0)</f>
        <v>0</v>
      </c>
      <c r="AK37" s="34"/>
    </row>
    <row r="38" spans="1:37" ht="17" x14ac:dyDescent="0.2">
      <c r="A38" s="31">
        <f>IF(Table6[[#This Row],[instruction]]&lt;&gt;"",MAX($A$6:A37)+1," ")</f>
        <v>33</v>
      </c>
      <c r="B38" s="32" t="s">
        <v>85</v>
      </c>
      <c r="C38" t="s">
        <v>509</v>
      </c>
      <c r="D38" s="31" t="s">
        <v>23</v>
      </c>
      <c r="E38" s="31" t="s">
        <v>61</v>
      </c>
      <c r="F38" s="31" t="s">
        <v>519</v>
      </c>
      <c r="G38" s="31" t="s">
        <v>502</v>
      </c>
      <c r="K38" s="2" t="str">
        <f t="shared" si="0"/>
        <v>fma</v>
      </c>
      <c r="L38" cm="1">
        <f t="array" ref="L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" t="str">
        <f>IF(OR(ISNUMBER(SEARCH("imad", Table6[[#This Row],[instruction]])), ISNUMBER(SEARCH("ffma", Table6[[#This Row],[instruction]])), ISNUMBER(SEARCH("fmul", Table6[[#This Row],[instruction]]))), "fma", "")</f>
        <v>fma</v>
      </c>
      <c r="P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" t="str">
        <f>IF(OR(ISNUMBER(SEARCH("s2r", Table6[[#This Row],[instruction]])),ISNUMBER(SEARCH("s2ur", Table6[[#This Row],[instruction]]))), "special", "")</f>
        <v/>
      </c>
      <c r="S38" t="str">
        <f>IF(OR(ISNUMBER(SEARCH("stg", Table6[[#This Row],[instruction]])),ISNUMBER(SEARCH("ldg", Table6[[#This Row],[instruction]]))), "global", "")</f>
        <v/>
      </c>
      <c r="T38" t="str">
        <f>IF(OR(ISNUMBER(SEARCH("sts", Table6[[#This Row],[instruction]])),ISNUMBER(SEARCH("lds", Table6[[#This Row],[instruction]]))), "shared", "")</f>
        <v/>
      </c>
      <c r="U38" t="str">
        <f>IF(OR(ISNUMBER(SEARCH("LDC", Table6[[#This Row],[instruction]]))), "ind. const", "")</f>
        <v/>
      </c>
      <c r="V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Row],[s5]]))),U38=""), "cmb. const", "")</f>
        <v>cmb. const</v>
      </c>
      <c r="W38" s="2" t="s">
        <v>482</v>
      </c>
      <c r="Y38">
        <f>IF(Table6[[#This Row],[pipeline]]="fma",Table6[[#This Row],[delay]],0)</f>
        <v>4</v>
      </c>
      <c r="Z38">
        <f>IF(AND(Table6[[#This Row],[pipeline]]="fma",W38="new"),290,0)</f>
        <v>290</v>
      </c>
      <c r="AK38" s="34"/>
    </row>
    <row r="39" spans="1:37" ht="17" x14ac:dyDescent="0.2">
      <c r="A39" s="31">
        <f>IF(Table6[[#This Row],[instruction]]&lt;&gt;"",MAX($A$6:A38)+1," ")</f>
        <v>34</v>
      </c>
      <c r="B39" s="32" t="s">
        <v>485</v>
      </c>
      <c r="C39" t="s">
        <v>0</v>
      </c>
      <c r="D39" s="31" t="s">
        <v>19</v>
      </c>
      <c r="E39" s="31" t="s">
        <v>520</v>
      </c>
      <c r="K39" s="2" t="s">
        <v>95</v>
      </c>
      <c r="L39" cm="1">
        <f t="array" ref="L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9" t="str">
        <f>IF(OR(ISNUMBER(SEARCH("imad", Table6[[#This Row],[instruction]])), ISNUMBER(SEARCH("ffma", Table6[[#This Row],[instruction]])), ISNUMBER(SEARCH("fmul", Table6[[#This Row],[instruction]]))), "fma", "")</f>
        <v/>
      </c>
      <c r="P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" t="str">
        <f>IF(OR(ISNUMBER(SEARCH("s2r", Table6[[#This Row],[instruction]])),ISNUMBER(SEARCH("s2ur", Table6[[#This Row],[instruction]]))), "special", "")</f>
        <v/>
      </c>
      <c r="S39" t="str">
        <f>IF(OR(ISNUMBER(SEARCH("stg", Table6[[#This Row],[instruction]])),ISNUMBER(SEARCH("ldg", Table6[[#This Row],[instruction]]))), "global", "")</f>
        <v/>
      </c>
      <c r="T39" t="str">
        <f>IF(OR(ISNUMBER(SEARCH("sts", Table6[[#This Row],[instruction]])),ISNUMBER(SEARCH("lds", Table6[[#This Row],[instruction]]))), "shared", "")</f>
        <v/>
      </c>
      <c r="U39" t="str">
        <f>IF(OR(ISNUMBER(SEARCH("LDC", Table6[[#This Row],[instruction]]))), "ind. const", "")</f>
        <v/>
      </c>
      <c r="V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Row],[s5]]))),U39=""), "cmb. const", "")</f>
        <v/>
      </c>
      <c r="Y39">
        <f>IF(Table6[[#This Row],[pipeline]]="fma",Table6[[#This Row],[delay]],0)</f>
        <v>0</v>
      </c>
      <c r="Z39">
        <f>IF(AND(Table6[[#This Row],[pipeline]]="fma",W39="new"),290,0)</f>
        <v>0</v>
      </c>
      <c r="AK39" s="34"/>
    </row>
    <row r="40" spans="1:37" ht="17" x14ac:dyDescent="0.2">
      <c r="A40" s="31">
        <f>IF(Table6[[#This Row],[instruction]]&lt;&gt;"",MAX($A$6:A39)+1," ")</f>
        <v>35</v>
      </c>
      <c r="B40" s="32" t="s">
        <v>85</v>
      </c>
      <c r="C40" t="s">
        <v>90</v>
      </c>
      <c r="D40" s="31" t="s">
        <v>19</v>
      </c>
      <c r="E40" s="31" t="s">
        <v>8</v>
      </c>
      <c r="F40" s="31" t="s">
        <v>521</v>
      </c>
      <c r="G40" s="31" t="s">
        <v>514</v>
      </c>
      <c r="K40" s="2" t="str">
        <f t="shared" si="0"/>
        <v>alu</v>
      </c>
      <c r="L40" cm="1">
        <f t="array" ref="L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" t="str">
        <f>IF(OR(ISNUMBER(SEARCH("imad", Table6[[#This Row],[instruction]])), ISNUMBER(SEARCH("ffma", Table6[[#This Row],[instruction]])), ISNUMBER(SEARCH("fmul", Table6[[#This Row],[instruction]]))), "fma", "")</f>
        <v/>
      </c>
      <c r="P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" t="str">
        <f>IF(OR(ISNUMBER(SEARCH("s2r", Table6[[#This Row],[instruction]])),ISNUMBER(SEARCH("s2ur", Table6[[#This Row],[instruction]]))), "special", "")</f>
        <v/>
      </c>
      <c r="S40" t="str">
        <f>IF(OR(ISNUMBER(SEARCH("stg", Table6[[#This Row],[instruction]])),ISNUMBER(SEARCH("ldg", Table6[[#This Row],[instruction]]))), "global", "")</f>
        <v/>
      </c>
      <c r="T40" t="str">
        <f>IF(OR(ISNUMBER(SEARCH("sts", Table6[[#This Row],[instruction]])),ISNUMBER(SEARCH("lds", Table6[[#This Row],[instruction]]))), "shared", "")</f>
        <v/>
      </c>
      <c r="U40" t="str">
        <f>IF(OR(ISNUMBER(SEARCH("LDC", Table6[[#This Row],[instruction]]))), "ind. const", "")</f>
        <v/>
      </c>
      <c r="V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Row],[s5]]))),U40=""), "cmb. const", "")</f>
        <v>cmb. const</v>
      </c>
      <c r="W40" s="2" t="s">
        <v>482</v>
      </c>
      <c r="Y40">
        <f>IF(Table6[[#This Row],[pipeline]]="fma",Table6[[#This Row],[delay]],0)</f>
        <v>0</v>
      </c>
      <c r="Z40">
        <f>IF(AND(Table6[[#This Row],[pipeline]]="fma",W40="new"),290,0)</f>
        <v>0</v>
      </c>
      <c r="AK40" s="34"/>
    </row>
    <row r="41" spans="1:37" ht="17" x14ac:dyDescent="0.2">
      <c r="A41" s="31">
        <f>IF(Table6[[#This Row],[instruction]]&lt;&gt;"",MAX($A$6:A40)+1," ")</f>
        <v>36</v>
      </c>
      <c r="B41" s="32" t="s">
        <v>485</v>
      </c>
      <c r="C41" t="s">
        <v>49</v>
      </c>
      <c r="D41" s="31" t="s">
        <v>78</v>
      </c>
      <c r="E41" s="31" t="s">
        <v>51</v>
      </c>
      <c r="F41" s="31" t="s">
        <v>4</v>
      </c>
      <c r="G41" s="31" t="s">
        <v>48</v>
      </c>
      <c r="H41" s="31" t="s">
        <v>494</v>
      </c>
      <c r="K41" s="2" t="str">
        <f t="shared" si="0"/>
        <v>alu</v>
      </c>
      <c r="L41" cm="1">
        <f t="array" ref="L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" t="str">
        <f>IF(OR(ISNUMBER(SEARCH("imad", Table6[[#This Row],[instruction]])), ISNUMBER(SEARCH("ffma", Table6[[#This Row],[instruction]])), ISNUMBER(SEARCH("fmul", Table6[[#This Row],[instruction]]))), "fma", "")</f>
        <v/>
      </c>
      <c r="P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" t="str">
        <f>IF(OR(ISNUMBER(SEARCH("s2r", Table6[[#This Row],[instruction]])),ISNUMBER(SEARCH("s2ur", Table6[[#This Row],[instruction]]))), "special", "")</f>
        <v/>
      </c>
      <c r="S41" t="str">
        <f>IF(OR(ISNUMBER(SEARCH("stg", Table6[[#This Row],[instruction]])),ISNUMBER(SEARCH("ldg", Table6[[#This Row],[instruction]]))), "global", "")</f>
        <v/>
      </c>
      <c r="T41" t="str">
        <f>IF(OR(ISNUMBER(SEARCH("sts", Table6[[#This Row],[instruction]])),ISNUMBER(SEARCH("lds", Table6[[#This Row],[instruction]]))), "shared", "")</f>
        <v/>
      </c>
      <c r="U41" t="str">
        <f>IF(OR(ISNUMBER(SEARCH("LDC", Table6[[#This Row],[instruction]]))), "ind. const", "")</f>
        <v/>
      </c>
      <c r="V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Row],[s5]]))),U41=""), "cmb. const", "")</f>
        <v/>
      </c>
      <c r="Y41">
        <f>IF(Table6[[#This Row],[pipeline]]="fma",Table6[[#This Row],[delay]],0)</f>
        <v>0</v>
      </c>
      <c r="Z41">
        <f>IF(AND(Table6[[#This Row],[pipeline]]="fma",W41="new"),290,0)</f>
        <v>0</v>
      </c>
      <c r="AK41" s="34"/>
    </row>
    <row r="42" spans="1:37" ht="17" x14ac:dyDescent="0.2">
      <c r="A42" s="31">
        <f>IF(Table6[[#This Row],[instruction]]&lt;&gt;"",MAX($A$6:A41)+1," ")</f>
        <v>37</v>
      </c>
      <c r="B42" s="32" t="s">
        <v>485</v>
      </c>
      <c r="C42" t="s">
        <v>73</v>
      </c>
      <c r="D42" s="31" t="s">
        <v>4</v>
      </c>
      <c r="E42" s="31" t="s">
        <v>4</v>
      </c>
      <c r="F42" s="31" t="s">
        <v>457</v>
      </c>
      <c r="G42" s="31" t="s">
        <v>8</v>
      </c>
      <c r="H42" s="31" t="s">
        <v>76</v>
      </c>
      <c r="I42" s="31" t="s">
        <v>506</v>
      </c>
      <c r="K42" s="2" t="str">
        <f t="shared" si="0"/>
        <v>alu</v>
      </c>
      <c r="L42" cm="1">
        <f t="array" ref="L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42" t="str">
        <f>IF(OR(ISNUMBER(SEARCH("imad", Table6[[#This Row],[instruction]])), ISNUMBER(SEARCH("ffma", Table6[[#This Row],[instruction]])), ISNUMBER(SEARCH("fmul", Table6[[#This Row],[instruction]]))), "fma", "")</f>
        <v/>
      </c>
      <c r="P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" t="str">
        <f>IF(OR(ISNUMBER(SEARCH("s2r", Table6[[#This Row],[instruction]])),ISNUMBER(SEARCH("s2ur", Table6[[#This Row],[instruction]]))), "special", "")</f>
        <v/>
      </c>
      <c r="S42" t="str">
        <f>IF(OR(ISNUMBER(SEARCH("stg", Table6[[#This Row],[instruction]])),ISNUMBER(SEARCH("ldg", Table6[[#This Row],[instruction]]))), "global", "")</f>
        <v/>
      </c>
      <c r="T42" t="str">
        <f>IF(OR(ISNUMBER(SEARCH("sts", Table6[[#This Row],[instruction]])),ISNUMBER(SEARCH("lds", Table6[[#This Row],[instruction]]))), "shared", "")</f>
        <v/>
      </c>
      <c r="U42" t="str">
        <f>IF(OR(ISNUMBER(SEARCH("LDC", Table6[[#This Row],[instruction]]))), "ind. const", "")</f>
        <v/>
      </c>
      <c r="V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Row],[s5]]))),U42=""), "cmb. const", "")</f>
        <v/>
      </c>
      <c r="Y42">
        <f>IF(Table6[[#This Row],[pipeline]]="fma",Table6[[#This Row],[delay]],0)</f>
        <v>0</v>
      </c>
      <c r="Z42">
        <f>IF(AND(Table6[[#This Row],[pipeline]]="fma",W42="new"),290,0)</f>
        <v>0</v>
      </c>
      <c r="AK42" s="34"/>
    </row>
    <row r="43" spans="1:37" ht="17" x14ac:dyDescent="0.2">
      <c r="A43" s="31">
        <f>IF(Table6[[#This Row],[instruction]]&lt;&gt;"",MAX($A$6:A42)+1," ")</f>
        <v>38</v>
      </c>
      <c r="B43" s="32" t="s">
        <v>485</v>
      </c>
      <c r="C43" t="s">
        <v>515</v>
      </c>
      <c r="D43" s="31" t="s">
        <v>23</v>
      </c>
      <c r="E43" s="31" t="s">
        <v>8</v>
      </c>
      <c r="F43" s="31" t="s">
        <v>8</v>
      </c>
      <c r="G43" s="31" t="s">
        <v>522</v>
      </c>
      <c r="K43" s="2" t="str">
        <f t="shared" si="0"/>
        <v>fma</v>
      </c>
      <c r="L43" cm="1">
        <f t="array" ref="L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" t="str">
        <f>IF(OR(ISNUMBER(SEARCH("imad", Table6[[#This Row],[instruction]])), ISNUMBER(SEARCH("ffma", Table6[[#This Row],[instruction]])), ISNUMBER(SEARCH("fmul", Table6[[#This Row],[instruction]]))), "fma", "")</f>
        <v>fma</v>
      </c>
      <c r="P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" t="str">
        <f>IF(OR(ISNUMBER(SEARCH("s2r", Table6[[#This Row],[instruction]])),ISNUMBER(SEARCH("s2ur", Table6[[#This Row],[instruction]]))), "special", "")</f>
        <v/>
      </c>
      <c r="S43" t="str">
        <f>IF(OR(ISNUMBER(SEARCH("stg", Table6[[#This Row],[instruction]])),ISNUMBER(SEARCH("ldg", Table6[[#This Row],[instruction]]))), "global", "")</f>
        <v/>
      </c>
      <c r="T43" t="str">
        <f>IF(OR(ISNUMBER(SEARCH("sts", Table6[[#This Row],[instruction]])),ISNUMBER(SEARCH("lds", Table6[[#This Row],[instruction]]))), "shared", "")</f>
        <v/>
      </c>
      <c r="U43" t="str">
        <f>IF(OR(ISNUMBER(SEARCH("LDC", Table6[[#This Row],[instruction]]))), "ind. const", "")</f>
        <v/>
      </c>
      <c r="V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Row],[s5]]))),U43=""), "cmb. const", "")</f>
        <v/>
      </c>
      <c r="Y43">
        <f>IF(Table6[[#This Row],[pipeline]]="fma",Table6[[#This Row],[delay]],0)</f>
        <v>4</v>
      </c>
      <c r="Z43">
        <f>IF(AND(Table6[[#This Row],[pipeline]]="fma",W43="new"),290,0)</f>
        <v>0</v>
      </c>
      <c r="AK43" s="34"/>
    </row>
    <row r="44" spans="1:37" ht="17" x14ac:dyDescent="0.2">
      <c r="A44" s="31">
        <f>IF(Table6[[#This Row],[instruction]]&lt;&gt;"",MAX($A$6:A43)+1," ")</f>
        <v>39</v>
      </c>
      <c r="B44" s="32" t="s">
        <v>523</v>
      </c>
      <c r="C44" t="s">
        <v>26</v>
      </c>
      <c r="D44" s="31" t="s">
        <v>17</v>
      </c>
      <c r="E44" s="31" t="s">
        <v>60</v>
      </c>
      <c r="F44" s="31" t="s">
        <v>524</v>
      </c>
      <c r="G44" s="31" t="s">
        <v>502</v>
      </c>
      <c r="K44" s="2" t="str">
        <f t="shared" si="0"/>
        <v>alu</v>
      </c>
      <c r="L44" cm="1">
        <f t="array" ref="L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44" t="str">
        <f>IF(OR(ISNUMBER(SEARCH("imad", Table6[[#This Row],[instruction]])), ISNUMBER(SEARCH("ffma", Table6[[#This Row],[instruction]])), ISNUMBER(SEARCH("fmul", Table6[[#This Row],[instruction]]))), "fma", "")</f>
        <v/>
      </c>
      <c r="P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" t="str">
        <f>IF(OR(ISNUMBER(SEARCH("s2r", Table6[[#This Row],[instruction]])),ISNUMBER(SEARCH("s2ur", Table6[[#This Row],[instruction]]))), "special", "")</f>
        <v/>
      </c>
      <c r="S44" t="str">
        <f>IF(OR(ISNUMBER(SEARCH("stg", Table6[[#This Row],[instruction]])),ISNUMBER(SEARCH("ldg", Table6[[#This Row],[instruction]]))), "global", "")</f>
        <v/>
      </c>
      <c r="T44" t="str">
        <f>IF(OR(ISNUMBER(SEARCH("sts", Table6[[#This Row],[instruction]])),ISNUMBER(SEARCH("lds", Table6[[#This Row],[instruction]]))), "shared", "")</f>
        <v/>
      </c>
      <c r="U44" t="str">
        <f>IF(OR(ISNUMBER(SEARCH("LDC", Table6[[#This Row],[instruction]]))), "ind. const", "")</f>
        <v/>
      </c>
      <c r="V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Row],[s5]]))),U44=""), "cmb. const", "")</f>
        <v/>
      </c>
      <c r="Y44">
        <f>IF(Table6[[#This Row],[pipeline]]="fma",Table6[[#This Row],[delay]],0)</f>
        <v>0</v>
      </c>
      <c r="Z44">
        <f>IF(AND(Table6[[#This Row],[pipeline]]="fma",W44="new"),290,0)</f>
        <v>0</v>
      </c>
      <c r="AK44" s="34"/>
    </row>
    <row r="45" spans="1:37" ht="17" x14ac:dyDescent="0.2">
      <c r="A45" s="31">
        <f>IF(Table6[[#This Row],[instruction]]&lt;&gt;"",MAX($A$6:A44)+1," ")</f>
        <v>40</v>
      </c>
      <c r="B45" s="32" t="s">
        <v>485</v>
      </c>
      <c r="C45" t="s">
        <v>6</v>
      </c>
      <c r="D45" s="31" t="s">
        <v>60</v>
      </c>
      <c r="E45" s="31" t="s">
        <v>8</v>
      </c>
      <c r="F45" s="31" t="s">
        <v>8</v>
      </c>
      <c r="G45" s="31">
        <v>0</v>
      </c>
      <c r="H45" s="31" t="s">
        <v>525</v>
      </c>
      <c r="K45" s="2" t="s">
        <v>40</v>
      </c>
      <c r="L45" cm="1">
        <f t="array" ref="L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45" t="s">
        <v>807</v>
      </c>
      <c r="O45" t="str">
        <f>IF(OR(ISNUMBER(SEARCH("imad", Table6[[#This Row],[instruction]])), ISNUMBER(SEARCH("ffma", Table6[[#This Row],[instruction]])), ISNUMBER(SEARCH("fmul", Table6[[#This Row],[instruction]]))), "fma", "")</f>
        <v/>
      </c>
      <c r="P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" t="str">
        <f>IF(OR(ISNUMBER(SEARCH("s2r", Table6[[#This Row],[instruction]])),ISNUMBER(SEARCH("s2ur", Table6[[#This Row],[instruction]]))), "special", "")</f>
        <v/>
      </c>
      <c r="S45" t="str">
        <f>IF(OR(ISNUMBER(SEARCH("stg", Table6[[#This Row],[instruction]])),ISNUMBER(SEARCH("ldg", Table6[[#This Row],[instruction]]))), "global", "")</f>
        <v/>
      </c>
      <c r="T45" t="str">
        <f>IF(OR(ISNUMBER(SEARCH("sts", Table6[[#This Row],[instruction]])),ISNUMBER(SEARCH("lds", Table6[[#This Row],[instruction]]))), "shared", "")</f>
        <v/>
      </c>
      <c r="U45" t="str">
        <f>IF(OR(ISNUMBER(SEARCH("LDC", Table6[[#This Row],[instruction]]))), "ind. const", "")</f>
        <v/>
      </c>
      <c r="V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Row],[s5]]))),U45=""), "cmb. const", "")</f>
        <v/>
      </c>
      <c r="Y45">
        <f>IF(Table6[[#This Row],[pipeline]]="fma",Table6[[#This Row],[delay]],0)</f>
        <v>0</v>
      </c>
      <c r="Z45">
        <f>IF(AND(Table6[[#This Row],[pipeline]]="fma",W45="new"),290,0)</f>
        <v>0</v>
      </c>
      <c r="AK45" s="34"/>
    </row>
    <row r="46" spans="1:37" ht="17" x14ac:dyDescent="0.2">
      <c r="A46" s="31">
        <f>IF(Table6[[#This Row],[instruction]]&lt;&gt;"",MAX($A$6:A45)+1," ")</f>
        <v>41</v>
      </c>
      <c r="B46" s="32" t="s">
        <v>485</v>
      </c>
      <c r="C46" t="s">
        <v>240</v>
      </c>
      <c r="D46" s="31" t="s">
        <v>4</v>
      </c>
      <c r="E46" s="31" t="s">
        <v>4</v>
      </c>
      <c r="F46" s="31" t="s">
        <v>526</v>
      </c>
      <c r="G46" s="31" t="s">
        <v>527</v>
      </c>
      <c r="K46" s="2" t="s">
        <v>95</v>
      </c>
      <c r="L46" t="s">
        <v>812</v>
      </c>
      <c r="O46" t="str">
        <f>IF(OR(ISNUMBER(SEARCH("imad", Table6[[#This Row],[instruction]])), ISNUMBER(SEARCH("ffma", Table6[[#This Row],[instruction]])), ISNUMBER(SEARCH("fmul", Table6[[#This Row],[instruction]]))), "fma", "")</f>
        <v/>
      </c>
      <c r="P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" t="str">
        <f>IF(OR(ISNUMBER(SEARCH("s2r", Table6[[#This Row],[instruction]])),ISNUMBER(SEARCH("s2ur", Table6[[#This Row],[instruction]]))), "special", "")</f>
        <v/>
      </c>
      <c r="S46" t="str">
        <f>IF(OR(ISNUMBER(SEARCH("stg", Table6[[#This Row],[instruction]])),ISNUMBER(SEARCH("ldg", Table6[[#This Row],[instruction]]))), "global", "")</f>
        <v/>
      </c>
      <c r="T46" t="str">
        <f>IF(OR(ISNUMBER(SEARCH("sts", Table6[[#This Row],[instruction]])),ISNUMBER(SEARCH("lds", Table6[[#This Row],[instruction]]))), "shared", "")</f>
        <v/>
      </c>
      <c r="U46" t="str">
        <f>IF(OR(ISNUMBER(SEARCH("LDC", Table6[[#This Row],[instruction]]))), "ind. const", "")</f>
        <v/>
      </c>
      <c r="V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Row],[s5]]))),U46=""), "cmb. const", "")</f>
        <v/>
      </c>
      <c r="Y46">
        <f>IF(Table6[[#This Row],[pipeline]]="fma",Table6[[#This Row],[delay]],0)</f>
        <v>0</v>
      </c>
      <c r="Z46">
        <f>IF(AND(Table6[[#This Row],[pipeline]]="fma",W46="new"),290,0)</f>
        <v>0</v>
      </c>
      <c r="AK46" s="34"/>
    </row>
    <row r="47" spans="1:37" ht="17" x14ac:dyDescent="0.2">
      <c r="A47" s="31">
        <f>IF(Table6[[#This Row],[instruction]]&lt;&gt;"",MAX($A$6:A46)+1," ")</f>
        <v>42</v>
      </c>
      <c r="B47" s="32" t="s">
        <v>485</v>
      </c>
      <c r="C47" t="s">
        <v>14</v>
      </c>
      <c r="D47" s="31" t="s">
        <v>23</v>
      </c>
      <c r="E47" s="31" t="s">
        <v>23</v>
      </c>
      <c r="F47" s="31" t="s">
        <v>528</v>
      </c>
      <c r="G47" s="31" t="s">
        <v>520</v>
      </c>
      <c r="K47" s="2" t="str">
        <f t="shared" si="0"/>
        <v>fma</v>
      </c>
      <c r="L47" cm="1">
        <f t="array" ref="L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" t="str">
        <f>IF(OR(ISNUMBER(SEARCH("imad", Table6[[#This Row],[instruction]])), ISNUMBER(SEARCH("ffma", Table6[[#This Row],[instruction]])), ISNUMBER(SEARCH("fmul", Table6[[#This Row],[instruction]]))), "fma", "")</f>
        <v>fma</v>
      </c>
      <c r="P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" t="str">
        <f>IF(OR(ISNUMBER(SEARCH("s2r", Table6[[#This Row],[instruction]])),ISNUMBER(SEARCH("s2ur", Table6[[#This Row],[instruction]]))), "special", "")</f>
        <v/>
      </c>
      <c r="S47" t="str">
        <f>IF(OR(ISNUMBER(SEARCH("stg", Table6[[#This Row],[instruction]])),ISNUMBER(SEARCH("ldg", Table6[[#This Row],[instruction]]))), "global", "")</f>
        <v/>
      </c>
      <c r="T47" t="str">
        <f>IF(OR(ISNUMBER(SEARCH("sts", Table6[[#This Row],[instruction]])),ISNUMBER(SEARCH("lds", Table6[[#This Row],[instruction]]))), "shared", "")</f>
        <v/>
      </c>
      <c r="U47" t="str">
        <f>IF(OR(ISNUMBER(SEARCH("LDC", Table6[[#This Row],[instruction]]))), "ind. const", "")</f>
        <v/>
      </c>
      <c r="V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Row],[s5]]))),U47=""), "cmb. const", "")</f>
        <v>cmb. const</v>
      </c>
      <c r="W47" s="2" t="s">
        <v>481</v>
      </c>
      <c r="Y47">
        <f>IF(Table6[[#This Row],[pipeline]]="fma",Table6[[#This Row],[delay]],0)</f>
        <v>4</v>
      </c>
      <c r="Z47">
        <f>IF(AND(Table6[[#This Row],[pipeline]]="fma",W47="new"),290,0)</f>
        <v>0</v>
      </c>
      <c r="AK47" s="34"/>
    </row>
    <row r="48" spans="1:37" ht="17" x14ac:dyDescent="0.2">
      <c r="A48" s="31">
        <f>IF(Table6[[#This Row],[instruction]]&lt;&gt;"",MAX($A$6:A47)+1," ")</f>
        <v>43</v>
      </c>
      <c r="B48" s="32" t="s">
        <v>485</v>
      </c>
      <c r="C48" t="s">
        <v>45</v>
      </c>
      <c r="D48" s="31" t="s">
        <v>61</v>
      </c>
      <c r="E48" s="31" t="s">
        <v>8</v>
      </c>
      <c r="F48" s="31" t="s">
        <v>8</v>
      </c>
      <c r="G48" s="31" t="s">
        <v>529</v>
      </c>
      <c r="K48" s="2" t="str">
        <f t="shared" si="0"/>
        <v>fma</v>
      </c>
      <c r="L48" cm="1">
        <f t="array" ref="L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8" t="str">
        <f>IF(OR(ISNUMBER(SEARCH("imad", Table6[[#This Row],[instruction]])), ISNUMBER(SEARCH("ffma", Table6[[#This Row],[instruction]])), ISNUMBER(SEARCH("fmul", Table6[[#This Row],[instruction]]))), "fma", "")</f>
        <v>fma</v>
      </c>
      <c r="P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" t="str">
        <f>IF(OR(ISNUMBER(SEARCH("s2r", Table6[[#This Row],[instruction]])),ISNUMBER(SEARCH("s2ur", Table6[[#This Row],[instruction]]))), "special", "")</f>
        <v/>
      </c>
      <c r="S48" t="str">
        <f>IF(OR(ISNUMBER(SEARCH("stg", Table6[[#This Row],[instruction]])),ISNUMBER(SEARCH("ldg", Table6[[#This Row],[instruction]]))), "global", "")</f>
        <v/>
      </c>
      <c r="T48" t="str">
        <f>IF(OR(ISNUMBER(SEARCH("sts", Table6[[#This Row],[instruction]])),ISNUMBER(SEARCH("lds", Table6[[#This Row],[instruction]]))), "shared", "")</f>
        <v/>
      </c>
      <c r="U48" t="str">
        <f>IF(OR(ISNUMBER(SEARCH("LDC", Table6[[#This Row],[instruction]]))), "ind. const", "")</f>
        <v/>
      </c>
      <c r="V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Row],[s5]]))),U48=""), "cmb. const", "")</f>
        <v>cmb. const</v>
      </c>
      <c r="W48" s="2" t="s">
        <v>482</v>
      </c>
      <c r="Y48">
        <f>IF(Table6[[#This Row],[pipeline]]="fma",Table6[[#This Row],[delay]],0)</f>
        <v>4</v>
      </c>
      <c r="Z48">
        <f>IF(AND(Table6[[#This Row],[pipeline]]="fma",W48="new"),290,0)</f>
        <v>290</v>
      </c>
      <c r="AK48" s="34"/>
    </row>
    <row r="49" spans="1:37" ht="17" x14ac:dyDescent="0.2">
      <c r="A49" s="31">
        <f>IF(Table6[[#This Row],[instruction]]&lt;&gt;"",MAX($A$6:A48)+1," ")</f>
        <v>44</v>
      </c>
      <c r="B49" s="32" t="s">
        <v>485</v>
      </c>
      <c r="C49" t="s">
        <v>49</v>
      </c>
      <c r="D49" s="31" t="s">
        <v>50</v>
      </c>
      <c r="E49" s="31" t="s">
        <v>51</v>
      </c>
      <c r="F49" s="31" t="s">
        <v>7</v>
      </c>
      <c r="G49" s="31" t="s">
        <v>4</v>
      </c>
      <c r="H49" s="31" t="s">
        <v>494</v>
      </c>
      <c r="K49" s="2" t="str">
        <f t="shared" si="0"/>
        <v>alu</v>
      </c>
      <c r="L49" cm="1">
        <f t="array" ref="L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" t="str">
        <f>IF(OR(ISNUMBER(SEARCH("imad", Table6[[#This Row],[instruction]])), ISNUMBER(SEARCH("ffma", Table6[[#This Row],[instruction]])), ISNUMBER(SEARCH("fmul", Table6[[#This Row],[instruction]]))), "fma", "")</f>
        <v/>
      </c>
      <c r="P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" t="str">
        <f>IF(OR(ISNUMBER(SEARCH("s2r", Table6[[#This Row],[instruction]])),ISNUMBER(SEARCH("s2ur", Table6[[#This Row],[instruction]]))), "special", "")</f>
        <v/>
      </c>
      <c r="S49" t="str">
        <f>IF(OR(ISNUMBER(SEARCH("stg", Table6[[#This Row],[instruction]])),ISNUMBER(SEARCH("ldg", Table6[[#This Row],[instruction]]))), "global", "")</f>
        <v/>
      </c>
      <c r="T49" t="str">
        <f>IF(OR(ISNUMBER(SEARCH("sts", Table6[[#This Row],[instruction]])),ISNUMBER(SEARCH("lds", Table6[[#This Row],[instruction]]))), "shared", "")</f>
        <v/>
      </c>
      <c r="U49" t="str">
        <f>IF(OR(ISNUMBER(SEARCH("LDC", Table6[[#This Row],[instruction]]))), "ind. const", "")</f>
        <v/>
      </c>
      <c r="V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Row],[s5]]))),U49=""), "cmb. const", "")</f>
        <v/>
      </c>
      <c r="Y49">
        <f>IF(Table6[[#This Row],[pipeline]]="fma",Table6[[#This Row],[delay]],0)</f>
        <v>0</v>
      </c>
      <c r="Z49">
        <f>IF(AND(Table6[[#This Row],[pipeline]]="fma",W49="new"),290,0)</f>
        <v>0</v>
      </c>
      <c r="AK49" s="34"/>
    </row>
    <row r="50" spans="1:37" ht="17" x14ac:dyDescent="0.2">
      <c r="A50" s="31">
        <f>IF(Table6[[#This Row],[instruction]]&lt;&gt;"",MAX($A$6:A49)+1," ")</f>
        <v>45</v>
      </c>
      <c r="B50" s="32" t="s">
        <v>485</v>
      </c>
      <c r="C50" t="s">
        <v>14</v>
      </c>
      <c r="D50" s="31" t="s">
        <v>19</v>
      </c>
      <c r="E50" s="31" t="s">
        <v>19</v>
      </c>
      <c r="F50" s="31" t="s">
        <v>27</v>
      </c>
      <c r="G50" s="31" t="s">
        <v>530</v>
      </c>
      <c r="K50" s="2" t="str">
        <f t="shared" si="0"/>
        <v>fma</v>
      </c>
      <c r="L50" cm="1">
        <f t="array" ref="L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" t="str">
        <f>IF(OR(ISNUMBER(SEARCH("imad", Table6[[#This Row],[instruction]])), ISNUMBER(SEARCH("ffma", Table6[[#This Row],[instruction]])), ISNUMBER(SEARCH("fmul", Table6[[#This Row],[instruction]]))), "fma", "")</f>
        <v>fma</v>
      </c>
      <c r="P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" t="str">
        <f>IF(OR(ISNUMBER(SEARCH("s2r", Table6[[#This Row],[instruction]])),ISNUMBER(SEARCH("s2ur", Table6[[#This Row],[instruction]]))), "special", "")</f>
        <v/>
      </c>
      <c r="S50" t="str">
        <f>IF(OR(ISNUMBER(SEARCH("stg", Table6[[#This Row],[instruction]])),ISNUMBER(SEARCH("ldg", Table6[[#This Row],[instruction]]))), "global", "")</f>
        <v/>
      </c>
      <c r="T50" t="str">
        <f>IF(OR(ISNUMBER(SEARCH("sts", Table6[[#This Row],[instruction]])),ISNUMBER(SEARCH("lds", Table6[[#This Row],[instruction]]))), "shared", "")</f>
        <v/>
      </c>
      <c r="U50" t="str">
        <f>IF(OR(ISNUMBER(SEARCH("LDC", Table6[[#This Row],[instruction]]))), "ind. const", "")</f>
        <v/>
      </c>
      <c r="V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Row],[s5]]))),U50=""), "cmb. const", "")</f>
        <v>cmb. const</v>
      </c>
      <c r="W50" s="2" t="s">
        <v>482</v>
      </c>
      <c r="Y50">
        <f>IF(Table6[[#This Row],[pipeline]]="fma",Table6[[#This Row],[delay]],0)</f>
        <v>4</v>
      </c>
      <c r="Z50">
        <f>IF(AND(Table6[[#This Row],[pipeline]]="fma",W50="new"),290,0)</f>
        <v>290</v>
      </c>
      <c r="AK50" s="34"/>
    </row>
    <row r="51" spans="1:37" ht="17" x14ac:dyDescent="0.2">
      <c r="A51" s="31">
        <f>IF(Table6[[#This Row],[instruction]]&lt;&gt;"",MAX($A$6:A50)+1," ")</f>
        <v>46</v>
      </c>
      <c r="B51" s="32" t="s">
        <v>485</v>
      </c>
      <c r="C51" t="s">
        <v>49</v>
      </c>
      <c r="D51" s="31" t="s">
        <v>531</v>
      </c>
      <c r="E51" s="31" t="s">
        <v>51</v>
      </c>
      <c r="F51" s="31" t="s">
        <v>436</v>
      </c>
      <c r="G51" s="31" t="s">
        <v>4</v>
      </c>
      <c r="H51" s="31" t="s">
        <v>494</v>
      </c>
      <c r="K51" s="2" t="str">
        <f t="shared" si="0"/>
        <v>alu</v>
      </c>
      <c r="L51" cm="1">
        <f t="array" ref="L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1" t="str">
        <f>IF(OR(ISNUMBER(SEARCH("imad", Table6[[#This Row],[instruction]])), ISNUMBER(SEARCH("ffma", Table6[[#This Row],[instruction]])), ISNUMBER(SEARCH("fmul", Table6[[#This Row],[instruction]]))), "fma", "")</f>
        <v/>
      </c>
      <c r="P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" t="str">
        <f>IF(OR(ISNUMBER(SEARCH("s2r", Table6[[#This Row],[instruction]])),ISNUMBER(SEARCH("s2ur", Table6[[#This Row],[instruction]]))), "special", "")</f>
        <v/>
      </c>
      <c r="S51" t="str">
        <f>IF(OR(ISNUMBER(SEARCH("stg", Table6[[#This Row],[instruction]])),ISNUMBER(SEARCH("ldg", Table6[[#This Row],[instruction]]))), "global", "")</f>
        <v/>
      </c>
      <c r="T51" t="str">
        <f>IF(OR(ISNUMBER(SEARCH("sts", Table6[[#This Row],[instruction]])),ISNUMBER(SEARCH("lds", Table6[[#This Row],[instruction]]))), "shared", "")</f>
        <v/>
      </c>
      <c r="U51" t="str">
        <f>IF(OR(ISNUMBER(SEARCH("LDC", Table6[[#This Row],[instruction]]))), "ind. const", "")</f>
        <v/>
      </c>
      <c r="V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Row],[s5]]))),U51=""), "cmb. const", "")</f>
        <v/>
      </c>
      <c r="Y51">
        <f>IF(Table6[[#This Row],[pipeline]]="fma",Table6[[#This Row],[delay]],0)</f>
        <v>0</v>
      </c>
      <c r="Z51">
        <f>IF(AND(Table6[[#This Row],[pipeline]]="fma",W51="new"),290,0)</f>
        <v>0</v>
      </c>
      <c r="AK51" s="34"/>
    </row>
    <row r="52" spans="1:37" ht="17" x14ac:dyDescent="0.2">
      <c r="A52" s="31">
        <f>IF(Table6[[#This Row],[instruction]]&lt;&gt;"",MAX($A$6:A51)+1," ")</f>
        <v>47</v>
      </c>
      <c r="B52" s="32" t="s">
        <v>485</v>
      </c>
      <c r="C52" t="s">
        <v>14</v>
      </c>
      <c r="D52" s="31" t="s">
        <v>23</v>
      </c>
      <c r="E52" s="31" t="s">
        <v>23</v>
      </c>
      <c r="F52" s="31" t="s">
        <v>61</v>
      </c>
      <c r="G52" s="31" t="s">
        <v>532</v>
      </c>
      <c r="K52" s="2" t="str">
        <f t="shared" si="0"/>
        <v>fma</v>
      </c>
      <c r="L52" cm="1">
        <f t="array" ref="L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2" t="str">
        <f>IF(OR(ISNUMBER(SEARCH("imad", Table6[[#This Row],[instruction]])), ISNUMBER(SEARCH("ffma", Table6[[#This Row],[instruction]])), ISNUMBER(SEARCH("fmul", Table6[[#This Row],[instruction]]))), "fma", "")</f>
        <v>fma</v>
      </c>
      <c r="P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" t="str">
        <f>IF(OR(ISNUMBER(SEARCH("s2r", Table6[[#This Row],[instruction]])),ISNUMBER(SEARCH("s2ur", Table6[[#This Row],[instruction]]))), "special", "")</f>
        <v/>
      </c>
      <c r="S52" t="str">
        <f>IF(OR(ISNUMBER(SEARCH("stg", Table6[[#This Row],[instruction]])),ISNUMBER(SEARCH("ldg", Table6[[#This Row],[instruction]]))), "global", "")</f>
        <v/>
      </c>
      <c r="T52" t="str">
        <f>IF(OR(ISNUMBER(SEARCH("sts", Table6[[#This Row],[instruction]])),ISNUMBER(SEARCH("lds", Table6[[#This Row],[instruction]]))), "shared", "")</f>
        <v/>
      </c>
      <c r="U52" t="str">
        <f>IF(OR(ISNUMBER(SEARCH("LDC", Table6[[#This Row],[instruction]]))), "ind. const", "")</f>
        <v/>
      </c>
      <c r="V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Row],[s5]]))),U52=""), "cmb. const", "")</f>
        <v>cmb. const</v>
      </c>
      <c r="W52" s="2" t="s">
        <v>482</v>
      </c>
      <c r="Y52">
        <f>IF(Table6[[#This Row],[pipeline]]="fma",Table6[[#This Row],[delay]],0)</f>
        <v>4</v>
      </c>
      <c r="Z52">
        <f>IF(AND(Table6[[#This Row],[pipeline]]="fma",W52="new"),290,0)</f>
        <v>290</v>
      </c>
      <c r="AK52" s="34"/>
    </row>
    <row r="53" spans="1:37" ht="17" x14ac:dyDescent="0.2">
      <c r="A53" s="31">
        <f>IF(Table6[[#This Row],[instruction]]&lt;&gt;"",MAX($A$6:A52)+1," ")</f>
        <v>48</v>
      </c>
      <c r="B53" s="32" t="s">
        <v>485</v>
      </c>
      <c r="C53" t="s">
        <v>49</v>
      </c>
      <c r="D53" s="31" t="s">
        <v>533</v>
      </c>
      <c r="E53" s="31" t="s">
        <v>51</v>
      </c>
      <c r="F53" s="31" t="s">
        <v>447</v>
      </c>
      <c r="G53" s="31" t="s">
        <v>4</v>
      </c>
      <c r="H53" s="31" t="s">
        <v>494</v>
      </c>
      <c r="K53" s="2" t="str">
        <f t="shared" si="0"/>
        <v>alu</v>
      </c>
      <c r="L53" cm="1">
        <f t="array" ref="L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" t="str">
        <f>IF(OR(ISNUMBER(SEARCH("imad", Table6[[#This Row],[instruction]])), ISNUMBER(SEARCH("ffma", Table6[[#This Row],[instruction]])), ISNUMBER(SEARCH("fmul", Table6[[#This Row],[instruction]]))), "fma", "")</f>
        <v/>
      </c>
      <c r="P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" t="str">
        <f>IF(OR(ISNUMBER(SEARCH("s2r", Table6[[#This Row],[instruction]])),ISNUMBER(SEARCH("s2ur", Table6[[#This Row],[instruction]]))), "special", "")</f>
        <v/>
      </c>
      <c r="S53" t="str">
        <f>IF(OR(ISNUMBER(SEARCH("stg", Table6[[#This Row],[instruction]])),ISNUMBER(SEARCH("ldg", Table6[[#This Row],[instruction]]))), "global", "")</f>
        <v/>
      </c>
      <c r="T53" t="str">
        <f>IF(OR(ISNUMBER(SEARCH("sts", Table6[[#This Row],[instruction]])),ISNUMBER(SEARCH("lds", Table6[[#This Row],[instruction]]))), "shared", "")</f>
        <v/>
      </c>
      <c r="U53" t="str">
        <f>IF(OR(ISNUMBER(SEARCH("LDC", Table6[[#This Row],[instruction]]))), "ind. const", "")</f>
        <v/>
      </c>
      <c r="V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Row],[s5]]))),U53=""), "cmb. const", "")</f>
        <v/>
      </c>
      <c r="Y53">
        <f>IF(Table6[[#This Row],[pipeline]]="fma",Table6[[#This Row],[delay]],0)</f>
        <v>0</v>
      </c>
      <c r="Z53">
        <f>IF(AND(Table6[[#This Row],[pipeline]]="fma",W53="new"),290,0)</f>
        <v>0</v>
      </c>
      <c r="AK53" s="34"/>
    </row>
    <row r="54" spans="1:37" ht="17" x14ac:dyDescent="0.2">
      <c r="A54" s="31">
        <f>IF(Table6[[#This Row],[instruction]]&lt;&gt;"",MAX($A$6:A53)+1," ")</f>
        <v>49</v>
      </c>
      <c r="B54" s="32" t="s">
        <v>485</v>
      </c>
      <c r="C54" t="s">
        <v>45</v>
      </c>
      <c r="D54" s="31" t="s">
        <v>27</v>
      </c>
      <c r="E54" s="31" t="s">
        <v>8</v>
      </c>
      <c r="F54" s="31" t="s">
        <v>8</v>
      </c>
      <c r="G54" s="31" t="s">
        <v>502</v>
      </c>
      <c r="K54" s="2" t="str">
        <f t="shared" si="0"/>
        <v>fma</v>
      </c>
      <c r="L54" cm="1">
        <f t="array" ref="L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" t="str">
        <f>IF(OR(ISNUMBER(SEARCH("imad", Table6[[#This Row],[instruction]])), ISNUMBER(SEARCH("ffma", Table6[[#This Row],[instruction]])), ISNUMBER(SEARCH("fmul", Table6[[#This Row],[instruction]]))), "fma", "")</f>
        <v>fma</v>
      </c>
      <c r="P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" t="str">
        <f>IF(OR(ISNUMBER(SEARCH("s2r", Table6[[#This Row],[instruction]])),ISNUMBER(SEARCH("s2ur", Table6[[#This Row],[instruction]]))), "special", "")</f>
        <v/>
      </c>
      <c r="S54" t="str">
        <f>IF(OR(ISNUMBER(SEARCH("stg", Table6[[#This Row],[instruction]])),ISNUMBER(SEARCH("ldg", Table6[[#This Row],[instruction]]))), "global", "")</f>
        <v/>
      </c>
      <c r="T54" t="str">
        <f>IF(OR(ISNUMBER(SEARCH("sts", Table6[[#This Row],[instruction]])),ISNUMBER(SEARCH("lds", Table6[[#This Row],[instruction]]))), "shared", "")</f>
        <v/>
      </c>
      <c r="U54" t="str">
        <f>IF(OR(ISNUMBER(SEARCH("LDC", Table6[[#This Row],[instruction]]))), "ind. const", "")</f>
        <v/>
      </c>
      <c r="V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Row],[s5]]))),U54=""), "cmb. const", "")</f>
        <v/>
      </c>
      <c r="Y54">
        <f>IF(Table6[[#This Row],[pipeline]]="fma",Table6[[#This Row],[delay]],0)</f>
        <v>4</v>
      </c>
      <c r="Z54">
        <f>IF(AND(Table6[[#This Row],[pipeline]]="fma",W54="new"),290,0)</f>
        <v>0</v>
      </c>
      <c r="AK54" s="34"/>
    </row>
    <row r="55" spans="1:37" ht="17" x14ac:dyDescent="0.2">
      <c r="A55" s="31">
        <f>IF(Table6[[#This Row],[instruction]]&lt;&gt;"",MAX($A$6:A54)+1," ")</f>
        <v>50</v>
      </c>
      <c r="B55" s="32" t="s">
        <v>485</v>
      </c>
      <c r="C55" t="s">
        <v>49</v>
      </c>
      <c r="D55" s="31" t="s">
        <v>74</v>
      </c>
      <c r="E55" s="31" t="s">
        <v>51</v>
      </c>
      <c r="F55" s="31" t="s">
        <v>82</v>
      </c>
      <c r="G55" s="31" t="s">
        <v>4</v>
      </c>
      <c r="H55" s="31" t="s">
        <v>494</v>
      </c>
      <c r="K55" s="2" t="str">
        <f t="shared" si="0"/>
        <v>alu</v>
      </c>
      <c r="L55" cm="1">
        <f t="array" ref="L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" t="str">
        <f>IF(OR(ISNUMBER(SEARCH("imad", Table6[[#This Row],[instruction]])), ISNUMBER(SEARCH("ffma", Table6[[#This Row],[instruction]])), ISNUMBER(SEARCH("fmul", Table6[[#This Row],[instruction]]))), "fma", "")</f>
        <v/>
      </c>
      <c r="P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" t="str">
        <f>IF(OR(ISNUMBER(SEARCH("s2r", Table6[[#This Row],[instruction]])),ISNUMBER(SEARCH("s2ur", Table6[[#This Row],[instruction]]))), "special", "")</f>
        <v/>
      </c>
      <c r="S55" t="str">
        <f>IF(OR(ISNUMBER(SEARCH("stg", Table6[[#This Row],[instruction]])),ISNUMBER(SEARCH("ldg", Table6[[#This Row],[instruction]]))), "global", "")</f>
        <v/>
      </c>
      <c r="T55" t="str">
        <f>IF(OR(ISNUMBER(SEARCH("sts", Table6[[#This Row],[instruction]])),ISNUMBER(SEARCH("lds", Table6[[#This Row],[instruction]]))), "shared", "")</f>
        <v/>
      </c>
      <c r="U55" t="str">
        <f>IF(OR(ISNUMBER(SEARCH("LDC", Table6[[#This Row],[instruction]]))), "ind. const", "")</f>
        <v/>
      </c>
      <c r="V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Row],[s5]]))),U55=""), "cmb. const", "")</f>
        <v/>
      </c>
      <c r="Y55">
        <f>IF(Table6[[#This Row],[pipeline]]="fma",Table6[[#This Row],[delay]],0)</f>
        <v>0</v>
      </c>
      <c r="Z55">
        <f>IF(AND(Table6[[#This Row],[pipeline]]="fma",W55="new"),290,0)</f>
        <v>0</v>
      </c>
      <c r="AK55" s="34"/>
    </row>
    <row r="56" spans="1:37" ht="17" x14ac:dyDescent="0.2">
      <c r="A56" s="31">
        <f>IF(Table6[[#This Row],[instruction]]&lt;&gt;"",MAX($A$6:A55)+1," ")</f>
        <v>51</v>
      </c>
      <c r="B56" s="32" t="s">
        <v>86</v>
      </c>
      <c r="C56" t="s">
        <v>359</v>
      </c>
      <c r="D56" s="31" t="s">
        <v>534</v>
      </c>
      <c r="K56" s="2" t="str">
        <f t="shared" si="0"/>
        <v>cba</v>
      </c>
      <c r="L56" cm="1">
        <f t="array" ref="L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6" t="str">
        <f>IF(OR(ISNUMBER(SEARCH("imad", Table6[[#This Row],[instruction]])), ISNUMBER(SEARCH("ffma", Table6[[#This Row],[instruction]])), ISNUMBER(SEARCH("fmul", Table6[[#This Row],[instruction]]))), "fma", "")</f>
        <v/>
      </c>
      <c r="P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56" t="str">
        <f>IF(OR(ISNUMBER(SEARCH("s2r", Table6[[#This Row],[instruction]])),ISNUMBER(SEARCH("s2ur", Table6[[#This Row],[instruction]]))), "special", "")</f>
        <v/>
      </c>
      <c r="S56" t="str">
        <f>IF(OR(ISNUMBER(SEARCH("stg", Table6[[#This Row],[instruction]])),ISNUMBER(SEARCH("ldg", Table6[[#This Row],[instruction]]))), "global", "")</f>
        <v/>
      </c>
      <c r="T56" t="str">
        <f>IF(OR(ISNUMBER(SEARCH("sts", Table6[[#This Row],[instruction]])),ISNUMBER(SEARCH("lds", Table6[[#This Row],[instruction]]))), "shared", "")</f>
        <v/>
      </c>
      <c r="U56" t="str">
        <f>IF(OR(ISNUMBER(SEARCH("LDC", Table6[[#This Row],[instruction]]))), "ind. const", "")</f>
        <v/>
      </c>
      <c r="V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Row],[s5]]))),U56=""), "cmb. const", "")</f>
        <v/>
      </c>
      <c r="Y56">
        <f>IF(Table6[[#This Row],[pipeline]]="fma",Table6[[#This Row],[delay]],0)</f>
        <v>0</v>
      </c>
      <c r="Z56">
        <f>IF(AND(Table6[[#This Row],[pipeline]]="fma",W56="new"),290,0)</f>
        <v>0</v>
      </c>
      <c r="AK56" s="34"/>
    </row>
    <row r="57" spans="1:37" ht="17" x14ac:dyDescent="0.2">
      <c r="A57" s="31">
        <f>IF(Table6[[#This Row],[instruction]]&lt;&gt;"",MAX($A$6:A56)+1," ")</f>
        <v>52</v>
      </c>
      <c r="B57" s="32" t="s">
        <v>485</v>
      </c>
      <c r="C57" t="s">
        <v>45</v>
      </c>
      <c r="D57" s="31" t="s">
        <v>27</v>
      </c>
      <c r="E57" s="31" t="s">
        <v>8</v>
      </c>
      <c r="F57" s="31" t="s">
        <v>8</v>
      </c>
      <c r="G57" s="31" t="s">
        <v>535</v>
      </c>
      <c r="K57" s="2" t="str">
        <f t="shared" si="0"/>
        <v>fma</v>
      </c>
      <c r="L57" cm="1">
        <f t="array" ref="L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" t="str">
        <f>IF(OR(ISNUMBER(SEARCH("imad", Table6[[#This Row],[instruction]])), ISNUMBER(SEARCH("ffma", Table6[[#This Row],[instruction]])), ISNUMBER(SEARCH("fmul", Table6[[#This Row],[instruction]]))), "fma", "")</f>
        <v>fma</v>
      </c>
      <c r="P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" t="str">
        <f>IF(OR(ISNUMBER(SEARCH("s2r", Table6[[#This Row],[instruction]])),ISNUMBER(SEARCH("s2ur", Table6[[#This Row],[instruction]]))), "special", "")</f>
        <v/>
      </c>
      <c r="S57" t="str">
        <f>IF(OR(ISNUMBER(SEARCH("stg", Table6[[#This Row],[instruction]])),ISNUMBER(SEARCH("ldg", Table6[[#This Row],[instruction]]))), "global", "")</f>
        <v/>
      </c>
      <c r="T57" t="str">
        <f>IF(OR(ISNUMBER(SEARCH("sts", Table6[[#This Row],[instruction]])),ISNUMBER(SEARCH("lds", Table6[[#This Row],[instruction]]))), "shared", "")</f>
        <v/>
      </c>
      <c r="U57" t="str">
        <f>IF(OR(ISNUMBER(SEARCH("LDC", Table6[[#This Row],[instruction]]))), "ind. const", "")</f>
        <v/>
      </c>
      <c r="V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Row],[s5]]))),U57=""), "cmb. const", "")</f>
        <v>cmb. const</v>
      </c>
      <c r="W57" s="2" t="s">
        <v>482</v>
      </c>
      <c r="Y57">
        <f>IF(Table6[[#This Row],[pipeline]]="fma",Table6[[#This Row],[delay]],0)</f>
        <v>4</v>
      </c>
      <c r="Z57">
        <f>IF(AND(Table6[[#This Row],[pipeline]]="fma",W57="new"),290,0)</f>
        <v>290</v>
      </c>
      <c r="AK57" s="34"/>
    </row>
    <row r="58" spans="1:37" ht="17" x14ac:dyDescent="0.2">
      <c r="A58" s="31">
        <f>IF(Table6[[#This Row],[instruction]]&lt;&gt;"",MAX($A$6:A57)+1," ")</f>
        <v>53</v>
      </c>
      <c r="B58" s="32" t="s">
        <v>485</v>
      </c>
      <c r="C58" t="s">
        <v>0</v>
      </c>
      <c r="D58" s="31" t="s">
        <v>84</v>
      </c>
      <c r="E58" s="31" t="s">
        <v>536</v>
      </c>
      <c r="K58" s="2" t="str">
        <f t="shared" si="0"/>
        <v/>
      </c>
      <c r="L58" cm="1">
        <f t="array" ref="L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8" t="str">
        <f>IF(OR(ISNUMBER(SEARCH("imad", Table6[[#This Row],[instruction]])), ISNUMBER(SEARCH("ffma", Table6[[#This Row],[instruction]])), ISNUMBER(SEARCH("fmul", Table6[[#This Row],[instruction]]))), "fma", "")</f>
        <v/>
      </c>
      <c r="P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" t="str">
        <f>IF(OR(ISNUMBER(SEARCH("s2r", Table6[[#This Row],[instruction]])),ISNUMBER(SEARCH("s2ur", Table6[[#This Row],[instruction]]))), "special", "")</f>
        <v/>
      </c>
      <c r="S58" t="str">
        <f>IF(OR(ISNUMBER(SEARCH("stg", Table6[[#This Row],[instruction]])),ISNUMBER(SEARCH("ldg", Table6[[#This Row],[instruction]]))), "global", "")</f>
        <v/>
      </c>
      <c r="T58" t="str">
        <f>IF(OR(ISNUMBER(SEARCH("sts", Table6[[#This Row],[instruction]])),ISNUMBER(SEARCH("lds", Table6[[#This Row],[instruction]]))), "shared", "")</f>
        <v/>
      </c>
      <c r="U58" t="str">
        <f>IF(OR(ISNUMBER(SEARCH("LDC", Table6[[#This Row],[instruction]]))), "ind. const", "")</f>
        <v/>
      </c>
      <c r="V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Row],[s5]]))),U58=""), "cmb. const", "")</f>
        <v>cmb. const</v>
      </c>
      <c r="W58" s="2" t="s">
        <v>482</v>
      </c>
      <c r="Y58">
        <f>IF(Table6[[#This Row],[pipeline]]="fma",Table6[[#This Row],[delay]],0)</f>
        <v>0</v>
      </c>
      <c r="Z58">
        <f>IF(AND(Table6[[#This Row],[pipeline]]="fma",W58="new"),290,0)</f>
        <v>0</v>
      </c>
      <c r="AK58" s="34"/>
    </row>
    <row r="59" spans="1:37" ht="17" x14ac:dyDescent="0.2">
      <c r="A59" s="31">
        <f>IF(Table6[[#This Row],[instruction]]&lt;&gt;"",MAX($A$6:A58)+1," ")</f>
        <v>54</v>
      </c>
      <c r="B59" s="32" t="s">
        <v>485</v>
      </c>
      <c r="C59" t="s">
        <v>45</v>
      </c>
      <c r="D59" s="31" t="s">
        <v>61</v>
      </c>
      <c r="E59" s="31" t="s">
        <v>8</v>
      </c>
      <c r="F59" s="31" t="s">
        <v>8</v>
      </c>
      <c r="G59" s="31" t="s">
        <v>537</v>
      </c>
      <c r="K59" s="2" t="str">
        <f t="shared" si="0"/>
        <v>fma</v>
      </c>
      <c r="L59" cm="1">
        <f t="array" ref="L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" t="str">
        <f>IF(OR(ISNUMBER(SEARCH("imad", Table6[[#This Row],[instruction]])), ISNUMBER(SEARCH("ffma", Table6[[#This Row],[instruction]])), ISNUMBER(SEARCH("fmul", Table6[[#This Row],[instruction]]))), "fma", "")</f>
        <v>fma</v>
      </c>
      <c r="P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" t="str">
        <f>IF(OR(ISNUMBER(SEARCH("s2r", Table6[[#This Row],[instruction]])),ISNUMBER(SEARCH("s2ur", Table6[[#This Row],[instruction]]))), "special", "")</f>
        <v/>
      </c>
      <c r="S59" t="str">
        <f>IF(OR(ISNUMBER(SEARCH("stg", Table6[[#This Row],[instruction]])),ISNUMBER(SEARCH("ldg", Table6[[#This Row],[instruction]]))), "global", "")</f>
        <v/>
      </c>
      <c r="T59" t="str">
        <f>IF(OR(ISNUMBER(SEARCH("sts", Table6[[#This Row],[instruction]])),ISNUMBER(SEARCH("lds", Table6[[#This Row],[instruction]]))), "shared", "")</f>
        <v/>
      </c>
      <c r="U59" t="str">
        <f>IF(OR(ISNUMBER(SEARCH("LDC", Table6[[#This Row],[instruction]]))), "ind. const", "")</f>
        <v/>
      </c>
      <c r="V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Row],[s5]]))),U59=""), "cmb. const", "")</f>
        <v/>
      </c>
      <c r="Y59">
        <f>IF(Table6[[#This Row],[pipeline]]="fma",Table6[[#This Row],[delay]],0)</f>
        <v>4</v>
      </c>
      <c r="Z59">
        <f>IF(AND(Table6[[#This Row],[pipeline]]="fma",W59="new"),290,0)</f>
        <v>0</v>
      </c>
      <c r="AK59" s="34"/>
    </row>
    <row r="60" spans="1:37" ht="17" x14ac:dyDescent="0.2">
      <c r="A60" s="31">
        <f>IF(Table6[[#This Row],[instruction]]&lt;&gt;"",MAX($A$6:A59)+1," ")</f>
        <v>55</v>
      </c>
      <c r="B60" s="32" t="s">
        <v>485</v>
      </c>
      <c r="C60" t="s">
        <v>463</v>
      </c>
      <c r="D60" s="31" t="s">
        <v>50</v>
      </c>
      <c r="E60" s="31" t="s">
        <v>51</v>
      </c>
      <c r="F60" s="31" t="s">
        <v>27</v>
      </c>
      <c r="G60" s="31" t="s">
        <v>75</v>
      </c>
      <c r="H60" s="31" t="s">
        <v>494</v>
      </c>
      <c r="K60" s="2" t="str">
        <f t="shared" si="0"/>
        <v>alu</v>
      </c>
      <c r="L60" cm="1">
        <f t="array" ref="L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0" t="str">
        <f>IF(OR(ISNUMBER(SEARCH("imad", Table6[[#This Row],[instruction]])), ISNUMBER(SEARCH("ffma", Table6[[#This Row],[instruction]])), ISNUMBER(SEARCH("fmul", Table6[[#This Row],[instruction]]))), "fma", "")</f>
        <v/>
      </c>
      <c r="P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" t="str">
        <f>IF(OR(ISNUMBER(SEARCH("s2r", Table6[[#This Row],[instruction]])),ISNUMBER(SEARCH("s2ur", Table6[[#This Row],[instruction]]))), "special", "")</f>
        <v/>
      </c>
      <c r="S60" t="str">
        <f>IF(OR(ISNUMBER(SEARCH("stg", Table6[[#This Row],[instruction]])),ISNUMBER(SEARCH("ldg", Table6[[#This Row],[instruction]]))), "global", "")</f>
        <v/>
      </c>
      <c r="T60" t="str">
        <f>IF(OR(ISNUMBER(SEARCH("sts", Table6[[#This Row],[instruction]])),ISNUMBER(SEARCH("lds", Table6[[#This Row],[instruction]]))), "shared", "")</f>
        <v/>
      </c>
      <c r="U60" t="str">
        <f>IF(OR(ISNUMBER(SEARCH("LDC", Table6[[#This Row],[instruction]]))), "ind. const", "")</f>
        <v/>
      </c>
      <c r="V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Row],[s5]]))),U60=""), "cmb. const", "")</f>
        <v/>
      </c>
      <c r="Y60">
        <f>IF(Table6[[#This Row],[pipeline]]="fma",Table6[[#This Row],[delay]],0)</f>
        <v>0</v>
      </c>
      <c r="Z60">
        <f>IF(AND(Table6[[#This Row],[pipeline]]="fma",W60="new"),290,0)</f>
        <v>0</v>
      </c>
      <c r="AK60" s="34"/>
    </row>
    <row r="61" spans="1:37" ht="17" x14ac:dyDescent="0.2">
      <c r="A61" s="31">
        <f>IF(Table6[[#This Row],[instruction]]&lt;&gt;"",MAX($A$6:A60)+1," ")</f>
        <v>56</v>
      </c>
      <c r="B61" s="32" t="s">
        <v>485</v>
      </c>
      <c r="C61" t="s">
        <v>463</v>
      </c>
      <c r="D61" s="31" t="s">
        <v>517</v>
      </c>
      <c r="E61" s="31" t="s">
        <v>51</v>
      </c>
      <c r="F61" s="31" t="s">
        <v>84</v>
      </c>
      <c r="G61" s="31" t="s">
        <v>75</v>
      </c>
      <c r="H61" s="31" t="s">
        <v>494</v>
      </c>
      <c r="K61" s="2" t="str">
        <f t="shared" si="0"/>
        <v>alu</v>
      </c>
      <c r="L61" cm="1">
        <f t="array" ref="L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" t="str">
        <f>IF(OR(ISNUMBER(SEARCH("imad", Table6[[#This Row],[instruction]])), ISNUMBER(SEARCH("ffma", Table6[[#This Row],[instruction]])), ISNUMBER(SEARCH("fmul", Table6[[#This Row],[instruction]]))), "fma", "")</f>
        <v/>
      </c>
      <c r="P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" t="str">
        <f>IF(OR(ISNUMBER(SEARCH("s2r", Table6[[#This Row],[instruction]])),ISNUMBER(SEARCH("s2ur", Table6[[#This Row],[instruction]]))), "special", "")</f>
        <v/>
      </c>
      <c r="S61" t="str">
        <f>IF(OR(ISNUMBER(SEARCH("stg", Table6[[#This Row],[instruction]])),ISNUMBER(SEARCH("ldg", Table6[[#This Row],[instruction]]))), "global", "")</f>
        <v/>
      </c>
      <c r="T61" t="str">
        <f>IF(OR(ISNUMBER(SEARCH("sts", Table6[[#This Row],[instruction]])),ISNUMBER(SEARCH("lds", Table6[[#This Row],[instruction]]))), "shared", "")</f>
        <v/>
      </c>
      <c r="U61" t="str">
        <f>IF(OR(ISNUMBER(SEARCH("LDC", Table6[[#This Row],[instruction]]))), "ind. const", "")</f>
        <v/>
      </c>
      <c r="V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Row],[s5]]))),U61=""), "cmb. const", "")</f>
        <v/>
      </c>
      <c r="Y61">
        <f>IF(Table6[[#This Row],[pipeline]]="fma",Table6[[#This Row],[delay]],0)</f>
        <v>0</v>
      </c>
      <c r="Z61">
        <f>IF(AND(Table6[[#This Row],[pipeline]]="fma",W61="new"),290,0)</f>
        <v>0</v>
      </c>
      <c r="AK61" s="34"/>
    </row>
    <row r="62" spans="1:37" ht="17" x14ac:dyDescent="0.2">
      <c r="A62" s="31">
        <f>IF(Table6[[#This Row],[instruction]]&lt;&gt;"",MAX($A$6:A61)+1," ")</f>
        <v>57</v>
      </c>
      <c r="B62" s="32" t="s">
        <v>86</v>
      </c>
      <c r="C62" t="s">
        <v>509</v>
      </c>
      <c r="D62" s="31" t="s">
        <v>27</v>
      </c>
      <c r="E62" s="31" t="s">
        <v>7</v>
      </c>
      <c r="F62" s="31" t="s">
        <v>538</v>
      </c>
      <c r="G62" s="31" t="s">
        <v>502</v>
      </c>
      <c r="K62" s="2" t="str">
        <f t="shared" si="0"/>
        <v>fma</v>
      </c>
      <c r="L62" cm="1">
        <f t="array" ref="L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" t="str">
        <f>IF(OR(ISNUMBER(SEARCH("imad", Table6[[#This Row],[instruction]])), ISNUMBER(SEARCH("ffma", Table6[[#This Row],[instruction]])), ISNUMBER(SEARCH("fmul", Table6[[#This Row],[instruction]]))), "fma", "")</f>
        <v>fma</v>
      </c>
      <c r="P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" t="str">
        <f>IF(OR(ISNUMBER(SEARCH("s2r", Table6[[#This Row],[instruction]])),ISNUMBER(SEARCH("s2ur", Table6[[#This Row],[instruction]]))), "special", "")</f>
        <v/>
      </c>
      <c r="S62" t="str">
        <f>IF(OR(ISNUMBER(SEARCH("stg", Table6[[#This Row],[instruction]])),ISNUMBER(SEARCH("ldg", Table6[[#This Row],[instruction]]))), "global", "")</f>
        <v/>
      </c>
      <c r="T62" t="str">
        <f>IF(OR(ISNUMBER(SEARCH("sts", Table6[[#This Row],[instruction]])),ISNUMBER(SEARCH("lds", Table6[[#This Row],[instruction]]))), "shared", "")</f>
        <v/>
      </c>
      <c r="U62" t="str">
        <f>IF(OR(ISNUMBER(SEARCH("LDC", Table6[[#This Row],[instruction]]))), "ind. const", "")</f>
        <v/>
      </c>
      <c r="V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Row],[s5]]))),U62=""), "cmb. const", "")</f>
        <v>cmb. const</v>
      </c>
      <c r="W62" s="2" t="s">
        <v>482</v>
      </c>
      <c r="Y62">
        <f>IF(Table6[[#This Row],[pipeline]]="fma",Table6[[#This Row],[delay]],0)</f>
        <v>4</v>
      </c>
      <c r="Z62">
        <f>IF(AND(Table6[[#This Row],[pipeline]]="fma",W62="new"),290,0)</f>
        <v>290</v>
      </c>
      <c r="AK62" s="34"/>
    </row>
    <row r="63" spans="1:37" ht="17" x14ac:dyDescent="0.2">
      <c r="A63" s="31">
        <f>IF(Table6[[#This Row],[instruction]]&lt;&gt;"",MAX($A$6:A62)+1," ")</f>
        <v>58</v>
      </c>
      <c r="B63" s="32" t="s">
        <v>86</v>
      </c>
      <c r="C63" t="s">
        <v>90</v>
      </c>
      <c r="D63" s="31" t="s">
        <v>61</v>
      </c>
      <c r="E63" s="31" t="s">
        <v>8</v>
      </c>
      <c r="F63" s="31" t="s">
        <v>539</v>
      </c>
      <c r="G63" s="31" t="s">
        <v>540</v>
      </c>
      <c r="K63" s="2" t="str">
        <f t="shared" si="0"/>
        <v>alu</v>
      </c>
      <c r="L63" cm="1">
        <f t="array" ref="L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" t="str">
        <f>IF(OR(ISNUMBER(SEARCH("imad", Table6[[#This Row],[instruction]])), ISNUMBER(SEARCH("ffma", Table6[[#This Row],[instruction]])), ISNUMBER(SEARCH("fmul", Table6[[#This Row],[instruction]]))), "fma", "")</f>
        <v/>
      </c>
      <c r="P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" t="str">
        <f>IF(OR(ISNUMBER(SEARCH("s2r", Table6[[#This Row],[instruction]])),ISNUMBER(SEARCH("s2ur", Table6[[#This Row],[instruction]]))), "special", "")</f>
        <v/>
      </c>
      <c r="S63" t="str">
        <f>IF(OR(ISNUMBER(SEARCH("stg", Table6[[#This Row],[instruction]])),ISNUMBER(SEARCH("ldg", Table6[[#This Row],[instruction]]))), "global", "")</f>
        <v/>
      </c>
      <c r="T63" t="str">
        <f>IF(OR(ISNUMBER(SEARCH("sts", Table6[[#This Row],[instruction]])),ISNUMBER(SEARCH("lds", Table6[[#This Row],[instruction]]))), "shared", "")</f>
        <v/>
      </c>
      <c r="U63" t="str">
        <f>IF(OR(ISNUMBER(SEARCH("LDC", Table6[[#This Row],[instruction]]))), "ind. const", "")</f>
        <v/>
      </c>
      <c r="V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Row],[s5]]))),U63=""), "cmb. const", "")</f>
        <v>cmb. const</v>
      </c>
      <c r="W63" s="2" t="s">
        <v>482</v>
      </c>
      <c r="Y63">
        <f>IF(Table6[[#This Row],[pipeline]]="fma",Table6[[#This Row],[delay]],0)</f>
        <v>0</v>
      </c>
      <c r="Z63">
        <f>IF(AND(Table6[[#This Row],[pipeline]]="fma",W63="new"),290,0)</f>
        <v>0</v>
      </c>
      <c r="AK63" s="34"/>
    </row>
    <row r="64" spans="1:37" ht="17" x14ac:dyDescent="0.2">
      <c r="A64" s="31">
        <f>IF(Table6[[#This Row],[instruction]]&lt;&gt;"",MAX($A$6:A63)+1," ")</f>
        <v>59</v>
      </c>
      <c r="B64" s="32" t="s">
        <v>485</v>
      </c>
      <c r="C64" t="s">
        <v>26</v>
      </c>
      <c r="D64" s="31" t="s">
        <v>84</v>
      </c>
      <c r="E64" s="31" t="e">
        <f>-S15</f>
        <v>#VALUE!</v>
      </c>
      <c r="F64" s="31" t="s">
        <v>8</v>
      </c>
      <c r="G64" s="31" t="s">
        <v>502</v>
      </c>
      <c r="K64" s="2" t="str">
        <f t="shared" si="0"/>
        <v>alu</v>
      </c>
      <c r="L64" cm="1">
        <f t="array" ref="L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4" t="str">
        <f>IF(OR(ISNUMBER(SEARCH("imad", Table6[[#This Row],[instruction]])), ISNUMBER(SEARCH("ffma", Table6[[#This Row],[instruction]])), ISNUMBER(SEARCH("fmul", Table6[[#This Row],[instruction]]))), "fma", "")</f>
        <v/>
      </c>
      <c r="P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" t="str">
        <f>IF(OR(ISNUMBER(SEARCH("s2r", Table6[[#This Row],[instruction]])),ISNUMBER(SEARCH("s2ur", Table6[[#This Row],[instruction]]))), "special", "")</f>
        <v/>
      </c>
      <c r="S64" t="str">
        <f>IF(OR(ISNUMBER(SEARCH("stg", Table6[[#This Row],[instruction]])),ISNUMBER(SEARCH("ldg", Table6[[#This Row],[instruction]]))), "global", "")</f>
        <v/>
      </c>
      <c r="T64" t="str">
        <f>IF(OR(ISNUMBER(SEARCH("sts", Table6[[#This Row],[instruction]])),ISNUMBER(SEARCH("lds", Table6[[#This Row],[instruction]]))), "shared", "")</f>
        <v/>
      </c>
      <c r="U64" t="str">
        <f>IF(OR(ISNUMBER(SEARCH("LDC", Table6[[#This Row],[instruction]]))), "ind. const", "")</f>
        <v/>
      </c>
      <c r="V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Row],[s5]]))),U64=""), "cmb. const", "")</f>
        <v/>
      </c>
      <c r="Y64">
        <f>IF(Table6[[#This Row],[pipeline]]="fma",Table6[[#This Row],[delay]],0)</f>
        <v>0</v>
      </c>
      <c r="Z64">
        <f>IF(AND(Table6[[#This Row],[pipeline]]="fma",W64="new"),290,0)</f>
        <v>0</v>
      </c>
      <c r="AK64" s="34"/>
    </row>
    <row r="65" spans="1:37" ht="17" x14ac:dyDescent="0.2">
      <c r="A65" s="31">
        <f>IF(Table6[[#This Row],[instruction]]&lt;&gt;"",MAX($A$6:A64)+1," ")</f>
        <v>60</v>
      </c>
      <c r="B65" s="32" t="s">
        <v>485</v>
      </c>
      <c r="C65" t="s">
        <v>14</v>
      </c>
      <c r="D65" s="31" t="s">
        <v>71</v>
      </c>
      <c r="E65" s="31" t="s">
        <v>84</v>
      </c>
      <c r="F65" s="31" t="s">
        <v>541</v>
      </c>
      <c r="G65" s="31" t="s">
        <v>537</v>
      </c>
      <c r="K65" s="2" t="str">
        <f t="shared" si="0"/>
        <v>fma</v>
      </c>
      <c r="L65" cm="1">
        <f t="array" ref="L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5" t="str">
        <f>IF(OR(ISNUMBER(SEARCH("imad", Table6[[#This Row],[instruction]])), ISNUMBER(SEARCH("ffma", Table6[[#This Row],[instruction]])), ISNUMBER(SEARCH("fmul", Table6[[#This Row],[instruction]]))), "fma", "")</f>
        <v>fma</v>
      </c>
      <c r="P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" t="str">
        <f>IF(OR(ISNUMBER(SEARCH("s2r", Table6[[#This Row],[instruction]])),ISNUMBER(SEARCH("s2ur", Table6[[#This Row],[instruction]]))), "special", "")</f>
        <v/>
      </c>
      <c r="S65" t="str">
        <f>IF(OR(ISNUMBER(SEARCH("stg", Table6[[#This Row],[instruction]])),ISNUMBER(SEARCH("ldg", Table6[[#This Row],[instruction]]))), "global", "")</f>
        <v/>
      </c>
      <c r="T65" t="str">
        <f>IF(OR(ISNUMBER(SEARCH("sts", Table6[[#This Row],[instruction]])),ISNUMBER(SEARCH("lds", Table6[[#This Row],[instruction]]))), "shared", "")</f>
        <v/>
      </c>
      <c r="U65" t="str">
        <f>IF(OR(ISNUMBER(SEARCH("LDC", Table6[[#This Row],[instruction]]))), "ind. const", "")</f>
        <v/>
      </c>
      <c r="V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Row],[s5]]))),U65=""), "cmb. const", "")</f>
        <v>cmb. const</v>
      </c>
      <c r="W65" s="2" t="s">
        <v>481</v>
      </c>
      <c r="Y65">
        <f>IF(Table6[[#This Row],[pipeline]]="fma",Table6[[#This Row],[delay]],0)</f>
        <v>4</v>
      </c>
      <c r="Z65">
        <f>IF(AND(Table6[[#This Row],[pipeline]]="fma",W65="new"),290,0)</f>
        <v>0</v>
      </c>
      <c r="AK65" s="34"/>
    </row>
    <row r="66" spans="1:37" ht="17" x14ac:dyDescent="0.2">
      <c r="A66" s="31">
        <f>IF(Table6[[#This Row],[instruction]]&lt;&gt;"",MAX($A$6:A65)+1," ")</f>
        <v>61</v>
      </c>
      <c r="B66" s="32" t="s">
        <v>523</v>
      </c>
      <c r="C66" t="s">
        <v>509</v>
      </c>
      <c r="D66" s="31" t="s">
        <v>84</v>
      </c>
      <c r="E66" s="31" t="s">
        <v>71</v>
      </c>
      <c r="F66" s="31" t="s">
        <v>542</v>
      </c>
      <c r="G66" s="31" t="s">
        <v>502</v>
      </c>
      <c r="K66" s="2" t="str">
        <f t="shared" si="0"/>
        <v>fma</v>
      </c>
      <c r="L66" cm="1">
        <f t="array" ref="L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" t="str">
        <f>IF(OR(ISNUMBER(SEARCH("imad", Table6[[#This Row],[instruction]])), ISNUMBER(SEARCH("ffma", Table6[[#This Row],[instruction]])), ISNUMBER(SEARCH("fmul", Table6[[#This Row],[instruction]]))), "fma", "")</f>
        <v>fma</v>
      </c>
      <c r="P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" t="str">
        <f>IF(OR(ISNUMBER(SEARCH("s2r", Table6[[#This Row],[instruction]])),ISNUMBER(SEARCH("s2ur", Table6[[#This Row],[instruction]]))), "special", "")</f>
        <v/>
      </c>
      <c r="S66" t="str">
        <f>IF(OR(ISNUMBER(SEARCH("stg", Table6[[#This Row],[instruction]])),ISNUMBER(SEARCH("ldg", Table6[[#This Row],[instruction]]))), "global", "")</f>
        <v/>
      </c>
      <c r="T66" t="str">
        <f>IF(OR(ISNUMBER(SEARCH("sts", Table6[[#This Row],[instruction]])),ISNUMBER(SEARCH("lds", Table6[[#This Row],[instruction]]))), "shared", "")</f>
        <v/>
      </c>
      <c r="U66" t="str">
        <f>IF(OR(ISNUMBER(SEARCH("LDC", Table6[[#This Row],[instruction]]))), "ind. const", "")</f>
        <v/>
      </c>
      <c r="V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Row],[s5]]))),U66=""), "cmb. const", "")</f>
        <v>cmb. const</v>
      </c>
      <c r="W66" s="2" t="s">
        <v>482</v>
      </c>
      <c r="Y66">
        <f>IF(Table6[[#This Row],[pipeline]]="fma",Table6[[#This Row],[delay]],0)</f>
        <v>4</v>
      </c>
      <c r="Z66">
        <f>IF(AND(Table6[[#This Row],[pipeline]]="fma",W66="new"),290,0)</f>
        <v>290</v>
      </c>
      <c r="AK66" s="34"/>
    </row>
    <row r="67" spans="1:37" ht="17" x14ac:dyDescent="0.2">
      <c r="A67" s="31">
        <f>IF(Table6[[#This Row],[instruction]]&lt;&gt;"",MAX($A$6:A66)+1," ")</f>
        <v>62</v>
      </c>
      <c r="B67" s="32" t="s">
        <v>485</v>
      </c>
      <c r="C67" t="s">
        <v>45</v>
      </c>
      <c r="D67" s="31" t="s">
        <v>27</v>
      </c>
      <c r="E67" s="31" t="s">
        <v>8</v>
      </c>
      <c r="F67" s="31" t="s">
        <v>8</v>
      </c>
      <c r="G67" s="31" t="s">
        <v>543</v>
      </c>
      <c r="K67" s="2" t="str">
        <f t="shared" si="0"/>
        <v>fma</v>
      </c>
      <c r="L67" cm="1">
        <f t="array" ref="L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7" t="str">
        <f>IF(OR(ISNUMBER(SEARCH("imad", Table6[[#This Row],[instruction]])), ISNUMBER(SEARCH("ffma", Table6[[#This Row],[instruction]])), ISNUMBER(SEARCH("fmul", Table6[[#This Row],[instruction]]))), "fma", "")</f>
        <v>fma</v>
      </c>
      <c r="P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" t="str">
        <f>IF(OR(ISNUMBER(SEARCH("s2r", Table6[[#This Row],[instruction]])),ISNUMBER(SEARCH("s2ur", Table6[[#This Row],[instruction]]))), "special", "")</f>
        <v/>
      </c>
      <c r="S67" t="str">
        <f>IF(OR(ISNUMBER(SEARCH("stg", Table6[[#This Row],[instruction]])),ISNUMBER(SEARCH("ldg", Table6[[#This Row],[instruction]]))), "global", "")</f>
        <v/>
      </c>
      <c r="T67" t="str">
        <f>IF(OR(ISNUMBER(SEARCH("sts", Table6[[#This Row],[instruction]])),ISNUMBER(SEARCH("lds", Table6[[#This Row],[instruction]]))), "shared", "")</f>
        <v/>
      </c>
      <c r="U67" t="str">
        <f>IF(OR(ISNUMBER(SEARCH("LDC", Table6[[#This Row],[instruction]]))), "ind. const", "")</f>
        <v/>
      </c>
      <c r="V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Row],[s5]]))),U67=""), "cmb. const", "")</f>
        <v/>
      </c>
      <c r="Y67">
        <f>IF(Table6[[#This Row],[pipeline]]="fma",Table6[[#This Row],[delay]],0)</f>
        <v>4</v>
      </c>
      <c r="Z67">
        <f>IF(AND(Table6[[#This Row],[pipeline]]="fma",W67="new"),290,0)</f>
        <v>0</v>
      </c>
      <c r="AK67" s="34"/>
    </row>
    <row r="68" spans="1:37" ht="17" x14ac:dyDescent="0.2">
      <c r="A68" s="31">
        <f>IF(Table6[[#This Row],[instruction]]&lt;&gt;"",MAX($A$6:A67)+1," ")</f>
        <v>63</v>
      </c>
      <c r="B68" s="32" t="s">
        <v>523</v>
      </c>
      <c r="C68" t="s">
        <v>90</v>
      </c>
      <c r="D68" s="31" t="s">
        <v>27</v>
      </c>
      <c r="E68" s="31" t="s">
        <v>8</v>
      </c>
      <c r="F68" s="31" t="s">
        <v>544</v>
      </c>
      <c r="G68" s="31" t="s">
        <v>545</v>
      </c>
      <c r="K68" s="2" t="str">
        <f t="shared" si="0"/>
        <v>alu</v>
      </c>
      <c r="L68" cm="1">
        <f t="array" ref="L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" t="str">
        <f>IF(OR(ISNUMBER(SEARCH("imad", Table6[[#This Row],[instruction]])), ISNUMBER(SEARCH("ffma", Table6[[#This Row],[instruction]])), ISNUMBER(SEARCH("fmul", Table6[[#This Row],[instruction]]))), "fma", "")</f>
        <v/>
      </c>
      <c r="P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" t="str">
        <f>IF(OR(ISNUMBER(SEARCH("s2r", Table6[[#This Row],[instruction]])),ISNUMBER(SEARCH("s2ur", Table6[[#This Row],[instruction]]))), "special", "")</f>
        <v/>
      </c>
      <c r="S68" t="str">
        <f>IF(OR(ISNUMBER(SEARCH("stg", Table6[[#This Row],[instruction]])),ISNUMBER(SEARCH("ldg", Table6[[#This Row],[instruction]]))), "global", "")</f>
        <v/>
      </c>
      <c r="T68" t="str">
        <f>IF(OR(ISNUMBER(SEARCH("sts", Table6[[#This Row],[instruction]])),ISNUMBER(SEARCH("lds", Table6[[#This Row],[instruction]]))), "shared", "")</f>
        <v/>
      </c>
      <c r="U68" t="str">
        <f>IF(OR(ISNUMBER(SEARCH("LDC", Table6[[#This Row],[instruction]]))), "ind. const", "")</f>
        <v/>
      </c>
      <c r="V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Row],[s5]]))),U68=""), "cmb. const", "")</f>
        <v>cmb. const</v>
      </c>
      <c r="W68" s="2" t="s">
        <v>482</v>
      </c>
      <c r="Y68">
        <f>IF(Table6[[#This Row],[pipeline]]="fma",Table6[[#This Row],[delay]],0)</f>
        <v>0</v>
      </c>
      <c r="Z68">
        <f>IF(AND(Table6[[#This Row],[pipeline]]="fma",W68="new"),290,0)</f>
        <v>0</v>
      </c>
      <c r="AK68" s="34"/>
    </row>
    <row r="69" spans="1:37" ht="17" x14ac:dyDescent="0.2">
      <c r="A69" s="31">
        <f>IF(Table6[[#This Row],[instruction]]&lt;&gt;"",MAX($A$6:A68)+1," ")</f>
        <v>64</v>
      </c>
      <c r="B69" s="32" t="s">
        <v>485</v>
      </c>
      <c r="C69" t="s">
        <v>26</v>
      </c>
      <c r="D69" s="31" t="s">
        <v>84</v>
      </c>
      <c r="E69" s="31" t="e">
        <f>-S14</f>
        <v>#VALUE!</v>
      </c>
      <c r="F69" s="31" t="s">
        <v>8</v>
      </c>
      <c r="G69" s="31" t="s">
        <v>502</v>
      </c>
      <c r="K69" s="2" t="str">
        <f t="shared" si="0"/>
        <v>alu</v>
      </c>
      <c r="L69" cm="1">
        <f t="array" ref="L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9" t="str">
        <f>IF(OR(ISNUMBER(SEARCH("imad", Table6[[#This Row],[instruction]])), ISNUMBER(SEARCH("ffma", Table6[[#This Row],[instruction]])), ISNUMBER(SEARCH("fmul", Table6[[#This Row],[instruction]]))), "fma", "")</f>
        <v/>
      </c>
      <c r="P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" t="str">
        <f>IF(OR(ISNUMBER(SEARCH("s2r", Table6[[#This Row],[instruction]])),ISNUMBER(SEARCH("s2ur", Table6[[#This Row],[instruction]]))), "special", "")</f>
        <v/>
      </c>
      <c r="S69" t="str">
        <f>IF(OR(ISNUMBER(SEARCH("stg", Table6[[#This Row],[instruction]])),ISNUMBER(SEARCH("ldg", Table6[[#This Row],[instruction]]))), "global", "")</f>
        <v/>
      </c>
      <c r="T69" t="str">
        <f>IF(OR(ISNUMBER(SEARCH("sts", Table6[[#This Row],[instruction]])),ISNUMBER(SEARCH("lds", Table6[[#This Row],[instruction]]))), "shared", "")</f>
        <v/>
      </c>
      <c r="U69" t="str">
        <f>IF(OR(ISNUMBER(SEARCH("LDC", Table6[[#This Row],[instruction]]))), "ind. const", "")</f>
        <v/>
      </c>
      <c r="V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Row],[s5]]))),U69=""), "cmb. const", "")</f>
        <v/>
      </c>
      <c r="Y69">
        <f>IF(Table6[[#This Row],[pipeline]]="fma",Table6[[#This Row],[delay]],0)</f>
        <v>0</v>
      </c>
      <c r="Z69">
        <f>IF(AND(Table6[[#This Row],[pipeline]]="fma",W69="new"),290,0)</f>
        <v>0</v>
      </c>
      <c r="AK69" s="34"/>
    </row>
    <row r="70" spans="1:37" ht="17" x14ac:dyDescent="0.2">
      <c r="A70" s="31">
        <f>IF(Table6[[#This Row],[instruction]]&lt;&gt;"",MAX($A$6:A69)+1," ")</f>
        <v>65</v>
      </c>
      <c r="B70" s="32" t="s">
        <v>485</v>
      </c>
      <c r="C70" t="s">
        <v>14</v>
      </c>
      <c r="D70" s="31" t="s">
        <v>84</v>
      </c>
      <c r="E70" s="31" t="s">
        <v>84</v>
      </c>
      <c r="F70" s="31" t="s">
        <v>546</v>
      </c>
      <c r="G70" s="31" t="s">
        <v>543</v>
      </c>
      <c r="K70" s="2" t="str">
        <f t="shared" ref="K70:K133" si="1">IF(O70&lt;&gt;"", O70, IF(P70&lt;&gt;"", P70, IF(R70&lt;&gt;"", R70, IF(S70&lt;&gt;"", S70, IF(T70&lt;&gt;"", T70, IF(U70&lt;&gt;"", U70, IF(Q70&lt;&gt;"", Q70, "")))))))</f>
        <v>fma</v>
      </c>
      <c r="L70" cm="1">
        <f t="array" ref="L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" t="str">
        <f>IF(OR(ISNUMBER(SEARCH("imad", Table6[[#This Row],[instruction]])), ISNUMBER(SEARCH("ffma", Table6[[#This Row],[instruction]])), ISNUMBER(SEARCH("fmul", Table6[[#This Row],[instruction]]))), "fma", "")</f>
        <v>fma</v>
      </c>
      <c r="P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" t="str">
        <f>IF(OR(ISNUMBER(SEARCH("s2r", Table6[[#This Row],[instruction]])),ISNUMBER(SEARCH("s2ur", Table6[[#This Row],[instruction]]))), "special", "")</f>
        <v/>
      </c>
      <c r="S70" t="str">
        <f>IF(OR(ISNUMBER(SEARCH("stg", Table6[[#This Row],[instruction]])),ISNUMBER(SEARCH("ldg", Table6[[#This Row],[instruction]]))), "global", "")</f>
        <v/>
      </c>
      <c r="T70" t="str">
        <f>IF(OR(ISNUMBER(SEARCH("sts", Table6[[#This Row],[instruction]])),ISNUMBER(SEARCH("lds", Table6[[#This Row],[instruction]]))), "shared", "")</f>
        <v/>
      </c>
      <c r="U70" t="str">
        <f>IF(OR(ISNUMBER(SEARCH("LDC", Table6[[#This Row],[instruction]]))), "ind. const", "")</f>
        <v/>
      </c>
      <c r="V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Row],[s5]]))),U70=""), "cmb. const", "")</f>
        <v>cmb. const</v>
      </c>
      <c r="W70" s="2" t="s">
        <v>481</v>
      </c>
      <c r="Y70">
        <f>IF(Table6[[#This Row],[pipeline]]="fma",Table6[[#This Row],[delay]],0)</f>
        <v>4</v>
      </c>
      <c r="Z70">
        <f>IF(AND(Table6[[#This Row],[pipeline]]="fma",W70="new"),290,0)</f>
        <v>0</v>
      </c>
      <c r="AK70" s="34"/>
    </row>
    <row r="71" spans="1:37" ht="17" x14ac:dyDescent="0.2">
      <c r="A71" s="31">
        <f>IF(Table6[[#This Row],[instruction]]&lt;&gt;"",MAX($A$6:A70)+1," ")</f>
        <v>66</v>
      </c>
      <c r="B71" s="32" t="s">
        <v>485</v>
      </c>
      <c r="C71" t="s">
        <v>425</v>
      </c>
      <c r="D71" s="31" t="s">
        <v>71</v>
      </c>
      <c r="E71" s="31" t="s">
        <v>23</v>
      </c>
      <c r="F71" s="31" t="s">
        <v>75</v>
      </c>
      <c r="G71" s="31" t="s">
        <v>545</v>
      </c>
      <c r="K71" s="2" t="str">
        <f t="shared" si="1"/>
        <v>fma</v>
      </c>
      <c r="L71" cm="1">
        <f t="array" ref="L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1" t="str">
        <f>IF(OR(ISNUMBER(SEARCH("imad", Table6[[#This Row],[instruction]])), ISNUMBER(SEARCH("ffma", Table6[[#This Row],[instruction]])), ISNUMBER(SEARCH("fmul", Table6[[#This Row],[instruction]]))), "fma", "")</f>
        <v>fma</v>
      </c>
      <c r="P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" t="str">
        <f>IF(OR(ISNUMBER(SEARCH("s2r", Table6[[#This Row],[instruction]])),ISNUMBER(SEARCH("s2ur", Table6[[#This Row],[instruction]]))), "special", "")</f>
        <v/>
      </c>
      <c r="S71" t="str">
        <f>IF(OR(ISNUMBER(SEARCH("stg", Table6[[#This Row],[instruction]])),ISNUMBER(SEARCH("ldg", Table6[[#This Row],[instruction]]))), "global", "")</f>
        <v/>
      </c>
      <c r="T71" t="str">
        <f>IF(OR(ISNUMBER(SEARCH("sts", Table6[[#This Row],[instruction]])),ISNUMBER(SEARCH("lds", Table6[[#This Row],[instruction]]))), "shared", "")</f>
        <v/>
      </c>
      <c r="U71" t="str">
        <f>IF(OR(ISNUMBER(SEARCH("LDC", Table6[[#This Row],[instruction]]))), "ind. const", "")</f>
        <v/>
      </c>
      <c r="V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Row],[s5]]))),U71=""), "cmb. const", "")</f>
        <v/>
      </c>
      <c r="Y71">
        <f>IF(Table6[[#This Row],[pipeline]]="fma",Table6[[#This Row],[delay]],0)</f>
        <v>4</v>
      </c>
      <c r="Z71">
        <f>IF(AND(Table6[[#This Row],[pipeline]]="fma",W71="new"),290,0)</f>
        <v>0</v>
      </c>
      <c r="AK71" s="34"/>
    </row>
    <row r="72" spans="1:37" ht="17" x14ac:dyDescent="0.2">
      <c r="A72" s="31">
        <f>IF(Table6[[#This Row],[instruction]]&lt;&gt;"",MAX($A$6:A71)+1," ")</f>
        <v>67</v>
      </c>
      <c r="B72" s="32" t="s">
        <v>485</v>
      </c>
      <c r="C72" t="s">
        <v>26</v>
      </c>
      <c r="D72" s="31" t="s">
        <v>84</v>
      </c>
      <c r="E72" s="31" t="s">
        <v>19</v>
      </c>
      <c r="F72" s="31" t="s">
        <v>27</v>
      </c>
      <c r="G72" s="31" t="s">
        <v>502</v>
      </c>
      <c r="K72" s="2" t="str">
        <f t="shared" si="1"/>
        <v>alu</v>
      </c>
      <c r="L72" cm="1">
        <f t="array" ref="L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" t="str">
        <f>IF(OR(ISNUMBER(SEARCH("imad", Table6[[#This Row],[instruction]])), ISNUMBER(SEARCH("ffma", Table6[[#This Row],[instruction]])), ISNUMBER(SEARCH("fmul", Table6[[#This Row],[instruction]]))), "fma", "")</f>
        <v/>
      </c>
      <c r="P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" t="str">
        <f>IF(OR(ISNUMBER(SEARCH("s2r", Table6[[#This Row],[instruction]])),ISNUMBER(SEARCH("s2ur", Table6[[#This Row],[instruction]]))), "special", "")</f>
        <v/>
      </c>
      <c r="S72" t="str">
        <f>IF(OR(ISNUMBER(SEARCH("stg", Table6[[#This Row],[instruction]])),ISNUMBER(SEARCH("ldg", Table6[[#This Row],[instruction]]))), "global", "")</f>
        <v/>
      </c>
      <c r="T72" t="str">
        <f>IF(OR(ISNUMBER(SEARCH("sts", Table6[[#This Row],[instruction]])),ISNUMBER(SEARCH("lds", Table6[[#This Row],[instruction]]))), "shared", "")</f>
        <v/>
      </c>
      <c r="U72" t="str">
        <f>IF(OR(ISNUMBER(SEARCH("LDC", Table6[[#This Row],[instruction]]))), "ind. const", "")</f>
        <v/>
      </c>
      <c r="V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Row],[s5]]))),U72=""), "cmb. const", "")</f>
        <v/>
      </c>
      <c r="Y72">
        <f>IF(Table6[[#This Row],[pipeline]]="fma",Table6[[#This Row],[delay]],0)</f>
        <v>0</v>
      </c>
      <c r="Z72">
        <f>IF(AND(Table6[[#This Row],[pipeline]]="fma",W72="new"),290,0)</f>
        <v>0</v>
      </c>
      <c r="AK72" s="34"/>
    </row>
    <row r="73" spans="1:37" ht="17" x14ac:dyDescent="0.2">
      <c r="A73" s="31">
        <f>IF(Table6[[#This Row],[instruction]]&lt;&gt;"",MAX($A$6:A72)+1," ")</f>
        <v>68</v>
      </c>
      <c r="B73" s="32" t="s">
        <v>485</v>
      </c>
      <c r="C73" t="s">
        <v>45</v>
      </c>
      <c r="D73" s="31" t="s">
        <v>27</v>
      </c>
      <c r="E73" s="31" t="s">
        <v>8</v>
      </c>
      <c r="F73" s="31" t="s">
        <v>8</v>
      </c>
      <c r="G73" s="31" t="s">
        <v>502</v>
      </c>
      <c r="K73" s="2" t="str">
        <f t="shared" si="1"/>
        <v>fma</v>
      </c>
      <c r="L73" cm="1">
        <f t="array" ref="L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" t="str">
        <f>IF(OR(ISNUMBER(SEARCH("imad", Table6[[#This Row],[instruction]])), ISNUMBER(SEARCH("ffma", Table6[[#This Row],[instruction]])), ISNUMBER(SEARCH("fmul", Table6[[#This Row],[instruction]]))), "fma", "")</f>
        <v>fma</v>
      </c>
      <c r="P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" t="str">
        <f>IF(OR(ISNUMBER(SEARCH("s2r", Table6[[#This Row],[instruction]])),ISNUMBER(SEARCH("s2ur", Table6[[#This Row],[instruction]]))), "special", "")</f>
        <v/>
      </c>
      <c r="S73" t="str">
        <f>IF(OR(ISNUMBER(SEARCH("stg", Table6[[#This Row],[instruction]])),ISNUMBER(SEARCH("ldg", Table6[[#This Row],[instruction]]))), "global", "")</f>
        <v/>
      </c>
      <c r="T73" t="str">
        <f>IF(OR(ISNUMBER(SEARCH("sts", Table6[[#This Row],[instruction]])),ISNUMBER(SEARCH("lds", Table6[[#This Row],[instruction]]))), "shared", "")</f>
        <v/>
      </c>
      <c r="U73" t="str">
        <f>IF(OR(ISNUMBER(SEARCH("LDC", Table6[[#This Row],[instruction]]))), "ind. const", "")</f>
        <v/>
      </c>
      <c r="V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Row],[s5]]))),U73=""), "cmb. const", "")</f>
        <v/>
      </c>
      <c r="Y73">
        <f>IF(Table6[[#This Row],[pipeline]]="fma",Table6[[#This Row],[delay]],0)</f>
        <v>4</v>
      </c>
      <c r="Z73">
        <f>IF(AND(Table6[[#This Row],[pipeline]]="fma",W73="new"),290,0)</f>
        <v>0</v>
      </c>
      <c r="AK73" s="34"/>
    </row>
    <row r="74" spans="1:37" ht="17" x14ac:dyDescent="0.2">
      <c r="A74" s="31">
        <f>IF(Table6[[#This Row],[instruction]]&lt;&gt;"",MAX($A$6:A73)+1," ")</f>
        <v>69</v>
      </c>
      <c r="B74" s="32" t="s">
        <v>485</v>
      </c>
      <c r="C74" t="s">
        <v>87</v>
      </c>
      <c r="D74" s="31" t="s">
        <v>50</v>
      </c>
      <c r="E74" s="31" t="s">
        <v>51</v>
      </c>
      <c r="F74" s="31" t="s">
        <v>71</v>
      </c>
      <c r="G74" s="31" t="s">
        <v>414</v>
      </c>
      <c r="H74" s="31" t="s">
        <v>494</v>
      </c>
      <c r="K74" s="2" t="str">
        <f t="shared" si="1"/>
        <v>alu</v>
      </c>
      <c r="L74" cm="1">
        <f t="array" ref="L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4" t="str">
        <f>IF(OR(ISNUMBER(SEARCH("imad", Table6[[#This Row],[instruction]])), ISNUMBER(SEARCH("ffma", Table6[[#This Row],[instruction]])), ISNUMBER(SEARCH("fmul", Table6[[#This Row],[instruction]]))), "fma", "")</f>
        <v/>
      </c>
      <c r="P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" t="str">
        <f>IF(OR(ISNUMBER(SEARCH("s2r", Table6[[#This Row],[instruction]])),ISNUMBER(SEARCH("s2ur", Table6[[#This Row],[instruction]]))), "special", "")</f>
        <v/>
      </c>
      <c r="S74" t="str">
        <f>IF(OR(ISNUMBER(SEARCH("stg", Table6[[#This Row],[instruction]])),ISNUMBER(SEARCH("ldg", Table6[[#This Row],[instruction]]))), "global", "")</f>
        <v/>
      </c>
      <c r="T74" t="str">
        <f>IF(OR(ISNUMBER(SEARCH("sts", Table6[[#This Row],[instruction]])),ISNUMBER(SEARCH("lds", Table6[[#This Row],[instruction]]))), "shared", "")</f>
        <v/>
      </c>
      <c r="U74" t="str">
        <f>IF(OR(ISNUMBER(SEARCH("LDC", Table6[[#This Row],[instruction]]))), "ind. const", "")</f>
        <v/>
      </c>
      <c r="V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Row],[s5]]))),U74=""), "cmb. const", "")</f>
        <v>cmb. const</v>
      </c>
      <c r="W74" s="2" t="s">
        <v>482</v>
      </c>
      <c r="Y74">
        <f>IF(Table6[[#This Row],[pipeline]]="fma",Table6[[#This Row],[delay]],0)</f>
        <v>0</v>
      </c>
      <c r="Z74">
        <f>IF(AND(Table6[[#This Row],[pipeline]]="fma",W74="new"),290,0)</f>
        <v>0</v>
      </c>
      <c r="AK74" s="34"/>
    </row>
    <row r="75" spans="1:37" ht="17" x14ac:dyDescent="0.2">
      <c r="A75" s="31">
        <f>IF(Table6[[#This Row],[instruction]]&lt;&gt;"",MAX($A$6:A74)+1," ")</f>
        <v>70</v>
      </c>
      <c r="B75" s="32" t="s">
        <v>485</v>
      </c>
      <c r="C75" t="s">
        <v>547</v>
      </c>
      <c r="D75" s="31" t="s">
        <v>50</v>
      </c>
      <c r="E75" s="31" t="s">
        <v>51</v>
      </c>
      <c r="F75" s="31" t="s">
        <v>84</v>
      </c>
      <c r="G75" s="31" t="s">
        <v>413</v>
      </c>
      <c r="H75" s="31" t="s">
        <v>527</v>
      </c>
      <c r="K75" s="2" t="str">
        <f t="shared" si="1"/>
        <v>alu</v>
      </c>
      <c r="L75" cm="1">
        <f t="array" ref="L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" t="str">
        <f>IF(OR(ISNUMBER(SEARCH("imad", Table6[[#This Row],[instruction]])), ISNUMBER(SEARCH("ffma", Table6[[#This Row],[instruction]])), ISNUMBER(SEARCH("fmul", Table6[[#This Row],[instruction]]))), "fma", "")</f>
        <v/>
      </c>
      <c r="P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" t="str">
        <f>IF(OR(ISNUMBER(SEARCH("s2r", Table6[[#This Row],[instruction]])),ISNUMBER(SEARCH("s2ur", Table6[[#This Row],[instruction]]))), "special", "")</f>
        <v/>
      </c>
      <c r="S75" t="str">
        <f>IF(OR(ISNUMBER(SEARCH("stg", Table6[[#This Row],[instruction]])),ISNUMBER(SEARCH("ldg", Table6[[#This Row],[instruction]]))), "global", "")</f>
        <v/>
      </c>
      <c r="T75" t="str">
        <f>IF(OR(ISNUMBER(SEARCH("sts", Table6[[#This Row],[instruction]])),ISNUMBER(SEARCH("lds", Table6[[#This Row],[instruction]]))), "shared", "")</f>
        <v/>
      </c>
      <c r="U75" t="str">
        <f>IF(OR(ISNUMBER(SEARCH("LDC", Table6[[#This Row],[instruction]]))), "ind. const", "")</f>
        <v/>
      </c>
      <c r="V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Row],[s5]]))),U75=""), "cmb. const", "")</f>
        <v>cmb. const</v>
      </c>
      <c r="W75" s="2" t="s">
        <v>482</v>
      </c>
      <c r="Y75">
        <f>IF(Table6[[#This Row],[pipeline]]="fma",Table6[[#This Row],[delay]],0)</f>
        <v>0</v>
      </c>
      <c r="Z75">
        <f>IF(AND(Table6[[#This Row],[pipeline]]="fma",W75="new"),290,0)</f>
        <v>0</v>
      </c>
      <c r="AK75" s="34"/>
    </row>
    <row r="76" spans="1:37" ht="17" x14ac:dyDescent="0.2">
      <c r="A76" s="31">
        <f>IF(Table6[[#This Row],[instruction]]&lt;&gt;"",MAX($A$6:A75)+1," ")</f>
        <v>71</v>
      </c>
      <c r="B76" s="32" t="s">
        <v>86</v>
      </c>
      <c r="C76" t="s">
        <v>359</v>
      </c>
      <c r="D76" s="31" t="s">
        <v>534</v>
      </c>
      <c r="K76" s="2" t="str">
        <f t="shared" si="1"/>
        <v>cba</v>
      </c>
      <c r="L76" cm="1">
        <f t="array" ref="L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76" t="s">
        <v>770</v>
      </c>
      <c r="O76" t="str">
        <f>IF(OR(ISNUMBER(SEARCH("imad", Table6[[#This Row],[instruction]])), ISNUMBER(SEARCH("ffma", Table6[[#This Row],[instruction]])), ISNUMBER(SEARCH("fmul", Table6[[#This Row],[instruction]]))), "fma", "")</f>
        <v/>
      </c>
      <c r="P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6" t="str">
        <f>IF(OR(ISNUMBER(SEARCH("s2r", Table6[[#This Row],[instruction]])),ISNUMBER(SEARCH("s2ur", Table6[[#This Row],[instruction]]))), "special", "")</f>
        <v/>
      </c>
      <c r="S76" t="str">
        <f>IF(OR(ISNUMBER(SEARCH("stg", Table6[[#This Row],[instruction]])),ISNUMBER(SEARCH("ldg", Table6[[#This Row],[instruction]]))), "global", "")</f>
        <v/>
      </c>
      <c r="T76" t="str">
        <f>IF(OR(ISNUMBER(SEARCH("sts", Table6[[#This Row],[instruction]])),ISNUMBER(SEARCH("lds", Table6[[#This Row],[instruction]]))), "shared", "")</f>
        <v/>
      </c>
      <c r="U76" t="str">
        <f>IF(OR(ISNUMBER(SEARCH("LDC", Table6[[#This Row],[instruction]]))), "ind. const", "")</f>
        <v/>
      </c>
      <c r="V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Row],[s5]]))),U76=""), "cmb. const", "")</f>
        <v/>
      </c>
      <c r="Y76">
        <f>IF(Table6[[#This Row],[pipeline]]="fma",Table6[[#This Row],[delay]],0)</f>
        <v>0</v>
      </c>
      <c r="Z76">
        <f>IF(AND(Table6[[#This Row],[pipeline]]="fma",W76="new"),290,0)</f>
        <v>0</v>
      </c>
      <c r="AK76" s="34"/>
    </row>
    <row r="77" spans="1:37" ht="17" x14ac:dyDescent="0.2">
      <c r="A77" s="31">
        <f>IF(Table6[[#This Row],[instruction]]&lt;&gt;"",MAX($A$6:A76)+1," ")</f>
        <v>72</v>
      </c>
      <c r="B77" s="32" t="s">
        <v>485</v>
      </c>
      <c r="C77" t="s">
        <v>14</v>
      </c>
      <c r="D77" s="31" t="s">
        <v>27</v>
      </c>
      <c r="E77" s="31" t="s">
        <v>17</v>
      </c>
      <c r="F77" s="31" t="s">
        <v>417</v>
      </c>
      <c r="G77" s="31" t="s">
        <v>543</v>
      </c>
      <c r="K77" s="2" t="str">
        <f t="shared" si="1"/>
        <v>fma</v>
      </c>
      <c r="L77" cm="1">
        <f t="array" ref="L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" t="str">
        <f>IF(OR(ISNUMBER(SEARCH("imad", Table6[[#This Row],[instruction]])), ISNUMBER(SEARCH("ffma", Table6[[#This Row],[instruction]])), ISNUMBER(SEARCH("fmul", Table6[[#This Row],[instruction]]))), "fma", "")</f>
        <v>fma</v>
      </c>
      <c r="P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" t="str">
        <f>IF(OR(ISNUMBER(SEARCH("s2r", Table6[[#This Row],[instruction]])),ISNUMBER(SEARCH("s2ur", Table6[[#This Row],[instruction]]))), "special", "")</f>
        <v/>
      </c>
      <c r="S77" t="str">
        <f>IF(OR(ISNUMBER(SEARCH("stg", Table6[[#This Row],[instruction]])),ISNUMBER(SEARCH("ldg", Table6[[#This Row],[instruction]]))), "global", "")</f>
        <v/>
      </c>
      <c r="T77" t="str">
        <f>IF(OR(ISNUMBER(SEARCH("sts", Table6[[#This Row],[instruction]])),ISNUMBER(SEARCH("lds", Table6[[#This Row],[instruction]]))), "shared", "")</f>
        <v/>
      </c>
      <c r="U77" t="str">
        <f>IF(OR(ISNUMBER(SEARCH("LDC", Table6[[#This Row],[instruction]]))), "ind. const", "")</f>
        <v/>
      </c>
      <c r="V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Row],[s5]]))),U77=""), "cmb. const", "")</f>
        <v>cmb. const</v>
      </c>
      <c r="W77" s="2" t="s">
        <v>482</v>
      </c>
      <c r="Y77">
        <f>IF(Table6[[#This Row],[pipeline]]="fma",Table6[[#This Row],[delay]],0)</f>
        <v>4</v>
      </c>
      <c r="Z77">
        <f>IF(AND(Table6[[#This Row],[pipeline]]="fma",W77="new"),290,0)</f>
        <v>290</v>
      </c>
      <c r="AK77" s="34"/>
    </row>
    <row r="78" spans="1:37" ht="17" x14ac:dyDescent="0.2">
      <c r="A78" s="31">
        <f>IF(Table6[[#This Row],[instruction]]&lt;&gt;"",MAX($A$6:A77)+1," ")</f>
        <v>73</v>
      </c>
      <c r="B78" s="32" t="s">
        <v>485</v>
      </c>
      <c r="C78" t="s">
        <v>0</v>
      </c>
      <c r="D78" s="31" t="s">
        <v>430</v>
      </c>
      <c r="E78" s="31" t="s">
        <v>548</v>
      </c>
      <c r="K78" s="2" t="str">
        <f t="shared" si="1"/>
        <v/>
      </c>
      <c r="L78" cm="1">
        <f t="array" ref="L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8" t="str">
        <f>IF(OR(ISNUMBER(SEARCH("imad", Table6[[#This Row],[instruction]])), ISNUMBER(SEARCH("ffma", Table6[[#This Row],[instruction]])), ISNUMBER(SEARCH("fmul", Table6[[#This Row],[instruction]]))), "fma", "")</f>
        <v/>
      </c>
      <c r="P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" t="str">
        <f>IF(OR(ISNUMBER(SEARCH("s2r", Table6[[#This Row],[instruction]])),ISNUMBER(SEARCH("s2ur", Table6[[#This Row],[instruction]]))), "special", "")</f>
        <v/>
      </c>
      <c r="S78" t="str">
        <f>IF(OR(ISNUMBER(SEARCH("stg", Table6[[#This Row],[instruction]])),ISNUMBER(SEARCH("ldg", Table6[[#This Row],[instruction]]))), "global", "")</f>
        <v/>
      </c>
      <c r="T78" t="str">
        <f>IF(OR(ISNUMBER(SEARCH("sts", Table6[[#This Row],[instruction]])),ISNUMBER(SEARCH("lds", Table6[[#This Row],[instruction]]))), "shared", "")</f>
        <v/>
      </c>
      <c r="U78" t="str">
        <f>IF(OR(ISNUMBER(SEARCH("LDC", Table6[[#This Row],[instruction]]))), "ind. const", "")</f>
        <v/>
      </c>
      <c r="V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Row],[s5]]))),U78=""), "cmb. const", "")</f>
        <v/>
      </c>
      <c r="Y78">
        <f>IF(Table6[[#This Row],[pipeline]]="fma",Table6[[#This Row],[delay]],0)</f>
        <v>0</v>
      </c>
      <c r="Z78">
        <f>IF(AND(Table6[[#This Row],[pipeline]]="fma",W78="new"),290,0)</f>
        <v>0</v>
      </c>
      <c r="AK78" s="34"/>
    </row>
    <row r="79" spans="1:37" ht="17" x14ac:dyDescent="0.2">
      <c r="A79" s="31">
        <f>IF(Table6[[#This Row],[instruction]]&lt;&gt;"",MAX($A$6:A78)+1," ")</f>
        <v>74</v>
      </c>
      <c r="B79" s="32" t="s">
        <v>485</v>
      </c>
      <c r="C79" t="s">
        <v>14</v>
      </c>
      <c r="D79" s="31" t="s">
        <v>27</v>
      </c>
      <c r="E79" s="31" t="s">
        <v>61</v>
      </c>
      <c r="F79" s="31" t="s">
        <v>422</v>
      </c>
      <c r="G79" s="31" t="s">
        <v>540</v>
      </c>
      <c r="K79" s="2" t="str">
        <f t="shared" si="1"/>
        <v>fma</v>
      </c>
      <c r="L79" cm="1">
        <f t="array" ref="L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" t="str">
        <f>IF(OR(ISNUMBER(SEARCH("imad", Table6[[#This Row],[instruction]])), ISNUMBER(SEARCH("ffma", Table6[[#This Row],[instruction]])), ISNUMBER(SEARCH("fmul", Table6[[#This Row],[instruction]]))), "fma", "")</f>
        <v>fma</v>
      </c>
      <c r="P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" t="str">
        <f>IF(OR(ISNUMBER(SEARCH("s2r", Table6[[#This Row],[instruction]])),ISNUMBER(SEARCH("s2ur", Table6[[#This Row],[instruction]]))), "special", "")</f>
        <v/>
      </c>
      <c r="S79" t="str">
        <f>IF(OR(ISNUMBER(SEARCH("stg", Table6[[#This Row],[instruction]])),ISNUMBER(SEARCH("ldg", Table6[[#This Row],[instruction]]))), "global", "")</f>
        <v/>
      </c>
      <c r="T79" t="str">
        <f>IF(OR(ISNUMBER(SEARCH("sts", Table6[[#This Row],[instruction]])),ISNUMBER(SEARCH("lds", Table6[[#This Row],[instruction]]))), "shared", "")</f>
        <v/>
      </c>
      <c r="U79" t="str">
        <f>IF(OR(ISNUMBER(SEARCH("LDC", Table6[[#This Row],[instruction]]))), "ind. const", "")</f>
        <v/>
      </c>
      <c r="V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Row],[s5]]))),U79=""), "cmb. const", "")</f>
        <v>cmb. const</v>
      </c>
      <c r="W79" s="2" t="s">
        <v>482</v>
      </c>
      <c r="Y79">
        <f>IF(Table6[[#This Row],[pipeline]]="fma",Table6[[#This Row],[delay]],0)</f>
        <v>4</v>
      </c>
      <c r="Z79">
        <f>IF(AND(Table6[[#This Row],[pipeline]]="fma",W79="new"),290,0)</f>
        <v>290</v>
      </c>
      <c r="AK79" s="34"/>
    </row>
    <row r="80" spans="1:37" ht="17" x14ac:dyDescent="0.2">
      <c r="A80" s="31">
        <f>IF(Table6[[#This Row],[instruction]]&lt;&gt;"",MAX($A$6:A79)+1," ")</f>
        <v>75</v>
      </c>
      <c r="B80" s="32" t="s">
        <v>485</v>
      </c>
      <c r="C80" t="s">
        <v>14</v>
      </c>
      <c r="D80" s="31" t="s">
        <v>27</v>
      </c>
      <c r="E80" s="31" t="s">
        <v>84</v>
      </c>
      <c r="F80" s="31" t="s">
        <v>549</v>
      </c>
      <c r="G80" s="31" t="s">
        <v>540</v>
      </c>
      <c r="K80" s="2" t="str">
        <f t="shared" si="1"/>
        <v>fma</v>
      </c>
      <c r="L80" cm="1">
        <f t="array" ref="L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0" t="str">
        <f>IF(OR(ISNUMBER(SEARCH("imad", Table6[[#This Row],[instruction]])), ISNUMBER(SEARCH("ffma", Table6[[#This Row],[instruction]])), ISNUMBER(SEARCH("fmul", Table6[[#This Row],[instruction]]))), "fma", "")</f>
        <v>fma</v>
      </c>
      <c r="P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" t="str">
        <f>IF(OR(ISNUMBER(SEARCH("s2r", Table6[[#This Row],[instruction]])),ISNUMBER(SEARCH("s2ur", Table6[[#This Row],[instruction]]))), "special", "")</f>
        <v/>
      </c>
      <c r="S80" t="str">
        <f>IF(OR(ISNUMBER(SEARCH("stg", Table6[[#This Row],[instruction]])),ISNUMBER(SEARCH("ldg", Table6[[#This Row],[instruction]]))), "global", "")</f>
        <v/>
      </c>
      <c r="T80" t="str">
        <f>IF(OR(ISNUMBER(SEARCH("sts", Table6[[#This Row],[instruction]])),ISNUMBER(SEARCH("lds", Table6[[#This Row],[instruction]]))), "shared", "")</f>
        <v/>
      </c>
      <c r="U80" t="str">
        <f>IF(OR(ISNUMBER(SEARCH("LDC", Table6[[#This Row],[instruction]]))), "ind. const", "")</f>
        <v/>
      </c>
      <c r="V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Row],[s5]]))),U80=""), "cmb. const", "")</f>
        <v>cmb. const</v>
      </c>
      <c r="W80" s="2" t="s">
        <v>482</v>
      </c>
      <c r="Y80">
        <f>IF(Table6[[#This Row],[pipeline]]="fma",Table6[[#This Row],[delay]],0)</f>
        <v>4</v>
      </c>
      <c r="Z80">
        <f>IF(AND(Table6[[#This Row],[pipeline]]="fma",W80="new"),290,0)</f>
        <v>290</v>
      </c>
      <c r="AK80" s="34"/>
    </row>
    <row r="81" spans="1:37" ht="17" x14ac:dyDescent="0.2">
      <c r="A81" s="31">
        <f>IF(Table6[[#This Row],[instruction]]&lt;&gt;"",MAX($A$6:A80)+1," ")</f>
        <v>76</v>
      </c>
      <c r="B81" s="32" t="s">
        <v>485</v>
      </c>
      <c r="C81" t="s">
        <v>54</v>
      </c>
      <c r="D81" s="31" t="s">
        <v>430</v>
      </c>
      <c r="E81" s="31" t="s">
        <v>27</v>
      </c>
      <c r="F81" s="31" t="s">
        <v>430</v>
      </c>
      <c r="G81" s="31" t="s">
        <v>550</v>
      </c>
      <c r="K81" s="2" t="str">
        <f t="shared" si="1"/>
        <v>fma</v>
      </c>
      <c r="L81" cm="1">
        <f t="array" ref="L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" t="str">
        <f>IF(OR(ISNUMBER(SEARCH("imad", Table6[[#This Row],[instruction]])), ISNUMBER(SEARCH("ffma", Table6[[#This Row],[instruction]])), ISNUMBER(SEARCH("fmul", Table6[[#This Row],[instruction]]))), "fma", "")</f>
        <v>fma</v>
      </c>
      <c r="P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" t="str">
        <f>IF(OR(ISNUMBER(SEARCH("s2r", Table6[[#This Row],[instruction]])),ISNUMBER(SEARCH("s2ur", Table6[[#This Row],[instruction]]))), "special", "")</f>
        <v/>
      </c>
      <c r="S81" t="str">
        <f>IF(OR(ISNUMBER(SEARCH("stg", Table6[[#This Row],[instruction]])),ISNUMBER(SEARCH("ldg", Table6[[#This Row],[instruction]]))), "global", "")</f>
        <v/>
      </c>
      <c r="T81" t="str">
        <f>IF(OR(ISNUMBER(SEARCH("sts", Table6[[#This Row],[instruction]])),ISNUMBER(SEARCH("lds", Table6[[#This Row],[instruction]]))), "shared", "")</f>
        <v/>
      </c>
      <c r="U81" t="str">
        <f>IF(OR(ISNUMBER(SEARCH("LDC", Table6[[#This Row],[instruction]]))), "ind. const", "")</f>
        <v/>
      </c>
      <c r="V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Row],[s5]]))),U81=""), "cmb. const", "")</f>
        <v>cmb. const</v>
      </c>
      <c r="W81" s="2" t="s">
        <v>482</v>
      </c>
      <c r="Y81">
        <f>IF(Table6[[#This Row],[pipeline]]="fma",Table6[[#This Row],[delay]],0)</f>
        <v>4</v>
      </c>
      <c r="Z81">
        <f>IF(AND(Table6[[#This Row],[pipeline]]="fma",W81="new"),290,0)</f>
        <v>290</v>
      </c>
      <c r="AK81" s="34"/>
    </row>
    <row r="82" spans="1:37" ht="17" x14ac:dyDescent="0.2">
      <c r="A82" s="31">
        <f>IF(Table6[[#This Row],[instruction]]&lt;&gt;"",MAX($A$6:A81)+1," ")</f>
        <v>77</v>
      </c>
      <c r="B82" s="32" t="s">
        <v>485</v>
      </c>
      <c r="C82" t="s">
        <v>444</v>
      </c>
      <c r="D82" s="31" t="s">
        <v>27</v>
      </c>
      <c r="E82" s="31" t="s">
        <v>551</v>
      </c>
      <c r="K82" s="2" t="str">
        <f t="shared" si="1"/>
        <v>global</v>
      </c>
      <c r="L82" cm="1">
        <f t="array" ref="L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2" t="str">
        <f>IF(OR(ISNUMBER(SEARCH("imad", Table6[[#This Row],[instruction]])), ISNUMBER(SEARCH("ffma", Table6[[#This Row],[instruction]])), ISNUMBER(SEARCH("fmul", Table6[[#This Row],[instruction]]))), "fma", "")</f>
        <v/>
      </c>
      <c r="P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" t="str">
        <f>IF(OR(ISNUMBER(SEARCH("s2r", Table6[[#This Row],[instruction]])),ISNUMBER(SEARCH("s2ur", Table6[[#This Row],[instruction]]))), "special", "")</f>
        <v/>
      </c>
      <c r="S82" t="str">
        <f>IF(OR(ISNUMBER(SEARCH("stg", Table6[[#This Row],[instruction]])),ISNUMBER(SEARCH("ldg", Table6[[#This Row],[instruction]]))), "global", "")</f>
        <v>global</v>
      </c>
      <c r="T82" t="str">
        <f>IF(OR(ISNUMBER(SEARCH("sts", Table6[[#This Row],[instruction]])),ISNUMBER(SEARCH("lds", Table6[[#This Row],[instruction]]))), "shared", "")</f>
        <v/>
      </c>
      <c r="U82" t="str">
        <f>IF(OR(ISNUMBER(SEARCH("LDC", Table6[[#This Row],[instruction]]))), "ind. const", "")</f>
        <v/>
      </c>
      <c r="V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Row],[s5]]))),U82=""), "cmb. const", "")</f>
        <v/>
      </c>
      <c r="Y82">
        <f>IF(Table6[[#This Row],[pipeline]]="fma",Table6[[#This Row],[delay]],0)</f>
        <v>0</v>
      </c>
      <c r="Z82">
        <f>IF(AND(Table6[[#This Row],[pipeline]]="fma",W82="new"),290,0)</f>
        <v>0</v>
      </c>
      <c r="AK82" s="34"/>
    </row>
    <row r="83" spans="1:37" ht="17" x14ac:dyDescent="0.2">
      <c r="A83" s="31">
        <f>IF(Table6[[#This Row],[instruction]]&lt;&gt;"",MAX($A$6:A82)+1," ")</f>
        <v>78</v>
      </c>
      <c r="B83" s="32" t="s">
        <v>485</v>
      </c>
      <c r="C83" t="s">
        <v>72</v>
      </c>
      <c r="D83" s="31" t="s">
        <v>552</v>
      </c>
      <c r="K83" s="2" t="str">
        <f t="shared" si="1"/>
        <v>cba</v>
      </c>
      <c r="L83" cm="1">
        <f t="array" ref="L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3" t="str">
        <f>IF(OR(ISNUMBER(SEARCH("imad", Table6[[#This Row],[instruction]])), ISNUMBER(SEARCH("ffma", Table6[[#This Row],[instruction]])), ISNUMBER(SEARCH("fmul", Table6[[#This Row],[instruction]]))), "fma", "")</f>
        <v/>
      </c>
      <c r="P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3" t="str">
        <f>IF(OR(ISNUMBER(SEARCH("s2r", Table6[[#This Row],[instruction]])),ISNUMBER(SEARCH("s2ur", Table6[[#This Row],[instruction]]))), "special", "")</f>
        <v/>
      </c>
      <c r="S83" t="str">
        <f>IF(OR(ISNUMBER(SEARCH("stg", Table6[[#This Row],[instruction]])),ISNUMBER(SEARCH("ldg", Table6[[#This Row],[instruction]]))), "global", "")</f>
        <v/>
      </c>
      <c r="T83" t="str">
        <f>IF(OR(ISNUMBER(SEARCH("sts", Table6[[#This Row],[instruction]])),ISNUMBER(SEARCH("lds", Table6[[#This Row],[instruction]]))), "shared", "")</f>
        <v/>
      </c>
      <c r="U83" t="str">
        <f>IF(OR(ISNUMBER(SEARCH("LDC", Table6[[#This Row],[instruction]]))), "ind. const", "")</f>
        <v/>
      </c>
      <c r="V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Row],[s5]]))),U83=""), "cmb. const", "")</f>
        <v/>
      </c>
      <c r="Y83">
        <f>IF(Table6[[#This Row],[pipeline]]="fma",Table6[[#This Row],[delay]],0)</f>
        <v>0</v>
      </c>
      <c r="Z83">
        <f>IF(AND(Table6[[#This Row],[pipeline]]="fma",W83="new"),290,0)</f>
        <v>0</v>
      </c>
      <c r="AK83" s="34"/>
    </row>
    <row r="84" spans="1:37" ht="17" x14ac:dyDescent="0.2">
      <c r="A84" s="31">
        <f>IF(Table6[[#This Row],[instruction]]&lt;&gt;"",MAX($A$6:A83)+1," ")</f>
        <v>79</v>
      </c>
      <c r="B84" s="32" t="s">
        <v>485</v>
      </c>
      <c r="C84" t="s">
        <v>67</v>
      </c>
      <c r="D84" s="31" t="s">
        <v>68</v>
      </c>
      <c r="E84" s="31" t="s">
        <v>553</v>
      </c>
      <c r="K84" s="2" t="str">
        <f t="shared" si="1"/>
        <v>cba</v>
      </c>
      <c r="L84" cm="1">
        <f t="array" ref="L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4" t="str">
        <f>IF(OR(ISNUMBER(SEARCH("imad", Table6[[#This Row],[instruction]])), ISNUMBER(SEARCH("ffma", Table6[[#This Row],[instruction]])), ISNUMBER(SEARCH("fmul", Table6[[#This Row],[instruction]]))), "fma", "")</f>
        <v/>
      </c>
      <c r="P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4" t="str">
        <f>IF(OR(ISNUMBER(SEARCH("s2r", Table6[[#This Row],[instruction]])),ISNUMBER(SEARCH("s2ur", Table6[[#This Row],[instruction]]))), "special", "")</f>
        <v/>
      </c>
      <c r="S84" t="str">
        <f>IF(OR(ISNUMBER(SEARCH("stg", Table6[[#This Row],[instruction]])),ISNUMBER(SEARCH("ldg", Table6[[#This Row],[instruction]]))), "global", "")</f>
        <v/>
      </c>
      <c r="T84" t="str">
        <f>IF(OR(ISNUMBER(SEARCH("sts", Table6[[#This Row],[instruction]])),ISNUMBER(SEARCH("lds", Table6[[#This Row],[instruction]]))), "shared", "")</f>
        <v/>
      </c>
      <c r="U84" t="str">
        <f>IF(OR(ISNUMBER(SEARCH("LDC", Table6[[#This Row],[instruction]]))), "ind. const", "")</f>
        <v/>
      </c>
      <c r="V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Row],[s5]]))),U84=""), "cmb. const", "")</f>
        <v/>
      </c>
      <c r="Y84">
        <f>IF(Table6[[#This Row],[pipeline]]="fma",Table6[[#This Row],[delay]],0)</f>
        <v>0</v>
      </c>
      <c r="Z84">
        <f>IF(AND(Table6[[#This Row],[pipeline]]="fma",W84="new"),290,0)</f>
        <v>0</v>
      </c>
      <c r="AK84" s="34"/>
    </row>
    <row r="85" spans="1:37" ht="17" x14ac:dyDescent="0.2">
      <c r="A85" s="31">
        <f>IF(Table6[[#This Row],[instruction]]&lt;&gt;"",MAX($A$6:A84)+1," ")</f>
        <v>80</v>
      </c>
      <c r="B85" s="32" t="s">
        <v>554</v>
      </c>
      <c r="C85" t="s">
        <v>359</v>
      </c>
      <c r="D85" s="31" t="s">
        <v>555</v>
      </c>
      <c r="K85" s="2" t="str">
        <f t="shared" si="1"/>
        <v>cba</v>
      </c>
      <c r="L85" cm="1">
        <f t="array" ref="L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5" t="str">
        <f>IF(OR(ISNUMBER(SEARCH("imad", Table6[[#This Row],[instruction]])), ISNUMBER(SEARCH("ffma", Table6[[#This Row],[instruction]])), ISNUMBER(SEARCH("fmul", Table6[[#This Row],[instruction]]))), "fma", "")</f>
        <v/>
      </c>
      <c r="P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5" t="str">
        <f>IF(OR(ISNUMBER(SEARCH("s2r", Table6[[#This Row],[instruction]])),ISNUMBER(SEARCH("s2ur", Table6[[#This Row],[instruction]]))), "special", "")</f>
        <v/>
      </c>
      <c r="S85" t="str">
        <f>IF(OR(ISNUMBER(SEARCH("stg", Table6[[#This Row],[instruction]])),ISNUMBER(SEARCH("ldg", Table6[[#This Row],[instruction]]))), "global", "")</f>
        <v/>
      </c>
      <c r="T85" t="str">
        <f>IF(OR(ISNUMBER(SEARCH("sts", Table6[[#This Row],[instruction]])),ISNUMBER(SEARCH("lds", Table6[[#This Row],[instruction]]))), "shared", "")</f>
        <v/>
      </c>
      <c r="U85" t="str">
        <f>IF(OR(ISNUMBER(SEARCH("LDC", Table6[[#This Row],[instruction]]))), "ind. const", "")</f>
        <v/>
      </c>
      <c r="V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Row],[s5]]))),U85=""), "cmb. const", "")</f>
        <v/>
      </c>
      <c r="Y85">
        <f>IF(Table6[[#This Row],[pipeline]]="fma",Table6[[#This Row],[delay]],0)</f>
        <v>0</v>
      </c>
      <c r="Z85">
        <f>IF(AND(Table6[[#This Row],[pipeline]]="fma",W85="new"),290,0)</f>
        <v>0</v>
      </c>
      <c r="AK85" s="34"/>
    </row>
    <row r="86" spans="1:37" ht="17" x14ac:dyDescent="0.2">
      <c r="A86" s="31">
        <f>IF(Table6[[#This Row],[instruction]]&lt;&gt;"",MAX($A$6:A85)+1," ")</f>
        <v>81</v>
      </c>
      <c r="B86" s="32" t="s">
        <v>485</v>
      </c>
      <c r="C86" t="s">
        <v>45</v>
      </c>
      <c r="D86" s="31" t="s">
        <v>61</v>
      </c>
      <c r="E86" s="31" t="s">
        <v>8</v>
      </c>
      <c r="F86" s="31" t="s">
        <v>8</v>
      </c>
      <c r="G86" s="31" t="s">
        <v>535</v>
      </c>
      <c r="K86" s="2" t="str">
        <f t="shared" si="1"/>
        <v>fma</v>
      </c>
      <c r="L86" cm="1">
        <f t="array" ref="L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" t="str">
        <f>IF(OR(ISNUMBER(SEARCH("imad", Table6[[#This Row],[instruction]])), ISNUMBER(SEARCH("ffma", Table6[[#This Row],[instruction]])), ISNUMBER(SEARCH("fmul", Table6[[#This Row],[instruction]]))), "fma", "")</f>
        <v>fma</v>
      </c>
      <c r="P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" t="str">
        <f>IF(OR(ISNUMBER(SEARCH("s2r", Table6[[#This Row],[instruction]])),ISNUMBER(SEARCH("s2ur", Table6[[#This Row],[instruction]]))), "special", "")</f>
        <v/>
      </c>
      <c r="S86" t="str">
        <f>IF(OR(ISNUMBER(SEARCH("stg", Table6[[#This Row],[instruction]])),ISNUMBER(SEARCH("ldg", Table6[[#This Row],[instruction]]))), "global", "")</f>
        <v/>
      </c>
      <c r="T86" t="str">
        <f>IF(OR(ISNUMBER(SEARCH("sts", Table6[[#This Row],[instruction]])),ISNUMBER(SEARCH("lds", Table6[[#This Row],[instruction]]))), "shared", "")</f>
        <v/>
      </c>
      <c r="U86" t="str">
        <f>IF(OR(ISNUMBER(SEARCH("LDC", Table6[[#This Row],[instruction]]))), "ind. const", "")</f>
        <v/>
      </c>
      <c r="V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Row],[s5]]))),U86=""), "cmb. const", "")</f>
        <v>cmb. const</v>
      </c>
      <c r="W86" s="2" t="s">
        <v>481</v>
      </c>
      <c r="Y86">
        <f>IF(Table6[[#This Row],[pipeline]]="fma",Table6[[#This Row],[delay]],0)</f>
        <v>4</v>
      </c>
      <c r="Z86">
        <f>IF(AND(Table6[[#This Row],[pipeline]]="fma",W86="new"),290,0)</f>
        <v>0</v>
      </c>
      <c r="AK86" s="34"/>
    </row>
    <row r="87" spans="1:37" ht="17" x14ac:dyDescent="0.2">
      <c r="A87" s="31">
        <f>IF(Table6[[#This Row],[instruction]]&lt;&gt;"",MAX($A$6:A86)+1," ")</f>
        <v>82</v>
      </c>
      <c r="B87" s="32" t="s">
        <v>485</v>
      </c>
      <c r="C87" t="s">
        <v>0</v>
      </c>
      <c r="D87" s="31" t="s">
        <v>84</v>
      </c>
      <c r="E87" s="31" t="s">
        <v>536</v>
      </c>
      <c r="K87" s="2" t="str">
        <f t="shared" si="1"/>
        <v/>
      </c>
      <c r="L87" cm="1">
        <f t="array" ref="L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7" t="str">
        <f>IF(OR(ISNUMBER(SEARCH("imad", Table6[[#This Row],[instruction]])), ISNUMBER(SEARCH("ffma", Table6[[#This Row],[instruction]])), ISNUMBER(SEARCH("fmul", Table6[[#This Row],[instruction]]))), "fma", "")</f>
        <v/>
      </c>
      <c r="P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" t="str">
        <f>IF(OR(ISNUMBER(SEARCH("s2r", Table6[[#This Row],[instruction]])),ISNUMBER(SEARCH("s2ur", Table6[[#This Row],[instruction]]))), "special", "")</f>
        <v/>
      </c>
      <c r="S87" t="str">
        <f>IF(OR(ISNUMBER(SEARCH("stg", Table6[[#This Row],[instruction]])),ISNUMBER(SEARCH("ldg", Table6[[#This Row],[instruction]]))), "global", "")</f>
        <v/>
      </c>
      <c r="T87" t="str">
        <f>IF(OR(ISNUMBER(SEARCH("sts", Table6[[#This Row],[instruction]])),ISNUMBER(SEARCH("lds", Table6[[#This Row],[instruction]]))), "shared", "")</f>
        <v/>
      </c>
      <c r="U87" t="str">
        <f>IF(OR(ISNUMBER(SEARCH("LDC", Table6[[#This Row],[instruction]]))), "ind. const", "")</f>
        <v/>
      </c>
      <c r="V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Row],[s5]]))),U87=""), "cmb. const", "")</f>
        <v>cmb. const</v>
      </c>
      <c r="W87" s="2" t="s">
        <v>481</v>
      </c>
      <c r="Y87">
        <f>IF(Table6[[#This Row],[pipeline]]="fma",Table6[[#This Row],[delay]],0)</f>
        <v>0</v>
      </c>
      <c r="Z87">
        <f>IF(AND(Table6[[#This Row],[pipeline]]="fma",W87="new"),290,0)</f>
        <v>0</v>
      </c>
      <c r="AK87" s="34"/>
    </row>
    <row r="88" spans="1:37" ht="17" x14ac:dyDescent="0.2">
      <c r="A88" s="31">
        <f>IF(Table6[[#This Row],[instruction]]&lt;&gt;"",MAX($A$6:A87)+1," ")</f>
        <v>83</v>
      </c>
      <c r="B88" s="32" t="s">
        <v>485</v>
      </c>
      <c r="C88" t="s">
        <v>463</v>
      </c>
      <c r="D88" s="31" t="s">
        <v>50</v>
      </c>
      <c r="E88" s="31" t="s">
        <v>51</v>
      </c>
      <c r="F88" s="31" t="s">
        <v>61</v>
      </c>
      <c r="G88" s="31" t="s">
        <v>75</v>
      </c>
      <c r="H88" s="31" t="s">
        <v>494</v>
      </c>
      <c r="K88" s="2" t="str">
        <f t="shared" si="1"/>
        <v>alu</v>
      </c>
      <c r="L88" cm="1">
        <f t="array" ref="L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" t="str">
        <f>IF(OR(ISNUMBER(SEARCH("imad", Table6[[#This Row],[instruction]])), ISNUMBER(SEARCH("ffma", Table6[[#This Row],[instruction]])), ISNUMBER(SEARCH("fmul", Table6[[#This Row],[instruction]]))), "fma", "")</f>
        <v/>
      </c>
      <c r="P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" t="str">
        <f>IF(OR(ISNUMBER(SEARCH("s2r", Table6[[#This Row],[instruction]])),ISNUMBER(SEARCH("s2ur", Table6[[#This Row],[instruction]]))), "special", "")</f>
        <v/>
      </c>
      <c r="S88" t="str">
        <f>IF(OR(ISNUMBER(SEARCH("stg", Table6[[#This Row],[instruction]])),ISNUMBER(SEARCH("ldg", Table6[[#This Row],[instruction]]))), "global", "")</f>
        <v/>
      </c>
      <c r="T88" t="str">
        <f>IF(OR(ISNUMBER(SEARCH("sts", Table6[[#This Row],[instruction]])),ISNUMBER(SEARCH("lds", Table6[[#This Row],[instruction]]))), "shared", "")</f>
        <v/>
      </c>
      <c r="U88" t="str">
        <f>IF(OR(ISNUMBER(SEARCH("LDC", Table6[[#This Row],[instruction]]))), "ind. const", "")</f>
        <v/>
      </c>
      <c r="V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Row],[s5]]))),U88=""), "cmb. const", "")</f>
        <v/>
      </c>
      <c r="Y88">
        <f>IF(Table6[[#This Row],[pipeline]]="fma",Table6[[#This Row],[delay]],0)</f>
        <v>0</v>
      </c>
      <c r="Z88">
        <f>IF(AND(Table6[[#This Row],[pipeline]]="fma",W88="new"),290,0)</f>
        <v>0</v>
      </c>
      <c r="AK88" s="34"/>
    </row>
    <row r="89" spans="1:37" ht="17" x14ac:dyDescent="0.2">
      <c r="A89" s="31">
        <f>IF(Table6[[#This Row],[instruction]]&lt;&gt;"",MAX($A$6:A88)+1," ")</f>
        <v>84</v>
      </c>
      <c r="B89" s="32" t="s">
        <v>485</v>
      </c>
      <c r="C89" t="s">
        <v>45</v>
      </c>
      <c r="D89" s="31" t="s">
        <v>61</v>
      </c>
      <c r="E89" s="31" t="s">
        <v>8</v>
      </c>
      <c r="F89" s="31" t="s">
        <v>8</v>
      </c>
      <c r="G89" s="31" t="s">
        <v>556</v>
      </c>
      <c r="K89" s="2" t="str">
        <f t="shared" si="1"/>
        <v>fma</v>
      </c>
      <c r="L89" cm="1">
        <f t="array" ref="L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9" t="str">
        <f>IF(OR(ISNUMBER(SEARCH("imad", Table6[[#This Row],[instruction]])), ISNUMBER(SEARCH("ffma", Table6[[#This Row],[instruction]])), ISNUMBER(SEARCH("fmul", Table6[[#This Row],[instruction]]))), "fma", "")</f>
        <v>fma</v>
      </c>
      <c r="P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9" t="str">
        <f>IF(OR(ISNUMBER(SEARCH("s2r", Table6[[#This Row],[instruction]])),ISNUMBER(SEARCH("s2ur", Table6[[#This Row],[instruction]]))), "special", "")</f>
        <v/>
      </c>
      <c r="S89" t="str">
        <f>IF(OR(ISNUMBER(SEARCH("stg", Table6[[#This Row],[instruction]])),ISNUMBER(SEARCH("ldg", Table6[[#This Row],[instruction]]))), "global", "")</f>
        <v/>
      </c>
      <c r="T89" t="str">
        <f>IF(OR(ISNUMBER(SEARCH("sts", Table6[[#This Row],[instruction]])),ISNUMBER(SEARCH("lds", Table6[[#This Row],[instruction]]))), "shared", "")</f>
        <v/>
      </c>
      <c r="U89" t="str">
        <f>IF(OR(ISNUMBER(SEARCH("LDC", Table6[[#This Row],[instruction]]))), "ind. const", "")</f>
        <v/>
      </c>
      <c r="V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Row],[s5]]))),U89=""), "cmb. const", "")</f>
        <v/>
      </c>
      <c r="Y89">
        <f>IF(Table6[[#This Row],[pipeline]]="fma",Table6[[#This Row],[delay]],0)</f>
        <v>4</v>
      </c>
      <c r="Z89">
        <f>IF(AND(Table6[[#This Row],[pipeline]]="fma",W89="new"),290,0)</f>
        <v>0</v>
      </c>
      <c r="AK89" s="34"/>
    </row>
    <row r="90" spans="1:37" ht="17" x14ac:dyDescent="0.2">
      <c r="A90" s="31">
        <f>IF(Table6[[#This Row],[instruction]]&lt;&gt;"",MAX($A$6:A89)+1," ")</f>
        <v>85</v>
      </c>
      <c r="B90" s="32" t="s">
        <v>485</v>
      </c>
      <c r="C90" t="s">
        <v>463</v>
      </c>
      <c r="D90" s="31" t="s">
        <v>531</v>
      </c>
      <c r="E90" s="31" t="s">
        <v>51</v>
      </c>
      <c r="F90" s="31" t="s">
        <v>84</v>
      </c>
      <c r="G90" s="31" t="s">
        <v>75</v>
      </c>
      <c r="H90" s="31" t="s">
        <v>494</v>
      </c>
      <c r="K90" s="2" t="str">
        <f t="shared" si="1"/>
        <v>alu</v>
      </c>
      <c r="L90" cm="1">
        <f t="array" ref="L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0" t="str">
        <f>IF(OR(ISNUMBER(SEARCH("imad", Table6[[#This Row],[instruction]])), ISNUMBER(SEARCH("ffma", Table6[[#This Row],[instruction]])), ISNUMBER(SEARCH("fmul", Table6[[#This Row],[instruction]]))), "fma", "")</f>
        <v/>
      </c>
      <c r="P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0" t="str">
        <f>IF(OR(ISNUMBER(SEARCH("s2r", Table6[[#This Row],[instruction]])),ISNUMBER(SEARCH("s2ur", Table6[[#This Row],[instruction]]))), "special", "")</f>
        <v/>
      </c>
      <c r="S90" t="str">
        <f>IF(OR(ISNUMBER(SEARCH("stg", Table6[[#This Row],[instruction]])),ISNUMBER(SEARCH("ldg", Table6[[#This Row],[instruction]]))), "global", "")</f>
        <v/>
      </c>
      <c r="T90" t="str">
        <f>IF(OR(ISNUMBER(SEARCH("sts", Table6[[#This Row],[instruction]])),ISNUMBER(SEARCH("lds", Table6[[#This Row],[instruction]]))), "shared", "")</f>
        <v/>
      </c>
      <c r="U90" t="str">
        <f>IF(OR(ISNUMBER(SEARCH("LDC", Table6[[#This Row],[instruction]]))), "ind. const", "")</f>
        <v/>
      </c>
      <c r="V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Row],[s5]]))),U90=""), "cmb. const", "")</f>
        <v/>
      </c>
      <c r="Y90">
        <f>IF(Table6[[#This Row],[pipeline]]="fma",Table6[[#This Row],[delay]],0)</f>
        <v>0</v>
      </c>
      <c r="Z90">
        <f>IF(AND(Table6[[#This Row],[pipeline]]="fma",W90="new"),290,0)</f>
        <v>0</v>
      </c>
      <c r="AK90" s="34"/>
    </row>
    <row r="91" spans="1:37" ht="17" x14ac:dyDescent="0.2">
      <c r="A91" s="31">
        <f>IF(Table6[[#This Row],[instruction]]&lt;&gt;"",MAX($A$6:A90)+1," ")</f>
        <v>86</v>
      </c>
      <c r="B91" s="32" t="s">
        <v>86</v>
      </c>
      <c r="C91" t="s">
        <v>509</v>
      </c>
      <c r="D91" s="31" t="s">
        <v>60</v>
      </c>
      <c r="E91" s="31" t="s">
        <v>436</v>
      </c>
      <c r="F91" s="31" t="s">
        <v>538</v>
      </c>
      <c r="G91" s="31" t="s">
        <v>502</v>
      </c>
      <c r="K91" s="2" t="str">
        <f t="shared" si="1"/>
        <v>fma</v>
      </c>
      <c r="L91" cm="1">
        <f t="array" ref="L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1" t="str">
        <f>IF(OR(ISNUMBER(SEARCH("imad", Table6[[#This Row],[instruction]])), ISNUMBER(SEARCH("ffma", Table6[[#This Row],[instruction]])), ISNUMBER(SEARCH("fmul", Table6[[#This Row],[instruction]]))), "fma", "")</f>
        <v>fma</v>
      </c>
      <c r="P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1" t="str">
        <f>IF(OR(ISNUMBER(SEARCH("s2r", Table6[[#This Row],[instruction]])),ISNUMBER(SEARCH("s2ur", Table6[[#This Row],[instruction]]))), "special", "")</f>
        <v/>
      </c>
      <c r="S91" t="str">
        <f>IF(OR(ISNUMBER(SEARCH("stg", Table6[[#This Row],[instruction]])),ISNUMBER(SEARCH("ldg", Table6[[#This Row],[instruction]]))), "global", "")</f>
        <v/>
      </c>
      <c r="T91" t="str">
        <f>IF(OR(ISNUMBER(SEARCH("sts", Table6[[#This Row],[instruction]])),ISNUMBER(SEARCH("lds", Table6[[#This Row],[instruction]]))), "shared", "")</f>
        <v/>
      </c>
      <c r="U91" t="str">
        <f>IF(OR(ISNUMBER(SEARCH("LDC", Table6[[#This Row],[instruction]]))), "ind. const", "")</f>
        <v/>
      </c>
      <c r="V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Row],[s5]]))),U91=""), "cmb. const", "")</f>
        <v>cmb. const</v>
      </c>
      <c r="W91" s="2" t="s">
        <v>481</v>
      </c>
      <c r="Y91">
        <f>IF(Table6[[#This Row],[pipeline]]="fma",Table6[[#This Row],[delay]],0)</f>
        <v>4</v>
      </c>
      <c r="Z91">
        <f>IF(AND(Table6[[#This Row],[pipeline]]="fma",W91="new"),290,0)</f>
        <v>0</v>
      </c>
      <c r="AK91" s="34"/>
    </row>
    <row r="92" spans="1:37" ht="17" x14ac:dyDescent="0.2">
      <c r="A92" s="31">
        <f>IF(Table6[[#This Row],[instruction]]&lt;&gt;"",MAX($A$6:A91)+1," ")</f>
        <v>87</v>
      </c>
      <c r="B92" s="32" t="s">
        <v>86</v>
      </c>
      <c r="C92" t="s">
        <v>90</v>
      </c>
      <c r="D92" s="31" t="s">
        <v>61</v>
      </c>
      <c r="E92" s="31" t="s">
        <v>8</v>
      </c>
      <c r="F92" s="31" t="s">
        <v>539</v>
      </c>
      <c r="G92" s="31" t="s">
        <v>557</v>
      </c>
      <c r="K92" s="2" t="str">
        <f t="shared" si="1"/>
        <v>alu</v>
      </c>
      <c r="L92" cm="1">
        <f t="array" ref="L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2" t="str">
        <f>IF(OR(ISNUMBER(SEARCH("imad", Table6[[#This Row],[instruction]])), ISNUMBER(SEARCH("ffma", Table6[[#This Row],[instruction]])), ISNUMBER(SEARCH("fmul", Table6[[#This Row],[instruction]]))), "fma", "")</f>
        <v/>
      </c>
      <c r="P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2" t="str">
        <f>IF(OR(ISNUMBER(SEARCH("s2r", Table6[[#This Row],[instruction]])),ISNUMBER(SEARCH("s2ur", Table6[[#This Row],[instruction]]))), "special", "")</f>
        <v/>
      </c>
      <c r="S92" t="str">
        <f>IF(OR(ISNUMBER(SEARCH("stg", Table6[[#This Row],[instruction]])),ISNUMBER(SEARCH("ldg", Table6[[#This Row],[instruction]]))), "global", "")</f>
        <v/>
      </c>
      <c r="T92" t="str">
        <f>IF(OR(ISNUMBER(SEARCH("sts", Table6[[#This Row],[instruction]])),ISNUMBER(SEARCH("lds", Table6[[#This Row],[instruction]]))), "shared", "")</f>
        <v/>
      </c>
      <c r="U92" t="str">
        <f>IF(OR(ISNUMBER(SEARCH("LDC", Table6[[#This Row],[instruction]]))), "ind. const", "")</f>
        <v/>
      </c>
      <c r="V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Row],[s5]]))),U92=""), "cmb. const", "")</f>
        <v>cmb. const</v>
      </c>
      <c r="W92" s="2" t="s">
        <v>481</v>
      </c>
      <c r="Y92">
        <f>IF(Table6[[#This Row],[pipeline]]="fma",Table6[[#This Row],[delay]],0)</f>
        <v>0</v>
      </c>
      <c r="Z92">
        <f>IF(AND(Table6[[#This Row],[pipeline]]="fma",W92="new"),290,0)</f>
        <v>0</v>
      </c>
      <c r="AK92" s="34"/>
    </row>
    <row r="93" spans="1:37" ht="17" x14ac:dyDescent="0.2">
      <c r="A93" s="31">
        <f>IF(Table6[[#This Row],[instruction]]&lt;&gt;"",MAX($A$6:A92)+1," ")</f>
        <v>88</v>
      </c>
      <c r="B93" s="32" t="s">
        <v>485</v>
      </c>
      <c r="C93" t="s">
        <v>26</v>
      </c>
      <c r="D93" s="31" t="s">
        <v>84</v>
      </c>
      <c r="E93" s="31" t="e">
        <f>-S15</f>
        <v>#VALUE!</v>
      </c>
      <c r="F93" s="31" t="s">
        <v>8</v>
      </c>
      <c r="G93" s="31" t="s">
        <v>502</v>
      </c>
      <c r="K93" s="2" t="str">
        <f t="shared" si="1"/>
        <v>alu</v>
      </c>
      <c r="L93" cm="1">
        <f t="array" ref="L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93" t="str">
        <f>IF(OR(ISNUMBER(SEARCH("imad", Table6[[#This Row],[instruction]])), ISNUMBER(SEARCH("ffma", Table6[[#This Row],[instruction]])), ISNUMBER(SEARCH("fmul", Table6[[#This Row],[instruction]]))), "fma", "")</f>
        <v/>
      </c>
      <c r="P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3" t="str">
        <f>IF(OR(ISNUMBER(SEARCH("s2r", Table6[[#This Row],[instruction]])),ISNUMBER(SEARCH("s2ur", Table6[[#This Row],[instruction]]))), "special", "")</f>
        <v/>
      </c>
      <c r="S93" t="str">
        <f>IF(OR(ISNUMBER(SEARCH("stg", Table6[[#This Row],[instruction]])),ISNUMBER(SEARCH("ldg", Table6[[#This Row],[instruction]]))), "global", "")</f>
        <v/>
      </c>
      <c r="T93" t="str">
        <f>IF(OR(ISNUMBER(SEARCH("sts", Table6[[#This Row],[instruction]])),ISNUMBER(SEARCH("lds", Table6[[#This Row],[instruction]]))), "shared", "")</f>
        <v/>
      </c>
      <c r="U93" t="str">
        <f>IF(OR(ISNUMBER(SEARCH("LDC", Table6[[#This Row],[instruction]]))), "ind. const", "")</f>
        <v/>
      </c>
      <c r="V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Row],[s5]]))),U93=""), "cmb. const", "")</f>
        <v/>
      </c>
      <c r="Y93">
        <f>IF(Table6[[#This Row],[pipeline]]="fma",Table6[[#This Row],[delay]],0)</f>
        <v>0</v>
      </c>
      <c r="Z93">
        <f>IF(AND(Table6[[#This Row],[pipeline]]="fma",W93="new"),290,0)</f>
        <v>0</v>
      </c>
      <c r="AK93" s="34"/>
    </row>
    <row r="94" spans="1:37" ht="17" x14ac:dyDescent="0.2">
      <c r="A94" s="31">
        <f>IF(Table6[[#This Row],[instruction]]&lt;&gt;"",MAX($A$6:A93)+1," ")</f>
        <v>89</v>
      </c>
      <c r="B94" s="32" t="s">
        <v>485</v>
      </c>
      <c r="C94" t="s">
        <v>14</v>
      </c>
      <c r="D94" s="31" t="s">
        <v>71</v>
      </c>
      <c r="E94" s="31" t="s">
        <v>84</v>
      </c>
      <c r="F94" s="31" t="s">
        <v>541</v>
      </c>
      <c r="G94" s="31" t="s">
        <v>556</v>
      </c>
      <c r="K94" s="2" t="str">
        <f t="shared" si="1"/>
        <v>fma</v>
      </c>
      <c r="L94" cm="1">
        <f t="array" ref="L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4" t="str">
        <f>IF(OR(ISNUMBER(SEARCH("imad", Table6[[#This Row],[instruction]])), ISNUMBER(SEARCH("ffma", Table6[[#This Row],[instruction]])), ISNUMBER(SEARCH("fmul", Table6[[#This Row],[instruction]]))), "fma", "")</f>
        <v>fma</v>
      </c>
      <c r="P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4" t="str">
        <f>IF(OR(ISNUMBER(SEARCH("s2r", Table6[[#This Row],[instruction]])),ISNUMBER(SEARCH("s2ur", Table6[[#This Row],[instruction]]))), "special", "")</f>
        <v/>
      </c>
      <c r="S94" t="str">
        <f>IF(OR(ISNUMBER(SEARCH("stg", Table6[[#This Row],[instruction]])),ISNUMBER(SEARCH("ldg", Table6[[#This Row],[instruction]]))), "global", "")</f>
        <v/>
      </c>
      <c r="T94" t="str">
        <f>IF(OR(ISNUMBER(SEARCH("sts", Table6[[#This Row],[instruction]])),ISNUMBER(SEARCH("lds", Table6[[#This Row],[instruction]]))), "shared", "")</f>
        <v/>
      </c>
      <c r="U94" t="str">
        <f>IF(OR(ISNUMBER(SEARCH("LDC", Table6[[#This Row],[instruction]]))), "ind. const", "")</f>
        <v/>
      </c>
      <c r="V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Row],[s5]]))),U94=""), "cmb. const", "")</f>
        <v>cmb. const</v>
      </c>
      <c r="W94" s="2" t="s">
        <v>481</v>
      </c>
      <c r="Y94">
        <f>IF(Table6[[#This Row],[pipeline]]="fma",Table6[[#This Row],[delay]],0)</f>
        <v>4</v>
      </c>
      <c r="Z94">
        <f>IF(AND(Table6[[#This Row],[pipeline]]="fma",W94="new"),290,0)</f>
        <v>0</v>
      </c>
      <c r="AK94" s="34"/>
    </row>
    <row r="95" spans="1:37" ht="17" x14ac:dyDescent="0.2">
      <c r="A95" s="31">
        <f>IF(Table6[[#This Row],[instruction]]&lt;&gt;"",MAX($A$6:A94)+1," ")</f>
        <v>90</v>
      </c>
      <c r="B95" s="32" t="s">
        <v>554</v>
      </c>
      <c r="C95" t="s">
        <v>509</v>
      </c>
      <c r="D95" s="31" t="s">
        <v>84</v>
      </c>
      <c r="E95" s="31" t="s">
        <v>71</v>
      </c>
      <c r="F95" s="31" t="s">
        <v>542</v>
      </c>
      <c r="G95" s="31" t="s">
        <v>502</v>
      </c>
      <c r="K95" s="2" t="str">
        <f t="shared" si="1"/>
        <v>fma</v>
      </c>
      <c r="L95" cm="1">
        <f t="array" ref="L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5" t="str">
        <f>IF(OR(ISNUMBER(SEARCH("imad", Table6[[#This Row],[instruction]])), ISNUMBER(SEARCH("ffma", Table6[[#This Row],[instruction]])), ISNUMBER(SEARCH("fmul", Table6[[#This Row],[instruction]]))), "fma", "")</f>
        <v>fma</v>
      </c>
      <c r="P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5" t="str">
        <f>IF(OR(ISNUMBER(SEARCH("s2r", Table6[[#This Row],[instruction]])),ISNUMBER(SEARCH("s2ur", Table6[[#This Row],[instruction]]))), "special", "")</f>
        <v/>
      </c>
      <c r="S95" t="str">
        <f>IF(OR(ISNUMBER(SEARCH("stg", Table6[[#This Row],[instruction]])),ISNUMBER(SEARCH("ldg", Table6[[#This Row],[instruction]]))), "global", "")</f>
        <v/>
      </c>
      <c r="T95" t="str">
        <f>IF(OR(ISNUMBER(SEARCH("sts", Table6[[#This Row],[instruction]])),ISNUMBER(SEARCH("lds", Table6[[#This Row],[instruction]]))), "shared", "")</f>
        <v/>
      </c>
      <c r="U95" t="str">
        <f>IF(OR(ISNUMBER(SEARCH("LDC", Table6[[#This Row],[instruction]]))), "ind. const", "")</f>
        <v/>
      </c>
      <c r="V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Row],[s5]]))),U95=""), "cmb. const", "")</f>
        <v>cmb. const</v>
      </c>
      <c r="W95" s="2" t="s">
        <v>481</v>
      </c>
      <c r="Y95">
        <f>IF(Table6[[#This Row],[pipeline]]="fma",Table6[[#This Row],[delay]],0)</f>
        <v>4</v>
      </c>
      <c r="Z95">
        <f>IF(AND(Table6[[#This Row],[pipeline]]="fma",W95="new"),290,0)</f>
        <v>0</v>
      </c>
      <c r="AK95" s="34"/>
    </row>
    <row r="96" spans="1:37" ht="17" x14ac:dyDescent="0.2">
      <c r="A96" s="31">
        <f>IF(Table6[[#This Row],[instruction]]&lt;&gt;"",MAX($A$6:A95)+1," ")</f>
        <v>91</v>
      </c>
      <c r="B96" s="32" t="s">
        <v>485</v>
      </c>
      <c r="C96" t="s">
        <v>45</v>
      </c>
      <c r="D96" s="31" t="s">
        <v>60</v>
      </c>
      <c r="E96" s="31" t="s">
        <v>8</v>
      </c>
      <c r="F96" s="31" t="s">
        <v>8</v>
      </c>
      <c r="G96" s="31" t="s">
        <v>543</v>
      </c>
      <c r="K96" s="2" t="str">
        <f t="shared" si="1"/>
        <v>fma</v>
      </c>
      <c r="L96" cm="1">
        <f t="array" ref="L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6" t="str">
        <f>IF(OR(ISNUMBER(SEARCH("imad", Table6[[#This Row],[instruction]])), ISNUMBER(SEARCH("ffma", Table6[[#This Row],[instruction]])), ISNUMBER(SEARCH("fmul", Table6[[#This Row],[instruction]]))), "fma", "")</f>
        <v>fma</v>
      </c>
      <c r="P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6" t="str">
        <f>IF(OR(ISNUMBER(SEARCH("s2r", Table6[[#This Row],[instruction]])),ISNUMBER(SEARCH("s2ur", Table6[[#This Row],[instruction]]))), "special", "")</f>
        <v/>
      </c>
      <c r="S96" t="str">
        <f>IF(OR(ISNUMBER(SEARCH("stg", Table6[[#This Row],[instruction]])),ISNUMBER(SEARCH("ldg", Table6[[#This Row],[instruction]]))), "global", "")</f>
        <v/>
      </c>
      <c r="T96" t="str">
        <f>IF(OR(ISNUMBER(SEARCH("sts", Table6[[#This Row],[instruction]])),ISNUMBER(SEARCH("lds", Table6[[#This Row],[instruction]]))), "shared", "")</f>
        <v/>
      </c>
      <c r="U96" t="str">
        <f>IF(OR(ISNUMBER(SEARCH("LDC", Table6[[#This Row],[instruction]]))), "ind. const", "")</f>
        <v/>
      </c>
      <c r="V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Row],[s5]]))),U96=""), "cmb. const", "")</f>
        <v/>
      </c>
      <c r="Y96">
        <f>IF(Table6[[#This Row],[pipeline]]="fma",Table6[[#This Row],[delay]],0)</f>
        <v>4</v>
      </c>
      <c r="Z96">
        <f>IF(AND(Table6[[#This Row],[pipeline]]="fma",W96="new"),290,0)</f>
        <v>0</v>
      </c>
      <c r="AK96" s="34"/>
    </row>
    <row r="97" spans="1:37" ht="17" x14ac:dyDescent="0.2">
      <c r="A97" s="31">
        <f>IF(Table6[[#This Row],[instruction]]&lt;&gt;"",MAX($A$6:A96)+1," ")</f>
        <v>92</v>
      </c>
      <c r="B97" s="32" t="s">
        <v>554</v>
      </c>
      <c r="C97" t="s">
        <v>90</v>
      </c>
      <c r="D97" s="31" t="s">
        <v>60</v>
      </c>
      <c r="E97" s="31" t="s">
        <v>8</v>
      </c>
      <c r="F97" s="31" t="s">
        <v>544</v>
      </c>
      <c r="G97" s="31" t="s">
        <v>545</v>
      </c>
      <c r="K97" s="2" t="str">
        <f t="shared" si="1"/>
        <v>alu</v>
      </c>
      <c r="L97" cm="1">
        <f t="array" ref="L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7" t="str">
        <f>IF(OR(ISNUMBER(SEARCH("imad", Table6[[#This Row],[instruction]])), ISNUMBER(SEARCH("ffma", Table6[[#This Row],[instruction]])), ISNUMBER(SEARCH("fmul", Table6[[#This Row],[instruction]]))), "fma", "")</f>
        <v/>
      </c>
      <c r="P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7" t="str">
        <f>IF(OR(ISNUMBER(SEARCH("s2r", Table6[[#This Row],[instruction]])),ISNUMBER(SEARCH("s2ur", Table6[[#This Row],[instruction]]))), "special", "")</f>
        <v/>
      </c>
      <c r="S97" t="str">
        <f>IF(OR(ISNUMBER(SEARCH("stg", Table6[[#This Row],[instruction]])),ISNUMBER(SEARCH("ldg", Table6[[#This Row],[instruction]]))), "global", "")</f>
        <v/>
      </c>
      <c r="T97" t="str">
        <f>IF(OR(ISNUMBER(SEARCH("sts", Table6[[#This Row],[instruction]])),ISNUMBER(SEARCH("lds", Table6[[#This Row],[instruction]]))), "shared", "")</f>
        <v/>
      </c>
      <c r="U97" t="str">
        <f>IF(OR(ISNUMBER(SEARCH("LDC", Table6[[#This Row],[instruction]]))), "ind. const", "")</f>
        <v/>
      </c>
      <c r="V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Row],[s5]]))),U97=""), "cmb. const", "")</f>
        <v>cmb. const</v>
      </c>
      <c r="W97" s="2" t="s">
        <v>481</v>
      </c>
      <c r="Y97">
        <f>IF(Table6[[#This Row],[pipeline]]="fma",Table6[[#This Row],[delay]],0)</f>
        <v>0</v>
      </c>
      <c r="Z97">
        <f>IF(AND(Table6[[#This Row],[pipeline]]="fma",W97="new"),290,0)</f>
        <v>0</v>
      </c>
      <c r="AK97" s="34"/>
    </row>
    <row r="98" spans="1:37" ht="17" x14ac:dyDescent="0.2">
      <c r="A98" s="31">
        <f>IF(Table6[[#This Row],[instruction]]&lt;&gt;"",MAX($A$6:A97)+1," ")</f>
        <v>93</v>
      </c>
      <c r="B98" s="32" t="s">
        <v>485</v>
      </c>
      <c r="C98" t="s">
        <v>26</v>
      </c>
      <c r="D98" s="31" t="s">
        <v>84</v>
      </c>
      <c r="E98" s="31" t="e">
        <f>-S16</f>
        <v>#VALUE!</v>
      </c>
      <c r="F98" s="31" t="s">
        <v>8</v>
      </c>
      <c r="G98" s="31" t="s">
        <v>502</v>
      </c>
      <c r="K98" s="2" t="str">
        <f t="shared" si="1"/>
        <v>alu</v>
      </c>
      <c r="L98" cm="1">
        <f t="array" ref="L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98" t="str">
        <f>IF(OR(ISNUMBER(SEARCH("imad", Table6[[#This Row],[instruction]])), ISNUMBER(SEARCH("ffma", Table6[[#This Row],[instruction]])), ISNUMBER(SEARCH("fmul", Table6[[#This Row],[instruction]]))), "fma", "")</f>
        <v/>
      </c>
      <c r="P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8" t="str">
        <f>IF(OR(ISNUMBER(SEARCH("s2r", Table6[[#This Row],[instruction]])),ISNUMBER(SEARCH("s2ur", Table6[[#This Row],[instruction]]))), "special", "")</f>
        <v/>
      </c>
      <c r="S98" t="str">
        <f>IF(OR(ISNUMBER(SEARCH("stg", Table6[[#This Row],[instruction]])),ISNUMBER(SEARCH("ldg", Table6[[#This Row],[instruction]]))), "global", "")</f>
        <v/>
      </c>
      <c r="T98" t="str">
        <f>IF(OR(ISNUMBER(SEARCH("sts", Table6[[#This Row],[instruction]])),ISNUMBER(SEARCH("lds", Table6[[#This Row],[instruction]]))), "shared", "")</f>
        <v/>
      </c>
      <c r="U98" t="str">
        <f>IF(OR(ISNUMBER(SEARCH("LDC", Table6[[#This Row],[instruction]]))), "ind. const", "")</f>
        <v/>
      </c>
      <c r="V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Row],[s5]]))),U98=""), "cmb. const", "")</f>
        <v/>
      </c>
      <c r="Y98">
        <f>IF(Table6[[#This Row],[pipeline]]="fma",Table6[[#This Row],[delay]],0)</f>
        <v>0</v>
      </c>
      <c r="Z98">
        <f>IF(AND(Table6[[#This Row],[pipeline]]="fma",W98="new"),290,0)</f>
        <v>0</v>
      </c>
      <c r="AK98" s="34"/>
    </row>
    <row r="99" spans="1:37" ht="17" x14ac:dyDescent="0.2">
      <c r="A99" s="31">
        <f>IF(Table6[[#This Row],[instruction]]&lt;&gt;"",MAX($A$6:A98)+1," ")</f>
        <v>94</v>
      </c>
      <c r="B99" s="32" t="s">
        <v>485</v>
      </c>
      <c r="C99" t="s">
        <v>14</v>
      </c>
      <c r="D99" s="31" t="s">
        <v>84</v>
      </c>
      <c r="E99" s="31" t="s">
        <v>84</v>
      </c>
      <c r="F99" s="31" t="s">
        <v>546</v>
      </c>
      <c r="G99" s="31" t="s">
        <v>543</v>
      </c>
      <c r="K99" s="2" t="str">
        <f t="shared" si="1"/>
        <v>fma</v>
      </c>
      <c r="L99" cm="1">
        <f t="array" ref="L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99" t="str">
        <f>IF(OR(ISNUMBER(SEARCH("imad", Table6[[#This Row],[instruction]])), ISNUMBER(SEARCH("ffma", Table6[[#This Row],[instruction]])), ISNUMBER(SEARCH("fmul", Table6[[#This Row],[instruction]]))), "fma", "")</f>
        <v>fma</v>
      </c>
      <c r="P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99" t="str">
        <f>IF(OR(ISNUMBER(SEARCH("s2r", Table6[[#This Row],[instruction]])),ISNUMBER(SEARCH("s2ur", Table6[[#This Row],[instruction]]))), "special", "")</f>
        <v/>
      </c>
      <c r="S99" t="str">
        <f>IF(OR(ISNUMBER(SEARCH("stg", Table6[[#This Row],[instruction]])),ISNUMBER(SEARCH("ldg", Table6[[#This Row],[instruction]]))), "global", "")</f>
        <v/>
      </c>
      <c r="T99" t="str">
        <f>IF(OR(ISNUMBER(SEARCH("sts", Table6[[#This Row],[instruction]])),ISNUMBER(SEARCH("lds", Table6[[#This Row],[instruction]]))), "shared", "")</f>
        <v/>
      </c>
      <c r="U99" t="str">
        <f>IF(OR(ISNUMBER(SEARCH("LDC", Table6[[#This Row],[instruction]]))), "ind. const", "")</f>
        <v/>
      </c>
      <c r="V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Row],[s5]]))),U99=""), "cmb. const", "")</f>
        <v>cmb. const</v>
      </c>
      <c r="W99" s="2" t="s">
        <v>481</v>
      </c>
      <c r="Y99">
        <f>IF(Table6[[#This Row],[pipeline]]="fma",Table6[[#This Row],[delay]],0)</f>
        <v>4</v>
      </c>
      <c r="Z99">
        <f>IF(AND(Table6[[#This Row],[pipeline]]="fma",W99="new"),290,0)</f>
        <v>0</v>
      </c>
      <c r="AK99" s="34"/>
    </row>
    <row r="100" spans="1:37" ht="17" x14ac:dyDescent="0.2">
      <c r="A100" s="31">
        <f>IF(Table6[[#This Row],[instruction]]&lt;&gt;"",MAX($A$6:A99)+1," ")</f>
        <v>95</v>
      </c>
      <c r="B100" s="32" t="s">
        <v>485</v>
      </c>
      <c r="C100" t="s">
        <v>425</v>
      </c>
      <c r="D100" s="31" t="s">
        <v>71</v>
      </c>
      <c r="E100" s="31" t="s">
        <v>23</v>
      </c>
      <c r="F100" s="31" t="s">
        <v>75</v>
      </c>
      <c r="G100" s="31" t="s">
        <v>545</v>
      </c>
      <c r="K100" s="2" t="str">
        <f t="shared" si="1"/>
        <v>fma</v>
      </c>
      <c r="L100" cm="1">
        <f t="array" ref="L1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0" t="str">
        <f>IF(OR(ISNUMBER(SEARCH("imad", Table6[[#This Row],[instruction]])), ISNUMBER(SEARCH("ffma", Table6[[#This Row],[instruction]])), ISNUMBER(SEARCH("fmul", Table6[[#This Row],[instruction]]))), "fma", "")</f>
        <v>fma</v>
      </c>
      <c r="P1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0" t="str">
        <f>IF(OR(ISNUMBER(SEARCH("s2r", Table6[[#This Row],[instruction]])),ISNUMBER(SEARCH("s2ur", Table6[[#This Row],[instruction]]))), "special", "")</f>
        <v/>
      </c>
      <c r="S100" t="str">
        <f>IF(OR(ISNUMBER(SEARCH("stg", Table6[[#This Row],[instruction]])),ISNUMBER(SEARCH("ldg", Table6[[#This Row],[instruction]]))), "global", "")</f>
        <v/>
      </c>
      <c r="T100" t="str">
        <f>IF(OR(ISNUMBER(SEARCH("sts", Table6[[#This Row],[instruction]])),ISNUMBER(SEARCH("lds", Table6[[#This Row],[instruction]]))), "shared", "")</f>
        <v/>
      </c>
      <c r="U100" t="str">
        <f>IF(OR(ISNUMBER(SEARCH("LDC", Table6[[#This Row],[instruction]]))), "ind. const", "")</f>
        <v/>
      </c>
      <c r="V1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Row],[s5]]))),U100=""), "cmb. const", "")</f>
        <v/>
      </c>
      <c r="Y100">
        <f>IF(Table6[[#This Row],[pipeline]]="fma",Table6[[#This Row],[delay]],0)</f>
        <v>4</v>
      </c>
      <c r="Z100">
        <f>IF(AND(Table6[[#This Row],[pipeline]]="fma",W100="new"),290,0)</f>
        <v>0</v>
      </c>
      <c r="AK100" s="34"/>
    </row>
    <row r="101" spans="1:37" ht="17" x14ac:dyDescent="0.2">
      <c r="A101" s="31">
        <f>IF(Table6[[#This Row],[instruction]]&lt;&gt;"",MAX($A$6:A100)+1," ")</f>
        <v>96</v>
      </c>
      <c r="B101" s="32" t="s">
        <v>485</v>
      </c>
      <c r="C101" t="s">
        <v>26</v>
      </c>
      <c r="D101" s="31" t="s">
        <v>84</v>
      </c>
      <c r="E101" s="31" t="s">
        <v>19</v>
      </c>
      <c r="F101" s="31" t="s">
        <v>60</v>
      </c>
      <c r="G101" s="31" t="s">
        <v>502</v>
      </c>
      <c r="K101" s="2" t="str">
        <f t="shared" si="1"/>
        <v>alu</v>
      </c>
      <c r="L101" cm="1">
        <f t="array" ref="L1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01" t="str">
        <f>IF(OR(ISNUMBER(SEARCH("imad", Table6[[#This Row],[instruction]])), ISNUMBER(SEARCH("ffma", Table6[[#This Row],[instruction]])), ISNUMBER(SEARCH("fmul", Table6[[#This Row],[instruction]]))), "fma", "")</f>
        <v/>
      </c>
      <c r="P1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1" t="str">
        <f>IF(OR(ISNUMBER(SEARCH("s2r", Table6[[#This Row],[instruction]])),ISNUMBER(SEARCH("s2ur", Table6[[#This Row],[instruction]]))), "special", "")</f>
        <v/>
      </c>
      <c r="S101" t="str">
        <f>IF(OR(ISNUMBER(SEARCH("stg", Table6[[#This Row],[instruction]])),ISNUMBER(SEARCH("ldg", Table6[[#This Row],[instruction]]))), "global", "")</f>
        <v/>
      </c>
      <c r="T101" t="str">
        <f>IF(OR(ISNUMBER(SEARCH("sts", Table6[[#This Row],[instruction]])),ISNUMBER(SEARCH("lds", Table6[[#This Row],[instruction]]))), "shared", "")</f>
        <v/>
      </c>
      <c r="U101" t="str">
        <f>IF(OR(ISNUMBER(SEARCH("LDC", Table6[[#This Row],[instruction]]))), "ind. const", "")</f>
        <v/>
      </c>
      <c r="V1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Row],[s5]]))),U101=""), "cmb. const", "")</f>
        <v/>
      </c>
      <c r="Y101">
        <f>IF(Table6[[#This Row],[pipeline]]="fma",Table6[[#This Row],[delay]],0)</f>
        <v>0</v>
      </c>
      <c r="Z101">
        <f>IF(AND(Table6[[#This Row],[pipeline]]="fma",W101="new"),290,0)</f>
        <v>0</v>
      </c>
      <c r="AK101" s="34"/>
    </row>
    <row r="102" spans="1:37" ht="17" x14ac:dyDescent="0.2">
      <c r="A102" s="31">
        <f>IF(Table6[[#This Row],[instruction]]&lt;&gt;"",MAX($A$6:A101)+1," ")</f>
        <v>97</v>
      </c>
      <c r="B102" s="32" t="s">
        <v>485</v>
      </c>
      <c r="C102" t="s">
        <v>45</v>
      </c>
      <c r="D102" s="31" t="s">
        <v>60</v>
      </c>
      <c r="E102" s="31" t="s">
        <v>8</v>
      </c>
      <c r="F102" s="31" t="s">
        <v>8</v>
      </c>
      <c r="G102" s="31" t="s">
        <v>502</v>
      </c>
      <c r="K102" s="2" t="str">
        <f t="shared" si="1"/>
        <v>fma</v>
      </c>
      <c r="L102" cm="1">
        <f t="array" ref="L1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2" t="str">
        <f>IF(OR(ISNUMBER(SEARCH("imad", Table6[[#This Row],[instruction]])), ISNUMBER(SEARCH("ffma", Table6[[#This Row],[instruction]])), ISNUMBER(SEARCH("fmul", Table6[[#This Row],[instruction]]))), "fma", "")</f>
        <v>fma</v>
      </c>
      <c r="P1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2" t="str">
        <f>IF(OR(ISNUMBER(SEARCH("s2r", Table6[[#This Row],[instruction]])),ISNUMBER(SEARCH("s2ur", Table6[[#This Row],[instruction]]))), "special", "")</f>
        <v/>
      </c>
      <c r="S102" t="str">
        <f>IF(OR(ISNUMBER(SEARCH("stg", Table6[[#This Row],[instruction]])),ISNUMBER(SEARCH("ldg", Table6[[#This Row],[instruction]]))), "global", "")</f>
        <v/>
      </c>
      <c r="T102" t="str">
        <f>IF(OR(ISNUMBER(SEARCH("sts", Table6[[#This Row],[instruction]])),ISNUMBER(SEARCH("lds", Table6[[#This Row],[instruction]]))), "shared", "")</f>
        <v/>
      </c>
      <c r="U102" t="str">
        <f>IF(OR(ISNUMBER(SEARCH("LDC", Table6[[#This Row],[instruction]]))), "ind. const", "")</f>
        <v/>
      </c>
      <c r="V1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Row],[s5]]))),U102=""), "cmb. const", "")</f>
        <v/>
      </c>
      <c r="Y102">
        <f>IF(Table6[[#This Row],[pipeline]]="fma",Table6[[#This Row],[delay]],0)</f>
        <v>4</v>
      </c>
      <c r="Z102">
        <f>IF(AND(Table6[[#This Row],[pipeline]]="fma",W102="new"),290,0)</f>
        <v>0</v>
      </c>
      <c r="AK102" s="34"/>
    </row>
    <row r="103" spans="1:37" ht="17" x14ac:dyDescent="0.2">
      <c r="A103" s="31">
        <f>IF(Table6[[#This Row],[instruction]]&lt;&gt;"",MAX($A$6:A102)+1," ")</f>
        <v>98</v>
      </c>
      <c r="B103" s="32" t="s">
        <v>485</v>
      </c>
      <c r="C103" t="s">
        <v>87</v>
      </c>
      <c r="D103" s="31" t="s">
        <v>50</v>
      </c>
      <c r="E103" s="31" t="s">
        <v>51</v>
      </c>
      <c r="F103" s="31" t="s">
        <v>71</v>
      </c>
      <c r="G103" s="31" t="s">
        <v>414</v>
      </c>
      <c r="H103" s="31" t="s">
        <v>494</v>
      </c>
      <c r="K103" s="2" t="str">
        <f t="shared" si="1"/>
        <v>alu</v>
      </c>
      <c r="L103" cm="1">
        <f t="array" ref="L1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3" t="str">
        <f>IF(OR(ISNUMBER(SEARCH("imad", Table6[[#This Row],[instruction]])), ISNUMBER(SEARCH("ffma", Table6[[#This Row],[instruction]])), ISNUMBER(SEARCH("fmul", Table6[[#This Row],[instruction]]))), "fma", "")</f>
        <v/>
      </c>
      <c r="P1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3" t="str">
        <f>IF(OR(ISNUMBER(SEARCH("s2r", Table6[[#This Row],[instruction]])),ISNUMBER(SEARCH("s2ur", Table6[[#This Row],[instruction]]))), "special", "")</f>
        <v/>
      </c>
      <c r="S103" t="str">
        <f>IF(OR(ISNUMBER(SEARCH("stg", Table6[[#This Row],[instruction]])),ISNUMBER(SEARCH("ldg", Table6[[#This Row],[instruction]]))), "global", "")</f>
        <v/>
      </c>
      <c r="T103" t="str">
        <f>IF(OR(ISNUMBER(SEARCH("sts", Table6[[#This Row],[instruction]])),ISNUMBER(SEARCH("lds", Table6[[#This Row],[instruction]]))), "shared", "")</f>
        <v/>
      </c>
      <c r="U103" t="str">
        <f>IF(OR(ISNUMBER(SEARCH("LDC", Table6[[#This Row],[instruction]]))), "ind. const", "")</f>
        <v/>
      </c>
      <c r="V1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Row],[s5]]))),U103=""), "cmb. const", "")</f>
        <v>cmb. const</v>
      </c>
      <c r="W103" s="2" t="s">
        <v>481</v>
      </c>
      <c r="Y103">
        <f>IF(Table6[[#This Row],[pipeline]]="fma",Table6[[#This Row],[delay]],0)</f>
        <v>0</v>
      </c>
      <c r="Z103">
        <f>IF(AND(Table6[[#This Row],[pipeline]]="fma",W103="new"),290,0)</f>
        <v>0</v>
      </c>
      <c r="AK103" s="34"/>
    </row>
    <row r="104" spans="1:37" ht="17" x14ac:dyDescent="0.2">
      <c r="A104" s="31">
        <f>IF(Table6[[#This Row],[instruction]]&lt;&gt;"",MAX($A$6:A103)+1," ")</f>
        <v>99</v>
      </c>
      <c r="B104" s="32" t="s">
        <v>485</v>
      </c>
      <c r="C104" t="s">
        <v>547</v>
      </c>
      <c r="D104" s="31" t="s">
        <v>50</v>
      </c>
      <c r="E104" s="31" t="s">
        <v>51</v>
      </c>
      <c r="F104" s="31" t="s">
        <v>84</v>
      </c>
      <c r="G104" s="31" t="s">
        <v>413</v>
      </c>
      <c r="H104" s="31" t="s">
        <v>527</v>
      </c>
      <c r="K104" s="2" t="str">
        <f t="shared" si="1"/>
        <v>alu</v>
      </c>
      <c r="L104" cm="1">
        <f t="array" ref="L1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4" t="str">
        <f>IF(OR(ISNUMBER(SEARCH("imad", Table6[[#This Row],[instruction]])), ISNUMBER(SEARCH("ffma", Table6[[#This Row],[instruction]])), ISNUMBER(SEARCH("fmul", Table6[[#This Row],[instruction]]))), "fma", "")</f>
        <v/>
      </c>
      <c r="P1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4" t="str">
        <f>IF(OR(ISNUMBER(SEARCH("s2r", Table6[[#This Row],[instruction]])),ISNUMBER(SEARCH("s2ur", Table6[[#This Row],[instruction]]))), "special", "")</f>
        <v/>
      </c>
      <c r="S104" t="str">
        <f>IF(OR(ISNUMBER(SEARCH("stg", Table6[[#This Row],[instruction]])),ISNUMBER(SEARCH("ldg", Table6[[#This Row],[instruction]]))), "global", "")</f>
        <v/>
      </c>
      <c r="T104" t="str">
        <f>IF(OR(ISNUMBER(SEARCH("sts", Table6[[#This Row],[instruction]])),ISNUMBER(SEARCH("lds", Table6[[#This Row],[instruction]]))), "shared", "")</f>
        <v/>
      </c>
      <c r="U104" t="str">
        <f>IF(OR(ISNUMBER(SEARCH("LDC", Table6[[#This Row],[instruction]]))), "ind. const", "")</f>
        <v/>
      </c>
      <c r="V1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Row],[s5]]))),U104=""), "cmb. const", "")</f>
        <v>cmb. const</v>
      </c>
      <c r="W104" s="2" t="s">
        <v>481</v>
      </c>
      <c r="Y104">
        <f>IF(Table6[[#This Row],[pipeline]]="fma",Table6[[#This Row],[delay]],0)</f>
        <v>0</v>
      </c>
      <c r="Z104">
        <f>IF(AND(Table6[[#This Row],[pipeline]]="fma",W104="new"),290,0)</f>
        <v>0</v>
      </c>
      <c r="AK104" s="34"/>
    </row>
    <row r="105" spans="1:37" ht="17" x14ac:dyDescent="0.2">
      <c r="A105" s="31">
        <f>IF(Table6[[#This Row],[instruction]]&lt;&gt;"",MAX($A$6:A104)+1," ")</f>
        <v>100</v>
      </c>
      <c r="B105" s="32" t="s">
        <v>86</v>
      </c>
      <c r="C105" t="s">
        <v>359</v>
      </c>
      <c r="D105" s="31" t="s">
        <v>555</v>
      </c>
      <c r="K105" s="2" t="str">
        <f t="shared" si="1"/>
        <v>cba</v>
      </c>
      <c r="L105" cm="1">
        <f t="array" ref="L1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05" t="str">
        <f>IF(OR(ISNUMBER(SEARCH("imad", Table6[[#This Row],[instruction]])), ISNUMBER(SEARCH("ffma", Table6[[#This Row],[instruction]])), ISNUMBER(SEARCH("fmul", Table6[[#This Row],[instruction]]))), "fma", "")</f>
        <v/>
      </c>
      <c r="P1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05" t="str">
        <f>IF(OR(ISNUMBER(SEARCH("s2r", Table6[[#This Row],[instruction]])),ISNUMBER(SEARCH("s2ur", Table6[[#This Row],[instruction]]))), "special", "")</f>
        <v/>
      </c>
      <c r="S105" t="str">
        <f>IF(OR(ISNUMBER(SEARCH("stg", Table6[[#This Row],[instruction]])),ISNUMBER(SEARCH("ldg", Table6[[#This Row],[instruction]]))), "global", "")</f>
        <v/>
      </c>
      <c r="T105" t="str">
        <f>IF(OR(ISNUMBER(SEARCH("sts", Table6[[#This Row],[instruction]])),ISNUMBER(SEARCH("lds", Table6[[#This Row],[instruction]]))), "shared", "")</f>
        <v/>
      </c>
      <c r="U105" t="str">
        <f>IF(OR(ISNUMBER(SEARCH("LDC", Table6[[#This Row],[instruction]]))), "ind. const", "")</f>
        <v/>
      </c>
      <c r="V1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Row],[s5]]))),U105=""), "cmb. const", "")</f>
        <v/>
      </c>
      <c r="Y105">
        <f>IF(Table6[[#This Row],[pipeline]]="fma",Table6[[#This Row],[delay]],0)</f>
        <v>0</v>
      </c>
      <c r="Z105">
        <f>IF(AND(Table6[[#This Row],[pipeline]]="fma",W105="new"),290,0)</f>
        <v>0</v>
      </c>
      <c r="AK105" s="34"/>
    </row>
    <row r="106" spans="1:37" ht="17" x14ac:dyDescent="0.2">
      <c r="A106" s="31">
        <f>IF(Table6[[#This Row],[instruction]]&lt;&gt;"",MAX($A$6:A105)+1," ")</f>
        <v>101</v>
      </c>
      <c r="B106" s="32" t="s">
        <v>485</v>
      </c>
      <c r="C106" t="s">
        <v>14</v>
      </c>
      <c r="D106" s="31" t="s">
        <v>60</v>
      </c>
      <c r="E106" s="31" t="s">
        <v>17</v>
      </c>
      <c r="F106" s="31" t="s">
        <v>417</v>
      </c>
      <c r="G106" s="31" t="s">
        <v>543</v>
      </c>
      <c r="K106" s="2" t="str">
        <f t="shared" si="1"/>
        <v>fma</v>
      </c>
      <c r="L106" cm="1">
        <f t="array" ref="L1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6" t="str">
        <f>IF(OR(ISNUMBER(SEARCH("imad", Table6[[#This Row],[instruction]])), ISNUMBER(SEARCH("ffma", Table6[[#This Row],[instruction]])), ISNUMBER(SEARCH("fmul", Table6[[#This Row],[instruction]]))), "fma", "")</f>
        <v>fma</v>
      </c>
      <c r="P1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6" t="str">
        <f>IF(OR(ISNUMBER(SEARCH("s2r", Table6[[#This Row],[instruction]])),ISNUMBER(SEARCH("s2ur", Table6[[#This Row],[instruction]]))), "special", "")</f>
        <v/>
      </c>
      <c r="S106" t="str">
        <f>IF(OR(ISNUMBER(SEARCH("stg", Table6[[#This Row],[instruction]])),ISNUMBER(SEARCH("ldg", Table6[[#This Row],[instruction]]))), "global", "")</f>
        <v/>
      </c>
      <c r="T106" t="str">
        <f>IF(OR(ISNUMBER(SEARCH("sts", Table6[[#This Row],[instruction]])),ISNUMBER(SEARCH("lds", Table6[[#This Row],[instruction]]))), "shared", "")</f>
        <v/>
      </c>
      <c r="U106" t="str">
        <f>IF(OR(ISNUMBER(SEARCH("LDC", Table6[[#This Row],[instruction]]))), "ind. const", "")</f>
        <v/>
      </c>
      <c r="V1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Row],[s5]]))),U106=""), "cmb. const", "")</f>
        <v>cmb. const</v>
      </c>
      <c r="W106" s="2" t="s">
        <v>481</v>
      </c>
      <c r="Y106">
        <f>IF(Table6[[#This Row],[pipeline]]="fma",Table6[[#This Row],[delay]],0)</f>
        <v>4</v>
      </c>
      <c r="Z106">
        <f>IF(AND(Table6[[#This Row],[pipeline]]="fma",W106="new"),290,0)</f>
        <v>0</v>
      </c>
      <c r="AK106" s="34"/>
    </row>
    <row r="107" spans="1:37" ht="17" x14ac:dyDescent="0.2">
      <c r="A107" s="31">
        <f>IF(Table6[[#This Row],[instruction]]&lt;&gt;"",MAX($A$6:A106)+1," ")</f>
        <v>102</v>
      </c>
      <c r="B107" s="32" t="s">
        <v>485</v>
      </c>
      <c r="C107" t="s">
        <v>14</v>
      </c>
      <c r="D107" s="31" t="s">
        <v>60</v>
      </c>
      <c r="E107" s="31" t="s">
        <v>61</v>
      </c>
      <c r="F107" s="31" t="s">
        <v>422</v>
      </c>
      <c r="G107" s="31" t="s">
        <v>557</v>
      </c>
      <c r="K107" s="2" t="str">
        <f t="shared" si="1"/>
        <v>fma</v>
      </c>
      <c r="L107" cm="1">
        <f t="array" ref="L1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7" t="str">
        <f>IF(OR(ISNUMBER(SEARCH("imad", Table6[[#This Row],[instruction]])), ISNUMBER(SEARCH("ffma", Table6[[#This Row],[instruction]])), ISNUMBER(SEARCH("fmul", Table6[[#This Row],[instruction]]))), "fma", "")</f>
        <v>fma</v>
      </c>
      <c r="P1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7" t="str">
        <f>IF(OR(ISNUMBER(SEARCH("s2r", Table6[[#This Row],[instruction]])),ISNUMBER(SEARCH("s2ur", Table6[[#This Row],[instruction]]))), "special", "")</f>
        <v/>
      </c>
      <c r="S107" t="str">
        <f>IF(OR(ISNUMBER(SEARCH("stg", Table6[[#This Row],[instruction]])),ISNUMBER(SEARCH("ldg", Table6[[#This Row],[instruction]]))), "global", "")</f>
        <v/>
      </c>
      <c r="T107" t="str">
        <f>IF(OR(ISNUMBER(SEARCH("sts", Table6[[#This Row],[instruction]])),ISNUMBER(SEARCH("lds", Table6[[#This Row],[instruction]]))), "shared", "")</f>
        <v/>
      </c>
      <c r="U107" t="str">
        <f>IF(OR(ISNUMBER(SEARCH("LDC", Table6[[#This Row],[instruction]]))), "ind. const", "")</f>
        <v/>
      </c>
      <c r="V1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Row],[s5]]))),U107=""), "cmb. const", "")</f>
        <v>cmb. const</v>
      </c>
      <c r="W107" s="2" t="s">
        <v>481</v>
      </c>
      <c r="Y107">
        <f>IF(Table6[[#This Row],[pipeline]]="fma",Table6[[#This Row],[delay]],0)</f>
        <v>4</v>
      </c>
      <c r="Z107">
        <f>IF(AND(Table6[[#This Row],[pipeline]]="fma",W107="new"),290,0)</f>
        <v>0</v>
      </c>
      <c r="AK107" s="34"/>
    </row>
    <row r="108" spans="1:37" ht="17" x14ac:dyDescent="0.2">
      <c r="A108" s="31">
        <f>IF(Table6[[#This Row],[instruction]]&lt;&gt;"",MAX($A$6:A107)+1," ")</f>
        <v>103</v>
      </c>
      <c r="B108" s="32" t="s">
        <v>485</v>
      </c>
      <c r="C108" t="s">
        <v>6</v>
      </c>
      <c r="D108" s="31" t="s">
        <v>61</v>
      </c>
      <c r="E108" s="31" t="e" cm="1">
        <f t="array" ref="E108">-RZ</f>
        <v>#NAME?</v>
      </c>
      <c r="F108" s="31" t="s">
        <v>8</v>
      </c>
      <c r="G108" s="31">
        <v>0</v>
      </c>
      <c r="H108" s="31" t="s">
        <v>558</v>
      </c>
      <c r="K108" s="2" t="str">
        <f t="shared" si="1"/>
        <v/>
      </c>
      <c r="L108" cm="1">
        <f t="array" ref="L1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08" t="str">
        <f>IF(OR(ISNUMBER(SEARCH("imad", Table6[[#This Row],[instruction]])), ISNUMBER(SEARCH("ffma", Table6[[#This Row],[instruction]])), ISNUMBER(SEARCH("fmul", Table6[[#This Row],[instruction]]))), "fma", "")</f>
        <v/>
      </c>
      <c r="P1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8" t="str">
        <f>IF(OR(ISNUMBER(SEARCH("s2r", Table6[[#This Row],[instruction]])),ISNUMBER(SEARCH("s2ur", Table6[[#This Row],[instruction]]))), "special", "")</f>
        <v/>
      </c>
      <c r="S108" t="str">
        <f>IF(OR(ISNUMBER(SEARCH("stg", Table6[[#This Row],[instruction]])),ISNUMBER(SEARCH("ldg", Table6[[#This Row],[instruction]]))), "global", "")</f>
        <v/>
      </c>
      <c r="T108" t="str">
        <f>IF(OR(ISNUMBER(SEARCH("sts", Table6[[#This Row],[instruction]])),ISNUMBER(SEARCH("lds", Table6[[#This Row],[instruction]]))), "shared", "")</f>
        <v/>
      </c>
      <c r="U108" t="str">
        <f>IF(OR(ISNUMBER(SEARCH("LDC", Table6[[#This Row],[instruction]]))), "ind. const", "")</f>
        <v/>
      </c>
      <c r="V1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Row],[s5]]))),U108=""), "cmb. const", "")</f>
        <v/>
      </c>
      <c r="Y108">
        <f>IF(Table6[[#This Row],[pipeline]]="fma",Table6[[#This Row],[delay]],0)</f>
        <v>0</v>
      </c>
      <c r="Z108">
        <f>IF(AND(Table6[[#This Row],[pipeline]]="fma",W108="new"),290,0)</f>
        <v>0</v>
      </c>
      <c r="AK108" s="34"/>
    </row>
    <row r="109" spans="1:37" ht="17" x14ac:dyDescent="0.2">
      <c r="A109" s="31">
        <f>IF(Table6[[#This Row],[instruction]]&lt;&gt;"",MAX($A$6:A108)+1," ")</f>
        <v>104</v>
      </c>
      <c r="B109" s="32" t="s">
        <v>485</v>
      </c>
      <c r="C109" t="s">
        <v>14</v>
      </c>
      <c r="D109" s="31" t="s">
        <v>60</v>
      </c>
      <c r="E109" s="31" t="s">
        <v>84</v>
      </c>
      <c r="F109" s="31" t="s">
        <v>549</v>
      </c>
      <c r="G109" s="31" t="s">
        <v>557</v>
      </c>
      <c r="K109" s="2" t="str">
        <f t="shared" si="1"/>
        <v>fma</v>
      </c>
      <c r="L109" cm="1">
        <f t="array" ref="L1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09" t="str">
        <f>IF(OR(ISNUMBER(SEARCH("imad", Table6[[#This Row],[instruction]])), ISNUMBER(SEARCH("ffma", Table6[[#This Row],[instruction]])), ISNUMBER(SEARCH("fmul", Table6[[#This Row],[instruction]]))), "fma", "")</f>
        <v>fma</v>
      </c>
      <c r="P1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09" t="str">
        <f>IF(OR(ISNUMBER(SEARCH("s2r", Table6[[#This Row],[instruction]])),ISNUMBER(SEARCH("s2ur", Table6[[#This Row],[instruction]]))), "special", "")</f>
        <v/>
      </c>
      <c r="S109" t="str">
        <f>IF(OR(ISNUMBER(SEARCH("stg", Table6[[#This Row],[instruction]])),ISNUMBER(SEARCH("ldg", Table6[[#This Row],[instruction]]))), "global", "")</f>
        <v/>
      </c>
      <c r="T109" t="str">
        <f>IF(OR(ISNUMBER(SEARCH("sts", Table6[[#This Row],[instruction]])),ISNUMBER(SEARCH("lds", Table6[[#This Row],[instruction]]))), "shared", "")</f>
        <v/>
      </c>
      <c r="U109" t="str">
        <f>IF(OR(ISNUMBER(SEARCH("LDC", Table6[[#This Row],[instruction]]))), "ind. const", "")</f>
        <v/>
      </c>
      <c r="V1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Row],[s5]]))),U109=""), "cmb. const", "")</f>
        <v>cmb. const</v>
      </c>
      <c r="W109" s="2" t="s">
        <v>481</v>
      </c>
      <c r="Y109">
        <f>IF(Table6[[#This Row],[pipeline]]="fma",Table6[[#This Row],[delay]],0)</f>
        <v>4</v>
      </c>
      <c r="Z109">
        <f>IF(AND(Table6[[#This Row],[pipeline]]="fma",W109="new"),290,0)</f>
        <v>0</v>
      </c>
      <c r="AK109" s="34"/>
    </row>
    <row r="110" spans="1:37" ht="17" x14ac:dyDescent="0.2">
      <c r="A110" s="31">
        <f>IF(Table6[[#This Row],[instruction]]&lt;&gt;"",MAX($A$6:A109)+1," ")</f>
        <v>105</v>
      </c>
      <c r="B110" s="32" t="s">
        <v>485</v>
      </c>
      <c r="C110" t="s">
        <v>54</v>
      </c>
      <c r="D110" s="31" t="s">
        <v>61</v>
      </c>
      <c r="E110" s="31" t="s">
        <v>60</v>
      </c>
      <c r="F110" s="31" t="s">
        <v>61</v>
      </c>
      <c r="G110" s="31" t="s">
        <v>550</v>
      </c>
      <c r="K110" s="2" t="str">
        <f t="shared" si="1"/>
        <v>fma</v>
      </c>
      <c r="L110" cm="1">
        <f t="array" ref="L1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10" t="str">
        <f>IF(OR(ISNUMBER(SEARCH("imad", Table6[[#This Row],[instruction]])), ISNUMBER(SEARCH("ffma", Table6[[#This Row],[instruction]])), ISNUMBER(SEARCH("fmul", Table6[[#This Row],[instruction]]))), "fma", "")</f>
        <v>fma</v>
      </c>
      <c r="P1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0" t="str">
        <f>IF(OR(ISNUMBER(SEARCH("s2r", Table6[[#This Row],[instruction]])),ISNUMBER(SEARCH("s2ur", Table6[[#This Row],[instruction]]))), "special", "")</f>
        <v/>
      </c>
      <c r="S110" t="str">
        <f>IF(OR(ISNUMBER(SEARCH("stg", Table6[[#This Row],[instruction]])),ISNUMBER(SEARCH("ldg", Table6[[#This Row],[instruction]]))), "global", "")</f>
        <v/>
      </c>
      <c r="T110" t="str">
        <f>IF(OR(ISNUMBER(SEARCH("sts", Table6[[#This Row],[instruction]])),ISNUMBER(SEARCH("lds", Table6[[#This Row],[instruction]]))), "shared", "")</f>
        <v/>
      </c>
      <c r="U110" t="str">
        <f>IF(OR(ISNUMBER(SEARCH("LDC", Table6[[#This Row],[instruction]]))), "ind. const", "")</f>
        <v/>
      </c>
      <c r="V1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Row],[s5]]))),U110=""), "cmb. const", "")</f>
        <v>cmb. const</v>
      </c>
      <c r="W110" s="2" t="s">
        <v>481</v>
      </c>
      <c r="Y110">
        <f>IF(Table6[[#This Row],[pipeline]]="fma",Table6[[#This Row],[delay]],0)</f>
        <v>4</v>
      </c>
      <c r="Z110">
        <f>IF(AND(Table6[[#This Row],[pipeline]]="fma",W110="new"),290,0)</f>
        <v>0</v>
      </c>
      <c r="AK110" s="34"/>
    </row>
    <row r="111" spans="1:37" ht="17" x14ac:dyDescent="0.2">
      <c r="A111" s="31">
        <f>IF(Table6[[#This Row],[instruction]]&lt;&gt;"",MAX($A$6:A110)+1," ")</f>
        <v>106</v>
      </c>
      <c r="B111" s="32" t="s">
        <v>485</v>
      </c>
      <c r="C111" t="s">
        <v>444</v>
      </c>
      <c r="D111" s="31" t="s">
        <v>60</v>
      </c>
      <c r="E111" s="31" t="s">
        <v>559</v>
      </c>
      <c r="K111" s="2" t="str">
        <f t="shared" si="1"/>
        <v>global</v>
      </c>
      <c r="L111" cm="1">
        <f t="array" ref="L1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1" t="str">
        <f>IF(OR(ISNUMBER(SEARCH("imad", Table6[[#This Row],[instruction]])), ISNUMBER(SEARCH("ffma", Table6[[#This Row],[instruction]])), ISNUMBER(SEARCH("fmul", Table6[[#This Row],[instruction]]))), "fma", "")</f>
        <v/>
      </c>
      <c r="P1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1" t="str">
        <f>IF(OR(ISNUMBER(SEARCH("s2r", Table6[[#This Row],[instruction]])),ISNUMBER(SEARCH("s2ur", Table6[[#This Row],[instruction]]))), "special", "")</f>
        <v/>
      </c>
      <c r="S111" t="str">
        <f>IF(OR(ISNUMBER(SEARCH("stg", Table6[[#This Row],[instruction]])),ISNUMBER(SEARCH("ldg", Table6[[#This Row],[instruction]]))), "global", "")</f>
        <v>global</v>
      </c>
      <c r="T111" t="str">
        <f>IF(OR(ISNUMBER(SEARCH("sts", Table6[[#This Row],[instruction]])),ISNUMBER(SEARCH("lds", Table6[[#This Row],[instruction]]))), "shared", "")</f>
        <v/>
      </c>
      <c r="U111" t="str">
        <f>IF(OR(ISNUMBER(SEARCH("LDC", Table6[[#This Row],[instruction]]))), "ind. const", "")</f>
        <v/>
      </c>
      <c r="V1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Row],[s5]]))),U111=""), "cmb. const", "")</f>
        <v/>
      </c>
      <c r="Y111">
        <f>IF(Table6[[#This Row],[pipeline]]="fma",Table6[[#This Row],[delay]],0)</f>
        <v>0</v>
      </c>
      <c r="Z111">
        <f>IF(AND(Table6[[#This Row],[pipeline]]="fma",W111="new"),290,0)</f>
        <v>0</v>
      </c>
      <c r="AK111" s="34"/>
    </row>
    <row r="112" spans="1:37" ht="17" x14ac:dyDescent="0.2">
      <c r="A112" s="31">
        <f>IF(Table6[[#This Row],[instruction]]&lt;&gt;"",MAX($A$6:A111)+1," ")</f>
        <v>107</v>
      </c>
      <c r="B112" s="32" t="s">
        <v>485</v>
      </c>
      <c r="C112" t="s">
        <v>72</v>
      </c>
      <c r="D112" s="31" t="s">
        <v>552</v>
      </c>
      <c r="K112" s="2" t="str">
        <f t="shared" si="1"/>
        <v>cba</v>
      </c>
      <c r="L112" cm="1">
        <f t="array" ref="L1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2" t="str">
        <f>IF(OR(ISNUMBER(SEARCH("imad", Table6[[#This Row],[instruction]])), ISNUMBER(SEARCH("ffma", Table6[[#This Row],[instruction]])), ISNUMBER(SEARCH("fmul", Table6[[#This Row],[instruction]]))), "fma", "")</f>
        <v/>
      </c>
      <c r="P1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12" t="str">
        <f>IF(OR(ISNUMBER(SEARCH("s2r", Table6[[#This Row],[instruction]])),ISNUMBER(SEARCH("s2ur", Table6[[#This Row],[instruction]]))), "special", "")</f>
        <v/>
      </c>
      <c r="S112" t="str">
        <f>IF(OR(ISNUMBER(SEARCH("stg", Table6[[#This Row],[instruction]])),ISNUMBER(SEARCH("ldg", Table6[[#This Row],[instruction]]))), "global", "")</f>
        <v/>
      </c>
      <c r="T112" t="str">
        <f>IF(OR(ISNUMBER(SEARCH("sts", Table6[[#This Row],[instruction]])),ISNUMBER(SEARCH("lds", Table6[[#This Row],[instruction]]))), "shared", "")</f>
        <v/>
      </c>
      <c r="U112" t="str">
        <f>IF(OR(ISNUMBER(SEARCH("LDC", Table6[[#This Row],[instruction]]))), "ind. const", "")</f>
        <v/>
      </c>
      <c r="V1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Row],[s5]]))),U112=""), "cmb. const", "")</f>
        <v/>
      </c>
      <c r="Y112">
        <f>IF(Table6[[#This Row],[pipeline]]="fma",Table6[[#This Row],[delay]],0)</f>
        <v>0</v>
      </c>
      <c r="Z112">
        <f>IF(AND(Table6[[#This Row],[pipeline]]="fma",W112="new"),290,0)</f>
        <v>0</v>
      </c>
      <c r="AK112" s="34"/>
    </row>
    <row r="113" spans="1:37" ht="17" x14ac:dyDescent="0.2">
      <c r="A113" s="31">
        <f>IF(Table6[[#This Row],[instruction]]&lt;&gt;"",MAX($A$6:A112)+1," ")</f>
        <v>108</v>
      </c>
      <c r="B113" s="32" t="s">
        <v>485</v>
      </c>
      <c r="C113" t="s">
        <v>67</v>
      </c>
      <c r="D113" s="31" t="s">
        <v>68</v>
      </c>
      <c r="E113" s="31" t="s">
        <v>560</v>
      </c>
      <c r="K113" s="2" t="str">
        <f t="shared" si="1"/>
        <v>cba</v>
      </c>
      <c r="L113" cm="1">
        <f t="array" ref="L1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3" t="str">
        <f>IF(OR(ISNUMBER(SEARCH("imad", Table6[[#This Row],[instruction]])), ISNUMBER(SEARCH("ffma", Table6[[#This Row],[instruction]])), ISNUMBER(SEARCH("fmul", Table6[[#This Row],[instruction]]))), "fma", "")</f>
        <v/>
      </c>
      <c r="P1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13" t="str">
        <f>IF(OR(ISNUMBER(SEARCH("s2r", Table6[[#This Row],[instruction]])),ISNUMBER(SEARCH("s2ur", Table6[[#This Row],[instruction]]))), "special", "")</f>
        <v/>
      </c>
      <c r="S113" t="str">
        <f>IF(OR(ISNUMBER(SEARCH("stg", Table6[[#This Row],[instruction]])),ISNUMBER(SEARCH("ldg", Table6[[#This Row],[instruction]]))), "global", "")</f>
        <v/>
      </c>
      <c r="T113" t="str">
        <f>IF(OR(ISNUMBER(SEARCH("sts", Table6[[#This Row],[instruction]])),ISNUMBER(SEARCH("lds", Table6[[#This Row],[instruction]]))), "shared", "")</f>
        <v/>
      </c>
      <c r="U113" t="str">
        <f>IF(OR(ISNUMBER(SEARCH("LDC", Table6[[#This Row],[instruction]]))), "ind. const", "")</f>
        <v/>
      </c>
      <c r="V1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Row],[s5]]))),U113=""), "cmb. const", "")</f>
        <v/>
      </c>
      <c r="Y113">
        <f>IF(Table6[[#This Row],[pipeline]]="fma",Table6[[#This Row],[delay]],0)</f>
        <v>0</v>
      </c>
      <c r="Z113">
        <f>IF(AND(Table6[[#This Row],[pipeline]]="fma",W113="new"),290,0)</f>
        <v>0</v>
      </c>
      <c r="AK113" s="34"/>
    </row>
    <row r="114" spans="1:37" ht="17" x14ac:dyDescent="0.2">
      <c r="A114" s="31">
        <f>IF(Table6[[#This Row],[instruction]]&lt;&gt;"",MAX($A$6:A113)+1," ")</f>
        <v>109</v>
      </c>
      <c r="B114" s="32" t="s">
        <v>485</v>
      </c>
      <c r="C114" t="s">
        <v>45</v>
      </c>
      <c r="D114" s="31" t="s">
        <v>71</v>
      </c>
      <c r="E114" s="31" t="s">
        <v>8</v>
      </c>
      <c r="F114" s="31" t="s">
        <v>8</v>
      </c>
      <c r="G114" s="31" t="s">
        <v>502</v>
      </c>
      <c r="K114" s="2" t="str">
        <f t="shared" si="1"/>
        <v>fma</v>
      </c>
      <c r="L114" cm="1">
        <f t="array" ref="L1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14" t="str">
        <f>IF(OR(ISNUMBER(SEARCH("imad", Table6[[#This Row],[instruction]])), ISNUMBER(SEARCH("ffma", Table6[[#This Row],[instruction]])), ISNUMBER(SEARCH("fmul", Table6[[#This Row],[instruction]]))), "fma", "")</f>
        <v>fma</v>
      </c>
      <c r="P1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4" t="str">
        <f>IF(OR(ISNUMBER(SEARCH("s2r", Table6[[#This Row],[instruction]])),ISNUMBER(SEARCH("s2ur", Table6[[#This Row],[instruction]]))), "special", "")</f>
        <v/>
      </c>
      <c r="S114" t="str">
        <f>IF(OR(ISNUMBER(SEARCH("stg", Table6[[#This Row],[instruction]])),ISNUMBER(SEARCH("ldg", Table6[[#This Row],[instruction]]))), "global", "")</f>
        <v/>
      </c>
      <c r="T114" t="str">
        <f>IF(OR(ISNUMBER(SEARCH("sts", Table6[[#This Row],[instruction]])),ISNUMBER(SEARCH("lds", Table6[[#This Row],[instruction]]))), "shared", "")</f>
        <v/>
      </c>
      <c r="U114" t="str">
        <f>IF(OR(ISNUMBER(SEARCH("LDC", Table6[[#This Row],[instruction]]))), "ind. const", "")</f>
        <v/>
      </c>
      <c r="V1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Row],[s5]]))),U114=""), "cmb. const", "")</f>
        <v/>
      </c>
      <c r="Y114">
        <f>IF(Table6[[#This Row],[pipeline]]="fma",Table6[[#This Row],[delay]],0)</f>
        <v>4</v>
      </c>
      <c r="Z114">
        <f>IF(AND(Table6[[#This Row],[pipeline]]="fma",W114="new"),290,0)</f>
        <v>0</v>
      </c>
      <c r="AK114" s="34"/>
    </row>
    <row r="115" spans="1:37" ht="17" x14ac:dyDescent="0.2">
      <c r="A115" s="31">
        <f>IF(Table6[[#This Row],[instruction]]&lt;&gt;"",MAX($A$6:A114)+1," ")</f>
        <v>110</v>
      </c>
      <c r="B115" s="32" t="s">
        <v>561</v>
      </c>
      <c r="C115" t="s">
        <v>359</v>
      </c>
      <c r="D115" s="31" t="s">
        <v>562</v>
      </c>
      <c r="K115" s="2" t="str">
        <f t="shared" si="1"/>
        <v>cba</v>
      </c>
      <c r="L115" cm="1">
        <f t="array" ref="L1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5" t="str">
        <f>IF(OR(ISNUMBER(SEARCH("imad", Table6[[#This Row],[instruction]])), ISNUMBER(SEARCH("ffma", Table6[[#This Row],[instruction]])), ISNUMBER(SEARCH("fmul", Table6[[#This Row],[instruction]]))), "fma", "")</f>
        <v/>
      </c>
      <c r="P1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15" t="str">
        <f>IF(OR(ISNUMBER(SEARCH("s2r", Table6[[#This Row],[instruction]])),ISNUMBER(SEARCH("s2ur", Table6[[#This Row],[instruction]]))), "special", "")</f>
        <v/>
      </c>
      <c r="S115" t="str">
        <f>IF(OR(ISNUMBER(SEARCH("stg", Table6[[#This Row],[instruction]])),ISNUMBER(SEARCH("ldg", Table6[[#This Row],[instruction]]))), "global", "")</f>
        <v/>
      </c>
      <c r="T115" t="str">
        <f>IF(OR(ISNUMBER(SEARCH("sts", Table6[[#This Row],[instruction]])),ISNUMBER(SEARCH("lds", Table6[[#This Row],[instruction]]))), "shared", "")</f>
        <v/>
      </c>
      <c r="U115" t="str">
        <f>IF(OR(ISNUMBER(SEARCH("LDC", Table6[[#This Row],[instruction]]))), "ind. const", "")</f>
        <v/>
      </c>
      <c r="V1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Row],[s5]]))),U115=""), "cmb. const", "")</f>
        <v/>
      </c>
      <c r="Y115">
        <f>IF(Table6[[#This Row],[pipeline]]="fma",Table6[[#This Row],[delay]],0)</f>
        <v>0</v>
      </c>
      <c r="Z115">
        <f>IF(AND(Table6[[#This Row],[pipeline]]="fma",W115="new"),290,0)</f>
        <v>0</v>
      </c>
      <c r="AK115" s="34"/>
    </row>
    <row r="116" spans="1:37" ht="17" x14ac:dyDescent="0.2">
      <c r="A116" s="31">
        <f>IF(Table6[[#This Row],[instruction]]&lt;&gt;"",MAX($A$6:A115)+1," ")</f>
        <v>111</v>
      </c>
      <c r="B116" s="32" t="s">
        <v>485</v>
      </c>
      <c r="C116" t="s">
        <v>0</v>
      </c>
      <c r="D116" s="31" t="s">
        <v>61</v>
      </c>
      <c r="E116" s="31" t="s">
        <v>535</v>
      </c>
      <c r="K116" s="2" t="str">
        <f t="shared" si="1"/>
        <v/>
      </c>
      <c r="L116" cm="1">
        <f t="array" ref="L1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6" t="str">
        <f>IF(OR(ISNUMBER(SEARCH("imad", Table6[[#This Row],[instruction]])), ISNUMBER(SEARCH("ffma", Table6[[#This Row],[instruction]])), ISNUMBER(SEARCH("fmul", Table6[[#This Row],[instruction]]))), "fma", "")</f>
        <v/>
      </c>
      <c r="P1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6" t="str">
        <f>IF(OR(ISNUMBER(SEARCH("s2r", Table6[[#This Row],[instruction]])),ISNUMBER(SEARCH("s2ur", Table6[[#This Row],[instruction]]))), "special", "")</f>
        <v/>
      </c>
      <c r="S116" t="str">
        <f>IF(OR(ISNUMBER(SEARCH("stg", Table6[[#This Row],[instruction]])),ISNUMBER(SEARCH("ldg", Table6[[#This Row],[instruction]]))), "global", "")</f>
        <v/>
      </c>
      <c r="T116" t="str">
        <f>IF(OR(ISNUMBER(SEARCH("sts", Table6[[#This Row],[instruction]])),ISNUMBER(SEARCH("lds", Table6[[#This Row],[instruction]]))), "shared", "")</f>
        <v/>
      </c>
      <c r="U116" t="str">
        <f>IF(OR(ISNUMBER(SEARCH("LDC", Table6[[#This Row],[instruction]]))), "ind. const", "")</f>
        <v/>
      </c>
      <c r="V1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Row],[s5]]))),U116=""), "cmb. const", "")</f>
        <v>cmb. const</v>
      </c>
      <c r="W116" s="2" t="s">
        <v>481</v>
      </c>
      <c r="Y116">
        <f>IF(Table6[[#This Row],[pipeline]]="fma",Table6[[#This Row],[delay]],0)</f>
        <v>0</v>
      </c>
      <c r="Z116">
        <f>IF(AND(Table6[[#This Row],[pipeline]]="fma",W116="new"),290,0)</f>
        <v>0</v>
      </c>
      <c r="AK116" s="34"/>
    </row>
    <row r="117" spans="1:37" ht="17" x14ac:dyDescent="0.2">
      <c r="A117" s="31">
        <f>IF(Table6[[#This Row],[instruction]]&lt;&gt;"",MAX($A$6:A116)+1," ")</f>
        <v>112</v>
      </c>
      <c r="B117" s="32" t="s">
        <v>485</v>
      </c>
      <c r="C117" t="s">
        <v>45</v>
      </c>
      <c r="D117" s="31" t="s">
        <v>430</v>
      </c>
      <c r="E117" s="31" t="s">
        <v>8</v>
      </c>
      <c r="F117" s="31" t="s">
        <v>8</v>
      </c>
      <c r="G117" s="31" t="s">
        <v>536</v>
      </c>
      <c r="K117" s="2" t="str">
        <f t="shared" si="1"/>
        <v>fma</v>
      </c>
      <c r="L117" cm="1">
        <f t="array" ref="L1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17" t="str">
        <f>IF(OR(ISNUMBER(SEARCH("imad", Table6[[#This Row],[instruction]])), ISNUMBER(SEARCH("ffma", Table6[[#This Row],[instruction]])), ISNUMBER(SEARCH("fmul", Table6[[#This Row],[instruction]]))), "fma", "")</f>
        <v>fma</v>
      </c>
      <c r="P1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7" t="str">
        <f>IF(OR(ISNUMBER(SEARCH("s2r", Table6[[#This Row],[instruction]])),ISNUMBER(SEARCH("s2ur", Table6[[#This Row],[instruction]]))), "special", "")</f>
        <v/>
      </c>
      <c r="S117" t="str">
        <f>IF(OR(ISNUMBER(SEARCH("stg", Table6[[#This Row],[instruction]])),ISNUMBER(SEARCH("ldg", Table6[[#This Row],[instruction]]))), "global", "")</f>
        <v/>
      </c>
      <c r="T117" t="str">
        <f>IF(OR(ISNUMBER(SEARCH("sts", Table6[[#This Row],[instruction]])),ISNUMBER(SEARCH("lds", Table6[[#This Row],[instruction]]))), "shared", "")</f>
        <v/>
      </c>
      <c r="U117" t="str">
        <f>IF(OR(ISNUMBER(SEARCH("LDC", Table6[[#This Row],[instruction]]))), "ind. const", "")</f>
        <v/>
      </c>
      <c r="V1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Row],[s5]]))),U117=""), "cmb. const", "")</f>
        <v>cmb. const</v>
      </c>
      <c r="W117" s="2" t="s">
        <v>481</v>
      </c>
      <c r="Y117">
        <f>IF(Table6[[#This Row],[pipeline]]="fma",Table6[[#This Row],[delay]],0)</f>
        <v>4</v>
      </c>
      <c r="Z117">
        <f>IF(AND(Table6[[#This Row],[pipeline]]="fma",W117="new"),290,0)</f>
        <v>0</v>
      </c>
      <c r="AK117" s="34"/>
    </row>
    <row r="118" spans="1:37" ht="17" x14ac:dyDescent="0.2">
      <c r="A118" s="31">
        <f>IF(Table6[[#This Row],[instruction]]&lt;&gt;"",MAX($A$6:A117)+1," ")</f>
        <v>113</v>
      </c>
      <c r="B118" s="32" t="s">
        <v>485</v>
      </c>
      <c r="C118" t="s">
        <v>463</v>
      </c>
      <c r="D118" s="31" t="s">
        <v>50</v>
      </c>
      <c r="E118" s="31" t="s">
        <v>51</v>
      </c>
      <c r="F118" s="31" t="s">
        <v>61</v>
      </c>
      <c r="G118" s="31" t="s">
        <v>75</v>
      </c>
      <c r="H118" s="31" t="s">
        <v>494</v>
      </c>
      <c r="K118" s="2" t="str">
        <f t="shared" si="1"/>
        <v>alu</v>
      </c>
      <c r="L118" cm="1">
        <f t="array" ref="L1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18" t="str">
        <f>IF(OR(ISNUMBER(SEARCH("imad", Table6[[#This Row],[instruction]])), ISNUMBER(SEARCH("ffma", Table6[[#This Row],[instruction]])), ISNUMBER(SEARCH("fmul", Table6[[#This Row],[instruction]]))), "fma", "")</f>
        <v/>
      </c>
      <c r="P1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8" t="str">
        <f>IF(OR(ISNUMBER(SEARCH("s2r", Table6[[#This Row],[instruction]])),ISNUMBER(SEARCH("s2ur", Table6[[#This Row],[instruction]]))), "special", "")</f>
        <v/>
      </c>
      <c r="S118" t="str">
        <f>IF(OR(ISNUMBER(SEARCH("stg", Table6[[#This Row],[instruction]])),ISNUMBER(SEARCH("ldg", Table6[[#This Row],[instruction]]))), "global", "")</f>
        <v/>
      </c>
      <c r="T118" t="str">
        <f>IF(OR(ISNUMBER(SEARCH("sts", Table6[[#This Row],[instruction]])),ISNUMBER(SEARCH("lds", Table6[[#This Row],[instruction]]))), "shared", "")</f>
        <v/>
      </c>
      <c r="U118" t="str">
        <f>IF(OR(ISNUMBER(SEARCH("LDC", Table6[[#This Row],[instruction]]))), "ind. const", "")</f>
        <v/>
      </c>
      <c r="V1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Row],[s5]]))),U118=""), "cmb. const", "")</f>
        <v/>
      </c>
      <c r="Y118">
        <f>IF(Table6[[#This Row],[pipeline]]="fma",Table6[[#This Row],[delay]],0)</f>
        <v>0</v>
      </c>
      <c r="Z118">
        <f>IF(AND(Table6[[#This Row],[pipeline]]="fma",W118="new"),290,0)</f>
        <v>0</v>
      </c>
      <c r="AK118" s="34"/>
    </row>
    <row r="119" spans="1:37" ht="17" x14ac:dyDescent="0.2">
      <c r="A119" s="31">
        <f>IF(Table6[[#This Row],[instruction]]&lt;&gt;"",MAX($A$6:A118)+1," ")</f>
        <v>114</v>
      </c>
      <c r="B119" s="32" t="s">
        <v>485</v>
      </c>
      <c r="C119" t="s">
        <v>0</v>
      </c>
      <c r="D119" s="31" t="s">
        <v>61</v>
      </c>
      <c r="E119" s="31" t="s">
        <v>563</v>
      </c>
      <c r="K119" s="2" t="str">
        <f t="shared" si="1"/>
        <v/>
      </c>
      <c r="L119" cm="1">
        <f t="array" ref="L1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19" t="str">
        <f>IF(OR(ISNUMBER(SEARCH("imad", Table6[[#This Row],[instruction]])), ISNUMBER(SEARCH("ffma", Table6[[#This Row],[instruction]])), ISNUMBER(SEARCH("fmul", Table6[[#This Row],[instruction]]))), "fma", "")</f>
        <v/>
      </c>
      <c r="P1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19" t="str">
        <f>IF(OR(ISNUMBER(SEARCH("s2r", Table6[[#This Row],[instruction]])),ISNUMBER(SEARCH("s2ur", Table6[[#This Row],[instruction]]))), "special", "")</f>
        <v/>
      </c>
      <c r="S119" t="str">
        <f>IF(OR(ISNUMBER(SEARCH("stg", Table6[[#This Row],[instruction]])),ISNUMBER(SEARCH("ldg", Table6[[#This Row],[instruction]]))), "global", "")</f>
        <v/>
      </c>
      <c r="T119" t="str">
        <f>IF(OR(ISNUMBER(SEARCH("sts", Table6[[#This Row],[instruction]])),ISNUMBER(SEARCH("lds", Table6[[#This Row],[instruction]]))), "shared", "")</f>
        <v/>
      </c>
      <c r="U119" t="str">
        <f>IF(OR(ISNUMBER(SEARCH("LDC", Table6[[#This Row],[instruction]]))), "ind. const", "")</f>
        <v/>
      </c>
      <c r="V1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Row],[s5]]))),U119=""), "cmb. const", "")</f>
        <v/>
      </c>
      <c r="Y119">
        <f>IF(Table6[[#This Row],[pipeline]]="fma",Table6[[#This Row],[delay]],0)</f>
        <v>0</v>
      </c>
      <c r="Z119">
        <f>IF(AND(Table6[[#This Row],[pipeline]]="fma",W119="new"),290,0)</f>
        <v>0</v>
      </c>
      <c r="AK119" s="34"/>
    </row>
    <row r="120" spans="1:37" ht="17" x14ac:dyDescent="0.2">
      <c r="A120" s="31">
        <f>IF(Table6[[#This Row],[instruction]]&lt;&gt;"",MAX($A$6:A119)+1," ")</f>
        <v>115</v>
      </c>
      <c r="B120" s="32" t="s">
        <v>485</v>
      </c>
      <c r="C120" t="s">
        <v>463</v>
      </c>
      <c r="D120" s="31" t="s">
        <v>533</v>
      </c>
      <c r="E120" s="31" t="s">
        <v>51</v>
      </c>
      <c r="F120" s="31" t="s">
        <v>430</v>
      </c>
      <c r="G120" s="31" t="s">
        <v>75</v>
      </c>
      <c r="H120" s="31" t="s">
        <v>494</v>
      </c>
      <c r="K120" s="2" t="str">
        <f t="shared" si="1"/>
        <v>alu</v>
      </c>
      <c r="L120" cm="1">
        <f t="array" ref="L1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0" t="str">
        <f>IF(OR(ISNUMBER(SEARCH("imad", Table6[[#This Row],[instruction]])), ISNUMBER(SEARCH("ffma", Table6[[#This Row],[instruction]])), ISNUMBER(SEARCH("fmul", Table6[[#This Row],[instruction]]))), "fma", "")</f>
        <v/>
      </c>
      <c r="P1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0" t="str">
        <f>IF(OR(ISNUMBER(SEARCH("s2r", Table6[[#This Row],[instruction]])),ISNUMBER(SEARCH("s2ur", Table6[[#This Row],[instruction]]))), "special", "")</f>
        <v/>
      </c>
      <c r="S120" t="str">
        <f>IF(OR(ISNUMBER(SEARCH("stg", Table6[[#This Row],[instruction]])),ISNUMBER(SEARCH("ldg", Table6[[#This Row],[instruction]]))), "global", "")</f>
        <v/>
      </c>
      <c r="T120" t="str">
        <f>IF(OR(ISNUMBER(SEARCH("sts", Table6[[#This Row],[instruction]])),ISNUMBER(SEARCH("lds", Table6[[#This Row],[instruction]]))), "shared", "")</f>
        <v/>
      </c>
      <c r="U120" t="str">
        <f>IF(OR(ISNUMBER(SEARCH("LDC", Table6[[#This Row],[instruction]]))), "ind. const", "")</f>
        <v/>
      </c>
      <c r="V1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Row],[s5]]))),U120=""), "cmb. const", "")</f>
        <v/>
      </c>
      <c r="Y120">
        <f>IF(Table6[[#This Row],[pipeline]]="fma",Table6[[#This Row],[delay]],0)</f>
        <v>0</v>
      </c>
      <c r="Z120">
        <f>IF(AND(Table6[[#This Row],[pipeline]]="fma",W120="new"),290,0)</f>
        <v>0</v>
      </c>
      <c r="AK120" s="34"/>
    </row>
    <row r="121" spans="1:37" ht="17" x14ac:dyDescent="0.2">
      <c r="A121" s="31">
        <f>IF(Table6[[#This Row],[instruction]]&lt;&gt;"",MAX($A$6:A120)+1," ")</f>
        <v>116</v>
      </c>
      <c r="B121" s="32" t="s">
        <v>86</v>
      </c>
      <c r="C121" t="s">
        <v>509</v>
      </c>
      <c r="D121" s="31" t="s">
        <v>84</v>
      </c>
      <c r="E121" s="31" t="s">
        <v>447</v>
      </c>
      <c r="F121" s="31" t="s">
        <v>538</v>
      </c>
      <c r="G121" s="31" t="s">
        <v>502</v>
      </c>
      <c r="K121" s="2" t="str">
        <f t="shared" si="1"/>
        <v>fma</v>
      </c>
      <c r="L121" cm="1">
        <f t="array" ref="L1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1" t="str">
        <f>IF(OR(ISNUMBER(SEARCH("imad", Table6[[#This Row],[instruction]])), ISNUMBER(SEARCH("ffma", Table6[[#This Row],[instruction]])), ISNUMBER(SEARCH("fmul", Table6[[#This Row],[instruction]]))), "fma", "")</f>
        <v>fma</v>
      </c>
      <c r="P1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1" t="str">
        <f>IF(OR(ISNUMBER(SEARCH("s2r", Table6[[#This Row],[instruction]])),ISNUMBER(SEARCH("s2ur", Table6[[#This Row],[instruction]]))), "special", "")</f>
        <v/>
      </c>
      <c r="S121" t="str">
        <f>IF(OR(ISNUMBER(SEARCH("stg", Table6[[#This Row],[instruction]])),ISNUMBER(SEARCH("ldg", Table6[[#This Row],[instruction]]))), "global", "")</f>
        <v/>
      </c>
      <c r="T121" t="str">
        <f>IF(OR(ISNUMBER(SEARCH("sts", Table6[[#This Row],[instruction]])),ISNUMBER(SEARCH("lds", Table6[[#This Row],[instruction]]))), "shared", "")</f>
        <v/>
      </c>
      <c r="U121" t="str">
        <f>IF(OR(ISNUMBER(SEARCH("LDC", Table6[[#This Row],[instruction]]))), "ind. const", "")</f>
        <v/>
      </c>
      <c r="V1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Row],[s5]]))),U121=""), "cmb. const", "")</f>
        <v>cmb. const</v>
      </c>
      <c r="W121" s="2" t="s">
        <v>481</v>
      </c>
      <c r="Y121">
        <f>IF(Table6[[#This Row],[pipeline]]="fma",Table6[[#This Row],[delay]],0)</f>
        <v>4</v>
      </c>
      <c r="Z121">
        <f>IF(AND(Table6[[#This Row],[pipeline]]="fma",W121="new"),290,0)</f>
        <v>0</v>
      </c>
      <c r="AK121" s="34"/>
    </row>
    <row r="122" spans="1:37" ht="17" x14ac:dyDescent="0.2">
      <c r="A122" s="31">
        <f>IF(Table6[[#This Row],[instruction]]&lt;&gt;"",MAX($A$6:A121)+1," ")</f>
        <v>117</v>
      </c>
      <c r="B122" s="32" t="s">
        <v>86</v>
      </c>
      <c r="C122" t="s">
        <v>90</v>
      </c>
      <c r="D122" s="31" t="s">
        <v>61</v>
      </c>
      <c r="E122" s="31" t="s">
        <v>8</v>
      </c>
      <c r="F122" s="31" t="s">
        <v>539</v>
      </c>
      <c r="G122" s="31" t="s">
        <v>545</v>
      </c>
      <c r="K122" s="2" t="str">
        <f t="shared" si="1"/>
        <v>alu</v>
      </c>
      <c r="L122" cm="1">
        <f t="array" ref="L1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2" t="str">
        <f>IF(OR(ISNUMBER(SEARCH("imad", Table6[[#This Row],[instruction]])), ISNUMBER(SEARCH("ffma", Table6[[#This Row],[instruction]])), ISNUMBER(SEARCH("fmul", Table6[[#This Row],[instruction]]))), "fma", "")</f>
        <v/>
      </c>
      <c r="P1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2" t="str">
        <f>IF(OR(ISNUMBER(SEARCH("s2r", Table6[[#This Row],[instruction]])),ISNUMBER(SEARCH("s2ur", Table6[[#This Row],[instruction]]))), "special", "")</f>
        <v/>
      </c>
      <c r="S122" t="str">
        <f>IF(OR(ISNUMBER(SEARCH("stg", Table6[[#This Row],[instruction]])),ISNUMBER(SEARCH("ldg", Table6[[#This Row],[instruction]]))), "global", "")</f>
        <v/>
      </c>
      <c r="T122" t="str">
        <f>IF(OR(ISNUMBER(SEARCH("sts", Table6[[#This Row],[instruction]])),ISNUMBER(SEARCH("lds", Table6[[#This Row],[instruction]]))), "shared", "")</f>
        <v/>
      </c>
      <c r="U122" t="str">
        <f>IF(OR(ISNUMBER(SEARCH("LDC", Table6[[#This Row],[instruction]]))), "ind. const", "")</f>
        <v/>
      </c>
      <c r="V1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Row],[s5]]))),U122=""), "cmb. const", "")</f>
        <v>cmb. const</v>
      </c>
      <c r="W122" s="2" t="s">
        <v>481</v>
      </c>
      <c r="Y122">
        <f>IF(Table6[[#This Row],[pipeline]]="fma",Table6[[#This Row],[delay]],0)</f>
        <v>0</v>
      </c>
      <c r="Z122">
        <f>IF(AND(Table6[[#This Row],[pipeline]]="fma",W122="new"),290,0)</f>
        <v>0</v>
      </c>
      <c r="AK122" s="34"/>
    </row>
    <row r="123" spans="1:37" ht="17" x14ac:dyDescent="0.2">
      <c r="A123" s="31">
        <f>IF(Table6[[#This Row],[instruction]]&lt;&gt;"",MAX($A$6:A122)+1," ")</f>
        <v>118</v>
      </c>
      <c r="B123" s="32" t="s">
        <v>485</v>
      </c>
      <c r="C123" t="s">
        <v>515</v>
      </c>
      <c r="D123" s="31" t="s">
        <v>84</v>
      </c>
      <c r="E123" s="31" t="s">
        <v>8</v>
      </c>
      <c r="F123" s="31" t="s">
        <v>8</v>
      </c>
      <c r="G123" s="31" t="s">
        <v>564</v>
      </c>
      <c r="K123" s="2" t="str">
        <f t="shared" si="1"/>
        <v>fma</v>
      </c>
      <c r="L123" cm="1">
        <f t="array" ref="L1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3" t="str">
        <f>IF(OR(ISNUMBER(SEARCH("imad", Table6[[#This Row],[instruction]])), ISNUMBER(SEARCH("ffma", Table6[[#This Row],[instruction]])), ISNUMBER(SEARCH("fmul", Table6[[#This Row],[instruction]]))), "fma", "")</f>
        <v>fma</v>
      </c>
      <c r="P1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3" t="str">
        <f>IF(OR(ISNUMBER(SEARCH("s2r", Table6[[#This Row],[instruction]])),ISNUMBER(SEARCH("s2ur", Table6[[#This Row],[instruction]]))), "special", "")</f>
        <v/>
      </c>
      <c r="S123" t="str">
        <f>IF(OR(ISNUMBER(SEARCH("stg", Table6[[#This Row],[instruction]])),ISNUMBER(SEARCH("ldg", Table6[[#This Row],[instruction]]))), "global", "")</f>
        <v/>
      </c>
      <c r="T123" t="str">
        <f>IF(OR(ISNUMBER(SEARCH("sts", Table6[[#This Row],[instruction]])),ISNUMBER(SEARCH("lds", Table6[[#This Row],[instruction]]))), "shared", "")</f>
        <v/>
      </c>
      <c r="U123" t="str">
        <f>IF(OR(ISNUMBER(SEARCH("LDC", Table6[[#This Row],[instruction]]))), "ind. const", "")</f>
        <v/>
      </c>
      <c r="V1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Row],[s5]]))),U123=""), "cmb. const", "")</f>
        <v/>
      </c>
      <c r="Y123">
        <f>IF(Table6[[#This Row],[pipeline]]="fma",Table6[[#This Row],[delay]],0)</f>
        <v>4</v>
      </c>
      <c r="Z123">
        <f>IF(AND(Table6[[#This Row],[pipeline]]="fma",W123="new"),290,0)</f>
        <v>0</v>
      </c>
      <c r="AK123" s="34"/>
    </row>
    <row r="124" spans="1:37" ht="17" x14ac:dyDescent="0.2">
      <c r="A124" s="31">
        <f>IF(Table6[[#This Row],[instruction]]&lt;&gt;"",MAX($A$6:A123)+1," ")</f>
        <v>119</v>
      </c>
      <c r="B124" s="32" t="s">
        <v>485</v>
      </c>
      <c r="C124" t="s">
        <v>14</v>
      </c>
      <c r="D124" s="31" t="s">
        <v>436</v>
      </c>
      <c r="E124" s="31" t="s">
        <v>84</v>
      </c>
      <c r="F124" s="31" t="s">
        <v>541</v>
      </c>
      <c r="G124" s="31" t="s">
        <v>563</v>
      </c>
      <c r="K124" s="2" t="str">
        <f t="shared" si="1"/>
        <v>fma</v>
      </c>
      <c r="L124" cm="1">
        <f t="array" ref="L1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4" t="str">
        <f>IF(OR(ISNUMBER(SEARCH("imad", Table6[[#This Row],[instruction]])), ISNUMBER(SEARCH("ffma", Table6[[#This Row],[instruction]])), ISNUMBER(SEARCH("fmul", Table6[[#This Row],[instruction]]))), "fma", "")</f>
        <v>fma</v>
      </c>
      <c r="P1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4" t="str">
        <f>IF(OR(ISNUMBER(SEARCH("s2r", Table6[[#This Row],[instruction]])),ISNUMBER(SEARCH("s2ur", Table6[[#This Row],[instruction]]))), "special", "")</f>
        <v/>
      </c>
      <c r="S124" t="str">
        <f>IF(OR(ISNUMBER(SEARCH("stg", Table6[[#This Row],[instruction]])),ISNUMBER(SEARCH("ldg", Table6[[#This Row],[instruction]]))), "global", "")</f>
        <v/>
      </c>
      <c r="T124" t="str">
        <f>IF(OR(ISNUMBER(SEARCH("sts", Table6[[#This Row],[instruction]])),ISNUMBER(SEARCH("lds", Table6[[#This Row],[instruction]]))), "shared", "")</f>
        <v/>
      </c>
      <c r="U124" t="str">
        <f>IF(OR(ISNUMBER(SEARCH("LDC", Table6[[#This Row],[instruction]]))), "ind. const", "")</f>
        <v/>
      </c>
      <c r="V1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Row],[s5]]))),U124=""), "cmb. const", "")</f>
        <v>cmb. const</v>
      </c>
      <c r="W124" s="2" t="s">
        <v>481</v>
      </c>
      <c r="Y124">
        <f>IF(Table6[[#This Row],[pipeline]]="fma",Table6[[#This Row],[delay]],0)</f>
        <v>4</v>
      </c>
      <c r="Z124">
        <f>IF(AND(Table6[[#This Row],[pipeline]]="fma",W124="new"),290,0)</f>
        <v>0</v>
      </c>
      <c r="AK124" s="34"/>
    </row>
    <row r="125" spans="1:37" ht="17" x14ac:dyDescent="0.2">
      <c r="A125" s="31">
        <f>IF(Table6[[#This Row],[instruction]]&lt;&gt;"",MAX($A$6:A124)+1," ")</f>
        <v>120</v>
      </c>
      <c r="B125" s="32" t="s">
        <v>561</v>
      </c>
      <c r="C125" t="s">
        <v>509</v>
      </c>
      <c r="D125" s="31" t="s">
        <v>84</v>
      </c>
      <c r="E125" s="31" t="s">
        <v>436</v>
      </c>
      <c r="F125" s="31" t="s">
        <v>542</v>
      </c>
      <c r="G125" s="31" t="s">
        <v>502</v>
      </c>
      <c r="K125" s="2" t="str">
        <f t="shared" si="1"/>
        <v>fma</v>
      </c>
      <c r="L125" cm="1">
        <f t="array" ref="L1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5" t="str">
        <f>IF(OR(ISNUMBER(SEARCH("imad", Table6[[#This Row],[instruction]])), ISNUMBER(SEARCH("ffma", Table6[[#This Row],[instruction]])), ISNUMBER(SEARCH("fmul", Table6[[#This Row],[instruction]]))), "fma", "")</f>
        <v>fma</v>
      </c>
      <c r="P1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5" t="str">
        <f>IF(OR(ISNUMBER(SEARCH("s2r", Table6[[#This Row],[instruction]])),ISNUMBER(SEARCH("s2ur", Table6[[#This Row],[instruction]]))), "special", "")</f>
        <v/>
      </c>
      <c r="S125" t="str">
        <f>IF(OR(ISNUMBER(SEARCH("stg", Table6[[#This Row],[instruction]])),ISNUMBER(SEARCH("ldg", Table6[[#This Row],[instruction]]))), "global", "")</f>
        <v/>
      </c>
      <c r="T125" t="str">
        <f>IF(OR(ISNUMBER(SEARCH("sts", Table6[[#This Row],[instruction]])),ISNUMBER(SEARCH("lds", Table6[[#This Row],[instruction]]))), "shared", "")</f>
        <v/>
      </c>
      <c r="U125" t="str">
        <f>IF(OR(ISNUMBER(SEARCH("LDC", Table6[[#This Row],[instruction]]))), "ind. const", "")</f>
        <v/>
      </c>
      <c r="V1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Row],[s5]]))),U125=""), "cmb. const", "")</f>
        <v>cmb. const</v>
      </c>
      <c r="W125" s="2" t="s">
        <v>481</v>
      </c>
      <c r="Y125">
        <f>IF(Table6[[#This Row],[pipeline]]="fma",Table6[[#This Row],[delay]],0)</f>
        <v>4</v>
      </c>
      <c r="Z125">
        <f>IF(AND(Table6[[#This Row],[pipeline]]="fma",W125="new"),290,0)</f>
        <v>0</v>
      </c>
      <c r="AK125" s="34"/>
    </row>
    <row r="126" spans="1:37" ht="17" x14ac:dyDescent="0.2">
      <c r="A126" s="31">
        <f>IF(Table6[[#This Row],[instruction]]&lt;&gt;"",MAX($A$6:A125)+1," ")</f>
        <v>121</v>
      </c>
      <c r="B126" s="32" t="s">
        <v>485</v>
      </c>
      <c r="C126" t="s">
        <v>0</v>
      </c>
      <c r="D126" s="31" t="s">
        <v>71</v>
      </c>
      <c r="E126" s="31" t="s">
        <v>556</v>
      </c>
      <c r="K126" s="2" t="str">
        <f t="shared" si="1"/>
        <v/>
      </c>
      <c r="L126" cm="1">
        <f t="array" ref="L1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26" t="str">
        <f>IF(OR(ISNUMBER(SEARCH("imad", Table6[[#This Row],[instruction]])), ISNUMBER(SEARCH("ffma", Table6[[#This Row],[instruction]])), ISNUMBER(SEARCH("fmul", Table6[[#This Row],[instruction]]))), "fma", "")</f>
        <v/>
      </c>
      <c r="P1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6" t="str">
        <f>IF(OR(ISNUMBER(SEARCH("s2r", Table6[[#This Row],[instruction]])),ISNUMBER(SEARCH("s2ur", Table6[[#This Row],[instruction]]))), "special", "")</f>
        <v/>
      </c>
      <c r="S126" t="str">
        <f>IF(OR(ISNUMBER(SEARCH("stg", Table6[[#This Row],[instruction]])),ISNUMBER(SEARCH("ldg", Table6[[#This Row],[instruction]]))), "global", "")</f>
        <v/>
      </c>
      <c r="T126" t="str">
        <f>IF(OR(ISNUMBER(SEARCH("sts", Table6[[#This Row],[instruction]])),ISNUMBER(SEARCH("lds", Table6[[#This Row],[instruction]]))), "shared", "")</f>
        <v/>
      </c>
      <c r="U126" t="str">
        <f>IF(OR(ISNUMBER(SEARCH("LDC", Table6[[#This Row],[instruction]]))), "ind. const", "")</f>
        <v/>
      </c>
      <c r="V1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Row],[s5]]))),U126=""), "cmb. const", "")</f>
        <v/>
      </c>
      <c r="Y126">
        <f>IF(Table6[[#This Row],[pipeline]]="fma",Table6[[#This Row],[delay]],0)</f>
        <v>0</v>
      </c>
      <c r="Z126">
        <f>IF(AND(Table6[[#This Row],[pipeline]]="fma",W126="new"),290,0)</f>
        <v>0</v>
      </c>
      <c r="AK126" s="34"/>
    </row>
    <row r="127" spans="1:37" ht="17" x14ac:dyDescent="0.2">
      <c r="A127" s="31">
        <f>IF(Table6[[#This Row],[instruction]]&lt;&gt;"",MAX($A$6:A126)+1," ")</f>
        <v>122</v>
      </c>
      <c r="B127" s="32" t="s">
        <v>561</v>
      </c>
      <c r="C127" t="s">
        <v>90</v>
      </c>
      <c r="D127" s="31" t="s">
        <v>71</v>
      </c>
      <c r="E127" s="31" t="s">
        <v>8</v>
      </c>
      <c r="F127" s="31" t="s">
        <v>544</v>
      </c>
      <c r="G127" s="31" t="s">
        <v>545</v>
      </c>
      <c r="K127" s="2" t="str">
        <f t="shared" si="1"/>
        <v>alu</v>
      </c>
      <c r="L127" cm="1">
        <f t="array" ref="L1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7" t="str">
        <f>IF(OR(ISNUMBER(SEARCH("imad", Table6[[#This Row],[instruction]])), ISNUMBER(SEARCH("ffma", Table6[[#This Row],[instruction]])), ISNUMBER(SEARCH("fmul", Table6[[#This Row],[instruction]]))), "fma", "")</f>
        <v/>
      </c>
      <c r="P1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7" t="str">
        <f>IF(OR(ISNUMBER(SEARCH("s2r", Table6[[#This Row],[instruction]])),ISNUMBER(SEARCH("s2ur", Table6[[#This Row],[instruction]]))), "special", "")</f>
        <v/>
      </c>
      <c r="S127" t="str">
        <f>IF(OR(ISNUMBER(SEARCH("stg", Table6[[#This Row],[instruction]])),ISNUMBER(SEARCH("ldg", Table6[[#This Row],[instruction]]))), "global", "")</f>
        <v/>
      </c>
      <c r="T127" t="str">
        <f>IF(OR(ISNUMBER(SEARCH("sts", Table6[[#This Row],[instruction]])),ISNUMBER(SEARCH("lds", Table6[[#This Row],[instruction]]))), "shared", "")</f>
        <v/>
      </c>
      <c r="U127" t="str">
        <f>IF(OR(ISNUMBER(SEARCH("LDC", Table6[[#This Row],[instruction]]))), "ind. const", "")</f>
        <v/>
      </c>
      <c r="V1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Row],[s5]]))),U127=""), "cmb. const", "")</f>
        <v>cmb. const</v>
      </c>
      <c r="W127" s="2" t="s">
        <v>481</v>
      </c>
      <c r="Y127">
        <f>IF(Table6[[#This Row],[pipeline]]="fma",Table6[[#This Row],[delay]],0)</f>
        <v>0</v>
      </c>
      <c r="Z127">
        <f>IF(AND(Table6[[#This Row],[pipeline]]="fma",W127="new"),290,0)</f>
        <v>0</v>
      </c>
      <c r="AK127" s="34"/>
    </row>
    <row r="128" spans="1:37" ht="17" x14ac:dyDescent="0.2">
      <c r="A128" s="31">
        <f>IF(Table6[[#This Row],[instruction]]&lt;&gt;"",MAX($A$6:A127)+1," ")</f>
        <v>123</v>
      </c>
      <c r="B128" s="32" t="s">
        <v>485</v>
      </c>
      <c r="C128" t="s">
        <v>515</v>
      </c>
      <c r="D128" s="31" t="s">
        <v>84</v>
      </c>
      <c r="E128" s="31" t="s">
        <v>8</v>
      </c>
      <c r="F128" s="31" t="s">
        <v>8</v>
      </c>
      <c r="G128" s="31" t="s">
        <v>565</v>
      </c>
      <c r="K128" s="2" t="str">
        <f t="shared" si="1"/>
        <v>fma</v>
      </c>
      <c r="L128" cm="1">
        <f t="array" ref="L1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8" t="str">
        <f>IF(OR(ISNUMBER(SEARCH("imad", Table6[[#This Row],[instruction]])), ISNUMBER(SEARCH("ffma", Table6[[#This Row],[instruction]])), ISNUMBER(SEARCH("fmul", Table6[[#This Row],[instruction]]))), "fma", "")</f>
        <v>fma</v>
      </c>
      <c r="P1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8" t="str">
        <f>IF(OR(ISNUMBER(SEARCH("s2r", Table6[[#This Row],[instruction]])),ISNUMBER(SEARCH("s2ur", Table6[[#This Row],[instruction]]))), "special", "")</f>
        <v/>
      </c>
      <c r="S128" t="str">
        <f>IF(OR(ISNUMBER(SEARCH("stg", Table6[[#This Row],[instruction]])),ISNUMBER(SEARCH("ldg", Table6[[#This Row],[instruction]]))), "global", "")</f>
        <v/>
      </c>
      <c r="T128" t="str">
        <f>IF(OR(ISNUMBER(SEARCH("sts", Table6[[#This Row],[instruction]])),ISNUMBER(SEARCH("lds", Table6[[#This Row],[instruction]]))), "shared", "")</f>
        <v/>
      </c>
      <c r="U128" t="str">
        <f>IF(OR(ISNUMBER(SEARCH("LDC", Table6[[#This Row],[instruction]]))), "ind. const", "")</f>
        <v/>
      </c>
      <c r="V1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Row],[s5]]))),U128=""), "cmb. const", "")</f>
        <v/>
      </c>
      <c r="Y128">
        <f>IF(Table6[[#This Row],[pipeline]]="fma",Table6[[#This Row],[delay]],0)</f>
        <v>4</v>
      </c>
      <c r="Z128">
        <f>IF(AND(Table6[[#This Row],[pipeline]]="fma",W128="new"),290,0)</f>
        <v>0</v>
      </c>
      <c r="AK128" s="34"/>
    </row>
    <row r="129" spans="1:37" ht="17" x14ac:dyDescent="0.2">
      <c r="A129" s="31">
        <f>IF(Table6[[#This Row],[instruction]]&lt;&gt;"",MAX($A$6:A128)+1," ")</f>
        <v>124</v>
      </c>
      <c r="B129" s="32" t="s">
        <v>485</v>
      </c>
      <c r="C129" t="s">
        <v>14</v>
      </c>
      <c r="D129" s="31" t="s">
        <v>84</v>
      </c>
      <c r="E129" s="31" t="s">
        <v>84</v>
      </c>
      <c r="F129" s="31" t="s">
        <v>546</v>
      </c>
      <c r="G129" s="31" t="s">
        <v>556</v>
      </c>
      <c r="K129" s="2" t="str">
        <f t="shared" si="1"/>
        <v>fma</v>
      </c>
      <c r="L129" cm="1">
        <f t="array" ref="L1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29" t="str">
        <f>IF(OR(ISNUMBER(SEARCH("imad", Table6[[#This Row],[instruction]])), ISNUMBER(SEARCH("ffma", Table6[[#This Row],[instruction]])), ISNUMBER(SEARCH("fmul", Table6[[#This Row],[instruction]]))), "fma", "")</f>
        <v>fma</v>
      </c>
      <c r="P1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29" t="str">
        <f>IF(OR(ISNUMBER(SEARCH("s2r", Table6[[#This Row],[instruction]])),ISNUMBER(SEARCH("s2ur", Table6[[#This Row],[instruction]]))), "special", "")</f>
        <v/>
      </c>
      <c r="S129" t="str">
        <f>IF(OR(ISNUMBER(SEARCH("stg", Table6[[#This Row],[instruction]])),ISNUMBER(SEARCH("ldg", Table6[[#This Row],[instruction]]))), "global", "")</f>
        <v/>
      </c>
      <c r="T129" t="str">
        <f>IF(OR(ISNUMBER(SEARCH("sts", Table6[[#This Row],[instruction]])),ISNUMBER(SEARCH("lds", Table6[[#This Row],[instruction]]))), "shared", "")</f>
        <v/>
      </c>
      <c r="U129" t="str">
        <f>IF(OR(ISNUMBER(SEARCH("LDC", Table6[[#This Row],[instruction]]))), "ind. const", "")</f>
        <v/>
      </c>
      <c r="V1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Row],[s5]]))),U129=""), "cmb. const", "")</f>
        <v>cmb. const</v>
      </c>
      <c r="W129" s="2" t="s">
        <v>481</v>
      </c>
      <c r="Y129">
        <f>IF(Table6[[#This Row],[pipeline]]="fma",Table6[[#This Row],[delay]],0)</f>
        <v>4</v>
      </c>
      <c r="Z129">
        <f>IF(AND(Table6[[#This Row],[pipeline]]="fma",W129="new"),290,0)</f>
        <v>0</v>
      </c>
      <c r="AK129" s="34"/>
    </row>
    <row r="130" spans="1:37" ht="17" x14ac:dyDescent="0.2">
      <c r="A130" s="31">
        <f>IF(Table6[[#This Row],[instruction]]&lt;&gt;"",MAX($A$6:A129)+1," ")</f>
        <v>125</v>
      </c>
      <c r="B130" s="32" t="s">
        <v>485</v>
      </c>
      <c r="C130" t="s">
        <v>26</v>
      </c>
      <c r="D130" s="31" t="s">
        <v>436</v>
      </c>
      <c r="E130" s="31" t="s">
        <v>23</v>
      </c>
      <c r="F130" s="31" t="s">
        <v>84</v>
      </c>
      <c r="G130" s="31" t="s">
        <v>502</v>
      </c>
      <c r="K130" s="2" t="str">
        <f t="shared" si="1"/>
        <v>alu</v>
      </c>
      <c r="L130" cm="1">
        <f t="array" ref="L1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30" t="str">
        <f>IF(OR(ISNUMBER(SEARCH("imad", Table6[[#This Row],[instruction]])), ISNUMBER(SEARCH("ffma", Table6[[#This Row],[instruction]])), ISNUMBER(SEARCH("fmul", Table6[[#This Row],[instruction]]))), "fma", "")</f>
        <v/>
      </c>
      <c r="P1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0" t="str">
        <f>IF(OR(ISNUMBER(SEARCH("s2r", Table6[[#This Row],[instruction]])),ISNUMBER(SEARCH("s2ur", Table6[[#This Row],[instruction]]))), "special", "")</f>
        <v/>
      </c>
      <c r="S130" t="str">
        <f>IF(OR(ISNUMBER(SEARCH("stg", Table6[[#This Row],[instruction]])),ISNUMBER(SEARCH("ldg", Table6[[#This Row],[instruction]]))), "global", "")</f>
        <v/>
      </c>
      <c r="T130" t="str">
        <f>IF(OR(ISNUMBER(SEARCH("sts", Table6[[#This Row],[instruction]])),ISNUMBER(SEARCH("lds", Table6[[#This Row],[instruction]]))), "shared", "")</f>
        <v/>
      </c>
      <c r="U130" t="str">
        <f>IF(OR(ISNUMBER(SEARCH("LDC", Table6[[#This Row],[instruction]]))), "ind. const", "")</f>
        <v/>
      </c>
      <c r="V1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Row],[s5]]))),U130=""), "cmb. const", "")</f>
        <v/>
      </c>
      <c r="Y130">
        <f>IF(Table6[[#This Row],[pipeline]]="fma",Table6[[#This Row],[delay]],0)</f>
        <v>0</v>
      </c>
      <c r="Z130">
        <f>IF(AND(Table6[[#This Row],[pipeline]]="fma",W130="new"),290,0)</f>
        <v>0</v>
      </c>
      <c r="AK130" s="34"/>
    </row>
    <row r="131" spans="1:37" ht="17" x14ac:dyDescent="0.2">
      <c r="A131" s="31">
        <f>IF(Table6[[#This Row],[instruction]]&lt;&gt;"",MAX($A$6:A130)+1," ")</f>
        <v>126</v>
      </c>
      <c r="B131" s="32" t="s">
        <v>485</v>
      </c>
      <c r="C131" t="s">
        <v>425</v>
      </c>
      <c r="D131" s="31" t="s">
        <v>84</v>
      </c>
      <c r="E131" s="31" t="s">
        <v>19</v>
      </c>
      <c r="F131" s="31" t="s">
        <v>75</v>
      </c>
      <c r="G131" s="31" t="s">
        <v>543</v>
      </c>
      <c r="K131" s="2" t="str">
        <f t="shared" si="1"/>
        <v>fma</v>
      </c>
      <c r="L131" cm="1">
        <f t="array" ref="L1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1" t="str">
        <f>IF(OR(ISNUMBER(SEARCH("imad", Table6[[#This Row],[instruction]])), ISNUMBER(SEARCH("ffma", Table6[[#This Row],[instruction]])), ISNUMBER(SEARCH("fmul", Table6[[#This Row],[instruction]]))), "fma", "")</f>
        <v>fma</v>
      </c>
      <c r="P1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1" t="str">
        <f>IF(OR(ISNUMBER(SEARCH("s2r", Table6[[#This Row],[instruction]])),ISNUMBER(SEARCH("s2ur", Table6[[#This Row],[instruction]]))), "special", "")</f>
        <v/>
      </c>
      <c r="S131" t="str">
        <f>IF(OR(ISNUMBER(SEARCH("stg", Table6[[#This Row],[instruction]])),ISNUMBER(SEARCH("ldg", Table6[[#This Row],[instruction]]))), "global", "")</f>
        <v/>
      </c>
      <c r="T131" t="str">
        <f>IF(OR(ISNUMBER(SEARCH("sts", Table6[[#This Row],[instruction]])),ISNUMBER(SEARCH("lds", Table6[[#This Row],[instruction]]))), "shared", "")</f>
        <v/>
      </c>
      <c r="U131" t="str">
        <f>IF(OR(ISNUMBER(SEARCH("LDC", Table6[[#This Row],[instruction]]))), "ind. const", "")</f>
        <v/>
      </c>
      <c r="V1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Row],[s5]]))),U131=""), "cmb. const", "")</f>
        <v/>
      </c>
      <c r="Y131">
        <f>IF(Table6[[#This Row],[pipeline]]="fma",Table6[[#This Row],[delay]],0)</f>
        <v>4</v>
      </c>
      <c r="Z131">
        <f>IF(AND(Table6[[#This Row],[pipeline]]="fma",W131="new"),290,0)</f>
        <v>0</v>
      </c>
      <c r="AK131" s="34"/>
    </row>
    <row r="132" spans="1:37" ht="17" x14ac:dyDescent="0.2">
      <c r="A132" s="31">
        <f>IF(Table6[[#This Row],[instruction]]&lt;&gt;"",MAX($A$6:A131)+1," ")</f>
        <v>127</v>
      </c>
      <c r="B132" s="32" t="s">
        <v>485</v>
      </c>
      <c r="C132" t="s">
        <v>6</v>
      </c>
      <c r="D132" s="31" t="s">
        <v>71</v>
      </c>
      <c r="E132" s="31" t="e" cm="1">
        <f t="array" ref="E132">-RZ</f>
        <v>#NAME?</v>
      </c>
      <c r="F132" s="31" t="s">
        <v>8</v>
      </c>
      <c r="G132" s="31">
        <v>0</v>
      </c>
      <c r="H132" s="31" t="s">
        <v>525</v>
      </c>
      <c r="K132" s="2" t="str">
        <f t="shared" si="1"/>
        <v/>
      </c>
      <c r="L132" cm="1">
        <f t="array" ref="L1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32" t="str">
        <f>IF(OR(ISNUMBER(SEARCH("imad", Table6[[#This Row],[instruction]])), ISNUMBER(SEARCH("ffma", Table6[[#This Row],[instruction]])), ISNUMBER(SEARCH("fmul", Table6[[#This Row],[instruction]]))), "fma", "")</f>
        <v/>
      </c>
      <c r="P1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2" t="str">
        <f>IF(OR(ISNUMBER(SEARCH("s2r", Table6[[#This Row],[instruction]])),ISNUMBER(SEARCH("s2ur", Table6[[#This Row],[instruction]]))), "special", "")</f>
        <v/>
      </c>
      <c r="S132" t="str">
        <f>IF(OR(ISNUMBER(SEARCH("stg", Table6[[#This Row],[instruction]])),ISNUMBER(SEARCH("ldg", Table6[[#This Row],[instruction]]))), "global", "")</f>
        <v/>
      </c>
      <c r="T132" t="str">
        <f>IF(OR(ISNUMBER(SEARCH("sts", Table6[[#This Row],[instruction]])),ISNUMBER(SEARCH("lds", Table6[[#This Row],[instruction]]))), "shared", "")</f>
        <v/>
      </c>
      <c r="U132" t="str">
        <f>IF(OR(ISNUMBER(SEARCH("LDC", Table6[[#This Row],[instruction]]))), "ind. const", "")</f>
        <v/>
      </c>
      <c r="V1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Row],[s5]]))),U132=""), "cmb. const", "")</f>
        <v/>
      </c>
      <c r="Y132">
        <f>IF(Table6[[#This Row],[pipeline]]="fma",Table6[[#This Row],[delay]],0)</f>
        <v>0</v>
      </c>
      <c r="Z132">
        <f>IF(AND(Table6[[#This Row],[pipeline]]="fma",W132="new"),290,0)</f>
        <v>0</v>
      </c>
      <c r="AK132" s="34"/>
    </row>
    <row r="133" spans="1:37" ht="17" x14ac:dyDescent="0.2">
      <c r="A133" s="31">
        <f>IF(Table6[[#This Row],[instruction]]&lt;&gt;"",MAX($A$6:A132)+1," ")</f>
        <v>128</v>
      </c>
      <c r="B133" s="32" t="s">
        <v>485</v>
      </c>
      <c r="C133" t="s">
        <v>87</v>
      </c>
      <c r="D133" s="31" t="s">
        <v>50</v>
      </c>
      <c r="E133" s="31" t="s">
        <v>51</v>
      </c>
      <c r="F133" s="31" t="s">
        <v>436</v>
      </c>
      <c r="G133" s="31" t="s">
        <v>414</v>
      </c>
      <c r="H133" s="31" t="s">
        <v>494</v>
      </c>
      <c r="K133" s="2" t="str">
        <f t="shared" si="1"/>
        <v>alu</v>
      </c>
      <c r="L133" cm="1">
        <f t="array" ref="L1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3" t="str">
        <f>IF(OR(ISNUMBER(SEARCH("imad", Table6[[#This Row],[instruction]])), ISNUMBER(SEARCH("ffma", Table6[[#This Row],[instruction]])), ISNUMBER(SEARCH("fmul", Table6[[#This Row],[instruction]]))), "fma", "")</f>
        <v/>
      </c>
      <c r="P1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3" t="str">
        <f>IF(OR(ISNUMBER(SEARCH("s2r", Table6[[#This Row],[instruction]])),ISNUMBER(SEARCH("s2ur", Table6[[#This Row],[instruction]]))), "special", "")</f>
        <v/>
      </c>
      <c r="S133" t="str">
        <f>IF(OR(ISNUMBER(SEARCH("stg", Table6[[#This Row],[instruction]])),ISNUMBER(SEARCH("ldg", Table6[[#This Row],[instruction]]))), "global", "")</f>
        <v/>
      </c>
      <c r="T133" t="str">
        <f>IF(OR(ISNUMBER(SEARCH("sts", Table6[[#This Row],[instruction]])),ISNUMBER(SEARCH("lds", Table6[[#This Row],[instruction]]))), "shared", "")</f>
        <v/>
      </c>
      <c r="U133" t="str">
        <f>IF(OR(ISNUMBER(SEARCH("LDC", Table6[[#This Row],[instruction]]))), "ind. const", "")</f>
        <v/>
      </c>
      <c r="V1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Row],[s5]]))),U133=""), "cmb. const", "")</f>
        <v>cmb. const</v>
      </c>
      <c r="W133" s="2" t="s">
        <v>481</v>
      </c>
      <c r="Y133">
        <f>IF(Table6[[#This Row],[pipeline]]="fma",Table6[[#This Row],[delay]],0)</f>
        <v>0</v>
      </c>
      <c r="Z133">
        <f>IF(AND(Table6[[#This Row],[pipeline]]="fma",W133="new"),290,0)</f>
        <v>0</v>
      </c>
      <c r="AK133" s="34"/>
    </row>
    <row r="134" spans="1:37" ht="17" x14ac:dyDescent="0.2">
      <c r="A134" s="31">
        <f>IF(Table6[[#This Row],[instruction]]&lt;&gt;"",MAX($A$6:A133)+1," ")</f>
        <v>129</v>
      </c>
      <c r="B134" s="32" t="s">
        <v>485</v>
      </c>
      <c r="C134" t="s">
        <v>547</v>
      </c>
      <c r="D134" s="31" t="s">
        <v>50</v>
      </c>
      <c r="E134" s="31" t="s">
        <v>51</v>
      </c>
      <c r="F134" s="31" t="s">
        <v>84</v>
      </c>
      <c r="G134" s="31" t="s">
        <v>413</v>
      </c>
      <c r="H134" s="31" t="s">
        <v>527</v>
      </c>
      <c r="K134" s="2" t="str">
        <f t="shared" ref="K134:K196" si="2">IF(O134&lt;&gt;"", O134, IF(P134&lt;&gt;"", P134, IF(R134&lt;&gt;"", R134, IF(S134&lt;&gt;"", S134, IF(T134&lt;&gt;"", T134, IF(U134&lt;&gt;"", U134, IF(Q134&lt;&gt;"", Q134, "")))))))</f>
        <v>alu</v>
      </c>
      <c r="L134" cm="1">
        <f t="array" ref="L1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4" t="str">
        <f>IF(OR(ISNUMBER(SEARCH("imad", Table6[[#This Row],[instruction]])), ISNUMBER(SEARCH("ffma", Table6[[#This Row],[instruction]])), ISNUMBER(SEARCH("fmul", Table6[[#This Row],[instruction]]))), "fma", "")</f>
        <v/>
      </c>
      <c r="P1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4" t="str">
        <f>IF(OR(ISNUMBER(SEARCH("s2r", Table6[[#This Row],[instruction]])),ISNUMBER(SEARCH("s2ur", Table6[[#This Row],[instruction]]))), "special", "")</f>
        <v/>
      </c>
      <c r="S134" t="str">
        <f>IF(OR(ISNUMBER(SEARCH("stg", Table6[[#This Row],[instruction]])),ISNUMBER(SEARCH("ldg", Table6[[#This Row],[instruction]]))), "global", "")</f>
        <v/>
      </c>
      <c r="T134" t="str">
        <f>IF(OR(ISNUMBER(SEARCH("sts", Table6[[#This Row],[instruction]])),ISNUMBER(SEARCH("lds", Table6[[#This Row],[instruction]]))), "shared", "")</f>
        <v/>
      </c>
      <c r="U134" t="str">
        <f>IF(OR(ISNUMBER(SEARCH("LDC", Table6[[#This Row],[instruction]]))), "ind. const", "")</f>
        <v/>
      </c>
      <c r="V1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Row],[s5]]))),U134=""), "cmb. const", "")</f>
        <v>cmb. const</v>
      </c>
      <c r="W134" s="2" t="s">
        <v>481</v>
      </c>
      <c r="Y134">
        <f>IF(Table6[[#This Row],[pipeline]]="fma",Table6[[#This Row],[delay]],0)</f>
        <v>0</v>
      </c>
      <c r="Z134">
        <f>IF(AND(Table6[[#This Row],[pipeline]]="fma",W134="new"),290,0)</f>
        <v>0</v>
      </c>
      <c r="AK134" s="34"/>
    </row>
    <row r="135" spans="1:37" ht="17" x14ac:dyDescent="0.2">
      <c r="A135" s="31">
        <f>IF(Table6[[#This Row],[instruction]]&lt;&gt;"",MAX($A$6:A134)+1," ")</f>
        <v>130</v>
      </c>
      <c r="B135" s="32" t="s">
        <v>86</v>
      </c>
      <c r="C135" t="s">
        <v>359</v>
      </c>
      <c r="D135" s="31" t="s">
        <v>562</v>
      </c>
      <c r="K135" s="2" t="str">
        <f t="shared" si="2"/>
        <v>cba</v>
      </c>
      <c r="L135" cm="1">
        <f t="array" ref="L1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35" t="s">
        <v>770</v>
      </c>
      <c r="O135" t="str">
        <f>IF(OR(ISNUMBER(SEARCH("imad", Table6[[#This Row],[instruction]])), ISNUMBER(SEARCH("ffma", Table6[[#This Row],[instruction]])), ISNUMBER(SEARCH("fmul", Table6[[#This Row],[instruction]]))), "fma", "")</f>
        <v/>
      </c>
      <c r="P1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35" t="str">
        <f>IF(OR(ISNUMBER(SEARCH("s2r", Table6[[#This Row],[instruction]])),ISNUMBER(SEARCH("s2ur", Table6[[#This Row],[instruction]]))), "special", "")</f>
        <v/>
      </c>
      <c r="S135" t="str">
        <f>IF(OR(ISNUMBER(SEARCH("stg", Table6[[#This Row],[instruction]])),ISNUMBER(SEARCH("ldg", Table6[[#This Row],[instruction]]))), "global", "")</f>
        <v/>
      </c>
      <c r="T135" t="str">
        <f>IF(OR(ISNUMBER(SEARCH("sts", Table6[[#This Row],[instruction]])),ISNUMBER(SEARCH("lds", Table6[[#This Row],[instruction]]))), "shared", "")</f>
        <v/>
      </c>
      <c r="U135" t="str">
        <f>IF(OR(ISNUMBER(SEARCH("LDC", Table6[[#This Row],[instruction]]))), "ind. const", "")</f>
        <v/>
      </c>
      <c r="V1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Row],[s5]]))),U135=""), "cmb. const", "")</f>
        <v/>
      </c>
      <c r="Y135">
        <f>IF(Table6[[#This Row],[pipeline]]="fma",Table6[[#This Row],[delay]],0)</f>
        <v>0</v>
      </c>
      <c r="Z135">
        <f>IF(AND(Table6[[#This Row],[pipeline]]="fma",W135="new"),290,0)</f>
        <v>0</v>
      </c>
      <c r="AK135" s="34"/>
    </row>
    <row r="136" spans="1:37" ht="17" x14ac:dyDescent="0.2">
      <c r="A136" s="31">
        <f>IF(Table6[[#This Row],[instruction]]&lt;&gt;"",MAX($A$6:A135)+1," ")</f>
        <v>131</v>
      </c>
      <c r="B136" s="32" t="s">
        <v>485</v>
      </c>
      <c r="C136" t="s">
        <v>14</v>
      </c>
      <c r="D136" s="31" t="s">
        <v>71</v>
      </c>
      <c r="E136" s="31" t="s">
        <v>17</v>
      </c>
      <c r="F136" s="31" t="s">
        <v>417</v>
      </c>
      <c r="G136" s="31" t="s">
        <v>556</v>
      </c>
      <c r="K136" s="2" t="str">
        <f t="shared" si="2"/>
        <v>fma</v>
      </c>
      <c r="L136" cm="1">
        <f t="array" ref="L1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6" t="str">
        <f>IF(OR(ISNUMBER(SEARCH("imad", Table6[[#This Row],[instruction]])), ISNUMBER(SEARCH("ffma", Table6[[#This Row],[instruction]])), ISNUMBER(SEARCH("fmul", Table6[[#This Row],[instruction]]))), "fma", "")</f>
        <v>fma</v>
      </c>
      <c r="P1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6" t="str">
        <f>IF(OR(ISNUMBER(SEARCH("s2r", Table6[[#This Row],[instruction]])),ISNUMBER(SEARCH("s2ur", Table6[[#This Row],[instruction]]))), "special", "")</f>
        <v/>
      </c>
      <c r="S136" t="str">
        <f>IF(OR(ISNUMBER(SEARCH("stg", Table6[[#This Row],[instruction]])),ISNUMBER(SEARCH("ldg", Table6[[#This Row],[instruction]]))), "global", "")</f>
        <v/>
      </c>
      <c r="T136" t="str">
        <f>IF(OR(ISNUMBER(SEARCH("sts", Table6[[#This Row],[instruction]])),ISNUMBER(SEARCH("lds", Table6[[#This Row],[instruction]]))), "shared", "")</f>
        <v/>
      </c>
      <c r="U136" t="str">
        <f>IF(OR(ISNUMBER(SEARCH("LDC", Table6[[#This Row],[instruction]]))), "ind. const", "")</f>
        <v/>
      </c>
      <c r="V1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Row],[s5]]))),U136=""), "cmb. const", "")</f>
        <v>cmb. const</v>
      </c>
      <c r="W136" s="2" t="s">
        <v>481</v>
      </c>
      <c r="Y136">
        <f>IF(Table6[[#This Row],[pipeline]]="fma",Table6[[#This Row],[delay]],0)</f>
        <v>4</v>
      </c>
      <c r="Z136">
        <f>IF(AND(Table6[[#This Row],[pipeline]]="fma",W136="new"),290,0)</f>
        <v>0</v>
      </c>
      <c r="AK136" s="34"/>
    </row>
    <row r="137" spans="1:37" ht="17" x14ac:dyDescent="0.2">
      <c r="A137" s="31">
        <f>IF(Table6[[#This Row],[instruction]]&lt;&gt;"",MAX($A$6:A136)+1," ")</f>
        <v>132</v>
      </c>
      <c r="B137" s="32" t="s">
        <v>485</v>
      </c>
      <c r="C137" t="s">
        <v>45</v>
      </c>
      <c r="D137" s="31" t="s">
        <v>430</v>
      </c>
      <c r="E137" s="31" t="s">
        <v>8</v>
      </c>
      <c r="F137" s="31" t="s">
        <v>8</v>
      </c>
      <c r="G137" s="31" t="s">
        <v>548</v>
      </c>
      <c r="K137" s="2" t="str">
        <f t="shared" si="2"/>
        <v>fma</v>
      </c>
      <c r="L137" cm="1">
        <f t="array" ref="L1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7" t="str">
        <f>IF(OR(ISNUMBER(SEARCH("imad", Table6[[#This Row],[instruction]])), ISNUMBER(SEARCH("ffma", Table6[[#This Row],[instruction]])), ISNUMBER(SEARCH("fmul", Table6[[#This Row],[instruction]]))), "fma", "")</f>
        <v>fma</v>
      </c>
      <c r="P1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7" t="str">
        <f>IF(OR(ISNUMBER(SEARCH("s2r", Table6[[#This Row],[instruction]])),ISNUMBER(SEARCH("s2ur", Table6[[#This Row],[instruction]]))), "special", "")</f>
        <v/>
      </c>
      <c r="S137" t="str">
        <f>IF(OR(ISNUMBER(SEARCH("stg", Table6[[#This Row],[instruction]])),ISNUMBER(SEARCH("ldg", Table6[[#This Row],[instruction]]))), "global", "")</f>
        <v/>
      </c>
      <c r="T137" t="str">
        <f>IF(OR(ISNUMBER(SEARCH("sts", Table6[[#This Row],[instruction]])),ISNUMBER(SEARCH("lds", Table6[[#This Row],[instruction]]))), "shared", "")</f>
        <v/>
      </c>
      <c r="U137" t="str">
        <f>IF(OR(ISNUMBER(SEARCH("LDC", Table6[[#This Row],[instruction]]))), "ind. const", "")</f>
        <v/>
      </c>
      <c r="V1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Row],[s5]]))),U137=""), "cmb. const", "")</f>
        <v/>
      </c>
      <c r="Y137">
        <f>IF(Table6[[#This Row],[pipeline]]="fma",Table6[[#This Row],[delay]],0)</f>
        <v>4</v>
      </c>
      <c r="Z137">
        <f>IF(AND(Table6[[#This Row],[pipeline]]="fma",W137="new"),290,0)</f>
        <v>0</v>
      </c>
      <c r="AK137" s="34"/>
    </row>
    <row r="138" spans="1:37" ht="17" x14ac:dyDescent="0.2">
      <c r="A138" s="31">
        <f>IF(Table6[[#This Row],[instruction]]&lt;&gt;"",MAX($A$6:A137)+1," ")</f>
        <v>133</v>
      </c>
      <c r="B138" s="32" t="s">
        <v>485</v>
      </c>
      <c r="C138" t="s">
        <v>14</v>
      </c>
      <c r="D138" s="31" t="s">
        <v>71</v>
      </c>
      <c r="E138" s="31" t="s">
        <v>61</v>
      </c>
      <c r="F138" s="31" t="s">
        <v>422</v>
      </c>
      <c r="G138" s="31" t="s">
        <v>543</v>
      </c>
      <c r="K138" s="2" t="str">
        <f t="shared" si="2"/>
        <v>fma</v>
      </c>
      <c r="L138" cm="1">
        <f t="array" ref="L1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8" t="str">
        <f>IF(OR(ISNUMBER(SEARCH("imad", Table6[[#This Row],[instruction]])), ISNUMBER(SEARCH("ffma", Table6[[#This Row],[instruction]])), ISNUMBER(SEARCH("fmul", Table6[[#This Row],[instruction]]))), "fma", "")</f>
        <v>fma</v>
      </c>
      <c r="P1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8" t="str">
        <f>IF(OR(ISNUMBER(SEARCH("s2r", Table6[[#This Row],[instruction]])),ISNUMBER(SEARCH("s2ur", Table6[[#This Row],[instruction]]))), "special", "")</f>
        <v/>
      </c>
      <c r="S138" t="str">
        <f>IF(OR(ISNUMBER(SEARCH("stg", Table6[[#This Row],[instruction]])),ISNUMBER(SEARCH("ldg", Table6[[#This Row],[instruction]]))), "global", "")</f>
        <v/>
      </c>
      <c r="T138" t="str">
        <f>IF(OR(ISNUMBER(SEARCH("sts", Table6[[#This Row],[instruction]])),ISNUMBER(SEARCH("lds", Table6[[#This Row],[instruction]]))), "shared", "")</f>
        <v/>
      </c>
      <c r="U138" t="str">
        <f>IF(OR(ISNUMBER(SEARCH("LDC", Table6[[#This Row],[instruction]]))), "ind. const", "")</f>
        <v/>
      </c>
      <c r="V1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Row],[s5]]))),U138=""), "cmb. const", "")</f>
        <v>cmb. const</v>
      </c>
      <c r="W138" s="2" t="s">
        <v>481</v>
      </c>
      <c r="Y138">
        <f>IF(Table6[[#This Row],[pipeline]]="fma",Table6[[#This Row],[delay]],0)</f>
        <v>4</v>
      </c>
      <c r="Z138">
        <f>IF(AND(Table6[[#This Row],[pipeline]]="fma",W138="new"),290,0)</f>
        <v>0</v>
      </c>
      <c r="AK138" s="34"/>
    </row>
    <row r="139" spans="1:37" ht="17" x14ac:dyDescent="0.2">
      <c r="A139" s="31">
        <f>IF(Table6[[#This Row],[instruction]]&lt;&gt;"",MAX($A$6:A138)+1," ")</f>
        <v>134</v>
      </c>
      <c r="B139" s="32" t="s">
        <v>485</v>
      </c>
      <c r="C139" t="s">
        <v>14</v>
      </c>
      <c r="D139" s="31" t="s">
        <v>71</v>
      </c>
      <c r="E139" s="31" t="s">
        <v>84</v>
      </c>
      <c r="F139" s="31" t="s">
        <v>549</v>
      </c>
      <c r="G139" s="31" t="s">
        <v>543</v>
      </c>
      <c r="K139" s="2" t="str">
        <f t="shared" si="2"/>
        <v>fma</v>
      </c>
      <c r="L139" cm="1">
        <f t="array" ref="L1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39" t="str">
        <f>IF(OR(ISNUMBER(SEARCH("imad", Table6[[#This Row],[instruction]])), ISNUMBER(SEARCH("ffma", Table6[[#This Row],[instruction]])), ISNUMBER(SEARCH("fmul", Table6[[#This Row],[instruction]]))), "fma", "")</f>
        <v>fma</v>
      </c>
      <c r="P1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39" t="str">
        <f>IF(OR(ISNUMBER(SEARCH("s2r", Table6[[#This Row],[instruction]])),ISNUMBER(SEARCH("s2ur", Table6[[#This Row],[instruction]]))), "special", "")</f>
        <v/>
      </c>
      <c r="S139" t="str">
        <f>IF(OR(ISNUMBER(SEARCH("stg", Table6[[#This Row],[instruction]])),ISNUMBER(SEARCH("ldg", Table6[[#This Row],[instruction]]))), "global", "")</f>
        <v/>
      </c>
      <c r="T139" t="str">
        <f>IF(OR(ISNUMBER(SEARCH("sts", Table6[[#This Row],[instruction]])),ISNUMBER(SEARCH("lds", Table6[[#This Row],[instruction]]))), "shared", "")</f>
        <v/>
      </c>
      <c r="U139" t="str">
        <f>IF(OR(ISNUMBER(SEARCH("LDC", Table6[[#This Row],[instruction]]))), "ind. const", "")</f>
        <v/>
      </c>
      <c r="V1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Row],[s5]]))),U139=""), "cmb. const", "")</f>
        <v>cmb. const</v>
      </c>
      <c r="W139" s="2" t="s">
        <v>481</v>
      </c>
      <c r="Y139">
        <f>IF(Table6[[#This Row],[pipeline]]="fma",Table6[[#This Row],[delay]],0)</f>
        <v>4</v>
      </c>
      <c r="Z139">
        <f>IF(AND(Table6[[#This Row],[pipeline]]="fma",W139="new"),290,0)</f>
        <v>0</v>
      </c>
      <c r="AK139" s="34"/>
    </row>
    <row r="140" spans="1:37" ht="17" x14ac:dyDescent="0.2">
      <c r="A140" s="31">
        <f>IF(Table6[[#This Row],[instruction]]&lt;&gt;"",MAX($A$6:A139)+1," ")</f>
        <v>135</v>
      </c>
      <c r="B140" s="32" t="s">
        <v>485</v>
      </c>
      <c r="C140" t="s">
        <v>54</v>
      </c>
      <c r="D140" s="31" t="s">
        <v>430</v>
      </c>
      <c r="E140" s="31" t="s">
        <v>71</v>
      </c>
      <c r="F140" s="31" t="s">
        <v>430</v>
      </c>
      <c r="G140" s="31" t="s">
        <v>550</v>
      </c>
      <c r="K140" s="2" t="str">
        <f t="shared" si="2"/>
        <v>fma</v>
      </c>
      <c r="L140" cm="1">
        <f t="array" ref="L1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40" t="str">
        <f>IF(OR(ISNUMBER(SEARCH("imad", Table6[[#This Row],[instruction]])), ISNUMBER(SEARCH("ffma", Table6[[#This Row],[instruction]])), ISNUMBER(SEARCH("fmul", Table6[[#This Row],[instruction]]))), "fma", "")</f>
        <v>fma</v>
      </c>
      <c r="P1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0" t="str">
        <f>IF(OR(ISNUMBER(SEARCH("s2r", Table6[[#This Row],[instruction]])),ISNUMBER(SEARCH("s2ur", Table6[[#This Row],[instruction]]))), "special", "")</f>
        <v/>
      </c>
      <c r="S140" t="str">
        <f>IF(OR(ISNUMBER(SEARCH("stg", Table6[[#This Row],[instruction]])),ISNUMBER(SEARCH("ldg", Table6[[#This Row],[instruction]]))), "global", "")</f>
        <v/>
      </c>
      <c r="T140" t="str">
        <f>IF(OR(ISNUMBER(SEARCH("sts", Table6[[#This Row],[instruction]])),ISNUMBER(SEARCH("lds", Table6[[#This Row],[instruction]]))), "shared", "")</f>
        <v/>
      </c>
      <c r="U140" t="str">
        <f>IF(OR(ISNUMBER(SEARCH("LDC", Table6[[#This Row],[instruction]]))), "ind. const", "")</f>
        <v/>
      </c>
      <c r="V1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Row],[s5]]))),U140=""), "cmb. const", "")</f>
        <v>cmb. const</v>
      </c>
      <c r="W140" s="2" t="s">
        <v>481</v>
      </c>
      <c r="Y140">
        <f>IF(Table6[[#This Row],[pipeline]]="fma",Table6[[#This Row],[delay]],0)</f>
        <v>4</v>
      </c>
      <c r="Z140">
        <f>IF(AND(Table6[[#This Row],[pipeline]]="fma",W140="new"),290,0)</f>
        <v>0</v>
      </c>
      <c r="AK140" s="34"/>
    </row>
    <row r="141" spans="1:37" ht="17" x14ac:dyDescent="0.2">
      <c r="A141" s="31">
        <f>IF(Table6[[#This Row],[instruction]]&lt;&gt;"",MAX($A$6:A140)+1," ")</f>
        <v>136</v>
      </c>
      <c r="B141" s="32" t="s">
        <v>485</v>
      </c>
      <c r="C141" t="s">
        <v>444</v>
      </c>
      <c r="D141" s="31" t="s">
        <v>71</v>
      </c>
      <c r="E141" s="31" t="s">
        <v>551</v>
      </c>
      <c r="K141" s="2" t="str">
        <f t="shared" si="2"/>
        <v>global</v>
      </c>
      <c r="L141" cm="1">
        <f t="array" ref="L1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1" t="str">
        <f>IF(OR(ISNUMBER(SEARCH("imad", Table6[[#This Row],[instruction]])), ISNUMBER(SEARCH("ffma", Table6[[#This Row],[instruction]])), ISNUMBER(SEARCH("fmul", Table6[[#This Row],[instruction]]))), "fma", "")</f>
        <v/>
      </c>
      <c r="P1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1" t="str">
        <f>IF(OR(ISNUMBER(SEARCH("s2r", Table6[[#This Row],[instruction]])),ISNUMBER(SEARCH("s2ur", Table6[[#This Row],[instruction]]))), "special", "")</f>
        <v/>
      </c>
      <c r="S141" t="str">
        <f>IF(OR(ISNUMBER(SEARCH("stg", Table6[[#This Row],[instruction]])),ISNUMBER(SEARCH("ldg", Table6[[#This Row],[instruction]]))), "global", "")</f>
        <v>global</v>
      </c>
      <c r="T141" t="str">
        <f>IF(OR(ISNUMBER(SEARCH("sts", Table6[[#This Row],[instruction]])),ISNUMBER(SEARCH("lds", Table6[[#This Row],[instruction]]))), "shared", "")</f>
        <v/>
      </c>
      <c r="U141" t="str">
        <f>IF(OR(ISNUMBER(SEARCH("LDC", Table6[[#This Row],[instruction]]))), "ind. const", "")</f>
        <v/>
      </c>
      <c r="V1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Row],[s5]]))),U141=""), "cmb. const", "")</f>
        <v/>
      </c>
      <c r="Y141">
        <f>IF(Table6[[#This Row],[pipeline]]="fma",Table6[[#This Row],[delay]],0)</f>
        <v>0</v>
      </c>
      <c r="Z141">
        <f>IF(AND(Table6[[#This Row],[pipeline]]="fma",W141="new"),290,0)</f>
        <v>0</v>
      </c>
      <c r="AK141" s="34"/>
    </row>
    <row r="142" spans="1:37" ht="17" x14ac:dyDescent="0.2">
      <c r="A142" s="31">
        <f>IF(Table6[[#This Row],[instruction]]&lt;&gt;"",MAX($A$6:A141)+1," ")</f>
        <v>137</v>
      </c>
      <c r="B142" s="32" t="s">
        <v>485</v>
      </c>
      <c r="C142" t="s">
        <v>72</v>
      </c>
      <c r="D142" s="31" t="s">
        <v>552</v>
      </c>
      <c r="K142" s="2" t="str">
        <f t="shared" si="2"/>
        <v>cba</v>
      </c>
      <c r="L142" cm="1">
        <f t="array" ref="L1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2" t="str">
        <f>IF(OR(ISNUMBER(SEARCH("imad", Table6[[#This Row],[instruction]])), ISNUMBER(SEARCH("ffma", Table6[[#This Row],[instruction]])), ISNUMBER(SEARCH("fmul", Table6[[#This Row],[instruction]]))), "fma", "")</f>
        <v/>
      </c>
      <c r="P1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42" t="str">
        <f>IF(OR(ISNUMBER(SEARCH("s2r", Table6[[#This Row],[instruction]])),ISNUMBER(SEARCH("s2ur", Table6[[#This Row],[instruction]]))), "special", "")</f>
        <v/>
      </c>
      <c r="S142" t="str">
        <f>IF(OR(ISNUMBER(SEARCH("stg", Table6[[#This Row],[instruction]])),ISNUMBER(SEARCH("ldg", Table6[[#This Row],[instruction]]))), "global", "")</f>
        <v/>
      </c>
      <c r="T142" t="str">
        <f>IF(OR(ISNUMBER(SEARCH("sts", Table6[[#This Row],[instruction]])),ISNUMBER(SEARCH("lds", Table6[[#This Row],[instruction]]))), "shared", "")</f>
        <v/>
      </c>
      <c r="U142" t="str">
        <f>IF(OR(ISNUMBER(SEARCH("LDC", Table6[[#This Row],[instruction]]))), "ind. const", "")</f>
        <v/>
      </c>
      <c r="V1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Row],[s5]]))),U142=""), "cmb. const", "")</f>
        <v/>
      </c>
      <c r="Y142">
        <f>IF(Table6[[#This Row],[pipeline]]="fma",Table6[[#This Row],[delay]],0)</f>
        <v>0</v>
      </c>
      <c r="Z142">
        <f>IF(AND(Table6[[#This Row],[pipeline]]="fma",W142="new"),290,0)</f>
        <v>0</v>
      </c>
      <c r="AK142" s="34"/>
    </row>
    <row r="143" spans="1:37" ht="17" x14ac:dyDescent="0.2">
      <c r="A143" s="31">
        <f>IF(Table6[[#This Row],[instruction]]&lt;&gt;"",MAX($A$6:A142)+1," ")</f>
        <v>138</v>
      </c>
      <c r="B143" s="32" t="s">
        <v>485</v>
      </c>
      <c r="C143" t="s">
        <v>67</v>
      </c>
      <c r="D143" s="31" t="s">
        <v>68</v>
      </c>
      <c r="E143" s="31" t="s">
        <v>566</v>
      </c>
      <c r="K143" s="2" t="str">
        <f t="shared" si="2"/>
        <v>cba</v>
      </c>
      <c r="L143" cm="1">
        <f t="array" ref="L1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3" t="str">
        <f>IF(OR(ISNUMBER(SEARCH("imad", Table6[[#This Row],[instruction]])), ISNUMBER(SEARCH("ffma", Table6[[#This Row],[instruction]])), ISNUMBER(SEARCH("fmul", Table6[[#This Row],[instruction]]))), "fma", "")</f>
        <v/>
      </c>
      <c r="P1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43" t="str">
        <f>IF(OR(ISNUMBER(SEARCH("s2r", Table6[[#This Row],[instruction]])),ISNUMBER(SEARCH("s2ur", Table6[[#This Row],[instruction]]))), "special", "")</f>
        <v/>
      </c>
      <c r="S143" t="str">
        <f>IF(OR(ISNUMBER(SEARCH("stg", Table6[[#This Row],[instruction]])),ISNUMBER(SEARCH("ldg", Table6[[#This Row],[instruction]]))), "global", "")</f>
        <v/>
      </c>
      <c r="T143" t="str">
        <f>IF(OR(ISNUMBER(SEARCH("sts", Table6[[#This Row],[instruction]])),ISNUMBER(SEARCH("lds", Table6[[#This Row],[instruction]]))), "shared", "")</f>
        <v/>
      </c>
      <c r="U143" t="str">
        <f>IF(OR(ISNUMBER(SEARCH("LDC", Table6[[#This Row],[instruction]]))), "ind. const", "")</f>
        <v/>
      </c>
      <c r="V1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Row],[s5]]))),U143=""), "cmb. const", "")</f>
        <v/>
      </c>
      <c r="Y143">
        <f>IF(Table6[[#This Row],[pipeline]]="fma",Table6[[#This Row],[delay]],0)</f>
        <v>0</v>
      </c>
      <c r="Z143">
        <f>IF(AND(Table6[[#This Row],[pipeline]]="fma",W143="new"),290,0)</f>
        <v>0</v>
      </c>
      <c r="AK143" s="34"/>
    </row>
    <row r="144" spans="1:37" ht="17" x14ac:dyDescent="0.2">
      <c r="A144" s="31">
        <f>IF(Table6[[#This Row],[instruction]]&lt;&gt;"",MAX($A$6:A143)+1," ")</f>
        <v>139</v>
      </c>
      <c r="B144" s="32" t="s">
        <v>485</v>
      </c>
      <c r="C144" t="s">
        <v>73</v>
      </c>
      <c r="D144" s="31" t="s">
        <v>436</v>
      </c>
      <c r="E144" s="31" t="s">
        <v>58</v>
      </c>
      <c r="F144" s="31" t="s">
        <v>457</v>
      </c>
      <c r="G144" s="31" t="s">
        <v>8</v>
      </c>
      <c r="H144" s="31" t="s">
        <v>76</v>
      </c>
      <c r="I144" s="31" t="s">
        <v>506</v>
      </c>
      <c r="K144" s="2" t="str">
        <f t="shared" si="2"/>
        <v>alu</v>
      </c>
      <c r="L144" cm="1">
        <f t="array" ref="L1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4" t="str">
        <f>IF(OR(ISNUMBER(SEARCH("imad", Table6[[#This Row],[instruction]])), ISNUMBER(SEARCH("ffma", Table6[[#This Row],[instruction]])), ISNUMBER(SEARCH("fmul", Table6[[#This Row],[instruction]]))), "fma", "")</f>
        <v/>
      </c>
      <c r="P1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4" t="str">
        <f>IF(OR(ISNUMBER(SEARCH("s2r", Table6[[#This Row],[instruction]])),ISNUMBER(SEARCH("s2ur", Table6[[#This Row],[instruction]]))), "special", "")</f>
        <v/>
      </c>
      <c r="S144" t="str">
        <f>IF(OR(ISNUMBER(SEARCH("stg", Table6[[#This Row],[instruction]])),ISNUMBER(SEARCH("ldg", Table6[[#This Row],[instruction]]))), "global", "")</f>
        <v/>
      </c>
      <c r="T144" t="str">
        <f>IF(OR(ISNUMBER(SEARCH("sts", Table6[[#This Row],[instruction]])),ISNUMBER(SEARCH("lds", Table6[[#This Row],[instruction]]))), "shared", "")</f>
        <v/>
      </c>
      <c r="U144" t="str">
        <f>IF(OR(ISNUMBER(SEARCH("LDC", Table6[[#This Row],[instruction]]))), "ind. const", "")</f>
        <v/>
      </c>
      <c r="V1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Row],[s5]]))),U144=""), "cmb. const", "")</f>
        <v/>
      </c>
      <c r="Y144">
        <f>IF(Table6[[#This Row],[pipeline]]="fma",Table6[[#This Row],[delay]],0)</f>
        <v>0</v>
      </c>
      <c r="Z144">
        <f>IF(AND(Table6[[#This Row],[pipeline]]="fma",W144="new"),290,0)</f>
        <v>0</v>
      </c>
      <c r="AK144" s="34"/>
    </row>
    <row r="145" spans="1:37" ht="17" x14ac:dyDescent="0.2">
      <c r="A145" s="31">
        <f>IF(Table6[[#This Row],[instruction]]&lt;&gt;"",MAX($A$6:A144)+1," ")</f>
        <v>140</v>
      </c>
      <c r="B145" s="32" t="s">
        <v>485</v>
      </c>
      <c r="C145" t="s">
        <v>0</v>
      </c>
      <c r="D145" s="31" t="s">
        <v>567</v>
      </c>
      <c r="E145" s="31" t="s">
        <v>502</v>
      </c>
      <c r="K145" s="2" t="str">
        <f t="shared" si="2"/>
        <v/>
      </c>
      <c r="L145" cm="1">
        <f t="array" ref="L1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5" t="str">
        <f>IF(OR(ISNUMBER(SEARCH("imad", Table6[[#This Row],[instruction]])), ISNUMBER(SEARCH("ffma", Table6[[#This Row],[instruction]])), ISNUMBER(SEARCH("fmul", Table6[[#This Row],[instruction]]))), "fma", "")</f>
        <v/>
      </c>
      <c r="P1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5" t="str">
        <f>IF(OR(ISNUMBER(SEARCH("s2r", Table6[[#This Row],[instruction]])),ISNUMBER(SEARCH("s2ur", Table6[[#This Row],[instruction]]))), "special", "")</f>
        <v/>
      </c>
      <c r="S145" t="str">
        <f>IF(OR(ISNUMBER(SEARCH("stg", Table6[[#This Row],[instruction]])),ISNUMBER(SEARCH("ldg", Table6[[#This Row],[instruction]]))), "global", "")</f>
        <v/>
      </c>
      <c r="T145" t="str">
        <f>IF(OR(ISNUMBER(SEARCH("sts", Table6[[#This Row],[instruction]])),ISNUMBER(SEARCH("lds", Table6[[#This Row],[instruction]]))), "shared", "")</f>
        <v/>
      </c>
      <c r="U145" t="str">
        <f>IF(OR(ISNUMBER(SEARCH("LDC", Table6[[#This Row],[instruction]]))), "ind. const", "")</f>
        <v/>
      </c>
      <c r="V1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Row],[s5]]))),U145=""), "cmb. const", "")</f>
        <v/>
      </c>
      <c r="Y145">
        <f>IF(Table6[[#This Row],[pipeline]]="fma",Table6[[#This Row],[delay]],0)</f>
        <v>0</v>
      </c>
      <c r="Z145">
        <f>IF(AND(Table6[[#This Row],[pipeline]]="fma",W145="new"),290,0)</f>
        <v>0</v>
      </c>
      <c r="AK145" s="34"/>
    </row>
    <row r="146" spans="1:37" ht="17" x14ac:dyDescent="0.2">
      <c r="A146" s="31">
        <f>IF(Table6[[#This Row],[instruction]]&lt;&gt;"",MAX($A$6:A145)+1," ")</f>
        <v>141</v>
      </c>
      <c r="B146" s="32" t="s">
        <v>485</v>
      </c>
      <c r="C146" t="s">
        <v>72</v>
      </c>
      <c r="D146" s="31" t="s">
        <v>552</v>
      </c>
      <c r="K146" s="2" t="str">
        <f t="shared" si="2"/>
        <v>cba</v>
      </c>
      <c r="L146" cm="1">
        <f t="array" ref="L1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6" t="str">
        <f>IF(OR(ISNUMBER(SEARCH("imad", Table6[[#This Row],[instruction]])), ISNUMBER(SEARCH("ffma", Table6[[#This Row],[instruction]])), ISNUMBER(SEARCH("fmul", Table6[[#This Row],[instruction]]))), "fma", "")</f>
        <v/>
      </c>
      <c r="P1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46" t="str">
        <f>IF(OR(ISNUMBER(SEARCH("s2r", Table6[[#This Row],[instruction]])),ISNUMBER(SEARCH("s2ur", Table6[[#This Row],[instruction]]))), "special", "")</f>
        <v/>
      </c>
      <c r="S146" t="str">
        <f>IF(OR(ISNUMBER(SEARCH("stg", Table6[[#This Row],[instruction]])),ISNUMBER(SEARCH("ldg", Table6[[#This Row],[instruction]]))), "global", "")</f>
        <v/>
      </c>
      <c r="T146" t="str">
        <f>IF(OR(ISNUMBER(SEARCH("sts", Table6[[#This Row],[instruction]])),ISNUMBER(SEARCH("lds", Table6[[#This Row],[instruction]]))), "shared", "")</f>
        <v/>
      </c>
      <c r="U146" t="str">
        <f>IF(OR(ISNUMBER(SEARCH("LDC", Table6[[#This Row],[instruction]]))), "ind. const", "")</f>
        <v/>
      </c>
      <c r="V1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Row],[s5]]))),U146=""), "cmb. const", "")</f>
        <v/>
      </c>
      <c r="Y146">
        <f>IF(Table6[[#This Row],[pipeline]]="fma",Table6[[#This Row],[delay]],0)</f>
        <v>0</v>
      </c>
      <c r="Z146">
        <f>IF(AND(Table6[[#This Row],[pipeline]]="fma",W146="new"),290,0)</f>
        <v>0</v>
      </c>
      <c r="AK146" s="34"/>
    </row>
    <row r="147" spans="1:37" ht="17" x14ac:dyDescent="0.2">
      <c r="A147" s="31">
        <f>IF(Table6[[#This Row],[instruction]]&lt;&gt;"",MAX($A$6:A146)+1," ")</f>
        <v>142</v>
      </c>
      <c r="B147" s="32" t="s">
        <v>485</v>
      </c>
      <c r="C147" t="s">
        <v>87</v>
      </c>
      <c r="D147" s="31" t="s">
        <v>50</v>
      </c>
      <c r="E147" s="31" t="s">
        <v>51</v>
      </c>
      <c r="F147" s="31" t="s">
        <v>436</v>
      </c>
      <c r="G147" s="31" t="s">
        <v>4</v>
      </c>
      <c r="H147" s="31" t="s">
        <v>494</v>
      </c>
      <c r="K147" s="2" t="str">
        <f t="shared" si="2"/>
        <v>alu</v>
      </c>
      <c r="L147" cm="1">
        <f t="array" ref="L1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47" t="str">
        <f>IF(OR(ISNUMBER(SEARCH("imad", Table6[[#This Row],[instruction]])), ISNUMBER(SEARCH("ffma", Table6[[#This Row],[instruction]])), ISNUMBER(SEARCH("fmul", Table6[[#This Row],[instruction]]))), "fma", "")</f>
        <v/>
      </c>
      <c r="P1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7" t="str">
        <f>IF(OR(ISNUMBER(SEARCH("s2r", Table6[[#This Row],[instruction]])),ISNUMBER(SEARCH("s2ur", Table6[[#This Row],[instruction]]))), "special", "")</f>
        <v/>
      </c>
      <c r="S147" t="str">
        <f>IF(OR(ISNUMBER(SEARCH("stg", Table6[[#This Row],[instruction]])),ISNUMBER(SEARCH("ldg", Table6[[#This Row],[instruction]]))), "global", "")</f>
        <v/>
      </c>
      <c r="T147" t="str">
        <f>IF(OR(ISNUMBER(SEARCH("sts", Table6[[#This Row],[instruction]])),ISNUMBER(SEARCH("lds", Table6[[#This Row],[instruction]]))), "shared", "")</f>
        <v/>
      </c>
      <c r="U147" t="str">
        <f>IF(OR(ISNUMBER(SEARCH("LDC", Table6[[#This Row],[instruction]]))), "ind. const", "")</f>
        <v/>
      </c>
      <c r="V1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Row],[s5]]))),U147=""), "cmb. const", "")</f>
        <v/>
      </c>
      <c r="Y147">
        <f>IF(Table6[[#This Row],[pipeline]]="fma",Table6[[#This Row],[delay]],0)</f>
        <v>0</v>
      </c>
      <c r="Z147">
        <f>IF(AND(Table6[[#This Row],[pipeline]]="fma",W147="new"),290,0)</f>
        <v>0</v>
      </c>
      <c r="AK147" s="34"/>
    </row>
    <row r="148" spans="1:37" ht="17" x14ac:dyDescent="0.2">
      <c r="A148" s="31">
        <f>IF(Table6[[#This Row],[instruction]]&lt;&gt;"",MAX($A$6:A147)+1," ")</f>
        <v>143</v>
      </c>
      <c r="B148" s="32" t="s">
        <v>485</v>
      </c>
      <c r="C148" t="s">
        <v>67</v>
      </c>
      <c r="D148" s="31" t="s">
        <v>68</v>
      </c>
      <c r="E148" s="31" t="s">
        <v>568</v>
      </c>
      <c r="K148" s="2" t="str">
        <f t="shared" si="2"/>
        <v>cba</v>
      </c>
      <c r="L148" cm="1">
        <f t="array" ref="L1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48" t="str">
        <f>IF(OR(ISNUMBER(SEARCH("imad", Table6[[#This Row],[instruction]])), ISNUMBER(SEARCH("ffma", Table6[[#This Row],[instruction]])), ISNUMBER(SEARCH("fmul", Table6[[#This Row],[instruction]]))), "fma", "")</f>
        <v/>
      </c>
      <c r="P1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48" t="str">
        <f>IF(OR(ISNUMBER(SEARCH("s2r", Table6[[#This Row],[instruction]])),ISNUMBER(SEARCH("s2ur", Table6[[#This Row],[instruction]]))), "special", "")</f>
        <v/>
      </c>
      <c r="S148" t="str">
        <f>IF(OR(ISNUMBER(SEARCH("stg", Table6[[#This Row],[instruction]])),ISNUMBER(SEARCH("ldg", Table6[[#This Row],[instruction]]))), "global", "")</f>
        <v/>
      </c>
      <c r="T148" t="str">
        <f>IF(OR(ISNUMBER(SEARCH("sts", Table6[[#This Row],[instruction]])),ISNUMBER(SEARCH("lds", Table6[[#This Row],[instruction]]))), "shared", "")</f>
        <v/>
      </c>
      <c r="U148" t="str">
        <f>IF(OR(ISNUMBER(SEARCH("LDC", Table6[[#This Row],[instruction]]))), "ind. const", "")</f>
        <v/>
      </c>
      <c r="V1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Row],[s5]]))),U148=""), "cmb. const", "")</f>
        <v/>
      </c>
      <c r="Y148">
        <f>IF(Table6[[#This Row],[pipeline]]="fma",Table6[[#This Row],[delay]],0)</f>
        <v>0</v>
      </c>
      <c r="Z148">
        <f>IF(AND(Table6[[#This Row],[pipeline]]="fma",W148="new"),290,0)</f>
        <v>0</v>
      </c>
      <c r="AK148" s="34"/>
    </row>
    <row r="149" spans="1:37" ht="17" x14ac:dyDescent="0.2">
      <c r="A149" s="31">
        <f>IF(Table6[[#This Row],[instruction]]&lt;&gt;"",MAX($A$6:A148)+1," ")</f>
        <v>144</v>
      </c>
      <c r="B149" s="32" t="s">
        <v>485</v>
      </c>
      <c r="C149" t="s">
        <v>427</v>
      </c>
      <c r="D149" s="31" t="s">
        <v>61</v>
      </c>
      <c r="E149" s="31" t="s">
        <v>8</v>
      </c>
      <c r="F149" s="31" t="s">
        <v>459</v>
      </c>
      <c r="G149" s="31" t="s">
        <v>503</v>
      </c>
      <c r="K149" s="2" t="str">
        <f t="shared" si="2"/>
        <v>alu</v>
      </c>
      <c r="L149" cm="1">
        <f t="array" ref="L1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49" t="str">
        <f>IF(OR(ISNUMBER(SEARCH("imad", Table6[[#This Row],[instruction]])), ISNUMBER(SEARCH("ffma", Table6[[#This Row],[instruction]])), ISNUMBER(SEARCH("fmul", Table6[[#This Row],[instruction]]))), "fma", "")</f>
        <v/>
      </c>
      <c r="P1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49" t="str">
        <f>IF(OR(ISNUMBER(SEARCH("s2r", Table6[[#This Row],[instruction]])),ISNUMBER(SEARCH("s2ur", Table6[[#This Row],[instruction]]))), "special", "")</f>
        <v/>
      </c>
      <c r="S149" t="str">
        <f>IF(OR(ISNUMBER(SEARCH("stg", Table6[[#This Row],[instruction]])),ISNUMBER(SEARCH("ldg", Table6[[#This Row],[instruction]]))), "global", "")</f>
        <v/>
      </c>
      <c r="T149" t="str">
        <f>IF(OR(ISNUMBER(SEARCH("sts", Table6[[#This Row],[instruction]])),ISNUMBER(SEARCH("lds", Table6[[#This Row],[instruction]]))), "shared", "")</f>
        <v/>
      </c>
      <c r="U149" t="str">
        <f>IF(OR(ISNUMBER(SEARCH("LDC", Table6[[#This Row],[instruction]]))), "ind. const", "")</f>
        <v/>
      </c>
      <c r="V1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Row],[s5]]))),U149=""), "cmb. const", "")</f>
        <v/>
      </c>
      <c r="Y149">
        <f>IF(Table6[[#This Row],[pipeline]]="fma",Table6[[#This Row],[delay]],0)</f>
        <v>0</v>
      </c>
      <c r="Z149">
        <f>IF(AND(Table6[[#This Row],[pipeline]]="fma",W149="new"),290,0)</f>
        <v>0</v>
      </c>
      <c r="AK149" s="34"/>
    </row>
    <row r="150" spans="1:37" ht="17" x14ac:dyDescent="0.2">
      <c r="A150" s="31">
        <f>IF(Table6[[#This Row],[instruction]]&lt;&gt;"",MAX($A$6:A149)+1," ")</f>
        <v>145</v>
      </c>
      <c r="B150" s="32" t="s">
        <v>485</v>
      </c>
      <c r="C150" t="s">
        <v>6</v>
      </c>
      <c r="D150" s="31" t="s">
        <v>569</v>
      </c>
      <c r="E150" s="31" t="e" cm="1">
        <f t="array" ref="E150">-RZ</f>
        <v>#NAME?</v>
      </c>
      <c r="F150" s="31" t="s">
        <v>8</v>
      </c>
      <c r="G150" s="31">
        <v>0</v>
      </c>
      <c r="H150" s="31" t="s">
        <v>525</v>
      </c>
      <c r="K150" s="2" t="s">
        <v>40</v>
      </c>
      <c r="L150">
        <v>8</v>
      </c>
      <c r="M150" t="s">
        <v>807</v>
      </c>
      <c r="O150" t="str">
        <f>IF(OR(ISNUMBER(SEARCH("imad", Table6[[#This Row],[instruction]])), ISNUMBER(SEARCH("ffma", Table6[[#This Row],[instruction]])), ISNUMBER(SEARCH("fmul", Table6[[#This Row],[instruction]]))), "fma", "")</f>
        <v/>
      </c>
      <c r="P1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0" t="str">
        <f>IF(OR(ISNUMBER(SEARCH("s2r", Table6[[#This Row],[instruction]])),ISNUMBER(SEARCH("s2ur", Table6[[#This Row],[instruction]]))), "special", "")</f>
        <v/>
      </c>
      <c r="S150" t="str">
        <f>IF(OR(ISNUMBER(SEARCH("stg", Table6[[#This Row],[instruction]])),ISNUMBER(SEARCH("ldg", Table6[[#This Row],[instruction]]))), "global", "")</f>
        <v/>
      </c>
      <c r="T150" t="str">
        <f>IF(OR(ISNUMBER(SEARCH("sts", Table6[[#This Row],[instruction]])),ISNUMBER(SEARCH("lds", Table6[[#This Row],[instruction]]))), "shared", "")</f>
        <v/>
      </c>
      <c r="U150" t="str">
        <f>IF(OR(ISNUMBER(SEARCH("LDC", Table6[[#This Row],[instruction]]))), "ind. const", "")</f>
        <v/>
      </c>
      <c r="V1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Row],[s5]]))),U150=""), "cmb. const", "")</f>
        <v/>
      </c>
      <c r="Y150">
        <f>IF(Table6[[#This Row],[pipeline]]="fma",Table6[[#This Row],[delay]],0)</f>
        <v>0</v>
      </c>
      <c r="Z150">
        <f>IF(AND(Table6[[#This Row],[pipeline]]="fma",W150="new"),290,0)</f>
        <v>0</v>
      </c>
      <c r="AK150" s="34"/>
    </row>
    <row r="151" spans="1:37" ht="17" x14ac:dyDescent="0.2">
      <c r="A151" s="31">
        <f>IF(Table6[[#This Row],[instruction]]&lt;&gt;"",MAX($A$6:A150)+1," ")</f>
        <v>146</v>
      </c>
      <c r="B151" s="32" t="s">
        <v>485</v>
      </c>
      <c r="C151" t="s">
        <v>570</v>
      </c>
      <c r="D151" s="31" t="s">
        <v>58</v>
      </c>
      <c r="E151" s="31" t="s">
        <v>58</v>
      </c>
      <c r="F151" s="31" t="s">
        <v>10</v>
      </c>
      <c r="G151" s="31" t="s">
        <v>571</v>
      </c>
      <c r="K151" s="2" t="str">
        <f t="shared" si="2"/>
        <v>alu</v>
      </c>
      <c r="L151" cm="1">
        <f t="array" ref="L1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151" t="str">
        <f>IF(OR(ISNUMBER(SEARCH("imad", Table6[[#This Row],[instruction]])), ISNUMBER(SEARCH("ffma", Table6[[#This Row],[instruction]])), ISNUMBER(SEARCH("fmul", Table6[[#This Row],[instruction]]))), "fma", "")</f>
        <v/>
      </c>
      <c r="P1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1" t="str">
        <f>IF(OR(ISNUMBER(SEARCH("s2r", Table6[[#This Row],[instruction]])),ISNUMBER(SEARCH("s2ur", Table6[[#This Row],[instruction]]))), "special", "")</f>
        <v/>
      </c>
      <c r="S151" t="str">
        <f>IF(OR(ISNUMBER(SEARCH("stg", Table6[[#This Row],[instruction]])),ISNUMBER(SEARCH("ldg", Table6[[#This Row],[instruction]]))), "global", "")</f>
        <v/>
      </c>
      <c r="T151" t="str">
        <f>IF(OR(ISNUMBER(SEARCH("sts", Table6[[#This Row],[instruction]])),ISNUMBER(SEARCH("lds", Table6[[#This Row],[instruction]]))), "shared", "")</f>
        <v/>
      </c>
      <c r="U151" t="str">
        <f>IF(OR(ISNUMBER(SEARCH("LDC", Table6[[#This Row],[instruction]]))), "ind. const", "")</f>
        <v/>
      </c>
      <c r="V1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Row],[s5]]))),U151=""), "cmb. const", "")</f>
        <v/>
      </c>
      <c r="Y151">
        <f>IF(Table6[[#This Row],[pipeline]]="fma",Table6[[#This Row],[delay]],0)</f>
        <v>0</v>
      </c>
      <c r="Z151">
        <f>IF(AND(Table6[[#This Row],[pipeline]]="fma",W151="new"),290,0)</f>
        <v>0</v>
      </c>
      <c r="AK151" s="34"/>
    </row>
    <row r="152" spans="1:37" ht="17" x14ac:dyDescent="0.2">
      <c r="A152" s="31">
        <f>IF(Table6[[#This Row],[instruction]]&lt;&gt;"",MAX($A$6:A151)+1," ")</f>
        <v>147</v>
      </c>
      <c r="B152" s="32" t="s">
        <v>485</v>
      </c>
      <c r="C152" t="s">
        <v>45</v>
      </c>
      <c r="D152" s="31" t="s">
        <v>572</v>
      </c>
      <c r="E152" s="31" t="s">
        <v>8</v>
      </c>
      <c r="F152" s="31" t="s">
        <v>8</v>
      </c>
      <c r="G152" s="31" t="s">
        <v>502</v>
      </c>
      <c r="K152" s="2" t="str">
        <f t="shared" si="2"/>
        <v>fma</v>
      </c>
      <c r="L152" cm="1">
        <f t="array" ref="L1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52" t="str">
        <f>IF(OR(ISNUMBER(SEARCH("imad", Table6[[#This Row],[instruction]])), ISNUMBER(SEARCH("ffma", Table6[[#This Row],[instruction]])), ISNUMBER(SEARCH("fmul", Table6[[#This Row],[instruction]]))), "fma", "")</f>
        <v>fma</v>
      </c>
      <c r="P1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2" t="str">
        <f>IF(OR(ISNUMBER(SEARCH("s2r", Table6[[#This Row],[instruction]])),ISNUMBER(SEARCH("s2ur", Table6[[#This Row],[instruction]]))), "special", "")</f>
        <v/>
      </c>
      <c r="S152" t="str">
        <f>IF(OR(ISNUMBER(SEARCH("stg", Table6[[#This Row],[instruction]])),ISNUMBER(SEARCH("ldg", Table6[[#This Row],[instruction]]))), "global", "")</f>
        <v/>
      </c>
      <c r="T152" t="str">
        <f>IF(OR(ISNUMBER(SEARCH("sts", Table6[[#This Row],[instruction]])),ISNUMBER(SEARCH("lds", Table6[[#This Row],[instruction]]))), "shared", "")</f>
        <v/>
      </c>
      <c r="U152" t="str">
        <f>IF(OR(ISNUMBER(SEARCH("LDC", Table6[[#This Row],[instruction]]))), "ind. const", "")</f>
        <v/>
      </c>
      <c r="V1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Row],[s5]]))),U152=""), "cmb. const", "")</f>
        <v/>
      </c>
      <c r="Y152">
        <f>IF(Table6[[#This Row],[pipeline]]="fma",Table6[[#This Row],[delay]],0)</f>
        <v>4</v>
      </c>
      <c r="Z152">
        <f>IF(AND(Table6[[#This Row],[pipeline]]="fma",W152="new"),290,0)</f>
        <v>0</v>
      </c>
      <c r="AK152" s="34"/>
    </row>
    <row r="153" spans="1:37" ht="17" x14ac:dyDescent="0.2">
      <c r="A153" s="31">
        <f>IF(Table6[[#This Row],[instruction]]&lt;&gt;"",MAX($A$6:A152)+1," ")</f>
        <v>148</v>
      </c>
      <c r="B153" s="32" t="s">
        <v>485</v>
      </c>
      <c r="C153" t="s">
        <v>0</v>
      </c>
      <c r="D153" s="31" t="s">
        <v>573</v>
      </c>
      <c r="E153" s="31" t="s">
        <v>502</v>
      </c>
      <c r="K153" s="2" t="s">
        <v>95</v>
      </c>
      <c r="L153">
        <v>1</v>
      </c>
      <c r="O153" t="str">
        <f>IF(OR(ISNUMBER(SEARCH("imad", Table6[[#This Row],[instruction]])), ISNUMBER(SEARCH("ffma", Table6[[#This Row],[instruction]])), ISNUMBER(SEARCH("fmul", Table6[[#This Row],[instruction]]))), "fma", "")</f>
        <v/>
      </c>
      <c r="P1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3" t="str">
        <f>IF(OR(ISNUMBER(SEARCH("s2r", Table6[[#This Row],[instruction]])),ISNUMBER(SEARCH("s2ur", Table6[[#This Row],[instruction]]))), "special", "")</f>
        <v/>
      </c>
      <c r="S153" t="str">
        <f>IF(OR(ISNUMBER(SEARCH("stg", Table6[[#This Row],[instruction]])),ISNUMBER(SEARCH("ldg", Table6[[#This Row],[instruction]]))), "global", "")</f>
        <v/>
      </c>
      <c r="T153" t="str">
        <f>IF(OR(ISNUMBER(SEARCH("sts", Table6[[#This Row],[instruction]])),ISNUMBER(SEARCH("lds", Table6[[#This Row],[instruction]]))), "shared", "")</f>
        <v/>
      </c>
      <c r="U153" t="str">
        <f>IF(OR(ISNUMBER(SEARCH("LDC", Table6[[#This Row],[instruction]]))), "ind. const", "")</f>
        <v/>
      </c>
      <c r="V1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Row],[s5]]))),U153=""), "cmb. const", "")</f>
        <v/>
      </c>
      <c r="Y153">
        <f>IF(Table6[[#This Row],[pipeline]]="fma",Table6[[#This Row],[delay]],0)</f>
        <v>0</v>
      </c>
      <c r="Z153">
        <f>IF(AND(Table6[[#This Row],[pipeline]]="fma",W153="new"),290,0)</f>
        <v>0</v>
      </c>
      <c r="AK153" s="34"/>
    </row>
    <row r="154" spans="1:37" ht="17" x14ac:dyDescent="0.2">
      <c r="A154" s="31">
        <f>IF(Table6[[#This Row],[instruction]]&lt;&gt;"",MAX($A$6:A153)+1," ")</f>
        <v>149</v>
      </c>
      <c r="B154" s="32" t="s">
        <v>485</v>
      </c>
      <c r="C154" t="s">
        <v>45</v>
      </c>
      <c r="D154" s="31" t="s">
        <v>574</v>
      </c>
      <c r="E154" s="31" t="s">
        <v>8</v>
      </c>
      <c r="F154" s="31" t="s">
        <v>8</v>
      </c>
      <c r="G154" s="31" t="s">
        <v>502</v>
      </c>
      <c r="K154" s="2" t="str">
        <f t="shared" si="2"/>
        <v>fma</v>
      </c>
      <c r="L154" cm="1">
        <f t="array" ref="L1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54" t="str">
        <f>IF(OR(ISNUMBER(SEARCH("imad", Table6[[#This Row],[instruction]])), ISNUMBER(SEARCH("ffma", Table6[[#This Row],[instruction]])), ISNUMBER(SEARCH("fmul", Table6[[#This Row],[instruction]]))), "fma", "")</f>
        <v>fma</v>
      </c>
      <c r="P1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4" t="str">
        <f>IF(OR(ISNUMBER(SEARCH("s2r", Table6[[#This Row],[instruction]])),ISNUMBER(SEARCH("s2ur", Table6[[#This Row],[instruction]]))), "special", "")</f>
        <v/>
      </c>
      <c r="S154" t="str">
        <f>IF(OR(ISNUMBER(SEARCH("stg", Table6[[#This Row],[instruction]])),ISNUMBER(SEARCH("ldg", Table6[[#This Row],[instruction]]))), "global", "")</f>
        <v/>
      </c>
      <c r="T154" t="str">
        <f>IF(OR(ISNUMBER(SEARCH("sts", Table6[[#This Row],[instruction]])),ISNUMBER(SEARCH("lds", Table6[[#This Row],[instruction]]))), "shared", "")</f>
        <v/>
      </c>
      <c r="U154" t="str">
        <f>IF(OR(ISNUMBER(SEARCH("LDC", Table6[[#This Row],[instruction]]))), "ind. const", "")</f>
        <v/>
      </c>
      <c r="V1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Row],[s5]]))),U154=""), "cmb. const", "")</f>
        <v/>
      </c>
      <c r="Y154">
        <f>IF(Table6[[#This Row],[pipeline]]="fma",Table6[[#This Row],[delay]],0)</f>
        <v>4</v>
      </c>
      <c r="Z154">
        <f>IF(AND(Table6[[#This Row],[pipeline]]="fma",W154="new"),290,0)</f>
        <v>0</v>
      </c>
      <c r="AK154" s="34"/>
    </row>
    <row r="155" spans="1:37" ht="17" x14ac:dyDescent="0.2">
      <c r="A155" s="31">
        <f>IF(Table6[[#This Row],[instruction]]&lt;&gt;"",MAX($A$6:A154)+1," ")</f>
        <v>150</v>
      </c>
      <c r="B155" s="32" t="s">
        <v>485</v>
      </c>
      <c r="C155" t="s">
        <v>14</v>
      </c>
      <c r="D155" s="31" t="s">
        <v>575</v>
      </c>
      <c r="E155" s="31" t="s">
        <v>436</v>
      </c>
      <c r="F155" s="31" t="s">
        <v>576</v>
      </c>
      <c r="G155" s="31" t="s">
        <v>520</v>
      </c>
      <c r="K155" s="2" t="str">
        <f t="shared" si="2"/>
        <v>fma</v>
      </c>
      <c r="L155" cm="1">
        <f t="array" ref="L1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55" t="str">
        <f>IF(OR(ISNUMBER(SEARCH("imad", Table6[[#This Row],[instruction]])), ISNUMBER(SEARCH("ffma", Table6[[#This Row],[instruction]])), ISNUMBER(SEARCH("fmul", Table6[[#This Row],[instruction]]))), "fma", "")</f>
        <v>fma</v>
      </c>
      <c r="P1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5" t="str">
        <f>IF(OR(ISNUMBER(SEARCH("s2r", Table6[[#This Row],[instruction]])),ISNUMBER(SEARCH("s2ur", Table6[[#This Row],[instruction]]))), "special", "")</f>
        <v/>
      </c>
      <c r="S155" t="str">
        <f>IF(OR(ISNUMBER(SEARCH("stg", Table6[[#This Row],[instruction]])),ISNUMBER(SEARCH("ldg", Table6[[#This Row],[instruction]]))), "global", "")</f>
        <v/>
      </c>
      <c r="T155" t="str">
        <f>IF(OR(ISNUMBER(SEARCH("sts", Table6[[#This Row],[instruction]])),ISNUMBER(SEARCH("lds", Table6[[#This Row],[instruction]]))), "shared", "")</f>
        <v/>
      </c>
      <c r="U155" t="str">
        <f>IF(OR(ISNUMBER(SEARCH("LDC", Table6[[#This Row],[instruction]]))), "ind. const", "")</f>
        <v/>
      </c>
      <c r="V1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Row],[s5]]))),U155=""), "cmb. const", "")</f>
        <v/>
      </c>
      <c r="Y155">
        <f>IF(Table6[[#This Row],[pipeline]]="fma",Table6[[#This Row],[delay]],0)</f>
        <v>4</v>
      </c>
      <c r="Z155">
        <f>IF(AND(Table6[[#This Row],[pipeline]]="fma",W155="new"),290,0)</f>
        <v>0</v>
      </c>
      <c r="AK155" s="34"/>
    </row>
    <row r="156" spans="1:37" ht="17" x14ac:dyDescent="0.2">
      <c r="A156" s="31">
        <f>IF(Table6[[#This Row],[instruction]]&lt;&gt;"",MAX($A$6:A155)+1," ")</f>
        <v>151</v>
      </c>
      <c r="B156" s="32" t="s">
        <v>485</v>
      </c>
      <c r="C156" t="s">
        <v>14</v>
      </c>
      <c r="D156" s="31" t="s">
        <v>577</v>
      </c>
      <c r="E156" s="31" t="s">
        <v>58</v>
      </c>
      <c r="F156" s="31" t="s">
        <v>55</v>
      </c>
      <c r="G156" s="31" t="s">
        <v>556</v>
      </c>
      <c r="K156" s="2" t="str">
        <f t="shared" si="2"/>
        <v>fma</v>
      </c>
      <c r="L156" cm="1">
        <f t="array" ref="L1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56" t="str">
        <f>IF(OR(ISNUMBER(SEARCH("imad", Table6[[#This Row],[instruction]])), ISNUMBER(SEARCH("ffma", Table6[[#This Row],[instruction]])), ISNUMBER(SEARCH("fmul", Table6[[#This Row],[instruction]]))), "fma", "")</f>
        <v>fma</v>
      </c>
      <c r="P1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6" t="str">
        <f>IF(OR(ISNUMBER(SEARCH("s2r", Table6[[#This Row],[instruction]])),ISNUMBER(SEARCH("s2ur", Table6[[#This Row],[instruction]]))), "special", "")</f>
        <v/>
      </c>
      <c r="S156" t="str">
        <f>IF(OR(ISNUMBER(SEARCH("stg", Table6[[#This Row],[instruction]])),ISNUMBER(SEARCH("ldg", Table6[[#This Row],[instruction]]))), "global", "")</f>
        <v/>
      </c>
      <c r="T156" t="str">
        <f>IF(OR(ISNUMBER(SEARCH("sts", Table6[[#This Row],[instruction]])),ISNUMBER(SEARCH("lds", Table6[[#This Row],[instruction]]))), "shared", "")</f>
        <v/>
      </c>
      <c r="U156" t="str">
        <f>IF(OR(ISNUMBER(SEARCH("LDC", Table6[[#This Row],[instruction]]))), "ind. const", "")</f>
        <v/>
      </c>
      <c r="V1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Row],[s5]]))),U156=""), "cmb. const", "")</f>
        <v>cmb. const</v>
      </c>
      <c r="W156" s="2" t="s">
        <v>482</v>
      </c>
      <c r="Y156">
        <f>IF(Table6[[#This Row],[pipeline]]="fma",Table6[[#This Row],[delay]],0)</f>
        <v>4</v>
      </c>
      <c r="Z156">
        <f>IF(AND(Table6[[#This Row],[pipeline]]="fma",W156="new"),290,0)</f>
        <v>290</v>
      </c>
      <c r="AK156" s="34"/>
    </row>
    <row r="157" spans="1:37" ht="17" x14ac:dyDescent="0.2">
      <c r="A157" s="31">
        <f>IF(Table6[[#This Row],[instruction]]&lt;&gt;"",MAX($A$6:A156)+1," ")</f>
        <v>152</v>
      </c>
      <c r="B157" s="32" t="s">
        <v>86</v>
      </c>
      <c r="C157" t="s">
        <v>359</v>
      </c>
      <c r="D157" s="31" t="s">
        <v>578</v>
      </c>
      <c r="K157" s="2" t="str">
        <f t="shared" si="2"/>
        <v>cba</v>
      </c>
      <c r="L157" cm="1">
        <f t="array" ref="L1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57" t="s">
        <v>770</v>
      </c>
      <c r="O157" t="str">
        <f>IF(OR(ISNUMBER(SEARCH("imad", Table6[[#This Row],[instruction]])), ISNUMBER(SEARCH("ffma", Table6[[#This Row],[instruction]])), ISNUMBER(SEARCH("fmul", Table6[[#This Row],[instruction]]))), "fma", "")</f>
        <v/>
      </c>
      <c r="P1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57" t="str">
        <f>IF(OR(ISNUMBER(SEARCH("s2r", Table6[[#This Row],[instruction]])),ISNUMBER(SEARCH("s2ur", Table6[[#This Row],[instruction]]))), "special", "")</f>
        <v/>
      </c>
      <c r="S157" t="str">
        <f>IF(OR(ISNUMBER(SEARCH("stg", Table6[[#This Row],[instruction]])),ISNUMBER(SEARCH("ldg", Table6[[#This Row],[instruction]]))), "global", "")</f>
        <v/>
      </c>
      <c r="T157" t="str">
        <f>IF(OR(ISNUMBER(SEARCH("sts", Table6[[#This Row],[instruction]])),ISNUMBER(SEARCH("lds", Table6[[#This Row],[instruction]]))), "shared", "")</f>
        <v/>
      </c>
      <c r="U157" t="str">
        <f>IF(OR(ISNUMBER(SEARCH("LDC", Table6[[#This Row],[instruction]]))), "ind. const", "")</f>
        <v/>
      </c>
      <c r="V1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Row],[s5]]))),U157=""), "cmb. const", "")</f>
        <v/>
      </c>
      <c r="Y157">
        <f>IF(Table6[[#This Row],[pipeline]]="fma",Table6[[#This Row],[delay]],0)</f>
        <v>0</v>
      </c>
      <c r="Z157">
        <f>IF(AND(Table6[[#This Row],[pipeline]]="fma",W157="new"),290,0)</f>
        <v>0</v>
      </c>
      <c r="AK157" s="34"/>
    </row>
    <row r="158" spans="1:37" ht="17" x14ac:dyDescent="0.2">
      <c r="A158" s="31">
        <f>IF(Table6[[#This Row],[instruction]]&lt;&gt;"",MAX($A$6:A157)+1," ")</f>
        <v>153</v>
      </c>
      <c r="B158" s="32" t="s">
        <v>485</v>
      </c>
      <c r="C158" t="s">
        <v>26</v>
      </c>
      <c r="D158" s="31" t="s">
        <v>61</v>
      </c>
      <c r="E158" s="31" t="s">
        <v>58</v>
      </c>
      <c r="F158" s="31" t="s">
        <v>526</v>
      </c>
      <c r="G158" s="31" t="s">
        <v>502</v>
      </c>
      <c r="K158" s="2" t="str">
        <f t="shared" si="2"/>
        <v>alu</v>
      </c>
      <c r="L158" cm="1">
        <f t="array" ref="L1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58" t="str">
        <f>IF(OR(ISNUMBER(SEARCH("imad", Table6[[#This Row],[instruction]])), ISNUMBER(SEARCH("ffma", Table6[[#This Row],[instruction]])), ISNUMBER(SEARCH("fmul", Table6[[#This Row],[instruction]]))), "fma", "")</f>
        <v/>
      </c>
      <c r="P1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8" t="str">
        <f>IF(OR(ISNUMBER(SEARCH("s2r", Table6[[#This Row],[instruction]])),ISNUMBER(SEARCH("s2ur", Table6[[#This Row],[instruction]]))), "special", "")</f>
        <v/>
      </c>
      <c r="S158" t="str">
        <f>IF(OR(ISNUMBER(SEARCH("stg", Table6[[#This Row],[instruction]])),ISNUMBER(SEARCH("ldg", Table6[[#This Row],[instruction]]))), "global", "")</f>
        <v/>
      </c>
      <c r="T158" t="str">
        <f>IF(OR(ISNUMBER(SEARCH("sts", Table6[[#This Row],[instruction]])),ISNUMBER(SEARCH("lds", Table6[[#This Row],[instruction]]))), "shared", "")</f>
        <v/>
      </c>
      <c r="U158" t="str">
        <f>IF(OR(ISNUMBER(SEARCH("LDC", Table6[[#This Row],[instruction]]))), "ind. const", "")</f>
        <v/>
      </c>
      <c r="V1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Row],[s5]]))),U158=""), "cmb. const", "")</f>
        <v/>
      </c>
      <c r="Y158">
        <f>IF(Table6[[#This Row],[pipeline]]="fma",Table6[[#This Row],[delay]],0)</f>
        <v>0</v>
      </c>
      <c r="Z158">
        <f>IF(AND(Table6[[#This Row],[pipeline]]="fma",W158="new"),290,0)</f>
        <v>0</v>
      </c>
      <c r="AK158" s="34"/>
    </row>
    <row r="159" spans="1:37" ht="17" x14ac:dyDescent="0.2">
      <c r="A159" s="31">
        <f>IF(Table6[[#This Row],[instruction]]&lt;&gt;"",MAX($A$6:A158)+1," ")</f>
        <v>154</v>
      </c>
      <c r="B159" s="32" t="s">
        <v>485</v>
      </c>
      <c r="C159" t="s">
        <v>45</v>
      </c>
      <c r="D159" s="31" t="s">
        <v>574</v>
      </c>
      <c r="E159" s="31" t="s">
        <v>8</v>
      </c>
      <c r="F159" s="31" t="s">
        <v>8</v>
      </c>
      <c r="G159" s="31" t="s">
        <v>502</v>
      </c>
      <c r="K159" s="2" t="str">
        <f t="shared" si="2"/>
        <v>fma</v>
      </c>
      <c r="L159" cm="1">
        <f t="array" ref="L1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59" t="str">
        <f>IF(OR(ISNUMBER(SEARCH("imad", Table6[[#This Row],[instruction]])), ISNUMBER(SEARCH("ffma", Table6[[#This Row],[instruction]])), ISNUMBER(SEARCH("fmul", Table6[[#This Row],[instruction]]))), "fma", "")</f>
        <v>fma</v>
      </c>
      <c r="P1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59" t="str">
        <f>IF(OR(ISNUMBER(SEARCH("s2r", Table6[[#This Row],[instruction]])),ISNUMBER(SEARCH("s2ur", Table6[[#This Row],[instruction]]))), "special", "")</f>
        <v/>
      </c>
      <c r="S159" t="str">
        <f>IF(OR(ISNUMBER(SEARCH("stg", Table6[[#This Row],[instruction]])),ISNUMBER(SEARCH("ldg", Table6[[#This Row],[instruction]]))), "global", "")</f>
        <v/>
      </c>
      <c r="T159" t="str">
        <f>IF(OR(ISNUMBER(SEARCH("sts", Table6[[#This Row],[instruction]])),ISNUMBER(SEARCH("lds", Table6[[#This Row],[instruction]]))), "shared", "")</f>
        <v/>
      </c>
      <c r="U159" t="str">
        <f>IF(OR(ISNUMBER(SEARCH("LDC", Table6[[#This Row],[instruction]]))), "ind. const", "")</f>
        <v/>
      </c>
      <c r="V1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Row],[s5]]))),U159=""), "cmb. const", "")</f>
        <v/>
      </c>
      <c r="Y159">
        <f>IF(Table6[[#This Row],[pipeline]]="fma",Table6[[#This Row],[delay]],0)</f>
        <v>4</v>
      </c>
      <c r="Z159">
        <f>IF(AND(Table6[[#This Row],[pipeline]]="fma",W159="new"),290,0)</f>
        <v>0</v>
      </c>
      <c r="AK159" s="34"/>
    </row>
    <row r="160" spans="1:37" ht="17" x14ac:dyDescent="0.2">
      <c r="A160" s="31">
        <f>IF(Table6[[#This Row],[instruction]]&lt;&gt;"",MAX($A$6:A159)+1," ")</f>
        <v>155</v>
      </c>
      <c r="B160" s="32" t="s">
        <v>485</v>
      </c>
      <c r="C160" t="s">
        <v>49</v>
      </c>
      <c r="D160" s="31" t="s">
        <v>50</v>
      </c>
      <c r="E160" s="31" t="s">
        <v>51</v>
      </c>
      <c r="F160" s="31" t="s">
        <v>58</v>
      </c>
      <c r="G160" s="31" t="s">
        <v>442</v>
      </c>
      <c r="H160" s="31" t="s">
        <v>494</v>
      </c>
      <c r="K160" s="2" t="str">
        <f t="shared" si="2"/>
        <v>alu</v>
      </c>
      <c r="L160" cm="1">
        <f t="array" ref="L1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0" t="str">
        <f>IF(OR(ISNUMBER(SEARCH("imad", Table6[[#This Row],[instruction]])), ISNUMBER(SEARCH("ffma", Table6[[#This Row],[instruction]])), ISNUMBER(SEARCH("fmul", Table6[[#This Row],[instruction]]))), "fma", "")</f>
        <v/>
      </c>
      <c r="P1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0" t="str">
        <f>IF(OR(ISNUMBER(SEARCH("s2r", Table6[[#This Row],[instruction]])),ISNUMBER(SEARCH("s2ur", Table6[[#This Row],[instruction]]))), "special", "")</f>
        <v/>
      </c>
      <c r="S160" t="str">
        <f>IF(OR(ISNUMBER(SEARCH("stg", Table6[[#This Row],[instruction]])),ISNUMBER(SEARCH("ldg", Table6[[#This Row],[instruction]]))), "global", "")</f>
        <v/>
      </c>
      <c r="T160" t="str">
        <f>IF(OR(ISNUMBER(SEARCH("sts", Table6[[#This Row],[instruction]])),ISNUMBER(SEARCH("lds", Table6[[#This Row],[instruction]]))), "shared", "")</f>
        <v/>
      </c>
      <c r="U160" t="str">
        <f>IF(OR(ISNUMBER(SEARCH("LDC", Table6[[#This Row],[instruction]]))), "ind. const", "")</f>
        <v/>
      </c>
      <c r="V1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Row],[s5]]))),U160=""), "cmb. const", "")</f>
        <v>cmb. const</v>
      </c>
      <c r="W160" s="2" t="s">
        <v>482</v>
      </c>
      <c r="Y160">
        <f>IF(Table6[[#This Row],[pipeline]]="fma",Table6[[#This Row],[delay]],0)</f>
        <v>0</v>
      </c>
      <c r="Z160">
        <f>IF(AND(Table6[[#This Row],[pipeline]]="fma",W160="new"),290,0)</f>
        <v>0</v>
      </c>
      <c r="AK160" s="34"/>
    </row>
    <row r="161" spans="1:37" ht="17" x14ac:dyDescent="0.2">
      <c r="A161" s="31">
        <f>IF(Table6[[#This Row],[instruction]]&lt;&gt;"",MAX($A$6:A160)+1," ")</f>
        <v>156</v>
      </c>
      <c r="B161" s="32" t="s">
        <v>485</v>
      </c>
      <c r="C161" t="s">
        <v>45</v>
      </c>
      <c r="D161" s="31" t="s">
        <v>572</v>
      </c>
      <c r="E161" s="31" t="s">
        <v>8</v>
      </c>
      <c r="F161" s="31" t="s">
        <v>8</v>
      </c>
      <c r="G161" s="31" t="s">
        <v>502</v>
      </c>
      <c r="K161" s="2" t="str">
        <f t="shared" si="2"/>
        <v>fma</v>
      </c>
      <c r="L161" cm="1">
        <f t="array" ref="L1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1" t="str">
        <f>IF(OR(ISNUMBER(SEARCH("imad", Table6[[#This Row],[instruction]])), ISNUMBER(SEARCH("ffma", Table6[[#This Row],[instruction]])), ISNUMBER(SEARCH("fmul", Table6[[#This Row],[instruction]]))), "fma", "")</f>
        <v>fma</v>
      </c>
      <c r="P1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1" t="str">
        <f>IF(OR(ISNUMBER(SEARCH("s2r", Table6[[#This Row],[instruction]])),ISNUMBER(SEARCH("s2ur", Table6[[#This Row],[instruction]]))), "special", "")</f>
        <v/>
      </c>
      <c r="S161" t="str">
        <f>IF(OR(ISNUMBER(SEARCH("stg", Table6[[#This Row],[instruction]])),ISNUMBER(SEARCH("ldg", Table6[[#This Row],[instruction]]))), "global", "")</f>
        <v/>
      </c>
      <c r="T161" t="str">
        <f>IF(OR(ISNUMBER(SEARCH("sts", Table6[[#This Row],[instruction]])),ISNUMBER(SEARCH("lds", Table6[[#This Row],[instruction]]))), "shared", "")</f>
        <v/>
      </c>
      <c r="U161" t="str">
        <f>IF(OR(ISNUMBER(SEARCH("LDC", Table6[[#This Row],[instruction]]))), "ind. const", "")</f>
        <v/>
      </c>
      <c r="V1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Row],[s5]]))),U161=""), "cmb. const", "")</f>
        <v/>
      </c>
      <c r="Y161">
        <f>IF(Table6[[#This Row],[pipeline]]="fma",Table6[[#This Row],[delay]],0)</f>
        <v>4</v>
      </c>
      <c r="Z161">
        <f>IF(AND(Table6[[#This Row],[pipeline]]="fma",W161="new"),290,0)</f>
        <v>0</v>
      </c>
      <c r="AK161" s="34"/>
    </row>
    <row r="162" spans="1:37" ht="17" x14ac:dyDescent="0.2">
      <c r="A162" s="31">
        <f>IF(Table6[[#This Row],[instruction]]&lt;&gt;"",MAX($A$6:A161)+1," ")</f>
        <v>157</v>
      </c>
      <c r="B162" s="32" t="s">
        <v>485</v>
      </c>
      <c r="C162" t="s">
        <v>26</v>
      </c>
      <c r="D162" s="31" t="s">
        <v>84</v>
      </c>
      <c r="E162" s="31" t="s">
        <v>58</v>
      </c>
      <c r="F162" s="31" t="s">
        <v>56</v>
      </c>
      <c r="G162" s="31" t="s">
        <v>502</v>
      </c>
      <c r="K162" s="2" t="str">
        <f t="shared" si="2"/>
        <v>alu</v>
      </c>
      <c r="L162" cm="1">
        <f t="array" ref="L1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62" t="str">
        <f>IF(OR(ISNUMBER(SEARCH("imad", Table6[[#This Row],[instruction]])), ISNUMBER(SEARCH("ffma", Table6[[#This Row],[instruction]])), ISNUMBER(SEARCH("fmul", Table6[[#This Row],[instruction]]))), "fma", "")</f>
        <v/>
      </c>
      <c r="P1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2" t="str">
        <f>IF(OR(ISNUMBER(SEARCH("s2r", Table6[[#This Row],[instruction]])),ISNUMBER(SEARCH("s2ur", Table6[[#This Row],[instruction]]))), "special", "")</f>
        <v/>
      </c>
      <c r="S162" t="str">
        <f>IF(OR(ISNUMBER(SEARCH("stg", Table6[[#This Row],[instruction]])),ISNUMBER(SEARCH("ldg", Table6[[#This Row],[instruction]]))), "global", "")</f>
        <v/>
      </c>
      <c r="T162" t="str">
        <f>IF(OR(ISNUMBER(SEARCH("sts", Table6[[#This Row],[instruction]])),ISNUMBER(SEARCH("lds", Table6[[#This Row],[instruction]]))), "shared", "")</f>
        <v/>
      </c>
      <c r="U162" t="str">
        <f>IF(OR(ISNUMBER(SEARCH("LDC", Table6[[#This Row],[instruction]]))), "ind. const", "")</f>
        <v/>
      </c>
      <c r="V1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Row],[s5]]))),U162=""), "cmb. const", "")</f>
        <v/>
      </c>
      <c r="Y162">
        <f>IF(Table6[[#This Row],[pipeline]]="fma",Table6[[#This Row],[delay]],0)</f>
        <v>0</v>
      </c>
      <c r="Z162">
        <f>IF(AND(Table6[[#This Row],[pipeline]]="fma",W162="new"),290,0)</f>
        <v>0</v>
      </c>
      <c r="AK162" s="34"/>
    </row>
    <row r="163" spans="1:37" ht="17" x14ac:dyDescent="0.2">
      <c r="A163" s="31">
        <f>IF(Table6[[#This Row],[instruction]]&lt;&gt;"",MAX($A$6:A162)+1," ")</f>
        <v>158</v>
      </c>
      <c r="B163" s="32" t="s">
        <v>485</v>
      </c>
      <c r="C163" t="s">
        <v>26</v>
      </c>
      <c r="D163" s="31" t="s">
        <v>58</v>
      </c>
      <c r="E163" s="31" t="s">
        <v>58</v>
      </c>
      <c r="F163" s="31" t="s">
        <v>579</v>
      </c>
      <c r="G163" s="31" t="s">
        <v>502</v>
      </c>
      <c r="K163" s="2" t="str">
        <f t="shared" si="2"/>
        <v>alu</v>
      </c>
      <c r="L163" cm="1">
        <f t="array" ref="L1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63" t="str">
        <f>IF(OR(ISNUMBER(SEARCH("imad", Table6[[#This Row],[instruction]])), ISNUMBER(SEARCH("ffma", Table6[[#This Row],[instruction]])), ISNUMBER(SEARCH("fmul", Table6[[#This Row],[instruction]]))), "fma", "")</f>
        <v/>
      </c>
      <c r="P1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3" t="str">
        <f>IF(OR(ISNUMBER(SEARCH("s2r", Table6[[#This Row],[instruction]])),ISNUMBER(SEARCH("s2ur", Table6[[#This Row],[instruction]]))), "special", "")</f>
        <v/>
      </c>
      <c r="S163" t="str">
        <f>IF(OR(ISNUMBER(SEARCH("stg", Table6[[#This Row],[instruction]])),ISNUMBER(SEARCH("ldg", Table6[[#This Row],[instruction]]))), "global", "")</f>
        <v/>
      </c>
      <c r="T163" t="str">
        <f>IF(OR(ISNUMBER(SEARCH("sts", Table6[[#This Row],[instruction]])),ISNUMBER(SEARCH("lds", Table6[[#This Row],[instruction]]))), "shared", "")</f>
        <v/>
      </c>
      <c r="U163" t="str">
        <f>IF(OR(ISNUMBER(SEARCH("LDC", Table6[[#This Row],[instruction]]))), "ind. const", "")</f>
        <v/>
      </c>
      <c r="V1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Row],[s5]]))),U163=""), "cmb. const", "")</f>
        <v/>
      </c>
      <c r="Y163">
        <f>IF(Table6[[#This Row],[pipeline]]="fma",Table6[[#This Row],[delay]],0)</f>
        <v>0</v>
      </c>
      <c r="Z163">
        <f>IF(AND(Table6[[#This Row],[pipeline]]="fma",W163="new"),290,0)</f>
        <v>0</v>
      </c>
      <c r="AK163" s="34"/>
    </row>
    <row r="164" spans="1:37" ht="17" x14ac:dyDescent="0.2">
      <c r="A164" s="31">
        <f>IF(Table6[[#This Row],[instruction]]&lt;&gt;"",MAX($A$6:A163)+1," ")</f>
        <v>159</v>
      </c>
      <c r="B164" s="32" t="s">
        <v>485</v>
      </c>
      <c r="C164" t="s">
        <v>49</v>
      </c>
      <c r="D164" s="31" t="s">
        <v>74</v>
      </c>
      <c r="E164" s="31" t="s">
        <v>51</v>
      </c>
      <c r="F164" s="31" t="s">
        <v>61</v>
      </c>
      <c r="G164" s="31" t="s">
        <v>442</v>
      </c>
      <c r="H164" s="31" t="s">
        <v>494</v>
      </c>
      <c r="K164" s="2" t="str">
        <f t="shared" si="2"/>
        <v>alu</v>
      </c>
      <c r="L164" cm="1">
        <f t="array" ref="L1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4" t="str">
        <f>IF(OR(ISNUMBER(SEARCH("imad", Table6[[#This Row],[instruction]])), ISNUMBER(SEARCH("ffma", Table6[[#This Row],[instruction]])), ISNUMBER(SEARCH("fmul", Table6[[#This Row],[instruction]]))), "fma", "")</f>
        <v/>
      </c>
      <c r="P1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4" t="str">
        <f>IF(OR(ISNUMBER(SEARCH("s2r", Table6[[#This Row],[instruction]])),ISNUMBER(SEARCH("s2ur", Table6[[#This Row],[instruction]]))), "special", "")</f>
        <v/>
      </c>
      <c r="S164" t="str">
        <f>IF(OR(ISNUMBER(SEARCH("stg", Table6[[#This Row],[instruction]])),ISNUMBER(SEARCH("ldg", Table6[[#This Row],[instruction]]))), "global", "")</f>
        <v/>
      </c>
      <c r="T164" t="str">
        <f>IF(OR(ISNUMBER(SEARCH("sts", Table6[[#This Row],[instruction]])),ISNUMBER(SEARCH("lds", Table6[[#This Row],[instruction]]))), "shared", "")</f>
        <v/>
      </c>
      <c r="U164" t="str">
        <f>IF(OR(ISNUMBER(SEARCH("LDC", Table6[[#This Row],[instruction]]))), "ind. const", "")</f>
        <v/>
      </c>
      <c r="V1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Row],[s5]]))),U164=""), "cmb. const", "")</f>
        <v>cmb. const</v>
      </c>
      <c r="W164" s="2" t="s">
        <v>481</v>
      </c>
      <c r="Y164">
        <f>IF(Table6[[#This Row],[pipeline]]="fma",Table6[[#This Row],[delay]],0)</f>
        <v>0</v>
      </c>
      <c r="Z164">
        <f>IF(AND(Table6[[#This Row],[pipeline]]="fma",W164="new"),290,0)</f>
        <v>0</v>
      </c>
      <c r="AK164" s="34"/>
    </row>
    <row r="165" spans="1:37" ht="17" x14ac:dyDescent="0.2">
      <c r="A165" s="31">
        <f>IF(Table6[[#This Row],[instruction]]&lt;&gt;"",MAX($A$6:A164)+1," ")</f>
        <v>160</v>
      </c>
      <c r="B165" s="32" t="s">
        <v>485</v>
      </c>
      <c r="C165" t="s">
        <v>49</v>
      </c>
      <c r="D165" s="31" t="s">
        <v>533</v>
      </c>
      <c r="E165" s="31" t="s">
        <v>51</v>
      </c>
      <c r="F165" s="31" t="s">
        <v>84</v>
      </c>
      <c r="G165" s="31" t="s">
        <v>442</v>
      </c>
      <c r="H165" s="31" t="s">
        <v>494</v>
      </c>
      <c r="K165" s="2" t="str">
        <f t="shared" si="2"/>
        <v>alu</v>
      </c>
      <c r="L165" cm="1">
        <f t="array" ref="L1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5" t="str">
        <f>IF(OR(ISNUMBER(SEARCH("imad", Table6[[#This Row],[instruction]])), ISNUMBER(SEARCH("ffma", Table6[[#This Row],[instruction]])), ISNUMBER(SEARCH("fmul", Table6[[#This Row],[instruction]]))), "fma", "")</f>
        <v/>
      </c>
      <c r="P1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5" t="str">
        <f>IF(OR(ISNUMBER(SEARCH("s2r", Table6[[#This Row],[instruction]])),ISNUMBER(SEARCH("s2ur", Table6[[#This Row],[instruction]]))), "special", "")</f>
        <v/>
      </c>
      <c r="S165" t="str">
        <f>IF(OR(ISNUMBER(SEARCH("stg", Table6[[#This Row],[instruction]])),ISNUMBER(SEARCH("ldg", Table6[[#This Row],[instruction]]))), "global", "")</f>
        <v/>
      </c>
      <c r="T165" t="str">
        <f>IF(OR(ISNUMBER(SEARCH("sts", Table6[[#This Row],[instruction]])),ISNUMBER(SEARCH("lds", Table6[[#This Row],[instruction]]))), "shared", "")</f>
        <v/>
      </c>
      <c r="U165" t="str">
        <f>IF(OR(ISNUMBER(SEARCH("LDC", Table6[[#This Row],[instruction]]))), "ind. const", "")</f>
        <v/>
      </c>
      <c r="V1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Row],[s5]]))),U165=""), "cmb. const", "")</f>
        <v>cmb. const</v>
      </c>
      <c r="W165" s="2" t="s">
        <v>481</v>
      </c>
      <c r="Y165">
        <f>IF(Table6[[#This Row],[pipeline]]="fma",Table6[[#This Row],[delay]],0)</f>
        <v>0</v>
      </c>
      <c r="Z165">
        <f>IF(AND(Table6[[#This Row],[pipeline]]="fma",W165="new"),290,0)</f>
        <v>0</v>
      </c>
      <c r="AK165" s="34"/>
    </row>
    <row r="166" spans="1:37" ht="17" x14ac:dyDescent="0.2">
      <c r="A166" s="31">
        <f>IF(Table6[[#This Row],[instruction]]&lt;&gt;"",MAX($A$6:A165)+1," ")</f>
        <v>161</v>
      </c>
      <c r="B166" s="32" t="s">
        <v>485</v>
      </c>
      <c r="C166" t="s">
        <v>49</v>
      </c>
      <c r="D166" s="31" t="s">
        <v>531</v>
      </c>
      <c r="E166" s="31" t="s">
        <v>51</v>
      </c>
      <c r="F166" s="31" t="s">
        <v>58</v>
      </c>
      <c r="G166" s="31" t="s">
        <v>442</v>
      </c>
      <c r="H166" s="31" t="s">
        <v>494</v>
      </c>
      <c r="K166" s="2" t="str">
        <f t="shared" si="2"/>
        <v>alu</v>
      </c>
      <c r="L166" cm="1">
        <f t="array" ref="L1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6" t="str">
        <f>IF(OR(ISNUMBER(SEARCH("imad", Table6[[#This Row],[instruction]])), ISNUMBER(SEARCH("ffma", Table6[[#This Row],[instruction]])), ISNUMBER(SEARCH("fmul", Table6[[#This Row],[instruction]]))), "fma", "")</f>
        <v/>
      </c>
      <c r="P1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6" t="str">
        <f>IF(OR(ISNUMBER(SEARCH("s2r", Table6[[#This Row],[instruction]])),ISNUMBER(SEARCH("s2ur", Table6[[#This Row],[instruction]]))), "special", "")</f>
        <v/>
      </c>
      <c r="S166" t="str">
        <f>IF(OR(ISNUMBER(SEARCH("stg", Table6[[#This Row],[instruction]])),ISNUMBER(SEARCH("ldg", Table6[[#This Row],[instruction]]))), "global", "")</f>
        <v/>
      </c>
      <c r="T166" t="str">
        <f>IF(OR(ISNUMBER(SEARCH("sts", Table6[[#This Row],[instruction]])),ISNUMBER(SEARCH("lds", Table6[[#This Row],[instruction]]))), "shared", "")</f>
        <v/>
      </c>
      <c r="U166" t="str">
        <f>IF(OR(ISNUMBER(SEARCH("LDC", Table6[[#This Row],[instruction]]))), "ind. const", "")</f>
        <v/>
      </c>
      <c r="V1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Row],[s5]]))),U166=""), "cmb. const", "")</f>
        <v>cmb. const</v>
      </c>
      <c r="W166" s="2" t="s">
        <v>481</v>
      </c>
      <c r="Y166">
        <f>IF(Table6[[#This Row],[pipeline]]="fma",Table6[[#This Row],[delay]],0)</f>
        <v>0</v>
      </c>
      <c r="Z166">
        <f>IF(AND(Table6[[#This Row],[pipeline]]="fma",W166="new"),290,0)</f>
        <v>0</v>
      </c>
      <c r="AK166" s="34"/>
    </row>
    <row r="167" spans="1:37" ht="17" x14ac:dyDescent="0.2">
      <c r="A167" s="31">
        <f>IF(Table6[[#This Row],[instruction]]&lt;&gt;"",MAX($A$6:A166)+1," ")</f>
        <v>162</v>
      </c>
      <c r="B167" s="32" t="s">
        <v>485</v>
      </c>
      <c r="C167" t="s">
        <v>0</v>
      </c>
      <c r="D167" s="31" t="s">
        <v>573</v>
      </c>
      <c r="E167" s="31" t="s">
        <v>502</v>
      </c>
      <c r="K167" s="2" t="s">
        <v>95</v>
      </c>
      <c r="L167">
        <v>1</v>
      </c>
      <c r="O167" t="str">
        <f>IF(OR(ISNUMBER(SEARCH("imad", Table6[[#This Row],[instruction]])), ISNUMBER(SEARCH("ffma", Table6[[#This Row],[instruction]])), ISNUMBER(SEARCH("fmul", Table6[[#This Row],[instruction]]))), "fma", "")</f>
        <v/>
      </c>
      <c r="P1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7" t="str">
        <f>IF(OR(ISNUMBER(SEARCH("s2r", Table6[[#This Row],[instruction]])),ISNUMBER(SEARCH("s2ur", Table6[[#This Row],[instruction]]))), "special", "")</f>
        <v/>
      </c>
      <c r="S167" t="str">
        <f>IF(OR(ISNUMBER(SEARCH("stg", Table6[[#This Row],[instruction]])),ISNUMBER(SEARCH("ldg", Table6[[#This Row],[instruction]]))), "global", "")</f>
        <v/>
      </c>
      <c r="T167" t="str">
        <f>IF(OR(ISNUMBER(SEARCH("sts", Table6[[#This Row],[instruction]])),ISNUMBER(SEARCH("lds", Table6[[#This Row],[instruction]]))), "shared", "")</f>
        <v/>
      </c>
      <c r="U167" t="str">
        <f>IF(OR(ISNUMBER(SEARCH("LDC", Table6[[#This Row],[instruction]]))), "ind. const", "")</f>
        <v/>
      </c>
      <c r="V1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Row],[s5]]))),U167=""), "cmb. const", "")</f>
        <v/>
      </c>
      <c r="Y167">
        <f>IF(Table6[[#This Row],[pipeline]]="fma",Table6[[#This Row],[delay]],0)</f>
        <v>0</v>
      </c>
      <c r="Z167">
        <f>IF(AND(Table6[[#This Row],[pipeline]]="fma",W167="new"),290,0)</f>
        <v>0</v>
      </c>
      <c r="AK167" s="34"/>
    </row>
    <row r="168" spans="1:37" ht="17" x14ac:dyDescent="0.2">
      <c r="A168" s="31">
        <f>IF(Table6[[#This Row],[instruction]]&lt;&gt;"",MAX($A$6:A167)+1," ")</f>
        <v>163</v>
      </c>
      <c r="B168" s="32" t="s">
        <v>580</v>
      </c>
      <c r="C168" t="s">
        <v>45</v>
      </c>
      <c r="D168" s="31" t="s">
        <v>84</v>
      </c>
      <c r="E168" s="31" t="s">
        <v>8</v>
      </c>
      <c r="F168" s="31" t="s">
        <v>8</v>
      </c>
      <c r="G168" s="31" t="s">
        <v>548</v>
      </c>
      <c r="K168" s="2" t="str">
        <f t="shared" si="2"/>
        <v>fma</v>
      </c>
      <c r="L168" cm="1">
        <f t="array" ref="L1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68" t="str">
        <f>IF(OR(ISNUMBER(SEARCH("imad", Table6[[#This Row],[instruction]])), ISNUMBER(SEARCH("ffma", Table6[[#This Row],[instruction]])), ISNUMBER(SEARCH("fmul", Table6[[#This Row],[instruction]]))), "fma", "")</f>
        <v>fma</v>
      </c>
      <c r="P1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8" t="str">
        <f>IF(OR(ISNUMBER(SEARCH("s2r", Table6[[#This Row],[instruction]])),ISNUMBER(SEARCH("s2ur", Table6[[#This Row],[instruction]]))), "special", "")</f>
        <v/>
      </c>
      <c r="S168" t="str">
        <f>IF(OR(ISNUMBER(SEARCH("stg", Table6[[#This Row],[instruction]])),ISNUMBER(SEARCH("ldg", Table6[[#This Row],[instruction]]))), "global", "")</f>
        <v/>
      </c>
      <c r="T168" t="str">
        <f>IF(OR(ISNUMBER(SEARCH("sts", Table6[[#This Row],[instruction]])),ISNUMBER(SEARCH("lds", Table6[[#This Row],[instruction]]))), "shared", "")</f>
        <v/>
      </c>
      <c r="U168" t="str">
        <f>IF(OR(ISNUMBER(SEARCH("LDC", Table6[[#This Row],[instruction]]))), "ind. const", "")</f>
        <v/>
      </c>
      <c r="V1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Row],[s5]]))),U168=""), "cmb. const", "")</f>
        <v/>
      </c>
      <c r="Y168">
        <f>IF(Table6[[#This Row],[pipeline]]="fma",Table6[[#This Row],[delay]],0)</f>
        <v>4</v>
      </c>
      <c r="Z168">
        <f>IF(AND(Table6[[#This Row],[pipeline]]="fma",W168="new"),290,0)</f>
        <v>0</v>
      </c>
      <c r="AK168" s="34"/>
    </row>
    <row r="169" spans="1:37" ht="17" x14ac:dyDescent="0.2">
      <c r="A169" s="31">
        <f>IF(Table6[[#This Row],[instruction]]&lt;&gt;"",MAX($A$6:A168)+1," ")</f>
        <v>164</v>
      </c>
      <c r="B169" s="32" t="s">
        <v>485</v>
      </c>
      <c r="C169" t="s">
        <v>0</v>
      </c>
      <c r="D169" s="31" t="s">
        <v>569</v>
      </c>
      <c r="E169" s="31" t="s">
        <v>502</v>
      </c>
      <c r="K169" s="2" t="s">
        <v>95</v>
      </c>
      <c r="L169">
        <v>1</v>
      </c>
      <c r="O169" t="str">
        <f>IF(OR(ISNUMBER(SEARCH("imad", Table6[[#This Row],[instruction]])), ISNUMBER(SEARCH("ffma", Table6[[#This Row],[instruction]])), ISNUMBER(SEARCH("fmul", Table6[[#This Row],[instruction]]))), "fma", "")</f>
        <v/>
      </c>
      <c r="P1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69" t="str">
        <f>IF(OR(ISNUMBER(SEARCH("s2r", Table6[[#This Row],[instruction]])),ISNUMBER(SEARCH("s2ur", Table6[[#This Row],[instruction]]))), "special", "")</f>
        <v/>
      </c>
      <c r="S169" t="str">
        <f>IF(OR(ISNUMBER(SEARCH("stg", Table6[[#This Row],[instruction]])),ISNUMBER(SEARCH("ldg", Table6[[#This Row],[instruction]]))), "global", "")</f>
        <v/>
      </c>
      <c r="T169" t="str">
        <f>IF(OR(ISNUMBER(SEARCH("sts", Table6[[#This Row],[instruction]])),ISNUMBER(SEARCH("lds", Table6[[#This Row],[instruction]]))), "shared", "")</f>
        <v/>
      </c>
      <c r="U169" t="str">
        <f>IF(OR(ISNUMBER(SEARCH("LDC", Table6[[#This Row],[instruction]]))), "ind. const", "")</f>
        <v/>
      </c>
      <c r="V1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Row],[s5]]))),U169=""), "cmb. const", "")</f>
        <v/>
      </c>
      <c r="Y169">
        <f>IF(Table6[[#This Row],[pipeline]]="fma",Table6[[#This Row],[delay]],0)</f>
        <v>0</v>
      </c>
      <c r="Z169">
        <f>IF(AND(Table6[[#This Row],[pipeline]]="fma",W169="new"),290,0)</f>
        <v>0</v>
      </c>
      <c r="AK169" s="34"/>
    </row>
    <row r="170" spans="1:37" ht="17" x14ac:dyDescent="0.2">
      <c r="A170" s="31">
        <f>IF(Table6[[#This Row],[instruction]]&lt;&gt;"",MAX($A$6:A169)+1," ")</f>
        <v>165</v>
      </c>
      <c r="B170" s="32" t="s">
        <v>580</v>
      </c>
      <c r="C170" t="s">
        <v>54</v>
      </c>
      <c r="D170" s="31" t="s">
        <v>84</v>
      </c>
      <c r="E170" s="31" t="s">
        <v>577</v>
      </c>
      <c r="F170" s="31" t="s">
        <v>84</v>
      </c>
      <c r="G170" s="31" t="s">
        <v>581</v>
      </c>
      <c r="K170" s="2" t="str">
        <f t="shared" si="2"/>
        <v>fma</v>
      </c>
      <c r="L170" cm="1">
        <f t="array" ref="L1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70" t="str">
        <f>IF(OR(ISNUMBER(SEARCH("imad", Table6[[#This Row],[instruction]])), ISNUMBER(SEARCH("ffma", Table6[[#This Row],[instruction]])), ISNUMBER(SEARCH("fmul", Table6[[#This Row],[instruction]]))), "fma", "")</f>
        <v>fma</v>
      </c>
      <c r="P1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0" t="str">
        <f>IF(OR(ISNUMBER(SEARCH("s2r", Table6[[#This Row],[instruction]])),ISNUMBER(SEARCH("s2ur", Table6[[#This Row],[instruction]]))), "special", "")</f>
        <v/>
      </c>
      <c r="S170" t="str">
        <f>IF(OR(ISNUMBER(SEARCH("stg", Table6[[#This Row],[instruction]])),ISNUMBER(SEARCH("ldg", Table6[[#This Row],[instruction]]))), "global", "")</f>
        <v/>
      </c>
      <c r="T170" t="str">
        <f>IF(OR(ISNUMBER(SEARCH("sts", Table6[[#This Row],[instruction]])),ISNUMBER(SEARCH("lds", Table6[[#This Row],[instruction]]))), "shared", "")</f>
        <v/>
      </c>
      <c r="U170" t="str">
        <f>IF(OR(ISNUMBER(SEARCH("LDC", Table6[[#This Row],[instruction]]))), "ind. const", "")</f>
        <v/>
      </c>
      <c r="V1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Row],[s5]]))),U170=""), "cmb. const", "")</f>
        <v>cmb. const</v>
      </c>
      <c r="W170" s="2" t="s">
        <v>482</v>
      </c>
      <c r="Y170">
        <f>IF(Table6[[#This Row],[pipeline]]="fma",Table6[[#This Row],[delay]],0)</f>
        <v>4</v>
      </c>
      <c r="Z170">
        <f>IF(AND(Table6[[#This Row],[pipeline]]="fma",W170="new"),290,0)</f>
        <v>290</v>
      </c>
      <c r="AK170" s="34"/>
    </row>
    <row r="171" spans="1:37" ht="17" x14ac:dyDescent="0.2">
      <c r="A171" s="31">
        <f>IF(Table6[[#This Row],[instruction]]&lt;&gt;"",MAX($A$6:A170)+1," ")</f>
        <v>166</v>
      </c>
      <c r="B171" s="32" t="s">
        <v>582</v>
      </c>
      <c r="C171" t="s">
        <v>0</v>
      </c>
      <c r="D171" s="31" t="s">
        <v>440</v>
      </c>
      <c r="E171" s="31" t="s">
        <v>583</v>
      </c>
      <c r="K171" s="2" t="s">
        <v>95</v>
      </c>
      <c r="L171">
        <v>0</v>
      </c>
      <c r="O171" t="str">
        <f>IF(OR(ISNUMBER(SEARCH("imad", Table6[[#This Row],[instruction]])), ISNUMBER(SEARCH("ffma", Table6[[#This Row],[instruction]])), ISNUMBER(SEARCH("fmul", Table6[[#This Row],[instruction]]))), "fma", "")</f>
        <v/>
      </c>
      <c r="P1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1" t="str">
        <f>IF(OR(ISNUMBER(SEARCH("s2r", Table6[[#This Row],[instruction]])),ISNUMBER(SEARCH("s2ur", Table6[[#This Row],[instruction]]))), "special", "")</f>
        <v/>
      </c>
      <c r="S171" t="str">
        <f>IF(OR(ISNUMBER(SEARCH("stg", Table6[[#This Row],[instruction]])),ISNUMBER(SEARCH("ldg", Table6[[#This Row],[instruction]]))), "global", "")</f>
        <v/>
      </c>
      <c r="T171" t="str">
        <f>IF(OR(ISNUMBER(SEARCH("sts", Table6[[#This Row],[instruction]])),ISNUMBER(SEARCH("lds", Table6[[#This Row],[instruction]]))), "shared", "")</f>
        <v/>
      </c>
      <c r="U171" t="str">
        <f>IF(OR(ISNUMBER(SEARCH("LDC", Table6[[#This Row],[instruction]]))), "ind. const", "")</f>
        <v/>
      </c>
      <c r="V1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Row],[s5]]))),U171=""), "cmb. const", "")</f>
        <v>cmb. const</v>
      </c>
      <c r="W171" s="2" t="s">
        <v>481</v>
      </c>
      <c r="Y171">
        <f>IF(Table6[[#This Row],[pipeline]]="fma",Table6[[#This Row],[delay]],0)</f>
        <v>0</v>
      </c>
      <c r="Z171">
        <f>IF(AND(Table6[[#This Row],[pipeline]]="fma",W171="new"),290,0)</f>
        <v>0</v>
      </c>
      <c r="AK171" s="34"/>
    </row>
    <row r="172" spans="1:37" ht="17" x14ac:dyDescent="0.2">
      <c r="A172" s="31">
        <f>IF(Table6[[#This Row],[instruction]]&lt;&gt;"",MAX($A$6:A171)+1," ")</f>
        <v>167</v>
      </c>
      <c r="B172" s="32" t="s">
        <v>584</v>
      </c>
      <c r="C172" t="s">
        <v>0</v>
      </c>
      <c r="D172" s="31" t="s">
        <v>439</v>
      </c>
      <c r="E172" s="31" t="s">
        <v>583</v>
      </c>
      <c r="K172" s="2" t="s">
        <v>95</v>
      </c>
      <c r="L172" cm="1">
        <f t="array" ref="L1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72" t="str">
        <f>IF(OR(ISNUMBER(SEARCH("imad", Table6[[#This Row],[instruction]])), ISNUMBER(SEARCH("ffma", Table6[[#This Row],[instruction]])), ISNUMBER(SEARCH("fmul", Table6[[#This Row],[instruction]]))), "fma", "")</f>
        <v/>
      </c>
      <c r="P1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2" t="str">
        <f>IF(OR(ISNUMBER(SEARCH("s2r", Table6[[#This Row],[instruction]])),ISNUMBER(SEARCH("s2ur", Table6[[#This Row],[instruction]]))), "special", "")</f>
        <v/>
      </c>
      <c r="S172" t="str">
        <f>IF(OR(ISNUMBER(SEARCH("stg", Table6[[#This Row],[instruction]])),ISNUMBER(SEARCH("ldg", Table6[[#This Row],[instruction]]))), "global", "")</f>
        <v/>
      </c>
      <c r="T172" t="str">
        <f>IF(OR(ISNUMBER(SEARCH("sts", Table6[[#This Row],[instruction]])),ISNUMBER(SEARCH("lds", Table6[[#This Row],[instruction]]))), "shared", "")</f>
        <v/>
      </c>
      <c r="U172" t="str">
        <f>IF(OR(ISNUMBER(SEARCH("LDC", Table6[[#This Row],[instruction]]))), "ind. const", "")</f>
        <v/>
      </c>
      <c r="V1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Row],[s5]]))),U172=""), "cmb. const", "")</f>
        <v>cmb. const</v>
      </c>
      <c r="W172" s="2" t="s">
        <v>481</v>
      </c>
      <c r="Y172">
        <f>IF(Table6[[#This Row],[pipeline]]="fma",Table6[[#This Row],[delay]],0)</f>
        <v>0</v>
      </c>
      <c r="Z172">
        <f>IF(AND(Table6[[#This Row],[pipeline]]="fma",W172="new"),290,0)</f>
        <v>0</v>
      </c>
      <c r="AK172" s="34"/>
    </row>
    <row r="173" spans="1:37" ht="17" x14ac:dyDescent="0.2">
      <c r="A173" s="31">
        <f>IF(Table6[[#This Row],[instruction]]&lt;&gt;"",MAX($A$6:A172)+1," ")</f>
        <v>168</v>
      </c>
      <c r="B173" s="32" t="s">
        <v>582</v>
      </c>
      <c r="C173" t="s">
        <v>45</v>
      </c>
      <c r="D173" s="31" t="s">
        <v>436</v>
      </c>
      <c r="E173" s="31" t="s">
        <v>8</v>
      </c>
      <c r="F173" s="31" t="s">
        <v>8</v>
      </c>
      <c r="G173" s="31" t="s">
        <v>548</v>
      </c>
      <c r="K173" s="2" t="str">
        <f t="shared" si="2"/>
        <v>fma</v>
      </c>
      <c r="L173" cm="1">
        <f t="array" ref="L1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73" t="str">
        <f>IF(OR(ISNUMBER(SEARCH("imad", Table6[[#This Row],[instruction]])), ISNUMBER(SEARCH("ffma", Table6[[#This Row],[instruction]])), ISNUMBER(SEARCH("fmul", Table6[[#This Row],[instruction]]))), "fma", "")</f>
        <v>fma</v>
      </c>
      <c r="P1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3" t="str">
        <f>IF(OR(ISNUMBER(SEARCH("s2r", Table6[[#This Row],[instruction]])),ISNUMBER(SEARCH("s2ur", Table6[[#This Row],[instruction]]))), "special", "")</f>
        <v/>
      </c>
      <c r="S173" t="str">
        <f>IF(OR(ISNUMBER(SEARCH("stg", Table6[[#This Row],[instruction]])),ISNUMBER(SEARCH("ldg", Table6[[#This Row],[instruction]]))), "global", "")</f>
        <v/>
      </c>
      <c r="T173" t="str">
        <f>IF(OR(ISNUMBER(SEARCH("sts", Table6[[#This Row],[instruction]])),ISNUMBER(SEARCH("lds", Table6[[#This Row],[instruction]]))), "shared", "")</f>
        <v/>
      </c>
      <c r="U173" t="str">
        <f>IF(OR(ISNUMBER(SEARCH("LDC", Table6[[#This Row],[instruction]]))), "ind. const", "")</f>
        <v/>
      </c>
      <c r="V1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Row],[s5]]))),U173=""), "cmb. const", "")</f>
        <v/>
      </c>
      <c r="Y173">
        <f>IF(Table6[[#This Row],[pipeline]]="fma",Table6[[#This Row],[delay]],0)</f>
        <v>4</v>
      </c>
      <c r="Z173">
        <f>IF(AND(Table6[[#This Row],[pipeline]]="fma",W173="new"),290,0)</f>
        <v>0</v>
      </c>
      <c r="AK173" s="34"/>
    </row>
    <row r="174" spans="1:37" ht="17" x14ac:dyDescent="0.2">
      <c r="A174" s="31">
        <f>IF(Table6[[#This Row],[instruction]]&lt;&gt;"",MAX($A$6:A173)+1," ")</f>
        <v>169</v>
      </c>
      <c r="B174" s="32" t="s">
        <v>584</v>
      </c>
      <c r="C174" t="s">
        <v>0</v>
      </c>
      <c r="D174" s="31" t="s">
        <v>447</v>
      </c>
      <c r="E174" s="31" t="s">
        <v>548</v>
      </c>
      <c r="K174" s="2" t="s">
        <v>95</v>
      </c>
      <c r="L174">
        <v>1</v>
      </c>
      <c r="O174" t="str">
        <f>IF(OR(ISNUMBER(SEARCH("imad", Table6[[#This Row],[instruction]])), ISNUMBER(SEARCH("ffma", Table6[[#This Row],[instruction]])), ISNUMBER(SEARCH("fmul", Table6[[#This Row],[instruction]]))), "fma", "")</f>
        <v/>
      </c>
      <c r="P1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4" t="str">
        <f>IF(OR(ISNUMBER(SEARCH("s2r", Table6[[#This Row],[instruction]])),ISNUMBER(SEARCH("s2ur", Table6[[#This Row],[instruction]]))), "special", "")</f>
        <v/>
      </c>
      <c r="S174" t="str">
        <f>IF(OR(ISNUMBER(SEARCH("stg", Table6[[#This Row],[instruction]])),ISNUMBER(SEARCH("ldg", Table6[[#This Row],[instruction]]))), "global", "")</f>
        <v/>
      </c>
      <c r="T174" t="str">
        <f>IF(OR(ISNUMBER(SEARCH("sts", Table6[[#This Row],[instruction]])),ISNUMBER(SEARCH("lds", Table6[[#This Row],[instruction]]))), "shared", "")</f>
        <v/>
      </c>
      <c r="U174" t="str">
        <f>IF(OR(ISNUMBER(SEARCH("LDC", Table6[[#This Row],[instruction]]))), "ind. const", "")</f>
        <v/>
      </c>
      <c r="V1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Row],[s5]]))),U174=""), "cmb. const", "")</f>
        <v/>
      </c>
      <c r="Y174">
        <f>IF(Table6[[#This Row],[pipeline]]="fma",Table6[[#This Row],[delay]],0)</f>
        <v>0</v>
      </c>
      <c r="Z174">
        <f>IF(AND(Table6[[#This Row],[pipeline]]="fma",W174="new"),290,0)</f>
        <v>0</v>
      </c>
      <c r="AK174" s="34"/>
    </row>
    <row r="175" spans="1:37" ht="17" x14ac:dyDescent="0.2">
      <c r="A175" s="31">
        <f>IF(Table6[[#This Row],[instruction]]&lt;&gt;"",MAX($A$6:A174)+1," ")</f>
        <v>170</v>
      </c>
      <c r="B175" s="32" t="s">
        <v>585</v>
      </c>
      <c r="C175" t="s">
        <v>45</v>
      </c>
      <c r="D175" s="31" t="s">
        <v>80</v>
      </c>
      <c r="E175" s="31" t="s">
        <v>8</v>
      </c>
      <c r="F175" s="31" t="s">
        <v>8</v>
      </c>
      <c r="G175" s="31" t="s">
        <v>583</v>
      </c>
      <c r="K175" s="2" t="str">
        <f t="shared" si="2"/>
        <v>fma</v>
      </c>
      <c r="L175" cm="1">
        <f t="array" ref="L1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75" t="str">
        <f>IF(OR(ISNUMBER(SEARCH("imad", Table6[[#This Row],[instruction]])), ISNUMBER(SEARCH("ffma", Table6[[#This Row],[instruction]])), ISNUMBER(SEARCH("fmul", Table6[[#This Row],[instruction]]))), "fma", "")</f>
        <v>fma</v>
      </c>
      <c r="P1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5" t="str">
        <f>IF(OR(ISNUMBER(SEARCH("s2r", Table6[[#This Row],[instruction]])),ISNUMBER(SEARCH("s2ur", Table6[[#This Row],[instruction]]))), "special", "")</f>
        <v/>
      </c>
      <c r="S175" t="str">
        <f>IF(OR(ISNUMBER(SEARCH("stg", Table6[[#This Row],[instruction]])),ISNUMBER(SEARCH("ldg", Table6[[#This Row],[instruction]]))), "global", "")</f>
        <v/>
      </c>
      <c r="T175" t="str">
        <f>IF(OR(ISNUMBER(SEARCH("sts", Table6[[#This Row],[instruction]])),ISNUMBER(SEARCH("lds", Table6[[#This Row],[instruction]]))), "shared", "")</f>
        <v/>
      </c>
      <c r="U175" t="str">
        <f>IF(OR(ISNUMBER(SEARCH("LDC", Table6[[#This Row],[instruction]]))), "ind. const", "")</f>
        <v/>
      </c>
      <c r="V1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Row],[s5]]))),U175=""), "cmb. const", "")</f>
        <v>cmb. const</v>
      </c>
      <c r="W175" s="2" t="s">
        <v>481</v>
      </c>
      <c r="Y175">
        <f>IF(Table6[[#This Row],[pipeline]]="fma",Table6[[#This Row],[delay]],0)</f>
        <v>4</v>
      </c>
      <c r="Z175">
        <f>IF(AND(Table6[[#This Row],[pipeline]]="fma",W175="new"),290,0)</f>
        <v>0</v>
      </c>
      <c r="AK175" s="34"/>
    </row>
    <row r="176" spans="1:37" ht="17" x14ac:dyDescent="0.2">
      <c r="A176" s="31">
        <f>IF(Table6[[#This Row],[instruction]]&lt;&gt;"",MAX($A$6:A175)+1," ")</f>
        <v>171</v>
      </c>
      <c r="B176" s="32" t="s">
        <v>584</v>
      </c>
      <c r="C176" t="s">
        <v>200</v>
      </c>
      <c r="D176" s="31" t="s">
        <v>439</v>
      </c>
      <c r="E176" s="31" t="s">
        <v>439</v>
      </c>
      <c r="F176" s="31" t="s">
        <v>577</v>
      </c>
      <c r="G176" s="31" t="s">
        <v>548</v>
      </c>
      <c r="K176" s="2" t="str">
        <f t="shared" si="2"/>
        <v>alu</v>
      </c>
      <c r="L176" cm="1">
        <f t="array" ref="L1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176" t="str">
        <f>IF(OR(ISNUMBER(SEARCH("imad", Table6[[#This Row],[instruction]])), ISNUMBER(SEARCH("ffma", Table6[[#This Row],[instruction]])), ISNUMBER(SEARCH("fmul", Table6[[#This Row],[instruction]]))), "fma", "")</f>
        <v/>
      </c>
      <c r="P1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6" t="str">
        <f>IF(OR(ISNUMBER(SEARCH("s2r", Table6[[#This Row],[instruction]])),ISNUMBER(SEARCH("s2ur", Table6[[#This Row],[instruction]]))), "special", "")</f>
        <v/>
      </c>
      <c r="S176" t="str">
        <f>IF(OR(ISNUMBER(SEARCH("stg", Table6[[#This Row],[instruction]])),ISNUMBER(SEARCH("ldg", Table6[[#This Row],[instruction]]))), "global", "")</f>
        <v/>
      </c>
      <c r="T176" t="str">
        <f>IF(OR(ISNUMBER(SEARCH("sts", Table6[[#This Row],[instruction]])),ISNUMBER(SEARCH("lds", Table6[[#This Row],[instruction]]))), "shared", "")</f>
        <v/>
      </c>
      <c r="U176" t="str">
        <f>IF(OR(ISNUMBER(SEARCH("LDC", Table6[[#This Row],[instruction]]))), "ind. const", "")</f>
        <v/>
      </c>
      <c r="V1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Row],[s5]]))),U176=""), "cmb. const", "")</f>
        <v/>
      </c>
      <c r="Y176">
        <f>IF(Table6[[#This Row],[pipeline]]="fma",Table6[[#This Row],[delay]],0)</f>
        <v>0</v>
      </c>
      <c r="Z176">
        <f>IF(AND(Table6[[#This Row],[pipeline]]="fma",W176="new"),290,0)</f>
        <v>0</v>
      </c>
      <c r="AK176" s="34"/>
    </row>
    <row r="177" spans="1:37" ht="17" x14ac:dyDescent="0.2">
      <c r="A177" s="31">
        <f>IF(Table6[[#This Row],[instruction]]&lt;&gt;"",MAX($A$6:A176)+1," ")</f>
        <v>172</v>
      </c>
      <c r="B177" s="32" t="s">
        <v>582</v>
      </c>
      <c r="C177" t="s">
        <v>14</v>
      </c>
      <c r="D177" s="31" t="s">
        <v>440</v>
      </c>
      <c r="E177" s="31" t="s">
        <v>440</v>
      </c>
      <c r="F177" s="31" t="s">
        <v>526</v>
      </c>
      <c r="G177" s="31" t="s">
        <v>586</v>
      </c>
      <c r="K177" s="2" t="str">
        <f t="shared" si="2"/>
        <v>fma</v>
      </c>
      <c r="L177" cm="1">
        <f t="array" ref="L1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77" t="str">
        <f>IF(OR(ISNUMBER(SEARCH("imad", Table6[[#This Row],[instruction]])), ISNUMBER(SEARCH("ffma", Table6[[#This Row],[instruction]])), ISNUMBER(SEARCH("fmul", Table6[[#This Row],[instruction]]))), "fma", "")</f>
        <v>fma</v>
      </c>
      <c r="P1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7" t="str">
        <f>IF(OR(ISNUMBER(SEARCH("s2r", Table6[[#This Row],[instruction]])),ISNUMBER(SEARCH("s2ur", Table6[[#This Row],[instruction]]))), "special", "")</f>
        <v/>
      </c>
      <c r="S177" t="str">
        <f>IF(OR(ISNUMBER(SEARCH("stg", Table6[[#This Row],[instruction]])),ISNUMBER(SEARCH("ldg", Table6[[#This Row],[instruction]]))), "global", "")</f>
        <v/>
      </c>
      <c r="T177" t="str">
        <f>IF(OR(ISNUMBER(SEARCH("sts", Table6[[#This Row],[instruction]])),ISNUMBER(SEARCH("lds", Table6[[#This Row],[instruction]]))), "shared", "")</f>
        <v/>
      </c>
      <c r="U177" t="str">
        <f>IF(OR(ISNUMBER(SEARCH("LDC", Table6[[#This Row],[instruction]]))), "ind. const", "")</f>
        <v/>
      </c>
      <c r="V1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Row],[s5]]))),U177=""), "cmb. const", "")</f>
        <v/>
      </c>
      <c r="Y177">
        <f>IF(Table6[[#This Row],[pipeline]]="fma",Table6[[#This Row],[delay]],0)</f>
        <v>4</v>
      </c>
      <c r="Z177">
        <f>IF(AND(Table6[[#This Row],[pipeline]]="fma",W177="new"),290,0)</f>
        <v>0</v>
      </c>
      <c r="AK177" s="34"/>
    </row>
    <row r="178" spans="1:37" ht="17" x14ac:dyDescent="0.2">
      <c r="A178" s="31">
        <f>IF(Table6[[#This Row],[instruction]]&lt;&gt;"",MAX($A$6:A177)+1," ")</f>
        <v>173</v>
      </c>
      <c r="B178" s="32" t="s">
        <v>580</v>
      </c>
      <c r="C178" t="s">
        <v>444</v>
      </c>
      <c r="D178" s="31" t="s">
        <v>569</v>
      </c>
      <c r="E178" s="31" t="s">
        <v>587</v>
      </c>
      <c r="K178" s="2" t="str">
        <f t="shared" si="2"/>
        <v>global</v>
      </c>
      <c r="L178" cm="1">
        <f t="array" ref="L1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78" t="s">
        <v>797</v>
      </c>
      <c r="O178" t="str">
        <f>IF(OR(ISNUMBER(SEARCH("imad", Table6[[#This Row],[instruction]])), ISNUMBER(SEARCH("ffma", Table6[[#This Row],[instruction]])), ISNUMBER(SEARCH("fmul", Table6[[#This Row],[instruction]]))), "fma", "")</f>
        <v/>
      </c>
      <c r="P1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8" t="str">
        <f>IF(OR(ISNUMBER(SEARCH("s2r", Table6[[#This Row],[instruction]])),ISNUMBER(SEARCH("s2ur", Table6[[#This Row],[instruction]]))), "special", "")</f>
        <v/>
      </c>
      <c r="S178" t="str">
        <f>IF(OR(ISNUMBER(SEARCH("stg", Table6[[#This Row],[instruction]])),ISNUMBER(SEARCH("ldg", Table6[[#This Row],[instruction]]))), "global", "")</f>
        <v>global</v>
      </c>
      <c r="T178" t="str">
        <f>IF(OR(ISNUMBER(SEARCH("sts", Table6[[#This Row],[instruction]])),ISNUMBER(SEARCH("lds", Table6[[#This Row],[instruction]]))), "shared", "")</f>
        <v/>
      </c>
      <c r="U178" t="str">
        <f>IF(OR(ISNUMBER(SEARCH("LDC", Table6[[#This Row],[instruction]]))), "ind. const", "")</f>
        <v/>
      </c>
      <c r="V1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Row],[s5]]))),U178=""), "cmb. const", "")</f>
        <v/>
      </c>
      <c r="Y178">
        <f>IF(Table6[[#This Row],[pipeline]]="fma",Table6[[#This Row],[delay]],0)</f>
        <v>0</v>
      </c>
      <c r="Z178">
        <f>IF(AND(Table6[[#This Row],[pipeline]]="fma",W178="new"),290,0)</f>
        <v>0</v>
      </c>
      <c r="AK178" s="34"/>
    </row>
    <row r="179" spans="1:37" ht="17" x14ac:dyDescent="0.2">
      <c r="A179" s="31">
        <f>IF(Table6[[#This Row],[instruction]]&lt;&gt;"",MAX($A$6:A178)+1," ")</f>
        <v>174</v>
      </c>
      <c r="B179" s="32" t="s">
        <v>585</v>
      </c>
      <c r="C179" t="s">
        <v>45</v>
      </c>
      <c r="D179" s="31" t="s">
        <v>588</v>
      </c>
      <c r="E179" s="31" t="s">
        <v>8</v>
      </c>
      <c r="F179" s="31" t="s">
        <v>8</v>
      </c>
      <c r="G179" s="31" t="s">
        <v>548</v>
      </c>
      <c r="K179" s="2" t="str">
        <f t="shared" si="2"/>
        <v>fma</v>
      </c>
      <c r="L179" cm="1">
        <f t="array" ref="L1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79" t="str">
        <f>IF(OR(ISNUMBER(SEARCH("imad", Table6[[#This Row],[instruction]])), ISNUMBER(SEARCH("ffma", Table6[[#This Row],[instruction]])), ISNUMBER(SEARCH("fmul", Table6[[#This Row],[instruction]]))), "fma", "")</f>
        <v>fma</v>
      </c>
      <c r="P1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79" t="str">
        <f>IF(OR(ISNUMBER(SEARCH("s2r", Table6[[#This Row],[instruction]])),ISNUMBER(SEARCH("s2ur", Table6[[#This Row],[instruction]]))), "special", "")</f>
        <v/>
      </c>
      <c r="S179" t="str">
        <f>IF(OR(ISNUMBER(SEARCH("stg", Table6[[#This Row],[instruction]])),ISNUMBER(SEARCH("ldg", Table6[[#This Row],[instruction]]))), "global", "")</f>
        <v/>
      </c>
      <c r="T179" t="str">
        <f>IF(OR(ISNUMBER(SEARCH("sts", Table6[[#This Row],[instruction]])),ISNUMBER(SEARCH("lds", Table6[[#This Row],[instruction]]))), "shared", "")</f>
        <v/>
      </c>
      <c r="U179" t="str">
        <f>IF(OR(ISNUMBER(SEARCH("LDC", Table6[[#This Row],[instruction]]))), "ind. const", "")</f>
        <v/>
      </c>
      <c r="V1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Row],[s5]]))),U179=""), "cmb. const", "")</f>
        <v/>
      </c>
      <c r="Y179">
        <f>IF(Table6[[#This Row],[pipeline]]="fma",Table6[[#This Row],[delay]],0)</f>
        <v>4</v>
      </c>
      <c r="Z179">
        <f>IF(AND(Table6[[#This Row],[pipeline]]="fma",W179="new"),290,0)</f>
        <v>0</v>
      </c>
      <c r="AK179" s="34"/>
    </row>
    <row r="180" spans="1:37" ht="17" x14ac:dyDescent="0.2">
      <c r="A180" s="31">
        <f>IF(Table6[[#This Row],[instruction]]&lt;&gt;"",MAX($A$6:A179)+1," ")</f>
        <v>175</v>
      </c>
      <c r="B180" s="32" t="s">
        <v>585</v>
      </c>
      <c r="C180" t="s">
        <v>14</v>
      </c>
      <c r="D180" s="31" t="s">
        <v>80</v>
      </c>
      <c r="E180" s="31" t="s">
        <v>80</v>
      </c>
      <c r="F180" s="31" t="s">
        <v>579</v>
      </c>
      <c r="G180" s="31" t="s">
        <v>586</v>
      </c>
      <c r="K180" s="2" t="str">
        <f t="shared" si="2"/>
        <v>fma</v>
      </c>
      <c r="L180" cm="1">
        <f t="array" ref="L1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80" t="str">
        <f>IF(OR(ISNUMBER(SEARCH("imad", Table6[[#This Row],[instruction]])), ISNUMBER(SEARCH("ffma", Table6[[#This Row],[instruction]])), ISNUMBER(SEARCH("fmul", Table6[[#This Row],[instruction]]))), "fma", "")</f>
        <v>fma</v>
      </c>
      <c r="P1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0" t="str">
        <f>IF(OR(ISNUMBER(SEARCH("s2r", Table6[[#This Row],[instruction]])),ISNUMBER(SEARCH("s2ur", Table6[[#This Row],[instruction]]))), "special", "")</f>
        <v/>
      </c>
      <c r="S180" t="str">
        <f>IF(OR(ISNUMBER(SEARCH("stg", Table6[[#This Row],[instruction]])),ISNUMBER(SEARCH("ldg", Table6[[#This Row],[instruction]]))), "global", "")</f>
        <v/>
      </c>
      <c r="T180" t="str">
        <f>IF(OR(ISNUMBER(SEARCH("sts", Table6[[#This Row],[instruction]])),ISNUMBER(SEARCH("lds", Table6[[#This Row],[instruction]]))), "shared", "")</f>
        <v/>
      </c>
      <c r="U180" t="str">
        <f>IF(OR(ISNUMBER(SEARCH("LDC", Table6[[#This Row],[instruction]]))), "ind. const", "")</f>
        <v/>
      </c>
      <c r="V1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Row],[s5]]))),U180=""), "cmb. const", "")</f>
        <v/>
      </c>
      <c r="Y180">
        <f>IF(Table6[[#This Row],[pipeline]]="fma",Table6[[#This Row],[delay]],0)</f>
        <v>4</v>
      </c>
      <c r="Z180">
        <f>IF(AND(Table6[[#This Row],[pipeline]]="fma",W180="new"),290,0)</f>
        <v>0</v>
      </c>
      <c r="AK180" s="34"/>
    </row>
    <row r="181" spans="1:37" ht="17" x14ac:dyDescent="0.2">
      <c r="A181" s="31">
        <f>IF(Table6[[#This Row],[instruction]]&lt;&gt;"",MAX($A$6:A180)+1," ")</f>
        <v>176</v>
      </c>
      <c r="B181" s="32" t="s">
        <v>582</v>
      </c>
      <c r="C181" t="s">
        <v>54</v>
      </c>
      <c r="D181" s="31" t="s">
        <v>440</v>
      </c>
      <c r="E181" s="31" t="s">
        <v>440</v>
      </c>
      <c r="F181" s="31" t="s">
        <v>436</v>
      </c>
      <c r="G181" s="31" t="s">
        <v>581</v>
      </c>
      <c r="K181" s="2" t="str">
        <f t="shared" si="2"/>
        <v>fma</v>
      </c>
      <c r="L181" cm="1">
        <f t="array" ref="L1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81" t="str">
        <f>IF(OR(ISNUMBER(SEARCH("imad", Table6[[#This Row],[instruction]])), ISNUMBER(SEARCH("ffma", Table6[[#This Row],[instruction]])), ISNUMBER(SEARCH("fmul", Table6[[#This Row],[instruction]]))), "fma", "")</f>
        <v>fma</v>
      </c>
      <c r="P1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1" t="str">
        <f>IF(OR(ISNUMBER(SEARCH("s2r", Table6[[#This Row],[instruction]])),ISNUMBER(SEARCH("s2ur", Table6[[#This Row],[instruction]]))), "special", "")</f>
        <v/>
      </c>
      <c r="S181" t="str">
        <f>IF(OR(ISNUMBER(SEARCH("stg", Table6[[#This Row],[instruction]])),ISNUMBER(SEARCH("ldg", Table6[[#This Row],[instruction]]))), "global", "")</f>
        <v/>
      </c>
      <c r="T181" t="str">
        <f>IF(OR(ISNUMBER(SEARCH("sts", Table6[[#This Row],[instruction]])),ISNUMBER(SEARCH("lds", Table6[[#This Row],[instruction]]))), "shared", "")</f>
        <v/>
      </c>
      <c r="U181" t="str">
        <f>IF(OR(ISNUMBER(SEARCH("LDC", Table6[[#This Row],[instruction]]))), "ind. const", "")</f>
        <v/>
      </c>
      <c r="V1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Row],[s5]]))),U181=""), "cmb. const", "")</f>
        <v>cmb. const</v>
      </c>
      <c r="W181" s="2" t="s">
        <v>481</v>
      </c>
      <c r="Y181">
        <f>IF(Table6[[#This Row],[pipeline]]="fma",Table6[[#This Row],[delay]],0)</f>
        <v>4</v>
      </c>
      <c r="Z181">
        <f>IF(AND(Table6[[#This Row],[pipeline]]="fma",W181="new"),290,0)</f>
        <v>0</v>
      </c>
      <c r="AK181" s="34"/>
    </row>
    <row r="182" spans="1:37" ht="17" x14ac:dyDescent="0.2">
      <c r="A182" s="31">
        <f>IF(Table6[[#This Row],[instruction]]&lt;&gt;"",MAX($A$6:A181)+1," ")</f>
        <v>177</v>
      </c>
      <c r="B182" s="32" t="s">
        <v>584</v>
      </c>
      <c r="C182" t="s">
        <v>54</v>
      </c>
      <c r="D182" s="31" t="s">
        <v>439</v>
      </c>
      <c r="E182" s="31" t="s">
        <v>439</v>
      </c>
      <c r="F182" s="31" t="s">
        <v>447</v>
      </c>
      <c r="G182" s="31" t="s">
        <v>581</v>
      </c>
      <c r="K182" s="2" t="str">
        <f t="shared" si="2"/>
        <v>fma</v>
      </c>
      <c r="L182" cm="1">
        <f t="array" ref="L1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82" t="str">
        <f>IF(OR(ISNUMBER(SEARCH("imad", Table6[[#This Row],[instruction]])), ISNUMBER(SEARCH("ffma", Table6[[#This Row],[instruction]])), ISNUMBER(SEARCH("fmul", Table6[[#This Row],[instruction]]))), "fma", "")</f>
        <v>fma</v>
      </c>
      <c r="P1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2" t="str">
        <f>IF(OR(ISNUMBER(SEARCH("s2r", Table6[[#This Row],[instruction]])),ISNUMBER(SEARCH("s2ur", Table6[[#This Row],[instruction]]))), "special", "")</f>
        <v/>
      </c>
      <c r="S182" t="str">
        <f>IF(OR(ISNUMBER(SEARCH("stg", Table6[[#This Row],[instruction]])),ISNUMBER(SEARCH("ldg", Table6[[#This Row],[instruction]]))), "global", "")</f>
        <v/>
      </c>
      <c r="T182" t="str">
        <f>IF(OR(ISNUMBER(SEARCH("sts", Table6[[#This Row],[instruction]])),ISNUMBER(SEARCH("lds", Table6[[#This Row],[instruction]]))), "shared", "")</f>
        <v/>
      </c>
      <c r="U182" t="str">
        <f>IF(OR(ISNUMBER(SEARCH("LDC", Table6[[#This Row],[instruction]]))), "ind. const", "")</f>
        <v/>
      </c>
      <c r="V1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Row],[s5]]))),U182=""), "cmb. const", "")</f>
        <v>cmb. const</v>
      </c>
      <c r="W182" s="2" t="s">
        <v>481</v>
      </c>
      <c r="Y182">
        <f>IF(Table6[[#This Row],[pipeline]]="fma",Table6[[#This Row],[delay]],0)</f>
        <v>4</v>
      </c>
      <c r="Z182">
        <f>IF(AND(Table6[[#This Row],[pipeline]]="fma",W182="new"),290,0)</f>
        <v>0</v>
      </c>
      <c r="AK182" s="34"/>
    </row>
    <row r="183" spans="1:37" ht="17" x14ac:dyDescent="0.2">
      <c r="A183" s="31">
        <f>IF(Table6[[#This Row],[instruction]]&lt;&gt;"",MAX($A$6:A182)+1," ")</f>
        <v>178</v>
      </c>
      <c r="B183" s="32" t="s">
        <v>582</v>
      </c>
      <c r="C183" t="s">
        <v>444</v>
      </c>
      <c r="D183" s="31" t="s">
        <v>574</v>
      </c>
      <c r="E183" s="31" t="s">
        <v>589</v>
      </c>
      <c r="K183" s="2" t="str">
        <f t="shared" si="2"/>
        <v>global</v>
      </c>
      <c r="L183" cm="1">
        <f t="array" ref="L1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83" t="s">
        <v>797</v>
      </c>
      <c r="O183" t="str">
        <f>IF(OR(ISNUMBER(SEARCH("imad", Table6[[#This Row],[instruction]])), ISNUMBER(SEARCH("ffma", Table6[[#This Row],[instruction]])), ISNUMBER(SEARCH("fmul", Table6[[#This Row],[instruction]]))), "fma", "")</f>
        <v/>
      </c>
      <c r="P1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3" t="str">
        <f>IF(OR(ISNUMBER(SEARCH("s2r", Table6[[#This Row],[instruction]])),ISNUMBER(SEARCH("s2ur", Table6[[#This Row],[instruction]]))), "special", "")</f>
        <v/>
      </c>
      <c r="S183" t="str">
        <f>IF(OR(ISNUMBER(SEARCH("stg", Table6[[#This Row],[instruction]])),ISNUMBER(SEARCH("ldg", Table6[[#This Row],[instruction]]))), "global", "")</f>
        <v>global</v>
      </c>
      <c r="T183" t="str">
        <f>IF(OR(ISNUMBER(SEARCH("sts", Table6[[#This Row],[instruction]])),ISNUMBER(SEARCH("lds", Table6[[#This Row],[instruction]]))), "shared", "")</f>
        <v/>
      </c>
      <c r="U183" t="str">
        <f>IF(OR(ISNUMBER(SEARCH("LDC", Table6[[#This Row],[instruction]]))), "ind. const", "")</f>
        <v/>
      </c>
      <c r="V1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Row],[s5]]))),U183=""), "cmb. const", "")</f>
        <v/>
      </c>
      <c r="Y183">
        <f>IF(Table6[[#This Row],[pipeline]]="fma",Table6[[#This Row],[delay]],0)</f>
        <v>0</v>
      </c>
      <c r="Z183">
        <f>IF(AND(Table6[[#This Row],[pipeline]]="fma",W183="new"),290,0)</f>
        <v>0</v>
      </c>
      <c r="AK183" s="34"/>
    </row>
    <row r="184" spans="1:37" ht="17" x14ac:dyDescent="0.2">
      <c r="A184" s="31">
        <f>IF(Table6[[#This Row],[instruction]]&lt;&gt;"",MAX($A$6:A183)+1," ")</f>
        <v>179</v>
      </c>
      <c r="B184" s="32" t="s">
        <v>585</v>
      </c>
      <c r="C184" t="s">
        <v>54</v>
      </c>
      <c r="D184" s="31" t="s">
        <v>80</v>
      </c>
      <c r="E184" s="31" t="s">
        <v>80</v>
      </c>
      <c r="F184" s="31" t="s">
        <v>588</v>
      </c>
      <c r="G184" s="31" t="s">
        <v>581</v>
      </c>
      <c r="K184" s="2" t="str">
        <f t="shared" si="2"/>
        <v>fma</v>
      </c>
      <c r="L184" cm="1">
        <f t="array" ref="L1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84" t="str">
        <f>IF(OR(ISNUMBER(SEARCH("imad", Table6[[#This Row],[instruction]])), ISNUMBER(SEARCH("ffma", Table6[[#This Row],[instruction]])), ISNUMBER(SEARCH("fmul", Table6[[#This Row],[instruction]]))), "fma", "")</f>
        <v>fma</v>
      </c>
      <c r="P1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4" t="str">
        <f>IF(OR(ISNUMBER(SEARCH("s2r", Table6[[#This Row],[instruction]])),ISNUMBER(SEARCH("s2ur", Table6[[#This Row],[instruction]]))), "special", "")</f>
        <v/>
      </c>
      <c r="S184" t="str">
        <f>IF(OR(ISNUMBER(SEARCH("stg", Table6[[#This Row],[instruction]])),ISNUMBER(SEARCH("ldg", Table6[[#This Row],[instruction]]))), "global", "")</f>
        <v/>
      </c>
      <c r="T184" t="str">
        <f>IF(OR(ISNUMBER(SEARCH("sts", Table6[[#This Row],[instruction]])),ISNUMBER(SEARCH("lds", Table6[[#This Row],[instruction]]))), "shared", "")</f>
        <v/>
      </c>
      <c r="U184" t="str">
        <f>IF(OR(ISNUMBER(SEARCH("LDC", Table6[[#This Row],[instruction]]))), "ind. const", "")</f>
        <v/>
      </c>
      <c r="V1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Row],[s5]]))),U184=""), "cmb. const", "")</f>
        <v>cmb. const</v>
      </c>
      <c r="W184" s="2" t="s">
        <v>481</v>
      </c>
      <c r="Y184">
        <f>IF(Table6[[#This Row],[pipeline]]="fma",Table6[[#This Row],[delay]],0)</f>
        <v>4</v>
      </c>
      <c r="Z184">
        <f>IF(AND(Table6[[#This Row],[pipeline]]="fma",W184="new"),290,0)</f>
        <v>0</v>
      </c>
      <c r="AK184" s="34"/>
    </row>
    <row r="185" spans="1:37" ht="17" x14ac:dyDescent="0.2">
      <c r="A185" s="31">
        <f>IF(Table6[[#This Row],[instruction]]&lt;&gt;"",MAX($A$6:A184)+1," ")</f>
        <v>180</v>
      </c>
      <c r="B185" s="32" t="s">
        <v>584</v>
      </c>
      <c r="C185" t="s">
        <v>444</v>
      </c>
      <c r="D185" s="31" t="s">
        <v>573</v>
      </c>
      <c r="E185" s="31" t="s">
        <v>590</v>
      </c>
      <c r="K185" s="2" t="str">
        <f t="shared" si="2"/>
        <v>global</v>
      </c>
      <c r="L185" cm="1">
        <f t="array" ref="L1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85" t="s">
        <v>797</v>
      </c>
      <c r="O185" t="str">
        <f>IF(OR(ISNUMBER(SEARCH("imad", Table6[[#This Row],[instruction]])), ISNUMBER(SEARCH("ffma", Table6[[#This Row],[instruction]])), ISNUMBER(SEARCH("fmul", Table6[[#This Row],[instruction]]))), "fma", "")</f>
        <v/>
      </c>
      <c r="P1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5" t="str">
        <f>IF(OR(ISNUMBER(SEARCH("s2r", Table6[[#This Row],[instruction]])),ISNUMBER(SEARCH("s2ur", Table6[[#This Row],[instruction]]))), "special", "")</f>
        <v/>
      </c>
      <c r="S185" t="str">
        <f>IF(OR(ISNUMBER(SEARCH("stg", Table6[[#This Row],[instruction]])),ISNUMBER(SEARCH("ldg", Table6[[#This Row],[instruction]]))), "global", "")</f>
        <v>global</v>
      </c>
      <c r="T185" t="str">
        <f>IF(OR(ISNUMBER(SEARCH("sts", Table6[[#This Row],[instruction]])),ISNUMBER(SEARCH("lds", Table6[[#This Row],[instruction]]))), "shared", "")</f>
        <v/>
      </c>
      <c r="U185" t="str">
        <f>IF(OR(ISNUMBER(SEARCH("LDC", Table6[[#This Row],[instruction]]))), "ind. const", "")</f>
        <v/>
      </c>
      <c r="V1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Row],[s5]]))),U185=""), "cmb. const", "")</f>
        <v/>
      </c>
      <c r="Y185">
        <f>IF(Table6[[#This Row],[pipeline]]="fma",Table6[[#This Row],[delay]],0)</f>
        <v>0</v>
      </c>
      <c r="Z185">
        <f>IF(AND(Table6[[#This Row],[pipeline]]="fma",W185="new"),290,0)</f>
        <v>0</v>
      </c>
      <c r="AK185" s="34"/>
    </row>
    <row r="186" spans="1:37" ht="17" x14ac:dyDescent="0.2">
      <c r="A186" s="31">
        <f>IF(Table6[[#This Row],[instruction]]&lt;&gt;"",MAX($A$6:A185)+1," ")</f>
        <v>181</v>
      </c>
      <c r="B186" s="32" t="s">
        <v>585</v>
      </c>
      <c r="C186" t="s">
        <v>444</v>
      </c>
      <c r="D186" s="31" t="s">
        <v>572</v>
      </c>
      <c r="E186" s="31" t="s">
        <v>591</v>
      </c>
      <c r="K186" s="2" t="str">
        <f t="shared" si="2"/>
        <v>global</v>
      </c>
      <c r="L186" cm="1">
        <f t="array" ref="L1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186" t="s">
        <v>797</v>
      </c>
      <c r="O186" t="str">
        <f>IF(OR(ISNUMBER(SEARCH("imad", Table6[[#This Row],[instruction]])), ISNUMBER(SEARCH("ffma", Table6[[#This Row],[instruction]])), ISNUMBER(SEARCH("fmul", Table6[[#This Row],[instruction]]))), "fma", "")</f>
        <v/>
      </c>
      <c r="P1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6" t="str">
        <f>IF(OR(ISNUMBER(SEARCH("s2r", Table6[[#This Row],[instruction]])),ISNUMBER(SEARCH("s2ur", Table6[[#This Row],[instruction]]))), "special", "")</f>
        <v/>
      </c>
      <c r="S186" t="str">
        <f>IF(OR(ISNUMBER(SEARCH("stg", Table6[[#This Row],[instruction]])),ISNUMBER(SEARCH("ldg", Table6[[#This Row],[instruction]]))), "global", "")</f>
        <v>global</v>
      </c>
      <c r="T186" t="str">
        <f>IF(OR(ISNUMBER(SEARCH("sts", Table6[[#This Row],[instruction]])),ISNUMBER(SEARCH("lds", Table6[[#This Row],[instruction]]))), "shared", "")</f>
        <v/>
      </c>
      <c r="U186" t="str">
        <f>IF(OR(ISNUMBER(SEARCH("LDC", Table6[[#This Row],[instruction]]))), "ind. const", "")</f>
        <v/>
      </c>
      <c r="V1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Row],[s5]]))),U186=""), "cmb. const", "")</f>
        <v/>
      </c>
      <c r="Y186">
        <f>IF(Table6[[#This Row],[pipeline]]="fma",Table6[[#This Row],[delay]],0)</f>
        <v>0</v>
      </c>
      <c r="Z186">
        <f>IF(AND(Table6[[#This Row],[pipeline]]="fma",W186="new"),290,0)</f>
        <v>0</v>
      </c>
      <c r="AK186" s="34"/>
    </row>
    <row r="187" spans="1:37" ht="17" x14ac:dyDescent="0.2">
      <c r="A187" s="31">
        <f>IF(Table6[[#This Row],[instruction]]&lt;&gt;"",MAX($A$6:A186)+1," ")</f>
        <v>182</v>
      </c>
      <c r="B187" s="32" t="s">
        <v>485</v>
      </c>
      <c r="C187" t="s">
        <v>72</v>
      </c>
      <c r="D187" s="31" t="s">
        <v>552</v>
      </c>
      <c r="K187" s="2" t="str">
        <f t="shared" si="2"/>
        <v>cba</v>
      </c>
      <c r="L187" cm="1">
        <f t="array" ref="L1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187" t="str">
        <f>IF(OR(ISNUMBER(SEARCH("imad", Table6[[#This Row],[instruction]])), ISNUMBER(SEARCH("ffma", Table6[[#This Row],[instruction]])), ISNUMBER(SEARCH("fmul", Table6[[#This Row],[instruction]]))), "fma", "")</f>
        <v/>
      </c>
      <c r="P1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187" t="str">
        <f>IF(OR(ISNUMBER(SEARCH("s2r", Table6[[#This Row],[instruction]])),ISNUMBER(SEARCH("s2ur", Table6[[#This Row],[instruction]]))), "special", "")</f>
        <v/>
      </c>
      <c r="S187" t="str">
        <f>IF(OR(ISNUMBER(SEARCH("stg", Table6[[#This Row],[instruction]])),ISNUMBER(SEARCH("ldg", Table6[[#This Row],[instruction]]))), "global", "")</f>
        <v/>
      </c>
      <c r="T187" t="str">
        <f>IF(OR(ISNUMBER(SEARCH("sts", Table6[[#This Row],[instruction]])),ISNUMBER(SEARCH("lds", Table6[[#This Row],[instruction]]))), "shared", "")</f>
        <v/>
      </c>
      <c r="U187" t="str">
        <f>IF(OR(ISNUMBER(SEARCH("LDC", Table6[[#This Row],[instruction]]))), "ind. const", "")</f>
        <v/>
      </c>
      <c r="V1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Row],[s5]]))),U187=""), "cmb. const", "")</f>
        <v/>
      </c>
      <c r="Y187">
        <f>IF(Table6[[#This Row],[pipeline]]="fma",Table6[[#This Row],[delay]],0)</f>
        <v>0</v>
      </c>
      <c r="Z187">
        <f>IF(AND(Table6[[#This Row],[pipeline]]="fma",W187="new"),290,0)</f>
        <v>0</v>
      </c>
      <c r="AK187" s="34"/>
    </row>
    <row r="188" spans="1:37" ht="17" x14ac:dyDescent="0.2">
      <c r="A188" s="31">
        <f>IF(Table6[[#This Row],[instruction]]&lt;&gt;"",MAX($A$6:A187)+1," ")</f>
        <v>183</v>
      </c>
      <c r="B188" s="32" t="s">
        <v>485</v>
      </c>
      <c r="C188" t="s">
        <v>425</v>
      </c>
      <c r="D188" s="31" t="s">
        <v>592</v>
      </c>
      <c r="E188" s="31" t="s">
        <v>7</v>
      </c>
      <c r="F188" s="31" t="s">
        <v>75</v>
      </c>
      <c r="G188" s="31" t="s">
        <v>593</v>
      </c>
      <c r="K188" s="2" t="str">
        <f t="shared" si="2"/>
        <v>fma</v>
      </c>
      <c r="L188" cm="1">
        <f t="array" ref="L1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88" t="str">
        <f>IF(OR(ISNUMBER(SEARCH("imad", Table6[[#This Row],[instruction]])), ISNUMBER(SEARCH("ffma", Table6[[#This Row],[instruction]])), ISNUMBER(SEARCH("fmul", Table6[[#This Row],[instruction]]))), "fma", "")</f>
        <v>fma</v>
      </c>
      <c r="P1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8" t="str">
        <f>IF(OR(ISNUMBER(SEARCH("s2r", Table6[[#This Row],[instruction]])),ISNUMBER(SEARCH("s2ur", Table6[[#This Row],[instruction]]))), "special", "")</f>
        <v/>
      </c>
      <c r="S188" t="str">
        <f>IF(OR(ISNUMBER(SEARCH("stg", Table6[[#This Row],[instruction]])),ISNUMBER(SEARCH("ldg", Table6[[#This Row],[instruction]]))), "global", "")</f>
        <v/>
      </c>
      <c r="T188" t="str">
        <f>IF(OR(ISNUMBER(SEARCH("sts", Table6[[#This Row],[instruction]])),ISNUMBER(SEARCH("lds", Table6[[#This Row],[instruction]]))), "shared", "")</f>
        <v/>
      </c>
      <c r="U188" t="str">
        <f>IF(OR(ISNUMBER(SEARCH("LDC", Table6[[#This Row],[instruction]]))), "ind. const", "")</f>
        <v/>
      </c>
      <c r="V1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Row],[s5]]))),U188=""), "cmb. const", "")</f>
        <v/>
      </c>
      <c r="Y188">
        <f>IF(Table6[[#This Row],[pipeline]]="fma",Table6[[#This Row],[delay]],0)</f>
        <v>4</v>
      </c>
      <c r="Z188">
        <f>IF(AND(Table6[[#This Row],[pipeline]]="fma",W188="new"),290,0)</f>
        <v>0</v>
      </c>
      <c r="AK188" s="34"/>
    </row>
    <row r="189" spans="1:37" ht="17" x14ac:dyDescent="0.2">
      <c r="A189" s="31">
        <f>IF(Table6[[#This Row],[instruction]]&lt;&gt;"",MAX($A$6:A188)+1," ")</f>
        <v>184</v>
      </c>
      <c r="B189" s="32" t="s">
        <v>485</v>
      </c>
      <c r="C189" t="s">
        <v>26</v>
      </c>
      <c r="D189" s="31" t="s">
        <v>594</v>
      </c>
      <c r="E189" s="31" t="s">
        <v>577</v>
      </c>
      <c r="F189" s="31" t="s">
        <v>4</v>
      </c>
      <c r="G189" s="31" t="s">
        <v>502</v>
      </c>
      <c r="K189" s="2" t="str">
        <f t="shared" si="2"/>
        <v>alu</v>
      </c>
      <c r="L189" cm="1">
        <f t="array" ref="L1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89" t="str">
        <f>IF(OR(ISNUMBER(SEARCH("imad", Table6[[#This Row],[instruction]])), ISNUMBER(SEARCH("ffma", Table6[[#This Row],[instruction]])), ISNUMBER(SEARCH("fmul", Table6[[#This Row],[instruction]]))), "fma", "")</f>
        <v/>
      </c>
      <c r="P1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89" t="str">
        <f>IF(OR(ISNUMBER(SEARCH("s2r", Table6[[#This Row],[instruction]])),ISNUMBER(SEARCH("s2ur", Table6[[#This Row],[instruction]]))), "special", "")</f>
        <v/>
      </c>
      <c r="S189" t="str">
        <f>IF(OR(ISNUMBER(SEARCH("stg", Table6[[#This Row],[instruction]])),ISNUMBER(SEARCH("ldg", Table6[[#This Row],[instruction]]))), "global", "")</f>
        <v/>
      </c>
      <c r="T189" t="str">
        <f>IF(OR(ISNUMBER(SEARCH("sts", Table6[[#This Row],[instruction]])),ISNUMBER(SEARCH("lds", Table6[[#This Row],[instruction]]))), "shared", "")</f>
        <v/>
      </c>
      <c r="U189" t="str">
        <f>IF(OR(ISNUMBER(SEARCH("LDC", Table6[[#This Row],[instruction]]))), "ind. const", "")</f>
        <v/>
      </c>
      <c r="V1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Row],[s5]]))),U189=""), "cmb. const", "")</f>
        <v/>
      </c>
      <c r="Y189">
        <f>IF(Table6[[#This Row],[pipeline]]="fma",Table6[[#This Row],[delay]],0)</f>
        <v>0</v>
      </c>
      <c r="Z189">
        <f>IF(AND(Table6[[#This Row],[pipeline]]="fma",W189="new"),290,0)</f>
        <v>0</v>
      </c>
      <c r="AK189" s="34"/>
    </row>
    <row r="190" spans="1:37" ht="17" x14ac:dyDescent="0.2">
      <c r="A190" s="31">
        <f>IF(Table6[[#This Row],[instruction]]&lt;&gt;"",MAX($A$6:A189)+1," ")</f>
        <v>185</v>
      </c>
      <c r="B190" s="32" t="s">
        <v>485</v>
      </c>
      <c r="C190" t="s">
        <v>515</v>
      </c>
      <c r="D190" s="31" t="s">
        <v>4</v>
      </c>
      <c r="E190" s="31" t="s">
        <v>8</v>
      </c>
      <c r="F190" s="31" t="s">
        <v>8</v>
      </c>
      <c r="G190" s="31" t="s">
        <v>595</v>
      </c>
      <c r="K190" s="2" t="str">
        <f t="shared" si="2"/>
        <v>fma</v>
      </c>
      <c r="L190" cm="1">
        <f t="array" ref="L1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190" t="str">
        <f>IF(OR(ISNUMBER(SEARCH("imad", Table6[[#This Row],[instruction]])), ISNUMBER(SEARCH("ffma", Table6[[#This Row],[instruction]])), ISNUMBER(SEARCH("fmul", Table6[[#This Row],[instruction]]))), "fma", "")</f>
        <v>fma</v>
      </c>
      <c r="P1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0" t="str">
        <f>IF(OR(ISNUMBER(SEARCH("s2r", Table6[[#This Row],[instruction]])),ISNUMBER(SEARCH("s2ur", Table6[[#This Row],[instruction]]))), "special", "")</f>
        <v/>
      </c>
      <c r="S190" t="str">
        <f>IF(OR(ISNUMBER(SEARCH("stg", Table6[[#This Row],[instruction]])),ISNUMBER(SEARCH("ldg", Table6[[#This Row],[instruction]]))), "global", "")</f>
        <v/>
      </c>
      <c r="T190" t="str">
        <f>IF(OR(ISNUMBER(SEARCH("sts", Table6[[#This Row],[instruction]])),ISNUMBER(SEARCH("lds", Table6[[#This Row],[instruction]]))), "shared", "")</f>
        <v/>
      </c>
      <c r="U190" t="str">
        <f>IF(OR(ISNUMBER(SEARCH("LDC", Table6[[#This Row],[instruction]]))), "ind. const", "")</f>
        <v/>
      </c>
      <c r="V1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Row],[s5]]))),U190=""), "cmb. const", "")</f>
        <v/>
      </c>
      <c r="Y190">
        <f>IF(Table6[[#This Row],[pipeline]]="fma",Table6[[#This Row],[delay]],0)</f>
        <v>4</v>
      </c>
      <c r="Z190">
        <f>IF(AND(Table6[[#This Row],[pipeline]]="fma",W190="new"),290,0)</f>
        <v>0</v>
      </c>
      <c r="AK190" s="34"/>
    </row>
    <row r="191" spans="1:37" ht="17" x14ac:dyDescent="0.2">
      <c r="A191" s="31">
        <f>IF(Table6[[#This Row],[instruction]]&lt;&gt;"",MAX($A$6:A190)+1," ")</f>
        <v>186</v>
      </c>
      <c r="B191" s="32" t="s">
        <v>485</v>
      </c>
      <c r="C191" t="s">
        <v>277</v>
      </c>
      <c r="D191" s="31" t="s">
        <v>596</v>
      </c>
      <c r="E191" s="31" t="s">
        <v>540</v>
      </c>
      <c r="K191" s="2" t="str">
        <f t="shared" si="2"/>
        <v>shared</v>
      </c>
      <c r="L191" cm="1">
        <f t="array" ref="L1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191" t="str">
        <f>IF(OR(ISNUMBER(SEARCH("imad", Table6[[#This Row],[instruction]])), ISNUMBER(SEARCH("ffma", Table6[[#This Row],[instruction]])), ISNUMBER(SEARCH("fmul", Table6[[#This Row],[instruction]]))), "fma", "")</f>
        <v/>
      </c>
      <c r="P1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1" t="str">
        <f>IF(OR(ISNUMBER(SEARCH("s2r", Table6[[#This Row],[instruction]])),ISNUMBER(SEARCH("s2ur", Table6[[#This Row],[instruction]]))), "special", "")</f>
        <v/>
      </c>
      <c r="S191" t="str">
        <f>IF(OR(ISNUMBER(SEARCH("stg", Table6[[#This Row],[instruction]])),ISNUMBER(SEARCH("ldg", Table6[[#This Row],[instruction]]))), "global", "")</f>
        <v/>
      </c>
      <c r="T191" t="str">
        <f>IF(OR(ISNUMBER(SEARCH("sts", Table6[[#This Row],[instruction]])),ISNUMBER(SEARCH("lds", Table6[[#This Row],[instruction]]))), "shared", "")</f>
        <v>shared</v>
      </c>
      <c r="U191" t="str">
        <f>IF(OR(ISNUMBER(SEARCH("LDC", Table6[[#This Row],[instruction]]))), "ind. const", "")</f>
        <v/>
      </c>
      <c r="V1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Row],[s5]]))),U191=""), "cmb. const", "")</f>
        <v/>
      </c>
      <c r="Y191">
        <f>IF(Table6[[#This Row],[pipeline]]="fma",Table6[[#This Row],[delay]],0)</f>
        <v>0</v>
      </c>
      <c r="Z191">
        <f>IF(AND(Table6[[#This Row],[pipeline]]="fma",W191="new"),290,0)</f>
        <v>0</v>
      </c>
      <c r="AK191" s="34"/>
    </row>
    <row r="192" spans="1:37" ht="17" x14ac:dyDescent="0.2">
      <c r="A192" s="31">
        <f>IF(Table6[[#This Row],[instruction]]&lt;&gt;"",MAX($A$6:A191)+1," ")</f>
        <v>187</v>
      </c>
      <c r="B192" s="32" t="s">
        <v>485</v>
      </c>
      <c r="C192" t="s">
        <v>6</v>
      </c>
      <c r="D192" s="31" t="s">
        <v>597</v>
      </c>
      <c r="E192" s="31" t="e" cm="1">
        <f t="array" ref="E192">-RZ</f>
        <v>#NAME?</v>
      </c>
      <c r="F192" s="31" t="s">
        <v>8</v>
      </c>
      <c r="G192" s="31">
        <v>0</v>
      </c>
      <c r="H192" s="31" t="s">
        <v>525</v>
      </c>
      <c r="K192" s="2" t="s">
        <v>40</v>
      </c>
      <c r="L192">
        <v>8</v>
      </c>
      <c r="M192" t="s">
        <v>807</v>
      </c>
      <c r="O192" t="str">
        <f>IF(OR(ISNUMBER(SEARCH("imad", Table6[[#This Row],[instruction]])), ISNUMBER(SEARCH("ffma", Table6[[#This Row],[instruction]])), ISNUMBER(SEARCH("fmul", Table6[[#This Row],[instruction]]))), "fma", "")</f>
        <v/>
      </c>
      <c r="P1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2" t="str">
        <f>IF(OR(ISNUMBER(SEARCH("s2r", Table6[[#This Row],[instruction]])),ISNUMBER(SEARCH("s2ur", Table6[[#This Row],[instruction]]))), "special", "")</f>
        <v/>
      </c>
      <c r="S192" t="str">
        <f>IF(OR(ISNUMBER(SEARCH("stg", Table6[[#This Row],[instruction]])),ISNUMBER(SEARCH("ldg", Table6[[#This Row],[instruction]]))), "global", "")</f>
        <v/>
      </c>
      <c r="T192" t="str">
        <f>IF(OR(ISNUMBER(SEARCH("sts", Table6[[#This Row],[instruction]])),ISNUMBER(SEARCH("lds", Table6[[#This Row],[instruction]]))), "shared", "")</f>
        <v/>
      </c>
      <c r="U192" t="str">
        <f>IF(OR(ISNUMBER(SEARCH("LDC", Table6[[#This Row],[instruction]]))), "ind. const", "")</f>
        <v/>
      </c>
      <c r="V1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Row],[s5]]))),U192=""), "cmb. const", "")</f>
        <v/>
      </c>
      <c r="Y192">
        <f>IF(Table6[[#This Row],[pipeline]]="fma",Table6[[#This Row],[delay]],0)</f>
        <v>0</v>
      </c>
      <c r="Z192">
        <f>IF(AND(Table6[[#This Row],[pipeline]]="fma",W192="new"),290,0)</f>
        <v>0</v>
      </c>
      <c r="AK192" s="34"/>
    </row>
    <row r="193" spans="1:37" ht="17" x14ac:dyDescent="0.2">
      <c r="A193" s="31">
        <f>IF(Table6[[#This Row],[instruction]]&lt;&gt;"",MAX($A$6:A192)+1," ")</f>
        <v>188</v>
      </c>
      <c r="B193" s="32" t="s">
        <v>485</v>
      </c>
      <c r="C193" t="s">
        <v>394</v>
      </c>
      <c r="D193" s="31" t="s">
        <v>598</v>
      </c>
      <c r="E193" s="31" t="s">
        <v>599</v>
      </c>
      <c r="K193" s="2" t="str">
        <f t="shared" si="2"/>
        <v>special</v>
      </c>
      <c r="L193" cm="1">
        <f t="array" ref="L1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193" t="str">
        <f>IF(OR(ISNUMBER(SEARCH("imad", Table6[[#This Row],[instruction]])), ISNUMBER(SEARCH("ffma", Table6[[#This Row],[instruction]])), ISNUMBER(SEARCH("fmul", Table6[[#This Row],[instruction]]))), "fma", "")</f>
        <v/>
      </c>
      <c r="P1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3" t="str">
        <f>IF(OR(ISNUMBER(SEARCH("s2r", Table6[[#This Row],[instruction]])),ISNUMBER(SEARCH("s2ur", Table6[[#This Row],[instruction]]))), "special", "")</f>
        <v>special</v>
      </c>
      <c r="S193" t="str">
        <f>IF(OR(ISNUMBER(SEARCH("stg", Table6[[#This Row],[instruction]])),ISNUMBER(SEARCH("ldg", Table6[[#This Row],[instruction]]))), "global", "")</f>
        <v/>
      </c>
      <c r="T193" t="str">
        <f>IF(OR(ISNUMBER(SEARCH("sts", Table6[[#This Row],[instruction]])),ISNUMBER(SEARCH("lds", Table6[[#This Row],[instruction]]))), "shared", "")</f>
        <v/>
      </c>
      <c r="U193" t="str">
        <f>IF(OR(ISNUMBER(SEARCH("LDC", Table6[[#This Row],[instruction]]))), "ind. const", "")</f>
        <v/>
      </c>
      <c r="V1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Row],[s5]]))),U193=""), "cmb. const", "")</f>
        <v/>
      </c>
      <c r="Y193">
        <f>IF(Table6[[#This Row],[pipeline]]="fma",Table6[[#This Row],[delay]],0)</f>
        <v>0</v>
      </c>
      <c r="Z193">
        <f>IF(AND(Table6[[#This Row],[pipeline]]="fma",W193="new"),290,0)</f>
        <v>0</v>
      </c>
      <c r="AK193" s="34"/>
    </row>
    <row r="194" spans="1:37" ht="17" x14ac:dyDescent="0.2">
      <c r="A194" s="31">
        <f>IF(Table6[[#This Row],[instruction]]&lt;&gt;"",MAX($A$6:A193)+1," ")</f>
        <v>189</v>
      </c>
      <c r="B194" s="32" t="s">
        <v>485</v>
      </c>
      <c r="C194" t="s">
        <v>6</v>
      </c>
      <c r="D194" s="31" t="s">
        <v>600</v>
      </c>
      <c r="E194" s="31" t="e" cm="1">
        <f t="array" ref="E194">-RZ</f>
        <v>#NAME?</v>
      </c>
      <c r="F194" s="31" t="s">
        <v>8</v>
      </c>
      <c r="G194" s="31">
        <v>0</v>
      </c>
      <c r="H194" s="31" t="s">
        <v>525</v>
      </c>
      <c r="K194" s="2" t="s">
        <v>40</v>
      </c>
      <c r="L194">
        <v>8</v>
      </c>
      <c r="M194" t="s">
        <v>807</v>
      </c>
      <c r="O194" t="str">
        <f>IF(OR(ISNUMBER(SEARCH("imad", Table6[[#This Row],[instruction]])), ISNUMBER(SEARCH("ffma", Table6[[#This Row],[instruction]])), ISNUMBER(SEARCH("fmul", Table6[[#This Row],[instruction]]))), "fma", "")</f>
        <v/>
      </c>
      <c r="P1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4" t="str">
        <f>IF(OR(ISNUMBER(SEARCH("s2r", Table6[[#This Row],[instruction]])),ISNUMBER(SEARCH("s2ur", Table6[[#This Row],[instruction]]))), "special", "")</f>
        <v/>
      </c>
      <c r="S194" t="str">
        <f>IF(OR(ISNUMBER(SEARCH("stg", Table6[[#This Row],[instruction]])),ISNUMBER(SEARCH("ldg", Table6[[#This Row],[instruction]]))), "global", "")</f>
        <v/>
      </c>
      <c r="T194" t="str">
        <f>IF(OR(ISNUMBER(SEARCH("sts", Table6[[#This Row],[instruction]])),ISNUMBER(SEARCH("lds", Table6[[#This Row],[instruction]]))), "shared", "")</f>
        <v/>
      </c>
      <c r="U194" t="str">
        <f>IF(OR(ISNUMBER(SEARCH("LDC", Table6[[#This Row],[instruction]]))), "ind. const", "")</f>
        <v/>
      </c>
      <c r="V1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Row],[s5]]))),U194=""), "cmb. const", "")</f>
        <v/>
      </c>
      <c r="Y194">
        <f>IF(Table6[[#This Row],[pipeline]]="fma",Table6[[#This Row],[delay]],0)</f>
        <v>0</v>
      </c>
      <c r="Z194">
        <f>IF(AND(Table6[[#This Row],[pipeline]]="fma",W194="new"),290,0)</f>
        <v>0</v>
      </c>
      <c r="AK194" s="34"/>
    </row>
    <row r="195" spans="1:37" ht="17" x14ac:dyDescent="0.2">
      <c r="A195" s="31">
        <f>IF(Table6[[#This Row],[instruction]]&lt;&gt;"",MAX($A$6:A194)+1," ")</f>
        <v>190</v>
      </c>
      <c r="B195" s="32" t="s">
        <v>485</v>
      </c>
      <c r="C195" t="s">
        <v>240</v>
      </c>
      <c r="D195" s="31" t="s">
        <v>4</v>
      </c>
      <c r="E195" s="31" t="s">
        <v>4</v>
      </c>
      <c r="F195" s="31" t="s">
        <v>601</v>
      </c>
      <c r="G195" s="31" t="s">
        <v>602</v>
      </c>
      <c r="K195" s="2" t="s">
        <v>95</v>
      </c>
      <c r="L195" t="s">
        <v>812</v>
      </c>
      <c r="O195" t="str">
        <f>IF(OR(ISNUMBER(SEARCH("imad", Table6[[#This Row],[instruction]])), ISNUMBER(SEARCH("ffma", Table6[[#This Row],[instruction]])), ISNUMBER(SEARCH("fmul", Table6[[#This Row],[instruction]]))), "fma", "")</f>
        <v/>
      </c>
      <c r="P1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5" t="str">
        <f>IF(OR(ISNUMBER(SEARCH("s2r", Table6[[#This Row],[instruction]])),ISNUMBER(SEARCH("s2ur", Table6[[#This Row],[instruction]]))), "special", "")</f>
        <v/>
      </c>
      <c r="S195" t="str">
        <f>IF(OR(ISNUMBER(SEARCH("stg", Table6[[#This Row],[instruction]])),ISNUMBER(SEARCH("ldg", Table6[[#This Row],[instruction]]))), "global", "")</f>
        <v/>
      </c>
      <c r="T195" t="str">
        <f>IF(OR(ISNUMBER(SEARCH("sts", Table6[[#This Row],[instruction]])),ISNUMBER(SEARCH("lds", Table6[[#This Row],[instruction]]))), "shared", "")</f>
        <v/>
      </c>
      <c r="U195" t="str">
        <f>IF(OR(ISNUMBER(SEARCH("LDC", Table6[[#This Row],[instruction]]))), "ind. const", "")</f>
        <v/>
      </c>
      <c r="V1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Row],[s5]]))),U195=""), "cmb. const", "")</f>
        <v/>
      </c>
      <c r="Y195">
        <f>IF(Table6[[#This Row],[pipeline]]="fma",Table6[[#This Row],[delay]],0)</f>
        <v>0</v>
      </c>
      <c r="Z195">
        <f>IF(AND(Table6[[#This Row],[pipeline]]="fma",W195="new"),290,0)</f>
        <v>0</v>
      </c>
      <c r="AK195" s="34"/>
    </row>
    <row r="196" spans="1:37" ht="17" x14ac:dyDescent="0.2">
      <c r="A196" s="31">
        <f>IF(Table6[[#This Row],[instruction]]&lt;&gt;"",MAX($A$6:A195)+1," ")</f>
        <v>191</v>
      </c>
      <c r="B196" s="32" t="s">
        <v>485</v>
      </c>
      <c r="C196" t="s">
        <v>277</v>
      </c>
      <c r="D196" s="31" t="s">
        <v>603</v>
      </c>
      <c r="E196" s="31" t="s">
        <v>557</v>
      </c>
      <c r="K196" s="2" t="str">
        <f t="shared" si="2"/>
        <v>shared</v>
      </c>
      <c r="L196" cm="1">
        <f t="array" ref="L1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196" t="str">
        <f>IF(OR(ISNUMBER(SEARCH("imad", Table6[[#This Row],[instruction]])), ISNUMBER(SEARCH("ffma", Table6[[#This Row],[instruction]])), ISNUMBER(SEARCH("fmul", Table6[[#This Row],[instruction]]))), "fma", "")</f>
        <v/>
      </c>
      <c r="P1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6" t="str">
        <f>IF(OR(ISNUMBER(SEARCH("s2r", Table6[[#This Row],[instruction]])),ISNUMBER(SEARCH("s2ur", Table6[[#This Row],[instruction]]))), "special", "")</f>
        <v/>
      </c>
      <c r="S196" t="str">
        <f>IF(OR(ISNUMBER(SEARCH("stg", Table6[[#This Row],[instruction]])),ISNUMBER(SEARCH("ldg", Table6[[#This Row],[instruction]]))), "global", "")</f>
        <v/>
      </c>
      <c r="T196" t="str">
        <f>IF(OR(ISNUMBER(SEARCH("sts", Table6[[#This Row],[instruction]])),ISNUMBER(SEARCH("lds", Table6[[#This Row],[instruction]]))), "shared", "")</f>
        <v>shared</v>
      </c>
      <c r="U196" t="str">
        <f>IF(OR(ISNUMBER(SEARCH("LDC", Table6[[#This Row],[instruction]]))), "ind. const", "")</f>
        <v/>
      </c>
      <c r="V1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Row],[s5]]))),U196=""), "cmb. const", "")</f>
        <v/>
      </c>
      <c r="Y196">
        <f>IF(Table6[[#This Row],[pipeline]]="fma",Table6[[#This Row],[delay]],0)</f>
        <v>0</v>
      </c>
      <c r="Z196">
        <f>IF(AND(Table6[[#This Row],[pipeline]]="fma",W196="new"),290,0)</f>
        <v>0</v>
      </c>
      <c r="AK196" s="34"/>
    </row>
    <row r="197" spans="1:37" ht="17" x14ac:dyDescent="0.2">
      <c r="A197" s="31">
        <f>IF(Table6[[#This Row],[instruction]]&lt;&gt;"",MAX($A$6:A196)+1," ")</f>
        <v>192</v>
      </c>
      <c r="B197" s="32" t="s">
        <v>485</v>
      </c>
      <c r="C197" t="s">
        <v>0</v>
      </c>
      <c r="D197" s="31" t="s">
        <v>604</v>
      </c>
      <c r="E197" s="31" t="s">
        <v>502</v>
      </c>
      <c r="K197" s="2" t="s">
        <v>95</v>
      </c>
      <c r="L197">
        <v>1</v>
      </c>
      <c r="O197" t="str">
        <f>IF(OR(ISNUMBER(SEARCH("imad", Table6[[#This Row],[instruction]])), ISNUMBER(SEARCH("ffma", Table6[[#This Row],[instruction]])), ISNUMBER(SEARCH("fmul", Table6[[#This Row],[instruction]]))), "fma", "")</f>
        <v/>
      </c>
      <c r="P1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7" t="str">
        <f>IF(OR(ISNUMBER(SEARCH("s2r", Table6[[#This Row],[instruction]])),ISNUMBER(SEARCH("s2ur", Table6[[#This Row],[instruction]]))), "special", "")</f>
        <v/>
      </c>
      <c r="S197" t="str">
        <f>IF(OR(ISNUMBER(SEARCH("stg", Table6[[#This Row],[instruction]])),ISNUMBER(SEARCH("ldg", Table6[[#This Row],[instruction]]))), "global", "")</f>
        <v/>
      </c>
      <c r="T197" t="str">
        <f>IF(OR(ISNUMBER(SEARCH("sts", Table6[[#This Row],[instruction]])),ISNUMBER(SEARCH("lds", Table6[[#This Row],[instruction]]))), "shared", "")</f>
        <v/>
      </c>
      <c r="U197" t="str">
        <f>IF(OR(ISNUMBER(SEARCH("LDC", Table6[[#This Row],[instruction]]))), "ind. const", "")</f>
        <v/>
      </c>
      <c r="V1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Row],[s5]]))),U197=""), "cmb. const", "")</f>
        <v/>
      </c>
      <c r="Y197">
        <f>IF(Table6[[#This Row],[pipeline]]="fma",Table6[[#This Row],[delay]],0)</f>
        <v>0</v>
      </c>
      <c r="Z197">
        <f>IF(AND(Table6[[#This Row],[pipeline]]="fma",W197="new"),290,0)</f>
        <v>0</v>
      </c>
      <c r="AK197" s="34"/>
    </row>
    <row r="198" spans="1:37" ht="17" x14ac:dyDescent="0.2">
      <c r="A198" s="31">
        <f>IF(Table6[[#This Row],[instruction]]&lt;&gt;"",MAX($A$6:A197)+1," ")</f>
        <v>193</v>
      </c>
      <c r="B198" s="32" t="s">
        <v>485</v>
      </c>
      <c r="C198" t="s">
        <v>394</v>
      </c>
      <c r="D198" s="31" t="s">
        <v>605</v>
      </c>
      <c r="E198" s="31" t="s">
        <v>599</v>
      </c>
      <c r="K198" s="2" t="str">
        <f t="shared" ref="K198:K261" si="3">IF(O198&lt;&gt;"", O198, IF(P198&lt;&gt;"", P198, IF(R198&lt;&gt;"", R198, IF(S198&lt;&gt;"", S198, IF(T198&lt;&gt;"", T198, IF(U198&lt;&gt;"", U198, IF(Q198&lt;&gt;"", Q198, "")))))))</f>
        <v>special</v>
      </c>
      <c r="L198" cm="1">
        <f t="array" ref="L1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198" t="str">
        <f>IF(OR(ISNUMBER(SEARCH("imad", Table6[[#This Row],[instruction]])), ISNUMBER(SEARCH("ffma", Table6[[#This Row],[instruction]])), ISNUMBER(SEARCH("fmul", Table6[[#This Row],[instruction]]))), "fma", "")</f>
        <v/>
      </c>
      <c r="P1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1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8" t="str">
        <f>IF(OR(ISNUMBER(SEARCH("s2r", Table6[[#This Row],[instruction]])),ISNUMBER(SEARCH("s2ur", Table6[[#This Row],[instruction]]))), "special", "")</f>
        <v>special</v>
      </c>
      <c r="S198" t="str">
        <f>IF(OR(ISNUMBER(SEARCH("stg", Table6[[#This Row],[instruction]])),ISNUMBER(SEARCH("ldg", Table6[[#This Row],[instruction]]))), "global", "")</f>
        <v/>
      </c>
      <c r="T198" t="str">
        <f>IF(OR(ISNUMBER(SEARCH("sts", Table6[[#This Row],[instruction]])),ISNUMBER(SEARCH("lds", Table6[[#This Row],[instruction]]))), "shared", "")</f>
        <v/>
      </c>
      <c r="U198" t="str">
        <f>IF(OR(ISNUMBER(SEARCH("LDC", Table6[[#This Row],[instruction]]))), "ind. const", "")</f>
        <v/>
      </c>
      <c r="V1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Row],[s5]]))),U198=""), "cmb. const", "")</f>
        <v/>
      </c>
      <c r="Y198">
        <f>IF(Table6[[#This Row],[pipeline]]="fma",Table6[[#This Row],[delay]],0)</f>
        <v>0</v>
      </c>
      <c r="Z198">
        <f>IF(AND(Table6[[#This Row],[pipeline]]="fma",W198="new"),290,0)</f>
        <v>0</v>
      </c>
      <c r="AK198" s="34"/>
    </row>
    <row r="199" spans="1:37" ht="17" x14ac:dyDescent="0.2">
      <c r="A199" s="31">
        <f>IF(Table6[[#This Row],[instruction]]&lt;&gt;"",MAX($A$6:A198)+1," ")</f>
        <v>194</v>
      </c>
      <c r="B199" s="32" t="s">
        <v>485</v>
      </c>
      <c r="C199" t="s">
        <v>26</v>
      </c>
      <c r="D199" s="31" t="s">
        <v>606</v>
      </c>
      <c r="E199" s="31" t="s">
        <v>4</v>
      </c>
      <c r="F199" s="31" t="s">
        <v>20</v>
      </c>
      <c r="G199" s="31" t="s">
        <v>502</v>
      </c>
      <c r="K199" s="2" t="str">
        <f t="shared" si="3"/>
        <v>alu</v>
      </c>
      <c r="L199" cm="1">
        <f t="array" ref="L1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199" t="str">
        <f>IF(OR(ISNUMBER(SEARCH("imad", Table6[[#This Row],[instruction]])), ISNUMBER(SEARCH("ffma", Table6[[#This Row],[instruction]])), ISNUMBER(SEARCH("fmul", Table6[[#This Row],[instruction]]))), "fma", "")</f>
        <v/>
      </c>
      <c r="P1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1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199" t="str">
        <f>IF(OR(ISNUMBER(SEARCH("s2r", Table6[[#This Row],[instruction]])),ISNUMBER(SEARCH("s2ur", Table6[[#This Row],[instruction]]))), "special", "")</f>
        <v/>
      </c>
      <c r="S199" t="str">
        <f>IF(OR(ISNUMBER(SEARCH("stg", Table6[[#This Row],[instruction]])),ISNUMBER(SEARCH("ldg", Table6[[#This Row],[instruction]]))), "global", "")</f>
        <v/>
      </c>
      <c r="T199" t="str">
        <f>IF(OR(ISNUMBER(SEARCH("sts", Table6[[#This Row],[instruction]])),ISNUMBER(SEARCH("lds", Table6[[#This Row],[instruction]]))), "shared", "")</f>
        <v/>
      </c>
      <c r="U199" t="str">
        <f>IF(OR(ISNUMBER(SEARCH("LDC", Table6[[#This Row],[instruction]]))), "ind. const", "")</f>
        <v/>
      </c>
      <c r="V1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Row],[s5]]))),U199=""), "cmb. const", "")</f>
        <v>cmb. const</v>
      </c>
      <c r="W199" s="2" t="s">
        <v>481</v>
      </c>
      <c r="Y199">
        <f>IF(Table6[[#This Row],[pipeline]]="fma",Table6[[#This Row],[delay]],0)</f>
        <v>0</v>
      </c>
      <c r="Z199">
        <f>IF(AND(Table6[[#This Row],[pipeline]]="fma",W199="new"),290,0)</f>
        <v>0</v>
      </c>
      <c r="AK199" s="34"/>
    </row>
    <row r="200" spans="1:37" ht="17" x14ac:dyDescent="0.2">
      <c r="A200" s="31">
        <f>IF(Table6[[#This Row],[instruction]]&lt;&gt;"",MAX($A$6:A199)+1," ")</f>
        <v>195</v>
      </c>
      <c r="B200" s="32" t="s">
        <v>485</v>
      </c>
      <c r="C200" t="s">
        <v>277</v>
      </c>
      <c r="D200" s="31" t="s">
        <v>607</v>
      </c>
      <c r="E200" s="31" t="s">
        <v>543</v>
      </c>
      <c r="K200" s="2" t="str">
        <f t="shared" si="3"/>
        <v>shared</v>
      </c>
      <c r="L200" cm="1">
        <f t="array" ref="L2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00" t="str">
        <f>IF(OR(ISNUMBER(SEARCH("imad", Table6[[#This Row],[instruction]])), ISNUMBER(SEARCH("ffma", Table6[[#This Row],[instruction]])), ISNUMBER(SEARCH("fmul", Table6[[#This Row],[instruction]]))), "fma", "")</f>
        <v/>
      </c>
      <c r="P2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0" t="str">
        <f>IF(OR(ISNUMBER(SEARCH("s2r", Table6[[#This Row],[instruction]])),ISNUMBER(SEARCH("s2ur", Table6[[#This Row],[instruction]]))), "special", "")</f>
        <v/>
      </c>
      <c r="S200" t="str">
        <f>IF(OR(ISNUMBER(SEARCH("stg", Table6[[#This Row],[instruction]])),ISNUMBER(SEARCH("ldg", Table6[[#This Row],[instruction]]))), "global", "")</f>
        <v/>
      </c>
      <c r="T200" t="str">
        <f>IF(OR(ISNUMBER(SEARCH("sts", Table6[[#This Row],[instruction]])),ISNUMBER(SEARCH("lds", Table6[[#This Row],[instruction]]))), "shared", "")</f>
        <v>shared</v>
      </c>
      <c r="U200" t="str">
        <f>IF(OR(ISNUMBER(SEARCH("LDC", Table6[[#This Row],[instruction]]))), "ind. const", "")</f>
        <v/>
      </c>
      <c r="V2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Row],[s5]]))),U200=""), "cmb. const", "")</f>
        <v/>
      </c>
      <c r="Y200">
        <f>IF(Table6[[#This Row],[pipeline]]="fma",Table6[[#This Row],[delay]],0)</f>
        <v>0</v>
      </c>
      <c r="Z200">
        <f>IF(AND(Table6[[#This Row],[pipeline]]="fma",W200="new"),290,0)</f>
        <v>0</v>
      </c>
      <c r="AK200" s="34"/>
    </row>
    <row r="201" spans="1:37" ht="17" x14ac:dyDescent="0.2">
      <c r="A201" s="31">
        <f>IF(Table6[[#This Row],[instruction]]&lt;&gt;"",MAX($A$6:A200)+1," ")</f>
        <v>196</v>
      </c>
      <c r="B201" s="32" t="s">
        <v>485</v>
      </c>
      <c r="C201" t="s">
        <v>394</v>
      </c>
      <c r="D201" s="31" t="s">
        <v>608</v>
      </c>
      <c r="E201" s="31" t="s">
        <v>599</v>
      </c>
      <c r="K201" s="2" t="str">
        <f t="shared" si="3"/>
        <v>special</v>
      </c>
      <c r="L201" cm="1">
        <f t="array" ref="L2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01" t="str">
        <f>IF(OR(ISNUMBER(SEARCH("imad", Table6[[#This Row],[instruction]])), ISNUMBER(SEARCH("ffma", Table6[[#This Row],[instruction]])), ISNUMBER(SEARCH("fmul", Table6[[#This Row],[instruction]]))), "fma", "")</f>
        <v/>
      </c>
      <c r="P2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1" t="str">
        <f>IF(OR(ISNUMBER(SEARCH("s2r", Table6[[#This Row],[instruction]])),ISNUMBER(SEARCH("s2ur", Table6[[#This Row],[instruction]]))), "special", "")</f>
        <v>special</v>
      </c>
      <c r="S201" t="str">
        <f>IF(OR(ISNUMBER(SEARCH("stg", Table6[[#This Row],[instruction]])),ISNUMBER(SEARCH("ldg", Table6[[#This Row],[instruction]]))), "global", "")</f>
        <v/>
      </c>
      <c r="T201" t="str">
        <f>IF(OR(ISNUMBER(SEARCH("sts", Table6[[#This Row],[instruction]])),ISNUMBER(SEARCH("lds", Table6[[#This Row],[instruction]]))), "shared", "")</f>
        <v/>
      </c>
      <c r="U201" t="str">
        <f>IF(OR(ISNUMBER(SEARCH("LDC", Table6[[#This Row],[instruction]]))), "ind. const", "")</f>
        <v/>
      </c>
      <c r="V2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Row],[s5]]))),U201=""), "cmb. const", "")</f>
        <v/>
      </c>
      <c r="Y201">
        <f>IF(Table6[[#This Row],[pipeline]]="fma",Table6[[#This Row],[delay]],0)</f>
        <v>0</v>
      </c>
      <c r="Z201">
        <f>IF(AND(Table6[[#This Row],[pipeline]]="fma",W201="new"),290,0)</f>
        <v>0</v>
      </c>
      <c r="AK201" s="34"/>
    </row>
    <row r="202" spans="1:37" ht="17" x14ac:dyDescent="0.2">
      <c r="A202" s="31">
        <f>IF(Table6[[#This Row],[instruction]]&lt;&gt;"",MAX($A$6:A201)+1," ")</f>
        <v>197</v>
      </c>
      <c r="B202" s="32" t="s">
        <v>485</v>
      </c>
      <c r="C202" t="s">
        <v>45</v>
      </c>
      <c r="D202" s="31" t="s">
        <v>609</v>
      </c>
      <c r="E202" s="31" t="s">
        <v>8</v>
      </c>
      <c r="F202" s="31" t="s">
        <v>8</v>
      </c>
      <c r="G202" s="31" t="s">
        <v>502</v>
      </c>
      <c r="K202" s="2" t="str">
        <f t="shared" si="3"/>
        <v>fma</v>
      </c>
      <c r="L202" cm="1">
        <f t="array" ref="L2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02" t="str">
        <f>IF(OR(ISNUMBER(SEARCH("imad", Table6[[#This Row],[instruction]])), ISNUMBER(SEARCH("ffma", Table6[[#This Row],[instruction]])), ISNUMBER(SEARCH("fmul", Table6[[#This Row],[instruction]]))), "fma", "")</f>
        <v>fma</v>
      </c>
      <c r="P2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2" t="str">
        <f>IF(OR(ISNUMBER(SEARCH("s2r", Table6[[#This Row],[instruction]])),ISNUMBER(SEARCH("s2ur", Table6[[#This Row],[instruction]]))), "special", "")</f>
        <v/>
      </c>
      <c r="S202" t="str">
        <f>IF(OR(ISNUMBER(SEARCH("stg", Table6[[#This Row],[instruction]])),ISNUMBER(SEARCH("ldg", Table6[[#This Row],[instruction]]))), "global", "")</f>
        <v/>
      </c>
      <c r="T202" t="str">
        <f>IF(OR(ISNUMBER(SEARCH("sts", Table6[[#This Row],[instruction]])),ISNUMBER(SEARCH("lds", Table6[[#This Row],[instruction]]))), "shared", "")</f>
        <v/>
      </c>
      <c r="U202" t="str">
        <f>IF(OR(ISNUMBER(SEARCH("LDC", Table6[[#This Row],[instruction]]))), "ind. const", "")</f>
        <v/>
      </c>
      <c r="V2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Row],[s5]]))),U202=""), "cmb. const", "")</f>
        <v/>
      </c>
      <c r="Y202">
        <f>IF(Table6[[#This Row],[pipeline]]="fma",Table6[[#This Row],[delay]],0)</f>
        <v>4</v>
      </c>
      <c r="Z202">
        <f>IF(AND(Table6[[#This Row],[pipeline]]="fma",W202="new"),290,0)</f>
        <v>0</v>
      </c>
      <c r="AK202" s="34"/>
    </row>
    <row r="203" spans="1:37" ht="17" x14ac:dyDescent="0.2">
      <c r="A203" s="31">
        <f>IF(Table6[[#This Row],[instruction]]&lt;&gt;"",MAX($A$6:A202)+1," ")</f>
        <v>198</v>
      </c>
      <c r="B203" s="32" t="s">
        <v>485</v>
      </c>
      <c r="C203" t="s">
        <v>49</v>
      </c>
      <c r="D203" s="31" t="s">
        <v>50</v>
      </c>
      <c r="E203" s="31" t="s">
        <v>51</v>
      </c>
      <c r="F203" s="31" t="s">
        <v>606</v>
      </c>
      <c r="G203" s="31" t="s">
        <v>75</v>
      </c>
      <c r="H203" s="31" t="s">
        <v>494</v>
      </c>
      <c r="K203" s="2" t="str">
        <f t="shared" si="3"/>
        <v>alu</v>
      </c>
      <c r="L203" cm="1">
        <f t="array" ref="L2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03" t="str">
        <f>IF(OR(ISNUMBER(SEARCH("imad", Table6[[#This Row],[instruction]])), ISNUMBER(SEARCH("ffma", Table6[[#This Row],[instruction]])), ISNUMBER(SEARCH("fmul", Table6[[#This Row],[instruction]]))), "fma", "")</f>
        <v/>
      </c>
      <c r="P2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3" t="str">
        <f>IF(OR(ISNUMBER(SEARCH("s2r", Table6[[#This Row],[instruction]])),ISNUMBER(SEARCH("s2ur", Table6[[#This Row],[instruction]]))), "special", "")</f>
        <v/>
      </c>
      <c r="S203" t="str">
        <f>IF(OR(ISNUMBER(SEARCH("stg", Table6[[#This Row],[instruction]])),ISNUMBER(SEARCH("ldg", Table6[[#This Row],[instruction]]))), "global", "")</f>
        <v/>
      </c>
      <c r="T203" t="str">
        <f>IF(OR(ISNUMBER(SEARCH("sts", Table6[[#This Row],[instruction]])),ISNUMBER(SEARCH("lds", Table6[[#This Row],[instruction]]))), "shared", "")</f>
        <v/>
      </c>
      <c r="U203" t="str">
        <f>IF(OR(ISNUMBER(SEARCH("LDC", Table6[[#This Row],[instruction]]))), "ind. const", "")</f>
        <v/>
      </c>
      <c r="V2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Row],[s5]]))),U203=""), "cmb. const", "")</f>
        <v/>
      </c>
      <c r="Y203">
        <f>IF(Table6[[#This Row],[pipeline]]="fma",Table6[[#This Row],[delay]],0)</f>
        <v>0</v>
      </c>
      <c r="Z203">
        <f>IF(AND(Table6[[#This Row],[pipeline]]="fma",W203="new"),290,0)</f>
        <v>0</v>
      </c>
      <c r="AK203" s="34"/>
    </row>
    <row r="204" spans="1:37" ht="17" x14ac:dyDescent="0.2">
      <c r="A204" s="31">
        <f>IF(Table6[[#This Row],[instruction]]&lt;&gt;"",MAX($A$6:A203)+1," ")</f>
        <v>199</v>
      </c>
      <c r="B204" s="32" t="s">
        <v>485</v>
      </c>
      <c r="C204" t="s">
        <v>277</v>
      </c>
      <c r="D204" s="31" t="s">
        <v>610</v>
      </c>
      <c r="E204" s="31" t="s">
        <v>611</v>
      </c>
      <c r="K204" s="2" t="str">
        <f t="shared" si="3"/>
        <v>shared</v>
      </c>
      <c r="L204" cm="1">
        <f t="array" ref="L2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04" t="str">
        <f>IF(OR(ISNUMBER(SEARCH("imad", Table6[[#This Row],[instruction]])), ISNUMBER(SEARCH("ffma", Table6[[#This Row],[instruction]])), ISNUMBER(SEARCH("fmul", Table6[[#This Row],[instruction]]))), "fma", "")</f>
        <v/>
      </c>
      <c r="P2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4" t="str">
        <f>IF(OR(ISNUMBER(SEARCH("s2r", Table6[[#This Row],[instruction]])),ISNUMBER(SEARCH("s2ur", Table6[[#This Row],[instruction]]))), "special", "")</f>
        <v/>
      </c>
      <c r="S204" t="str">
        <f>IF(OR(ISNUMBER(SEARCH("stg", Table6[[#This Row],[instruction]])),ISNUMBER(SEARCH("ldg", Table6[[#This Row],[instruction]]))), "global", "")</f>
        <v/>
      </c>
      <c r="T204" t="str">
        <f>IF(OR(ISNUMBER(SEARCH("sts", Table6[[#This Row],[instruction]])),ISNUMBER(SEARCH("lds", Table6[[#This Row],[instruction]]))), "shared", "")</f>
        <v>shared</v>
      </c>
      <c r="U204" t="str">
        <f>IF(OR(ISNUMBER(SEARCH("LDC", Table6[[#This Row],[instruction]]))), "ind. const", "")</f>
        <v/>
      </c>
      <c r="V2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Row],[s5]]))),U204=""), "cmb. const", "")</f>
        <v/>
      </c>
      <c r="Y204">
        <f>IF(Table6[[#This Row],[pipeline]]="fma",Table6[[#This Row],[delay]],0)</f>
        <v>0</v>
      </c>
      <c r="Z204">
        <f>IF(AND(Table6[[#This Row],[pipeline]]="fma",W204="new"),290,0)</f>
        <v>0</v>
      </c>
      <c r="AK204" s="34"/>
    </row>
    <row r="205" spans="1:37" ht="17" x14ac:dyDescent="0.2">
      <c r="A205" s="31">
        <f>IF(Table6[[#This Row],[instruction]]&lt;&gt;"",MAX($A$6:A204)+1," ")</f>
        <v>200</v>
      </c>
      <c r="B205" s="32" t="s">
        <v>485</v>
      </c>
      <c r="C205" t="s">
        <v>0</v>
      </c>
      <c r="D205" s="31" t="s">
        <v>612</v>
      </c>
      <c r="E205" s="31" t="s">
        <v>502</v>
      </c>
      <c r="K205" s="2" t="s">
        <v>95</v>
      </c>
      <c r="L205">
        <v>1</v>
      </c>
      <c r="O205" t="str">
        <f>IF(OR(ISNUMBER(SEARCH("imad", Table6[[#This Row],[instruction]])), ISNUMBER(SEARCH("ffma", Table6[[#This Row],[instruction]])), ISNUMBER(SEARCH("fmul", Table6[[#This Row],[instruction]]))), "fma", "")</f>
        <v/>
      </c>
      <c r="P2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5" t="str">
        <f>IF(OR(ISNUMBER(SEARCH("s2r", Table6[[#This Row],[instruction]])),ISNUMBER(SEARCH("s2ur", Table6[[#This Row],[instruction]]))), "special", "")</f>
        <v/>
      </c>
      <c r="S205" t="str">
        <f>IF(OR(ISNUMBER(SEARCH("stg", Table6[[#This Row],[instruction]])),ISNUMBER(SEARCH("ldg", Table6[[#This Row],[instruction]]))), "global", "")</f>
        <v/>
      </c>
      <c r="T205" t="str">
        <f>IF(OR(ISNUMBER(SEARCH("sts", Table6[[#This Row],[instruction]])),ISNUMBER(SEARCH("lds", Table6[[#This Row],[instruction]]))), "shared", "")</f>
        <v/>
      </c>
      <c r="U205" t="str">
        <f>IF(OR(ISNUMBER(SEARCH("LDC", Table6[[#This Row],[instruction]]))), "ind. const", "")</f>
        <v/>
      </c>
      <c r="V2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Row],[s5]]))),U205=""), "cmb. const", "")</f>
        <v/>
      </c>
      <c r="Y205">
        <f>IF(Table6[[#This Row],[pipeline]]="fma",Table6[[#This Row],[delay]],0)</f>
        <v>0</v>
      </c>
      <c r="Z205">
        <f>IF(AND(Table6[[#This Row],[pipeline]]="fma",W205="new"),290,0)</f>
        <v>0</v>
      </c>
      <c r="AK205" s="34"/>
    </row>
    <row r="206" spans="1:37" ht="17" x14ac:dyDescent="0.2">
      <c r="A206" s="31">
        <f>IF(Table6[[#This Row],[instruction]]&lt;&gt;"",MAX($A$6:A205)+1," ")</f>
        <v>201</v>
      </c>
      <c r="B206" s="32" t="s">
        <v>485</v>
      </c>
      <c r="C206" t="s">
        <v>45</v>
      </c>
      <c r="D206" s="31" t="s">
        <v>613</v>
      </c>
      <c r="E206" s="31" t="s">
        <v>8</v>
      </c>
      <c r="F206" s="31" t="s">
        <v>8</v>
      </c>
      <c r="G206" s="31" t="s">
        <v>502</v>
      </c>
      <c r="K206" s="2" t="str">
        <f t="shared" si="3"/>
        <v>fma</v>
      </c>
      <c r="L206" cm="1">
        <f t="array" ref="L2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06" t="str">
        <f>IF(OR(ISNUMBER(SEARCH("imad", Table6[[#This Row],[instruction]])), ISNUMBER(SEARCH("ffma", Table6[[#This Row],[instruction]])), ISNUMBER(SEARCH("fmul", Table6[[#This Row],[instruction]]))), "fma", "")</f>
        <v>fma</v>
      </c>
      <c r="P2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6" t="str">
        <f>IF(OR(ISNUMBER(SEARCH("s2r", Table6[[#This Row],[instruction]])),ISNUMBER(SEARCH("s2ur", Table6[[#This Row],[instruction]]))), "special", "")</f>
        <v/>
      </c>
      <c r="S206" t="str">
        <f>IF(OR(ISNUMBER(SEARCH("stg", Table6[[#This Row],[instruction]])),ISNUMBER(SEARCH("ldg", Table6[[#This Row],[instruction]]))), "global", "")</f>
        <v/>
      </c>
      <c r="T206" t="str">
        <f>IF(OR(ISNUMBER(SEARCH("sts", Table6[[#This Row],[instruction]])),ISNUMBER(SEARCH("lds", Table6[[#This Row],[instruction]]))), "shared", "")</f>
        <v/>
      </c>
      <c r="U206" t="str">
        <f>IF(OR(ISNUMBER(SEARCH("LDC", Table6[[#This Row],[instruction]]))), "ind. const", "")</f>
        <v/>
      </c>
      <c r="V2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Row],[s5]]))),U206=""), "cmb. const", "")</f>
        <v/>
      </c>
      <c r="Y206">
        <f>IF(Table6[[#This Row],[pipeline]]="fma",Table6[[#This Row],[delay]],0)</f>
        <v>4</v>
      </c>
      <c r="Z206">
        <f>IF(AND(Table6[[#This Row],[pipeline]]="fma",W206="new"),290,0)</f>
        <v>0</v>
      </c>
      <c r="AK206" s="34"/>
    </row>
    <row r="207" spans="1:37" ht="17" x14ac:dyDescent="0.2">
      <c r="A207" s="31">
        <f>IF(Table6[[#This Row],[instruction]]&lt;&gt;"",MAX($A$6:A206)+1," ")</f>
        <v>202</v>
      </c>
      <c r="B207" s="32" t="s">
        <v>485</v>
      </c>
      <c r="C207" t="s">
        <v>394</v>
      </c>
      <c r="D207" s="31" t="s">
        <v>614</v>
      </c>
      <c r="E207" s="31" t="s">
        <v>599</v>
      </c>
      <c r="K207" s="2" t="str">
        <f t="shared" si="3"/>
        <v>special</v>
      </c>
      <c r="L207" cm="1">
        <f t="array" ref="L2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07" t="str">
        <f>IF(OR(ISNUMBER(SEARCH("imad", Table6[[#This Row],[instruction]])), ISNUMBER(SEARCH("ffma", Table6[[#This Row],[instruction]])), ISNUMBER(SEARCH("fmul", Table6[[#This Row],[instruction]]))), "fma", "")</f>
        <v/>
      </c>
      <c r="P2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7" t="str">
        <f>IF(OR(ISNUMBER(SEARCH("s2r", Table6[[#This Row],[instruction]])),ISNUMBER(SEARCH("s2ur", Table6[[#This Row],[instruction]]))), "special", "")</f>
        <v>special</v>
      </c>
      <c r="S207" t="str">
        <f>IF(OR(ISNUMBER(SEARCH("stg", Table6[[#This Row],[instruction]])),ISNUMBER(SEARCH("ldg", Table6[[#This Row],[instruction]]))), "global", "")</f>
        <v/>
      </c>
      <c r="T207" t="str">
        <f>IF(OR(ISNUMBER(SEARCH("sts", Table6[[#This Row],[instruction]])),ISNUMBER(SEARCH("lds", Table6[[#This Row],[instruction]]))), "shared", "")</f>
        <v/>
      </c>
      <c r="U207" t="str">
        <f>IF(OR(ISNUMBER(SEARCH("LDC", Table6[[#This Row],[instruction]]))), "ind. const", "")</f>
        <v/>
      </c>
      <c r="V2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Row],[s5]]))),U207=""), "cmb. const", "")</f>
        <v/>
      </c>
      <c r="Y207">
        <f>IF(Table6[[#This Row],[pipeline]]="fma",Table6[[#This Row],[delay]],0)</f>
        <v>0</v>
      </c>
      <c r="Z207">
        <f>IF(AND(Table6[[#This Row],[pipeline]]="fma",W207="new"),290,0)</f>
        <v>0</v>
      </c>
      <c r="AK207" s="34"/>
    </row>
    <row r="208" spans="1:37" ht="17" x14ac:dyDescent="0.2">
      <c r="A208" s="31">
        <f>IF(Table6[[#This Row],[instruction]]&lt;&gt;"",MAX($A$6:A207)+1," ")</f>
        <v>203</v>
      </c>
      <c r="B208" s="32" t="s">
        <v>485</v>
      </c>
      <c r="C208" t="s">
        <v>277</v>
      </c>
      <c r="D208" s="31" t="s">
        <v>615</v>
      </c>
      <c r="E208" s="31" t="s">
        <v>616</v>
      </c>
      <c r="K208" s="2" t="str">
        <f t="shared" si="3"/>
        <v>shared</v>
      </c>
      <c r="L208" cm="1">
        <f t="array" ref="L2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08" t="str">
        <f>IF(OR(ISNUMBER(SEARCH("imad", Table6[[#This Row],[instruction]])), ISNUMBER(SEARCH("ffma", Table6[[#This Row],[instruction]])), ISNUMBER(SEARCH("fmul", Table6[[#This Row],[instruction]]))), "fma", "")</f>
        <v/>
      </c>
      <c r="P2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8" t="str">
        <f>IF(OR(ISNUMBER(SEARCH("s2r", Table6[[#This Row],[instruction]])),ISNUMBER(SEARCH("s2ur", Table6[[#This Row],[instruction]]))), "special", "")</f>
        <v/>
      </c>
      <c r="S208" t="str">
        <f>IF(OR(ISNUMBER(SEARCH("stg", Table6[[#This Row],[instruction]])),ISNUMBER(SEARCH("ldg", Table6[[#This Row],[instruction]]))), "global", "")</f>
        <v/>
      </c>
      <c r="T208" t="str">
        <f>IF(OR(ISNUMBER(SEARCH("sts", Table6[[#This Row],[instruction]])),ISNUMBER(SEARCH("lds", Table6[[#This Row],[instruction]]))), "shared", "")</f>
        <v>shared</v>
      </c>
      <c r="U208" t="str">
        <f>IF(OR(ISNUMBER(SEARCH("LDC", Table6[[#This Row],[instruction]]))), "ind. const", "")</f>
        <v/>
      </c>
      <c r="V2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Row],[s5]]))),U208=""), "cmb. const", "")</f>
        <v/>
      </c>
      <c r="Y208">
        <f>IF(Table6[[#This Row],[pipeline]]="fma",Table6[[#This Row],[delay]],0)</f>
        <v>0</v>
      </c>
      <c r="Z208">
        <f>IF(AND(Table6[[#This Row],[pipeline]]="fma",W208="new"),290,0)</f>
        <v>0</v>
      </c>
      <c r="AK208" s="34"/>
    </row>
    <row r="209" spans="1:37" ht="17" x14ac:dyDescent="0.2">
      <c r="A209" s="31">
        <f>IF(Table6[[#This Row],[instruction]]&lt;&gt;"",MAX($A$6:A208)+1," ")</f>
        <v>204</v>
      </c>
      <c r="B209" s="32" t="s">
        <v>485</v>
      </c>
      <c r="C209" t="s">
        <v>394</v>
      </c>
      <c r="D209" s="31" t="s">
        <v>80</v>
      </c>
      <c r="E209" s="31" t="s">
        <v>599</v>
      </c>
      <c r="K209" s="2" t="str">
        <f t="shared" si="3"/>
        <v>special</v>
      </c>
      <c r="L209" cm="1">
        <f t="array" ref="L2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09" t="str">
        <f>IF(OR(ISNUMBER(SEARCH("imad", Table6[[#This Row],[instruction]])), ISNUMBER(SEARCH("ffma", Table6[[#This Row],[instruction]])), ISNUMBER(SEARCH("fmul", Table6[[#This Row],[instruction]]))), "fma", "")</f>
        <v/>
      </c>
      <c r="P2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09" t="str">
        <f>IF(OR(ISNUMBER(SEARCH("s2r", Table6[[#This Row],[instruction]])),ISNUMBER(SEARCH("s2ur", Table6[[#This Row],[instruction]]))), "special", "")</f>
        <v>special</v>
      </c>
      <c r="S209" t="str">
        <f>IF(OR(ISNUMBER(SEARCH("stg", Table6[[#This Row],[instruction]])),ISNUMBER(SEARCH("ldg", Table6[[#This Row],[instruction]]))), "global", "")</f>
        <v/>
      </c>
      <c r="T209" t="str">
        <f>IF(OR(ISNUMBER(SEARCH("sts", Table6[[#This Row],[instruction]])),ISNUMBER(SEARCH("lds", Table6[[#This Row],[instruction]]))), "shared", "")</f>
        <v/>
      </c>
      <c r="U209" t="str">
        <f>IF(OR(ISNUMBER(SEARCH("LDC", Table6[[#This Row],[instruction]]))), "ind. const", "")</f>
        <v/>
      </c>
      <c r="V2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Row],[s5]]))),U209=""), "cmb. const", "")</f>
        <v/>
      </c>
      <c r="Y209">
        <f>IF(Table6[[#This Row],[pipeline]]="fma",Table6[[#This Row],[delay]],0)</f>
        <v>0</v>
      </c>
      <c r="Z209">
        <f>IF(AND(Table6[[#This Row],[pipeline]]="fma",W209="new"),290,0)</f>
        <v>0</v>
      </c>
      <c r="AK209" s="34"/>
    </row>
    <row r="210" spans="1:37" ht="17" x14ac:dyDescent="0.2">
      <c r="A210" s="31">
        <f>IF(Table6[[#This Row],[instruction]]&lt;&gt;"",MAX($A$6:A209)+1," ")</f>
        <v>205</v>
      </c>
      <c r="B210" s="32" t="s">
        <v>485</v>
      </c>
      <c r="C210" t="s">
        <v>277</v>
      </c>
      <c r="D210" s="31" t="s">
        <v>617</v>
      </c>
      <c r="E210" s="31" t="s">
        <v>618</v>
      </c>
      <c r="K210" s="2" t="str">
        <f t="shared" si="3"/>
        <v>shared</v>
      </c>
      <c r="L210" cm="1">
        <f t="array" ref="L2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10" t="str">
        <f>IF(OR(ISNUMBER(SEARCH("imad", Table6[[#This Row],[instruction]])), ISNUMBER(SEARCH("ffma", Table6[[#This Row],[instruction]])), ISNUMBER(SEARCH("fmul", Table6[[#This Row],[instruction]]))), "fma", "")</f>
        <v/>
      </c>
      <c r="P2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0" t="str">
        <f>IF(OR(ISNUMBER(SEARCH("s2r", Table6[[#This Row],[instruction]])),ISNUMBER(SEARCH("s2ur", Table6[[#This Row],[instruction]]))), "special", "")</f>
        <v/>
      </c>
      <c r="S210" t="str">
        <f>IF(OR(ISNUMBER(SEARCH("stg", Table6[[#This Row],[instruction]])),ISNUMBER(SEARCH("ldg", Table6[[#This Row],[instruction]]))), "global", "")</f>
        <v/>
      </c>
      <c r="T210" t="str">
        <f>IF(OR(ISNUMBER(SEARCH("sts", Table6[[#This Row],[instruction]])),ISNUMBER(SEARCH("lds", Table6[[#This Row],[instruction]]))), "shared", "")</f>
        <v>shared</v>
      </c>
      <c r="U210" t="str">
        <f>IF(OR(ISNUMBER(SEARCH("LDC", Table6[[#This Row],[instruction]]))), "ind. const", "")</f>
        <v/>
      </c>
      <c r="V2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Row],[s5]]))),U210=""), "cmb. const", "")</f>
        <v/>
      </c>
      <c r="Y210">
        <f>IF(Table6[[#This Row],[pipeline]]="fma",Table6[[#This Row],[delay]],0)</f>
        <v>0</v>
      </c>
      <c r="Z210">
        <f>IF(AND(Table6[[#This Row],[pipeline]]="fma",W210="new"),290,0)</f>
        <v>0</v>
      </c>
      <c r="AK210" s="34"/>
    </row>
    <row r="211" spans="1:37" ht="17" x14ac:dyDescent="0.2">
      <c r="A211" s="31">
        <f>IF(Table6[[#This Row],[instruction]]&lt;&gt;"",MAX($A$6:A210)+1," ")</f>
        <v>206</v>
      </c>
      <c r="B211" s="32" t="s">
        <v>485</v>
      </c>
      <c r="C211" t="s">
        <v>277</v>
      </c>
      <c r="D211" s="31" t="s">
        <v>619</v>
      </c>
      <c r="E211" s="31" t="s">
        <v>620</v>
      </c>
      <c r="K211" s="2" t="str">
        <f t="shared" si="3"/>
        <v>shared</v>
      </c>
      <c r="L211" cm="1">
        <f t="array" ref="L2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11" t="str">
        <f>IF(OR(ISNUMBER(SEARCH("imad", Table6[[#This Row],[instruction]])), ISNUMBER(SEARCH("ffma", Table6[[#This Row],[instruction]])), ISNUMBER(SEARCH("fmul", Table6[[#This Row],[instruction]]))), "fma", "")</f>
        <v/>
      </c>
      <c r="P2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1" t="str">
        <f>IF(OR(ISNUMBER(SEARCH("s2r", Table6[[#This Row],[instruction]])),ISNUMBER(SEARCH("s2ur", Table6[[#This Row],[instruction]]))), "special", "")</f>
        <v/>
      </c>
      <c r="S211" t="str">
        <f>IF(OR(ISNUMBER(SEARCH("stg", Table6[[#This Row],[instruction]])),ISNUMBER(SEARCH("ldg", Table6[[#This Row],[instruction]]))), "global", "")</f>
        <v/>
      </c>
      <c r="T211" t="str">
        <f>IF(OR(ISNUMBER(SEARCH("sts", Table6[[#This Row],[instruction]])),ISNUMBER(SEARCH("lds", Table6[[#This Row],[instruction]]))), "shared", "")</f>
        <v>shared</v>
      </c>
      <c r="U211" t="str">
        <f>IF(OR(ISNUMBER(SEARCH("LDC", Table6[[#This Row],[instruction]]))), "ind. const", "")</f>
        <v/>
      </c>
      <c r="V2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Row],[s5]]))),U211=""), "cmb. const", "")</f>
        <v/>
      </c>
      <c r="Y211">
        <f>IF(Table6[[#This Row],[pipeline]]="fma",Table6[[#This Row],[delay]],0)</f>
        <v>0</v>
      </c>
      <c r="Z211">
        <f>IF(AND(Table6[[#This Row],[pipeline]]="fma",W211="new"),290,0)</f>
        <v>0</v>
      </c>
      <c r="AK211" s="34"/>
    </row>
    <row r="212" spans="1:37" ht="17" x14ac:dyDescent="0.2">
      <c r="A212" s="31">
        <f>IF(Table6[[#This Row],[instruction]]&lt;&gt;"",MAX($A$6:A211)+1," ")</f>
        <v>207</v>
      </c>
      <c r="B212" s="32" t="s">
        <v>485</v>
      </c>
      <c r="C212" t="s">
        <v>277</v>
      </c>
      <c r="D212" s="31" t="s">
        <v>621</v>
      </c>
      <c r="E212" s="31" t="s">
        <v>622</v>
      </c>
      <c r="K212" s="2" t="str">
        <f t="shared" si="3"/>
        <v>shared</v>
      </c>
      <c r="L212" cm="1">
        <f t="array" ref="L2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212" t="str">
        <f>IF(OR(ISNUMBER(SEARCH("imad", Table6[[#This Row],[instruction]])), ISNUMBER(SEARCH("ffma", Table6[[#This Row],[instruction]])), ISNUMBER(SEARCH("fmul", Table6[[#This Row],[instruction]]))), "fma", "")</f>
        <v/>
      </c>
      <c r="P2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2" t="str">
        <f>IF(OR(ISNUMBER(SEARCH("s2r", Table6[[#This Row],[instruction]])),ISNUMBER(SEARCH("s2ur", Table6[[#This Row],[instruction]]))), "special", "")</f>
        <v/>
      </c>
      <c r="S212" t="str">
        <f>IF(OR(ISNUMBER(SEARCH("stg", Table6[[#This Row],[instruction]])),ISNUMBER(SEARCH("ldg", Table6[[#This Row],[instruction]]))), "global", "")</f>
        <v/>
      </c>
      <c r="T212" t="str">
        <f>IF(OR(ISNUMBER(SEARCH("sts", Table6[[#This Row],[instruction]])),ISNUMBER(SEARCH("lds", Table6[[#This Row],[instruction]]))), "shared", "")</f>
        <v>shared</v>
      </c>
      <c r="U212" t="str">
        <f>IF(OR(ISNUMBER(SEARCH("LDC", Table6[[#This Row],[instruction]]))), "ind. const", "")</f>
        <v/>
      </c>
      <c r="V2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Row],[s5]]))),U212=""), "cmb. const", "")</f>
        <v/>
      </c>
      <c r="Y212">
        <f>IF(Table6[[#This Row],[pipeline]]="fma",Table6[[#This Row],[delay]],0)</f>
        <v>0</v>
      </c>
      <c r="Z212">
        <f>IF(AND(Table6[[#This Row],[pipeline]]="fma",W212="new"),290,0)</f>
        <v>0</v>
      </c>
      <c r="AK212" s="34"/>
    </row>
    <row r="213" spans="1:37" ht="17" x14ac:dyDescent="0.2">
      <c r="A213" s="31">
        <f>IF(Table6[[#This Row],[instruction]]&lt;&gt;"",MAX($A$6:A212)+1," ")</f>
        <v>208</v>
      </c>
      <c r="B213" s="32" t="s">
        <v>485</v>
      </c>
      <c r="C213" t="s">
        <v>452</v>
      </c>
      <c r="D213" s="31" t="s">
        <v>623</v>
      </c>
      <c r="K213" s="2" t="str">
        <f t="shared" si="3"/>
        <v>cba</v>
      </c>
      <c r="L213" cm="1">
        <f t="array" ref="L2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13" t="str">
        <f>IF(OR(ISNUMBER(SEARCH("imad", Table6[[#This Row],[instruction]])), ISNUMBER(SEARCH("ffma", Table6[[#This Row],[instruction]])), ISNUMBER(SEARCH("fmul", Table6[[#This Row],[instruction]]))), "fma", "")</f>
        <v/>
      </c>
      <c r="P2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213" t="str">
        <f>IF(OR(ISNUMBER(SEARCH("s2r", Table6[[#This Row],[instruction]])),ISNUMBER(SEARCH("s2ur", Table6[[#This Row],[instruction]]))), "special", "")</f>
        <v/>
      </c>
      <c r="S213" t="str">
        <f>IF(OR(ISNUMBER(SEARCH("stg", Table6[[#This Row],[instruction]])),ISNUMBER(SEARCH("ldg", Table6[[#This Row],[instruction]]))), "global", "")</f>
        <v/>
      </c>
      <c r="T213" t="str">
        <f>IF(OR(ISNUMBER(SEARCH("sts", Table6[[#This Row],[instruction]])),ISNUMBER(SEARCH("lds", Table6[[#This Row],[instruction]]))), "shared", "")</f>
        <v/>
      </c>
      <c r="U213" t="str">
        <f>IF(OR(ISNUMBER(SEARCH("LDC", Table6[[#This Row],[instruction]]))), "ind. const", "")</f>
        <v/>
      </c>
      <c r="V2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Row],[s5]]))),U213=""), "cmb. const", "")</f>
        <v/>
      </c>
      <c r="Y213">
        <f>IF(Table6[[#This Row],[pipeline]]="fma",Table6[[#This Row],[delay]],0)</f>
        <v>0</v>
      </c>
      <c r="Z213">
        <f>IF(AND(Table6[[#This Row],[pipeline]]="fma",W213="new"),290,0)</f>
        <v>0</v>
      </c>
      <c r="AK213" s="34"/>
    </row>
    <row r="214" spans="1:37" ht="17" x14ac:dyDescent="0.2">
      <c r="A214" s="31">
        <f>IF(Table6[[#This Row],[instruction]]&lt;&gt;"",MAX($A$6:A213)+1," ")</f>
        <v>209</v>
      </c>
      <c r="B214" s="32" t="s">
        <v>580</v>
      </c>
      <c r="C214" t="s">
        <v>359</v>
      </c>
      <c r="D214" s="31" t="s">
        <v>624</v>
      </c>
      <c r="K214" s="2" t="str">
        <f t="shared" si="3"/>
        <v>cba</v>
      </c>
      <c r="L214" cm="1">
        <f t="array" ref="L2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214" t="s">
        <v>770</v>
      </c>
      <c r="O214" t="str">
        <f>IF(OR(ISNUMBER(SEARCH("imad", Table6[[#This Row],[instruction]])), ISNUMBER(SEARCH("ffma", Table6[[#This Row],[instruction]])), ISNUMBER(SEARCH("fmul", Table6[[#This Row],[instruction]]))), "fma", "")</f>
        <v/>
      </c>
      <c r="P2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214" t="str">
        <f>IF(OR(ISNUMBER(SEARCH("s2r", Table6[[#This Row],[instruction]])),ISNUMBER(SEARCH("s2ur", Table6[[#This Row],[instruction]]))), "special", "")</f>
        <v/>
      </c>
      <c r="S214" t="str">
        <f>IF(OR(ISNUMBER(SEARCH("stg", Table6[[#This Row],[instruction]])),ISNUMBER(SEARCH("ldg", Table6[[#This Row],[instruction]]))), "global", "")</f>
        <v/>
      </c>
      <c r="T214" t="str">
        <f>IF(OR(ISNUMBER(SEARCH("sts", Table6[[#This Row],[instruction]])),ISNUMBER(SEARCH("lds", Table6[[#This Row],[instruction]]))), "shared", "")</f>
        <v/>
      </c>
      <c r="U214" t="str">
        <f>IF(OR(ISNUMBER(SEARCH("LDC", Table6[[#This Row],[instruction]]))), "ind. const", "")</f>
        <v/>
      </c>
      <c r="V2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Row],[s5]]))),U214=""), "cmb. const", "")</f>
        <v/>
      </c>
      <c r="Y214">
        <f>IF(Table6[[#This Row],[pipeline]]="fma",Table6[[#This Row],[delay]],0)</f>
        <v>0</v>
      </c>
      <c r="Z214">
        <f>IF(AND(Table6[[#This Row],[pipeline]]="fma",W214="new"),290,0)</f>
        <v>0</v>
      </c>
      <c r="AK214" s="34"/>
    </row>
    <row r="215" spans="1:37" ht="17" x14ac:dyDescent="0.2">
      <c r="A215" s="31">
        <f>IF(Table6[[#This Row],[instruction]]&lt;&gt;"",MAX($A$6:A214)+1," ")</f>
        <v>210</v>
      </c>
      <c r="B215" s="32" t="s">
        <v>485</v>
      </c>
      <c r="C215" t="s">
        <v>45</v>
      </c>
      <c r="D215" s="31" t="s">
        <v>4</v>
      </c>
      <c r="E215" s="31" t="s">
        <v>8</v>
      </c>
      <c r="F215" s="31" t="s">
        <v>8</v>
      </c>
      <c r="G215" s="31" t="s">
        <v>535</v>
      </c>
      <c r="K215" s="2" t="str">
        <f t="shared" si="3"/>
        <v>fma</v>
      </c>
      <c r="L215" cm="1">
        <f t="array" ref="L2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15" t="str">
        <f>IF(OR(ISNUMBER(SEARCH("imad", Table6[[#This Row],[instruction]])), ISNUMBER(SEARCH("ffma", Table6[[#This Row],[instruction]])), ISNUMBER(SEARCH("fmul", Table6[[#This Row],[instruction]]))), "fma", "")</f>
        <v>fma</v>
      </c>
      <c r="P2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5" t="str">
        <f>IF(OR(ISNUMBER(SEARCH("s2r", Table6[[#This Row],[instruction]])),ISNUMBER(SEARCH("s2ur", Table6[[#This Row],[instruction]]))), "special", "")</f>
        <v/>
      </c>
      <c r="S215" t="str">
        <f>IF(OR(ISNUMBER(SEARCH("stg", Table6[[#This Row],[instruction]])),ISNUMBER(SEARCH("ldg", Table6[[#This Row],[instruction]]))), "global", "")</f>
        <v/>
      </c>
      <c r="T215" t="str">
        <f>IF(OR(ISNUMBER(SEARCH("sts", Table6[[#This Row],[instruction]])),ISNUMBER(SEARCH("lds", Table6[[#This Row],[instruction]]))), "shared", "")</f>
        <v/>
      </c>
      <c r="U215" t="str">
        <f>IF(OR(ISNUMBER(SEARCH("LDC", Table6[[#This Row],[instruction]]))), "ind. const", "")</f>
        <v/>
      </c>
      <c r="V2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Row],[s5]]))),U215=""), "cmb. const", "")</f>
        <v>cmb. const</v>
      </c>
      <c r="W215" s="2" t="s">
        <v>481</v>
      </c>
      <c r="Y215">
        <f>IF(Table6[[#This Row],[pipeline]]="fma",Table6[[#This Row],[delay]],0)</f>
        <v>4</v>
      </c>
      <c r="Z215">
        <f>IF(AND(Table6[[#This Row],[pipeline]]="fma",W215="new"),290,0)</f>
        <v>0</v>
      </c>
      <c r="AK215" s="34"/>
    </row>
    <row r="216" spans="1:37" ht="17" x14ac:dyDescent="0.2">
      <c r="A216" s="31">
        <f>IF(Table6[[#This Row],[instruction]]&lt;&gt;"",MAX($A$6:A215)+1," ")</f>
        <v>211</v>
      </c>
      <c r="B216" s="32" t="s">
        <v>485</v>
      </c>
      <c r="C216" t="s">
        <v>47</v>
      </c>
      <c r="D216" s="31" t="s">
        <v>60</v>
      </c>
      <c r="E216" s="31" t="s">
        <v>12</v>
      </c>
      <c r="F216" s="31" t="s">
        <v>53</v>
      </c>
      <c r="G216" s="31" t="s">
        <v>502</v>
      </c>
      <c r="K216" s="2" t="str">
        <f t="shared" si="3"/>
        <v>alu</v>
      </c>
      <c r="L216" cm="1">
        <f t="array" ref="L2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16" t="str">
        <f>IF(OR(ISNUMBER(SEARCH("imad", Table6[[#This Row],[instruction]])), ISNUMBER(SEARCH("ffma", Table6[[#This Row],[instruction]])), ISNUMBER(SEARCH("fmul", Table6[[#This Row],[instruction]]))), "fma", "")</f>
        <v/>
      </c>
      <c r="P2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6" t="str">
        <f>IF(OR(ISNUMBER(SEARCH("s2r", Table6[[#This Row],[instruction]])),ISNUMBER(SEARCH("s2ur", Table6[[#This Row],[instruction]]))), "special", "")</f>
        <v/>
      </c>
      <c r="S216" t="str">
        <f>IF(OR(ISNUMBER(SEARCH("stg", Table6[[#This Row],[instruction]])),ISNUMBER(SEARCH("ldg", Table6[[#This Row],[instruction]]))), "global", "")</f>
        <v/>
      </c>
      <c r="T216" t="str">
        <f>IF(OR(ISNUMBER(SEARCH("sts", Table6[[#This Row],[instruction]])),ISNUMBER(SEARCH("lds", Table6[[#This Row],[instruction]]))), "shared", "")</f>
        <v/>
      </c>
      <c r="U216" t="str">
        <f>IF(OR(ISNUMBER(SEARCH("LDC", Table6[[#This Row],[instruction]]))), "ind. const", "")</f>
        <v/>
      </c>
      <c r="V2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Row],[s5]]))),U216=""), "cmb. const", "")</f>
        <v/>
      </c>
      <c r="Y216">
        <f>IF(Table6[[#This Row],[pipeline]]="fma",Table6[[#This Row],[delay]],0)</f>
        <v>0</v>
      </c>
      <c r="Z216">
        <f>IF(AND(Table6[[#This Row],[pipeline]]="fma",W216="new"),290,0)</f>
        <v>0</v>
      </c>
      <c r="AK216" s="34"/>
    </row>
    <row r="217" spans="1:37" ht="17" x14ac:dyDescent="0.2">
      <c r="A217" s="31">
        <f>IF(Table6[[#This Row],[instruction]]&lt;&gt;"",MAX($A$6:A216)+1," ")</f>
        <v>212</v>
      </c>
      <c r="B217" s="32" t="s">
        <v>485</v>
      </c>
      <c r="C217" t="s">
        <v>394</v>
      </c>
      <c r="D217" s="31" t="s">
        <v>598</v>
      </c>
      <c r="E217" s="31" t="s">
        <v>599</v>
      </c>
      <c r="K217" s="2" t="str">
        <f t="shared" si="3"/>
        <v>special</v>
      </c>
      <c r="L217" cm="1">
        <f t="array" ref="L2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17" t="str">
        <f>IF(OR(ISNUMBER(SEARCH("imad", Table6[[#This Row],[instruction]])), ISNUMBER(SEARCH("ffma", Table6[[#This Row],[instruction]])), ISNUMBER(SEARCH("fmul", Table6[[#This Row],[instruction]]))), "fma", "")</f>
        <v/>
      </c>
      <c r="P2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7" t="str">
        <f>IF(OR(ISNUMBER(SEARCH("s2r", Table6[[#This Row],[instruction]])),ISNUMBER(SEARCH("s2ur", Table6[[#This Row],[instruction]]))), "special", "")</f>
        <v>special</v>
      </c>
      <c r="S217" t="str">
        <f>IF(OR(ISNUMBER(SEARCH("stg", Table6[[#This Row],[instruction]])),ISNUMBER(SEARCH("ldg", Table6[[#This Row],[instruction]]))), "global", "")</f>
        <v/>
      </c>
      <c r="T217" t="str">
        <f>IF(OR(ISNUMBER(SEARCH("sts", Table6[[#This Row],[instruction]])),ISNUMBER(SEARCH("lds", Table6[[#This Row],[instruction]]))), "shared", "")</f>
        <v/>
      </c>
      <c r="U217" t="str">
        <f>IF(OR(ISNUMBER(SEARCH("LDC", Table6[[#This Row],[instruction]]))), "ind. const", "")</f>
        <v/>
      </c>
      <c r="V2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Row],[s5]]))),U217=""), "cmb. const", "")</f>
        <v/>
      </c>
      <c r="Y217">
        <f>IF(Table6[[#This Row],[pipeline]]="fma",Table6[[#This Row],[delay]],0)</f>
        <v>0</v>
      </c>
      <c r="Z217">
        <f>IF(AND(Table6[[#This Row],[pipeline]]="fma",W217="new"),290,0)</f>
        <v>0</v>
      </c>
      <c r="AK217" s="34"/>
    </row>
    <row r="218" spans="1:37" ht="17" x14ac:dyDescent="0.2">
      <c r="A218" s="31">
        <f>IF(Table6[[#This Row],[instruction]]&lt;&gt;"",MAX($A$6:A217)+1," ")</f>
        <v>213</v>
      </c>
      <c r="B218" s="32" t="s">
        <v>485</v>
      </c>
      <c r="C218" t="s">
        <v>200</v>
      </c>
      <c r="D218" s="31" t="s">
        <v>61</v>
      </c>
      <c r="E218" s="31" t="s">
        <v>46</v>
      </c>
      <c r="F218" s="31" t="s">
        <v>625</v>
      </c>
      <c r="G218" s="31" t="s">
        <v>548</v>
      </c>
      <c r="K218" s="2" t="str">
        <f t="shared" si="3"/>
        <v>alu</v>
      </c>
      <c r="L218" cm="1">
        <f t="array" ref="L2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218" t="str">
        <f>IF(OR(ISNUMBER(SEARCH("imad", Table6[[#This Row],[instruction]])), ISNUMBER(SEARCH("ffma", Table6[[#This Row],[instruction]])), ISNUMBER(SEARCH("fmul", Table6[[#This Row],[instruction]]))), "fma", "")</f>
        <v/>
      </c>
      <c r="P2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8" t="str">
        <f>IF(OR(ISNUMBER(SEARCH("s2r", Table6[[#This Row],[instruction]])),ISNUMBER(SEARCH("s2ur", Table6[[#This Row],[instruction]]))), "special", "")</f>
        <v/>
      </c>
      <c r="S218" t="str">
        <f>IF(OR(ISNUMBER(SEARCH("stg", Table6[[#This Row],[instruction]])),ISNUMBER(SEARCH("ldg", Table6[[#This Row],[instruction]]))), "global", "")</f>
        <v/>
      </c>
      <c r="T218" t="str">
        <f>IF(OR(ISNUMBER(SEARCH("sts", Table6[[#This Row],[instruction]])),ISNUMBER(SEARCH("lds", Table6[[#This Row],[instruction]]))), "shared", "")</f>
        <v/>
      </c>
      <c r="U218" t="str">
        <f>IF(OR(ISNUMBER(SEARCH("LDC", Table6[[#This Row],[instruction]]))), "ind. const", "")</f>
        <v/>
      </c>
      <c r="V2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Row],[s5]]))),U218=""), "cmb. const", "")</f>
        <v/>
      </c>
      <c r="Y218">
        <f>IF(Table6[[#This Row],[pipeline]]="fma",Table6[[#This Row],[delay]],0)</f>
        <v>0</v>
      </c>
      <c r="Z218">
        <f>IF(AND(Table6[[#This Row],[pipeline]]="fma",W218="new"),290,0)</f>
        <v>0</v>
      </c>
      <c r="AK218" s="34"/>
    </row>
    <row r="219" spans="1:37" ht="17" x14ac:dyDescent="0.2">
      <c r="A219" s="31">
        <f>IF(Table6[[#This Row],[instruction]]&lt;&gt;"",MAX($A$6:A218)+1," ")</f>
        <v>214</v>
      </c>
      <c r="B219" s="32" t="s">
        <v>485</v>
      </c>
      <c r="C219" t="s">
        <v>45</v>
      </c>
      <c r="D219" s="31" t="s">
        <v>597</v>
      </c>
      <c r="E219" s="31" t="s">
        <v>8</v>
      </c>
      <c r="F219" s="31" t="s">
        <v>8</v>
      </c>
      <c r="G219" s="31" t="s">
        <v>502</v>
      </c>
      <c r="K219" s="2" t="str">
        <f t="shared" si="3"/>
        <v>fma</v>
      </c>
      <c r="L219" cm="1">
        <f t="array" ref="L2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19" t="str">
        <f>IF(OR(ISNUMBER(SEARCH("imad", Table6[[#This Row],[instruction]])), ISNUMBER(SEARCH("ffma", Table6[[#This Row],[instruction]])), ISNUMBER(SEARCH("fmul", Table6[[#This Row],[instruction]]))), "fma", "")</f>
        <v>fma</v>
      </c>
      <c r="P2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19" t="str">
        <f>IF(OR(ISNUMBER(SEARCH("s2r", Table6[[#This Row],[instruction]])),ISNUMBER(SEARCH("s2ur", Table6[[#This Row],[instruction]]))), "special", "")</f>
        <v/>
      </c>
      <c r="S219" t="str">
        <f>IF(OR(ISNUMBER(SEARCH("stg", Table6[[#This Row],[instruction]])),ISNUMBER(SEARCH("ldg", Table6[[#This Row],[instruction]]))), "global", "")</f>
        <v/>
      </c>
      <c r="T219" t="str">
        <f>IF(OR(ISNUMBER(SEARCH("sts", Table6[[#This Row],[instruction]])),ISNUMBER(SEARCH("lds", Table6[[#This Row],[instruction]]))), "shared", "")</f>
        <v/>
      </c>
      <c r="U219" t="str">
        <f>IF(OR(ISNUMBER(SEARCH("LDC", Table6[[#This Row],[instruction]]))), "ind. const", "")</f>
        <v/>
      </c>
      <c r="V2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Row],[s5]]))),U219=""), "cmb. const", "")</f>
        <v/>
      </c>
      <c r="Y219">
        <f>IF(Table6[[#This Row],[pipeline]]="fma",Table6[[#This Row],[delay]],0)</f>
        <v>4</v>
      </c>
      <c r="Z219">
        <f>IF(AND(Table6[[#This Row],[pipeline]]="fma",W219="new"),290,0)</f>
        <v>0</v>
      </c>
      <c r="AK219" s="34"/>
    </row>
    <row r="220" spans="1:37" ht="17" x14ac:dyDescent="0.2">
      <c r="A220" s="31">
        <f>IF(Table6[[#This Row],[instruction]]&lt;&gt;"",MAX($A$6:A219)+1," ")</f>
        <v>215</v>
      </c>
      <c r="B220" s="32" t="s">
        <v>485</v>
      </c>
      <c r="C220" t="s">
        <v>463</v>
      </c>
      <c r="D220" s="31" t="s">
        <v>531</v>
      </c>
      <c r="E220" s="31" t="s">
        <v>51</v>
      </c>
      <c r="F220" s="31" t="s">
        <v>4</v>
      </c>
      <c r="G220" s="31" t="s">
        <v>75</v>
      </c>
      <c r="H220" s="31" t="s">
        <v>494</v>
      </c>
      <c r="K220" s="2" t="str">
        <f t="shared" si="3"/>
        <v>alu</v>
      </c>
      <c r="L220" cm="1">
        <f t="array" ref="L2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20" t="str">
        <f>IF(OR(ISNUMBER(SEARCH("imad", Table6[[#This Row],[instruction]])), ISNUMBER(SEARCH("ffma", Table6[[#This Row],[instruction]])), ISNUMBER(SEARCH("fmul", Table6[[#This Row],[instruction]]))), "fma", "")</f>
        <v/>
      </c>
      <c r="P2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0" t="str">
        <f>IF(OR(ISNUMBER(SEARCH("s2r", Table6[[#This Row],[instruction]])),ISNUMBER(SEARCH("s2ur", Table6[[#This Row],[instruction]]))), "special", "")</f>
        <v/>
      </c>
      <c r="S220" t="str">
        <f>IF(OR(ISNUMBER(SEARCH("stg", Table6[[#This Row],[instruction]])),ISNUMBER(SEARCH("ldg", Table6[[#This Row],[instruction]]))), "global", "")</f>
        <v/>
      </c>
      <c r="T220" t="str">
        <f>IF(OR(ISNUMBER(SEARCH("sts", Table6[[#This Row],[instruction]])),ISNUMBER(SEARCH("lds", Table6[[#This Row],[instruction]]))), "shared", "")</f>
        <v/>
      </c>
      <c r="U220" t="str">
        <f>IF(OR(ISNUMBER(SEARCH("LDC", Table6[[#This Row],[instruction]]))), "ind. const", "")</f>
        <v/>
      </c>
      <c r="V2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Row],[s5]]))),U220=""), "cmb. const", "")</f>
        <v/>
      </c>
      <c r="Y220">
        <f>IF(Table6[[#This Row],[pipeline]]="fma",Table6[[#This Row],[delay]],0)</f>
        <v>0</v>
      </c>
      <c r="Z220">
        <f>IF(AND(Table6[[#This Row],[pipeline]]="fma",W220="new"),290,0)</f>
        <v>0</v>
      </c>
      <c r="AK220" s="34"/>
    </row>
    <row r="221" spans="1:37" ht="17" x14ac:dyDescent="0.2">
      <c r="A221" s="31">
        <f>IF(Table6[[#This Row],[instruction]]&lt;&gt;"",MAX($A$6:A220)+1," ")</f>
        <v>216</v>
      </c>
      <c r="B221" s="32" t="s">
        <v>485</v>
      </c>
      <c r="C221" t="s">
        <v>394</v>
      </c>
      <c r="D221" s="31" t="s">
        <v>605</v>
      </c>
      <c r="E221" s="31" t="s">
        <v>599</v>
      </c>
      <c r="K221" s="2" t="str">
        <f t="shared" si="3"/>
        <v>special</v>
      </c>
      <c r="L221" cm="1">
        <f t="array" ref="L2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21" t="str">
        <f>IF(OR(ISNUMBER(SEARCH("imad", Table6[[#This Row],[instruction]])), ISNUMBER(SEARCH("ffma", Table6[[#This Row],[instruction]])), ISNUMBER(SEARCH("fmul", Table6[[#This Row],[instruction]]))), "fma", "")</f>
        <v/>
      </c>
      <c r="P2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1" t="str">
        <f>IF(OR(ISNUMBER(SEARCH("s2r", Table6[[#This Row],[instruction]])),ISNUMBER(SEARCH("s2ur", Table6[[#This Row],[instruction]]))), "special", "")</f>
        <v>special</v>
      </c>
      <c r="S221" t="str">
        <f>IF(OR(ISNUMBER(SEARCH("stg", Table6[[#This Row],[instruction]])),ISNUMBER(SEARCH("ldg", Table6[[#This Row],[instruction]]))), "global", "")</f>
        <v/>
      </c>
      <c r="T221" t="str">
        <f>IF(OR(ISNUMBER(SEARCH("sts", Table6[[#This Row],[instruction]])),ISNUMBER(SEARCH("lds", Table6[[#This Row],[instruction]]))), "shared", "")</f>
        <v/>
      </c>
      <c r="U221" t="str">
        <f>IF(OR(ISNUMBER(SEARCH("LDC", Table6[[#This Row],[instruction]]))), "ind. const", "")</f>
        <v/>
      </c>
      <c r="V2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Row],[s5]]))),U221=""), "cmb. const", "")</f>
        <v/>
      </c>
      <c r="Y221">
        <f>IF(Table6[[#This Row],[pipeline]]="fma",Table6[[#This Row],[delay]],0)</f>
        <v>0</v>
      </c>
      <c r="Z221">
        <f>IF(AND(Table6[[#This Row],[pipeline]]="fma",W221="new"),290,0)</f>
        <v>0</v>
      </c>
      <c r="AK221" s="34"/>
    </row>
    <row r="222" spans="1:37" ht="17" x14ac:dyDescent="0.2">
      <c r="A222" s="31">
        <f>IF(Table6[[#This Row],[instruction]]&lt;&gt;"",MAX($A$6:A221)+1," ")</f>
        <v>217</v>
      </c>
      <c r="B222" s="32" t="s">
        <v>485</v>
      </c>
      <c r="C222" t="s">
        <v>0</v>
      </c>
      <c r="D222" s="31" t="s">
        <v>604</v>
      </c>
      <c r="E222" s="31" t="s">
        <v>502</v>
      </c>
      <c r="K222" s="2" t="s">
        <v>95</v>
      </c>
      <c r="L222" cm="1">
        <f t="array" ref="L2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22" t="str">
        <f>IF(OR(ISNUMBER(SEARCH("imad", Table6[[#This Row],[instruction]])), ISNUMBER(SEARCH("ffma", Table6[[#This Row],[instruction]])), ISNUMBER(SEARCH("fmul", Table6[[#This Row],[instruction]]))), "fma", "")</f>
        <v/>
      </c>
      <c r="P2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2" t="str">
        <f>IF(OR(ISNUMBER(SEARCH("s2r", Table6[[#This Row],[instruction]])),ISNUMBER(SEARCH("s2ur", Table6[[#This Row],[instruction]]))), "special", "")</f>
        <v/>
      </c>
      <c r="S222" t="str">
        <f>IF(OR(ISNUMBER(SEARCH("stg", Table6[[#This Row],[instruction]])),ISNUMBER(SEARCH("ldg", Table6[[#This Row],[instruction]]))), "global", "")</f>
        <v/>
      </c>
      <c r="T222" t="str">
        <f>IF(OR(ISNUMBER(SEARCH("sts", Table6[[#This Row],[instruction]])),ISNUMBER(SEARCH("lds", Table6[[#This Row],[instruction]]))), "shared", "")</f>
        <v/>
      </c>
      <c r="U222" t="str">
        <f>IF(OR(ISNUMBER(SEARCH("LDC", Table6[[#This Row],[instruction]]))), "ind. const", "")</f>
        <v/>
      </c>
      <c r="V2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Row],[s5]]))),U222=""), "cmb. const", "")</f>
        <v/>
      </c>
      <c r="Y222">
        <f>IF(Table6[[#This Row],[pipeline]]="fma",Table6[[#This Row],[delay]],0)</f>
        <v>0</v>
      </c>
      <c r="Z222">
        <f>IF(AND(Table6[[#This Row],[pipeline]]="fma",W222="new"),290,0)</f>
        <v>0</v>
      </c>
      <c r="AK222" s="34"/>
    </row>
    <row r="223" spans="1:37" ht="17" x14ac:dyDescent="0.2">
      <c r="A223" s="31">
        <f>IF(Table6[[#This Row],[instruction]]&lt;&gt;"",MAX($A$6:A222)+1," ")</f>
        <v>218</v>
      </c>
      <c r="B223" s="32" t="s">
        <v>485</v>
      </c>
      <c r="C223" t="s">
        <v>394</v>
      </c>
      <c r="D223" s="31" t="s">
        <v>608</v>
      </c>
      <c r="E223" s="31" t="s">
        <v>599</v>
      </c>
      <c r="K223" s="2" t="str">
        <f t="shared" si="3"/>
        <v>special</v>
      </c>
      <c r="L223" cm="1">
        <f t="array" ref="L2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23" t="str">
        <f>IF(OR(ISNUMBER(SEARCH("imad", Table6[[#This Row],[instruction]])), ISNUMBER(SEARCH("ffma", Table6[[#This Row],[instruction]])), ISNUMBER(SEARCH("fmul", Table6[[#This Row],[instruction]]))), "fma", "")</f>
        <v/>
      </c>
      <c r="P2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3" t="str">
        <f>IF(OR(ISNUMBER(SEARCH("s2r", Table6[[#This Row],[instruction]])),ISNUMBER(SEARCH("s2ur", Table6[[#This Row],[instruction]]))), "special", "")</f>
        <v>special</v>
      </c>
      <c r="S223" t="str">
        <f>IF(OR(ISNUMBER(SEARCH("stg", Table6[[#This Row],[instruction]])),ISNUMBER(SEARCH("ldg", Table6[[#This Row],[instruction]]))), "global", "")</f>
        <v/>
      </c>
      <c r="T223" t="str">
        <f>IF(OR(ISNUMBER(SEARCH("sts", Table6[[#This Row],[instruction]])),ISNUMBER(SEARCH("lds", Table6[[#This Row],[instruction]]))), "shared", "")</f>
        <v/>
      </c>
      <c r="U223" t="str">
        <f>IF(OR(ISNUMBER(SEARCH("LDC", Table6[[#This Row],[instruction]]))), "ind. const", "")</f>
        <v/>
      </c>
      <c r="V2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Row],[s5]]))),U223=""), "cmb. const", "")</f>
        <v/>
      </c>
      <c r="Y223">
        <f>IF(Table6[[#This Row],[pipeline]]="fma",Table6[[#This Row],[delay]],0)</f>
        <v>0</v>
      </c>
      <c r="Z223">
        <f>IF(AND(Table6[[#This Row],[pipeline]]="fma",W223="new"),290,0)</f>
        <v>0</v>
      </c>
      <c r="AK223" s="34"/>
    </row>
    <row r="224" spans="1:37" ht="17" x14ac:dyDescent="0.2">
      <c r="A224" s="31">
        <f>IF(Table6[[#This Row],[instruction]]&lt;&gt;"",MAX($A$6:A223)+1," ")</f>
        <v>219</v>
      </c>
      <c r="B224" s="32" t="s">
        <v>485</v>
      </c>
      <c r="C224" t="s">
        <v>0</v>
      </c>
      <c r="D224" s="31" t="s">
        <v>609</v>
      </c>
      <c r="E224" s="31" t="s">
        <v>502</v>
      </c>
      <c r="K224" s="2" t="s">
        <v>95</v>
      </c>
      <c r="L224" cm="1">
        <f t="array" ref="L2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24" t="str">
        <f>IF(OR(ISNUMBER(SEARCH("imad", Table6[[#This Row],[instruction]])), ISNUMBER(SEARCH("ffma", Table6[[#This Row],[instruction]])), ISNUMBER(SEARCH("fmul", Table6[[#This Row],[instruction]]))), "fma", "")</f>
        <v/>
      </c>
      <c r="P2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4" t="str">
        <f>IF(OR(ISNUMBER(SEARCH("s2r", Table6[[#This Row],[instruction]])),ISNUMBER(SEARCH("s2ur", Table6[[#This Row],[instruction]]))), "special", "")</f>
        <v/>
      </c>
      <c r="S224" t="str">
        <f>IF(OR(ISNUMBER(SEARCH("stg", Table6[[#This Row],[instruction]])),ISNUMBER(SEARCH("ldg", Table6[[#This Row],[instruction]]))), "global", "")</f>
        <v/>
      </c>
      <c r="T224" t="str">
        <f>IF(OR(ISNUMBER(SEARCH("sts", Table6[[#This Row],[instruction]])),ISNUMBER(SEARCH("lds", Table6[[#This Row],[instruction]]))), "shared", "")</f>
        <v/>
      </c>
      <c r="U224" t="str">
        <f>IF(OR(ISNUMBER(SEARCH("LDC", Table6[[#This Row],[instruction]]))), "ind. const", "")</f>
        <v/>
      </c>
      <c r="V2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Row],[s5]]))),U224=""), "cmb. const", "")</f>
        <v/>
      </c>
      <c r="Y224">
        <f>IF(Table6[[#This Row],[pipeline]]="fma",Table6[[#This Row],[delay]],0)</f>
        <v>0</v>
      </c>
      <c r="Z224">
        <f>IF(AND(Table6[[#This Row],[pipeline]]="fma",W224="new"),290,0)</f>
        <v>0</v>
      </c>
      <c r="AK224" s="34"/>
    </row>
    <row r="225" spans="1:37" ht="17" x14ac:dyDescent="0.2">
      <c r="A225" s="31">
        <f>IF(Table6[[#This Row],[instruction]]&lt;&gt;"",MAX($A$6:A224)+1," ")</f>
        <v>220</v>
      </c>
      <c r="B225" s="32" t="s">
        <v>485</v>
      </c>
      <c r="C225" t="s">
        <v>45</v>
      </c>
      <c r="D225" s="31" t="s">
        <v>613</v>
      </c>
      <c r="E225" s="31" t="s">
        <v>8</v>
      </c>
      <c r="F225" s="31" t="s">
        <v>8</v>
      </c>
      <c r="G225" s="31" t="s">
        <v>502</v>
      </c>
      <c r="K225" s="2" t="str">
        <f t="shared" si="3"/>
        <v>fma</v>
      </c>
      <c r="L225" cm="1">
        <f t="array" ref="L2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25" t="str">
        <f>IF(OR(ISNUMBER(SEARCH("imad", Table6[[#This Row],[instruction]])), ISNUMBER(SEARCH("ffma", Table6[[#This Row],[instruction]])), ISNUMBER(SEARCH("fmul", Table6[[#This Row],[instruction]]))), "fma", "")</f>
        <v>fma</v>
      </c>
      <c r="P2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5" t="str">
        <f>IF(OR(ISNUMBER(SEARCH("s2r", Table6[[#This Row],[instruction]])),ISNUMBER(SEARCH("s2ur", Table6[[#This Row],[instruction]]))), "special", "")</f>
        <v/>
      </c>
      <c r="S225" t="str">
        <f>IF(OR(ISNUMBER(SEARCH("stg", Table6[[#This Row],[instruction]])),ISNUMBER(SEARCH("ldg", Table6[[#This Row],[instruction]]))), "global", "")</f>
        <v/>
      </c>
      <c r="T225" t="str">
        <f>IF(OR(ISNUMBER(SEARCH("sts", Table6[[#This Row],[instruction]])),ISNUMBER(SEARCH("lds", Table6[[#This Row],[instruction]]))), "shared", "")</f>
        <v/>
      </c>
      <c r="U225" t="str">
        <f>IF(OR(ISNUMBER(SEARCH("LDC", Table6[[#This Row],[instruction]]))), "ind. const", "")</f>
        <v/>
      </c>
      <c r="V2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Row],[s5]]))),U225=""), "cmb. const", "")</f>
        <v/>
      </c>
      <c r="Y225">
        <f>IF(Table6[[#This Row],[pipeline]]="fma",Table6[[#This Row],[delay]],0)</f>
        <v>4</v>
      </c>
      <c r="Z225">
        <f>IF(AND(Table6[[#This Row],[pipeline]]="fma",W225="new"),290,0)</f>
        <v>0</v>
      </c>
      <c r="AK225" s="34"/>
    </row>
    <row r="226" spans="1:37" ht="17" x14ac:dyDescent="0.2">
      <c r="A226" s="31">
        <f>IF(Table6[[#This Row],[instruction]]&lt;&gt;"",MAX($A$6:A225)+1," ")</f>
        <v>221</v>
      </c>
      <c r="B226" s="32" t="s">
        <v>485</v>
      </c>
      <c r="C226" t="s">
        <v>0</v>
      </c>
      <c r="D226" s="31" t="s">
        <v>612</v>
      </c>
      <c r="E226" s="31" t="s">
        <v>502</v>
      </c>
      <c r="K226" s="2" t="s">
        <v>95</v>
      </c>
      <c r="L226" cm="1">
        <f t="array" ref="L2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226" t="str">
        <f>IF(OR(ISNUMBER(SEARCH("imad", Table6[[#This Row],[instruction]])), ISNUMBER(SEARCH("ffma", Table6[[#This Row],[instruction]])), ISNUMBER(SEARCH("fmul", Table6[[#This Row],[instruction]]))), "fma", "")</f>
        <v/>
      </c>
      <c r="P2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6" t="str">
        <f>IF(OR(ISNUMBER(SEARCH("s2r", Table6[[#This Row],[instruction]])),ISNUMBER(SEARCH("s2ur", Table6[[#This Row],[instruction]]))), "special", "")</f>
        <v/>
      </c>
      <c r="S226" t="str">
        <f>IF(OR(ISNUMBER(SEARCH("stg", Table6[[#This Row],[instruction]])),ISNUMBER(SEARCH("ldg", Table6[[#This Row],[instruction]]))), "global", "")</f>
        <v/>
      </c>
      <c r="T226" t="str">
        <f>IF(OR(ISNUMBER(SEARCH("sts", Table6[[#This Row],[instruction]])),ISNUMBER(SEARCH("lds", Table6[[#This Row],[instruction]]))), "shared", "")</f>
        <v/>
      </c>
      <c r="U226" t="str">
        <f>IF(OR(ISNUMBER(SEARCH("LDC", Table6[[#This Row],[instruction]]))), "ind. const", "")</f>
        <v/>
      </c>
      <c r="V2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Row],[s5]]))),U226=""), "cmb. const", "")</f>
        <v/>
      </c>
      <c r="Y226">
        <f>IF(Table6[[#This Row],[pipeline]]="fma",Table6[[#This Row],[delay]],0)</f>
        <v>0</v>
      </c>
      <c r="Z226">
        <f>IF(AND(Table6[[#This Row],[pipeline]]="fma",W226="new"),290,0)</f>
        <v>0</v>
      </c>
      <c r="AK226" s="34"/>
    </row>
    <row r="227" spans="1:37" ht="17" x14ac:dyDescent="0.2">
      <c r="A227" s="31">
        <f>IF(Table6[[#This Row],[instruction]]&lt;&gt;"",MAX($A$6:A226)+1," ")</f>
        <v>222</v>
      </c>
      <c r="B227" s="32" t="s">
        <v>485</v>
      </c>
      <c r="C227" t="s">
        <v>394</v>
      </c>
      <c r="D227" s="31" t="s">
        <v>614</v>
      </c>
      <c r="E227" s="31" t="s">
        <v>599</v>
      </c>
      <c r="K227" s="2" t="str">
        <f t="shared" si="3"/>
        <v>special</v>
      </c>
      <c r="L227" cm="1">
        <f t="array" ref="L2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27" t="str">
        <f>IF(OR(ISNUMBER(SEARCH("imad", Table6[[#This Row],[instruction]])), ISNUMBER(SEARCH("ffma", Table6[[#This Row],[instruction]])), ISNUMBER(SEARCH("fmul", Table6[[#This Row],[instruction]]))), "fma", "")</f>
        <v/>
      </c>
      <c r="P2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7" t="str">
        <f>IF(OR(ISNUMBER(SEARCH("s2r", Table6[[#This Row],[instruction]])),ISNUMBER(SEARCH("s2ur", Table6[[#This Row],[instruction]]))), "special", "")</f>
        <v>special</v>
      </c>
      <c r="S227" t="str">
        <f>IF(OR(ISNUMBER(SEARCH("stg", Table6[[#This Row],[instruction]])),ISNUMBER(SEARCH("ldg", Table6[[#This Row],[instruction]]))), "global", "")</f>
        <v/>
      </c>
      <c r="T227" t="str">
        <f>IF(OR(ISNUMBER(SEARCH("sts", Table6[[#This Row],[instruction]])),ISNUMBER(SEARCH("lds", Table6[[#This Row],[instruction]]))), "shared", "")</f>
        <v/>
      </c>
      <c r="U227" t="str">
        <f>IF(OR(ISNUMBER(SEARCH("LDC", Table6[[#This Row],[instruction]]))), "ind. const", "")</f>
        <v/>
      </c>
      <c r="V2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Row],[s5]]))),U227=""), "cmb. const", "")</f>
        <v/>
      </c>
      <c r="Y227">
        <f>IF(Table6[[#This Row],[pipeline]]="fma",Table6[[#This Row],[delay]],0)</f>
        <v>0</v>
      </c>
      <c r="Z227">
        <f>IF(AND(Table6[[#This Row],[pipeline]]="fma",W227="new"),290,0)</f>
        <v>0</v>
      </c>
      <c r="AK227" s="34"/>
    </row>
    <row r="228" spans="1:37" ht="17" x14ac:dyDescent="0.2">
      <c r="A228" s="31">
        <f>IF(Table6[[#This Row],[instruction]]&lt;&gt;"",MAX($A$6:A227)+1," ")</f>
        <v>223</v>
      </c>
      <c r="B228" s="32" t="s">
        <v>485</v>
      </c>
      <c r="C228" t="s">
        <v>0</v>
      </c>
      <c r="D228" s="31" t="s">
        <v>600</v>
      </c>
      <c r="E228" s="31" t="s">
        <v>502</v>
      </c>
      <c r="K228" s="2" t="s">
        <v>95</v>
      </c>
      <c r="L228">
        <v>1</v>
      </c>
      <c r="O228" t="str">
        <f>IF(OR(ISNUMBER(SEARCH("imad", Table6[[#This Row],[instruction]])), ISNUMBER(SEARCH("ffma", Table6[[#This Row],[instruction]])), ISNUMBER(SEARCH("fmul", Table6[[#This Row],[instruction]]))), "fma", "")</f>
        <v/>
      </c>
      <c r="P2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8" t="str">
        <f>IF(OR(ISNUMBER(SEARCH("s2r", Table6[[#This Row],[instruction]])),ISNUMBER(SEARCH("s2ur", Table6[[#This Row],[instruction]]))), "special", "")</f>
        <v/>
      </c>
      <c r="S228" t="str">
        <f>IF(OR(ISNUMBER(SEARCH("stg", Table6[[#This Row],[instruction]])),ISNUMBER(SEARCH("ldg", Table6[[#This Row],[instruction]]))), "global", "")</f>
        <v/>
      </c>
      <c r="T228" t="str">
        <f>IF(OR(ISNUMBER(SEARCH("sts", Table6[[#This Row],[instruction]])),ISNUMBER(SEARCH("lds", Table6[[#This Row],[instruction]]))), "shared", "")</f>
        <v/>
      </c>
      <c r="U228" t="str">
        <f>IF(OR(ISNUMBER(SEARCH("LDC", Table6[[#This Row],[instruction]]))), "ind. const", "")</f>
        <v/>
      </c>
      <c r="V2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Row],[s5]]))),U228=""), "cmb. const", "")</f>
        <v/>
      </c>
      <c r="Y228">
        <f>IF(Table6[[#This Row],[pipeline]]="fma",Table6[[#This Row],[delay]],0)</f>
        <v>0</v>
      </c>
      <c r="Z228">
        <f>IF(AND(Table6[[#This Row],[pipeline]]="fma",W228="new"),290,0)</f>
        <v>0</v>
      </c>
      <c r="AK228" s="34"/>
    </row>
    <row r="229" spans="1:37" ht="17" x14ac:dyDescent="0.2">
      <c r="A229" s="31">
        <f>IF(Table6[[#This Row],[instruction]]&lt;&gt;"",MAX($A$6:A228)+1," ")</f>
        <v>224</v>
      </c>
      <c r="B229" s="32" t="s">
        <v>485</v>
      </c>
      <c r="C229" t="s">
        <v>394</v>
      </c>
      <c r="D229" s="31" t="s">
        <v>80</v>
      </c>
      <c r="E229" s="31" t="s">
        <v>599</v>
      </c>
      <c r="K229" s="2" t="str">
        <f t="shared" si="3"/>
        <v>special</v>
      </c>
      <c r="L229" cm="1">
        <f t="array" ref="L2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29" t="str">
        <f>IF(OR(ISNUMBER(SEARCH("imad", Table6[[#This Row],[instruction]])), ISNUMBER(SEARCH("ffma", Table6[[#This Row],[instruction]])), ISNUMBER(SEARCH("fmul", Table6[[#This Row],[instruction]]))), "fma", "")</f>
        <v/>
      </c>
      <c r="P2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29" t="str">
        <f>IF(OR(ISNUMBER(SEARCH("s2r", Table6[[#This Row],[instruction]])),ISNUMBER(SEARCH("s2ur", Table6[[#This Row],[instruction]]))), "special", "")</f>
        <v>special</v>
      </c>
      <c r="S229" t="str">
        <f>IF(OR(ISNUMBER(SEARCH("stg", Table6[[#This Row],[instruction]])),ISNUMBER(SEARCH("ldg", Table6[[#This Row],[instruction]]))), "global", "")</f>
        <v/>
      </c>
      <c r="T229" t="str">
        <f>IF(OR(ISNUMBER(SEARCH("sts", Table6[[#This Row],[instruction]])),ISNUMBER(SEARCH("lds", Table6[[#This Row],[instruction]]))), "shared", "")</f>
        <v/>
      </c>
      <c r="U229" t="str">
        <f>IF(OR(ISNUMBER(SEARCH("LDC", Table6[[#This Row],[instruction]]))), "ind. const", "")</f>
        <v/>
      </c>
      <c r="V2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Row],[s5]]))),U229=""), "cmb. const", "")</f>
        <v/>
      </c>
      <c r="Y229">
        <f>IF(Table6[[#This Row],[pipeline]]="fma",Table6[[#This Row],[delay]],0)</f>
        <v>0</v>
      </c>
      <c r="Z229">
        <f>IF(AND(Table6[[#This Row],[pipeline]]="fma",W229="new"),290,0)</f>
        <v>0</v>
      </c>
      <c r="AK229" s="34"/>
    </row>
    <row r="230" spans="1:37" ht="17" x14ac:dyDescent="0.2">
      <c r="A230" s="31">
        <f>IF(Table6[[#This Row],[instruction]]&lt;&gt;"",MAX($A$6:A229)+1," ")</f>
        <v>225</v>
      </c>
      <c r="B230" s="32" t="s">
        <v>485</v>
      </c>
      <c r="C230" t="s">
        <v>26</v>
      </c>
      <c r="D230" s="31" t="s">
        <v>82</v>
      </c>
      <c r="E230" s="31" t="s">
        <v>592</v>
      </c>
      <c r="F230" s="31" t="s">
        <v>75</v>
      </c>
      <c r="G230" s="31" t="s">
        <v>502</v>
      </c>
      <c r="K230" s="2" t="str">
        <f t="shared" si="3"/>
        <v>alu</v>
      </c>
      <c r="L230" cm="1">
        <f t="array" ref="L2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30" t="str">
        <f>IF(OR(ISNUMBER(SEARCH("imad", Table6[[#This Row],[instruction]])), ISNUMBER(SEARCH("ffma", Table6[[#This Row],[instruction]])), ISNUMBER(SEARCH("fmul", Table6[[#This Row],[instruction]]))), "fma", "")</f>
        <v/>
      </c>
      <c r="P2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0" t="str">
        <f>IF(OR(ISNUMBER(SEARCH("s2r", Table6[[#This Row],[instruction]])),ISNUMBER(SEARCH("s2ur", Table6[[#This Row],[instruction]]))), "special", "")</f>
        <v/>
      </c>
      <c r="S230" t="str">
        <f>IF(OR(ISNUMBER(SEARCH("stg", Table6[[#This Row],[instruction]])),ISNUMBER(SEARCH("ldg", Table6[[#This Row],[instruction]]))), "global", "")</f>
        <v/>
      </c>
      <c r="T230" t="str">
        <f>IF(OR(ISNUMBER(SEARCH("sts", Table6[[#This Row],[instruction]])),ISNUMBER(SEARCH("lds", Table6[[#This Row],[instruction]]))), "shared", "")</f>
        <v/>
      </c>
      <c r="U230" t="str">
        <f>IF(OR(ISNUMBER(SEARCH("LDC", Table6[[#This Row],[instruction]]))), "ind. const", "")</f>
        <v/>
      </c>
      <c r="V2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Row],[s5]]))),U230=""), "cmb. const", "")</f>
        <v/>
      </c>
      <c r="Y230">
        <f>IF(Table6[[#This Row],[pipeline]]="fma",Table6[[#This Row],[delay]],0)</f>
        <v>0</v>
      </c>
      <c r="Z230">
        <f>IF(AND(Table6[[#This Row],[pipeline]]="fma",W230="new"),290,0)</f>
        <v>0</v>
      </c>
      <c r="AK230" s="34"/>
    </row>
    <row r="231" spans="1:37" ht="17" x14ac:dyDescent="0.2">
      <c r="A231" s="31">
        <f>IF(Table6[[#This Row],[instruction]]&lt;&gt;"",MAX($A$6:A230)+1," ")</f>
        <v>226</v>
      </c>
      <c r="B231" s="32" t="s">
        <v>554</v>
      </c>
      <c r="C231" t="s">
        <v>509</v>
      </c>
      <c r="D231" s="31" t="s">
        <v>46</v>
      </c>
      <c r="E231" s="31" t="s">
        <v>592</v>
      </c>
      <c r="F231" s="31" t="s">
        <v>538</v>
      </c>
      <c r="G231" s="31" t="s">
        <v>502</v>
      </c>
      <c r="K231" s="2" t="str">
        <f t="shared" si="3"/>
        <v>fma</v>
      </c>
      <c r="L231" cm="1">
        <f t="array" ref="L2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1" t="str">
        <f>IF(OR(ISNUMBER(SEARCH("imad", Table6[[#This Row],[instruction]])), ISNUMBER(SEARCH("ffma", Table6[[#This Row],[instruction]])), ISNUMBER(SEARCH("fmul", Table6[[#This Row],[instruction]]))), "fma", "")</f>
        <v>fma</v>
      </c>
      <c r="P2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1" t="str">
        <f>IF(OR(ISNUMBER(SEARCH("s2r", Table6[[#This Row],[instruction]])),ISNUMBER(SEARCH("s2ur", Table6[[#This Row],[instruction]]))), "special", "")</f>
        <v/>
      </c>
      <c r="S231" t="str">
        <f>IF(OR(ISNUMBER(SEARCH("stg", Table6[[#This Row],[instruction]])),ISNUMBER(SEARCH("ldg", Table6[[#This Row],[instruction]]))), "global", "")</f>
        <v/>
      </c>
      <c r="T231" t="str">
        <f>IF(OR(ISNUMBER(SEARCH("sts", Table6[[#This Row],[instruction]])),ISNUMBER(SEARCH("lds", Table6[[#This Row],[instruction]]))), "shared", "")</f>
        <v/>
      </c>
      <c r="U231" t="str">
        <f>IF(OR(ISNUMBER(SEARCH("LDC", Table6[[#This Row],[instruction]]))), "ind. const", "")</f>
        <v/>
      </c>
      <c r="V2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Row],[s5]]))),U231=""), "cmb. const", "")</f>
        <v>cmb. const</v>
      </c>
      <c r="W231" s="2" t="s">
        <v>481</v>
      </c>
      <c r="Y231">
        <f>IF(Table6[[#This Row],[pipeline]]="fma",Table6[[#This Row],[delay]],0)</f>
        <v>4</v>
      </c>
      <c r="Z231">
        <f>IF(AND(Table6[[#This Row],[pipeline]]="fma",W231="new"),290,0)</f>
        <v>0</v>
      </c>
      <c r="AK231" s="34"/>
    </row>
    <row r="232" spans="1:37" ht="17" x14ac:dyDescent="0.2">
      <c r="A232" s="31">
        <f>IF(Table6[[#This Row],[instruction]]&lt;&gt;"",MAX($A$6:A231)+1," ")</f>
        <v>227</v>
      </c>
      <c r="B232" s="32" t="s">
        <v>485</v>
      </c>
      <c r="C232" t="s">
        <v>26</v>
      </c>
      <c r="D232" s="31" t="s">
        <v>436</v>
      </c>
      <c r="E232" s="31" t="s">
        <v>592</v>
      </c>
      <c r="F232" s="31" t="s">
        <v>79</v>
      </c>
      <c r="G232" s="31" t="s">
        <v>502</v>
      </c>
      <c r="K232" s="2" t="str">
        <f t="shared" si="3"/>
        <v>alu</v>
      </c>
      <c r="L232" cm="1">
        <f t="array" ref="L2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32" t="str">
        <f>IF(OR(ISNUMBER(SEARCH("imad", Table6[[#This Row],[instruction]])), ISNUMBER(SEARCH("ffma", Table6[[#This Row],[instruction]])), ISNUMBER(SEARCH("fmul", Table6[[#This Row],[instruction]]))), "fma", "")</f>
        <v/>
      </c>
      <c r="P2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2" t="str">
        <f>IF(OR(ISNUMBER(SEARCH("s2r", Table6[[#This Row],[instruction]])),ISNUMBER(SEARCH("s2ur", Table6[[#This Row],[instruction]]))), "special", "")</f>
        <v/>
      </c>
      <c r="S232" t="str">
        <f>IF(OR(ISNUMBER(SEARCH("stg", Table6[[#This Row],[instruction]])),ISNUMBER(SEARCH("ldg", Table6[[#This Row],[instruction]]))), "global", "")</f>
        <v/>
      </c>
      <c r="T232" t="str">
        <f>IF(OR(ISNUMBER(SEARCH("sts", Table6[[#This Row],[instruction]])),ISNUMBER(SEARCH("lds", Table6[[#This Row],[instruction]]))), "shared", "")</f>
        <v/>
      </c>
      <c r="U232" t="str">
        <f>IF(OR(ISNUMBER(SEARCH("LDC", Table6[[#This Row],[instruction]]))), "ind. const", "")</f>
        <v/>
      </c>
      <c r="V2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Row],[s5]]))),U232=""), "cmb. const", "")</f>
        <v/>
      </c>
      <c r="Y232">
        <f>IF(Table6[[#This Row],[pipeline]]="fma",Table6[[#This Row],[delay]],0)</f>
        <v>0</v>
      </c>
      <c r="Z232">
        <f>IF(AND(Table6[[#This Row],[pipeline]]="fma",W232="new"),290,0)</f>
        <v>0</v>
      </c>
      <c r="AK232" s="34"/>
    </row>
    <row r="233" spans="1:37" ht="17" x14ac:dyDescent="0.2">
      <c r="A233" s="31">
        <f>IF(Table6[[#This Row],[instruction]]&lt;&gt;"",MAX($A$6:A232)+1," ")</f>
        <v>228</v>
      </c>
      <c r="B233" s="32" t="s">
        <v>485</v>
      </c>
      <c r="C233" t="s">
        <v>626</v>
      </c>
      <c r="D233" s="31" t="s">
        <v>627</v>
      </c>
      <c r="E233" s="31" t="s">
        <v>628</v>
      </c>
      <c r="K233" s="2" t="str">
        <f t="shared" si="3"/>
        <v>shared</v>
      </c>
      <c r="L233" cm="1">
        <f t="array" ref="L2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233" t="str">
        <f>IF(OR(ISNUMBER(SEARCH("imad", Table6[[#This Row],[instruction]])), ISNUMBER(SEARCH("ffma", Table6[[#This Row],[instruction]])), ISNUMBER(SEARCH("fmul", Table6[[#This Row],[instruction]]))), "fma", "")</f>
        <v/>
      </c>
      <c r="P2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3" t="str">
        <f>IF(OR(ISNUMBER(SEARCH("s2r", Table6[[#This Row],[instruction]])),ISNUMBER(SEARCH("s2ur", Table6[[#This Row],[instruction]]))), "special", "")</f>
        <v/>
      </c>
      <c r="S233" t="str">
        <f>IF(OR(ISNUMBER(SEARCH("stg", Table6[[#This Row],[instruction]])),ISNUMBER(SEARCH("ldg", Table6[[#This Row],[instruction]]))), "global", "")</f>
        <v/>
      </c>
      <c r="T233" t="str">
        <f>IF(OR(ISNUMBER(SEARCH("sts", Table6[[#This Row],[instruction]])),ISNUMBER(SEARCH("lds", Table6[[#This Row],[instruction]]))), "shared", "")</f>
        <v>shared</v>
      </c>
      <c r="U233" t="str">
        <f>IF(OR(ISNUMBER(SEARCH("LDC", Table6[[#This Row],[instruction]]))), "ind. const", "")</f>
        <v/>
      </c>
      <c r="V2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Row],[s5]]))),U233=""), "cmb. const", "")</f>
        <v/>
      </c>
      <c r="Y233">
        <f>IF(Table6[[#This Row],[pipeline]]="fma",Table6[[#This Row],[delay]],0)</f>
        <v>0</v>
      </c>
      <c r="Z233">
        <f>IF(AND(Table6[[#This Row],[pipeline]]="fma",W233="new"),290,0)</f>
        <v>0</v>
      </c>
      <c r="AK233" s="34"/>
    </row>
    <row r="234" spans="1:37" ht="17" x14ac:dyDescent="0.2">
      <c r="A234" s="31">
        <f>IF(Table6[[#This Row],[instruction]]&lt;&gt;"",MAX($A$6:A233)+1," ")</f>
        <v>229</v>
      </c>
      <c r="B234" s="32" t="s">
        <v>485</v>
      </c>
      <c r="C234" t="s">
        <v>0</v>
      </c>
      <c r="D234" s="31" t="s">
        <v>27</v>
      </c>
      <c r="E234" s="31" t="s">
        <v>629</v>
      </c>
      <c r="K234" s="2" t="s">
        <v>95</v>
      </c>
      <c r="L234">
        <v>1</v>
      </c>
      <c r="O234" t="str">
        <f>IF(OR(ISNUMBER(SEARCH("imad", Table6[[#This Row],[instruction]])), ISNUMBER(SEARCH("ffma", Table6[[#This Row],[instruction]])), ISNUMBER(SEARCH("fmul", Table6[[#This Row],[instruction]]))), "fma", "")</f>
        <v/>
      </c>
      <c r="P2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4" t="str">
        <f>IF(OR(ISNUMBER(SEARCH("s2r", Table6[[#This Row],[instruction]])),ISNUMBER(SEARCH("s2ur", Table6[[#This Row],[instruction]]))), "special", "")</f>
        <v/>
      </c>
      <c r="S234" t="str">
        <f>IF(OR(ISNUMBER(SEARCH("stg", Table6[[#This Row],[instruction]])),ISNUMBER(SEARCH("ldg", Table6[[#This Row],[instruction]]))), "global", "")</f>
        <v/>
      </c>
      <c r="T234" t="str">
        <f>IF(OR(ISNUMBER(SEARCH("sts", Table6[[#This Row],[instruction]])),ISNUMBER(SEARCH("lds", Table6[[#This Row],[instruction]]))), "shared", "")</f>
        <v/>
      </c>
      <c r="U234" t="str">
        <f>IF(OR(ISNUMBER(SEARCH("LDC", Table6[[#This Row],[instruction]]))), "ind. const", "")</f>
        <v/>
      </c>
      <c r="V2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Row],[s5]]))),U234=""), "cmb. const", "")</f>
        <v/>
      </c>
      <c r="Y234">
        <f>IF(Table6[[#This Row],[pipeline]]="fma",Table6[[#This Row],[delay]],0)</f>
        <v>0</v>
      </c>
      <c r="Z234">
        <f>IF(AND(Table6[[#This Row],[pipeline]]="fma",W234="new"),290,0)</f>
        <v>0</v>
      </c>
      <c r="AK234" s="34"/>
    </row>
    <row r="235" spans="1:37" ht="17" x14ac:dyDescent="0.2">
      <c r="A235" s="31">
        <f>IF(Table6[[#This Row],[instruction]]&lt;&gt;"",MAX($A$6:A234)+1," ")</f>
        <v>230</v>
      </c>
      <c r="B235" s="32" t="s">
        <v>485</v>
      </c>
      <c r="C235" t="s">
        <v>45</v>
      </c>
      <c r="D235" s="31" t="s">
        <v>4</v>
      </c>
      <c r="E235" s="31" t="s">
        <v>8</v>
      </c>
      <c r="F235" s="31" t="s">
        <v>8</v>
      </c>
      <c r="G235" s="31" t="s">
        <v>536</v>
      </c>
      <c r="K235" s="2" t="str">
        <f t="shared" si="3"/>
        <v>fma</v>
      </c>
      <c r="L235" cm="1">
        <f t="array" ref="L2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5" t="str">
        <f>IF(OR(ISNUMBER(SEARCH("imad", Table6[[#This Row],[instruction]])), ISNUMBER(SEARCH("ffma", Table6[[#This Row],[instruction]])), ISNUMBER(SEARCH("fmul", Table6[[#This Row],[instruction]]))), "fma", "")</f>
        <v>fma</v>
      </c>
      <c r="P2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5" t="str">
        <f>IF(OR(ISNUMBER(SEARCH("s2r", Table6[[#This Row],[instruction]])),ISNUMBER(SEARCH("s2ur", Table6[[#This Row],[instruction]]))), "special", "")</f>
        <v/>
      </c>
      <c r="S235" t="str">
        <f>IF(OR(ISNUMBER(SEARCH("stg", Table6[[#This Row],[instruction]])),ISNUMBER(SEARCH("ldg", Table6[[#This Row],[instruction]]))), "global", "")</f>
        <v/>
      </c>
      <c r="T235" t="str">
        <f>IF(OR(ISNUMBER(SEARCH("sts", Table6[[#This Row],[instruction]])),ISNUMBER(SEARCH("lds", Table6[[#This Row],[instruction]]))), "shared", "")</f>
        <v/>
      </c>
      <c r="U235" t="str">
        <f>IF(OR(ISNUMBER(SEARCH("LDC", Table6[[#This Row],[instruction]]))), "ind. const", "")</f>
        <v/>
      </c>
      <c r="V2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Row],[s5]]))),U235=""), "cmb. const", "")</f>
        <v>cmb. const</v>
      </c>
      <c r="W235" s="2" t="s">
        <v>481</v>
      </c>
      <c r="Y235">
        <f>IF(Table6[[#This Row],[pipeline]]="fma",Table6[[#This Row],[delay]],0)</f>
        <v>4</v>
      </c>
      <c r="Z235">
        <f>IF(AND(Table6[[#This Row],[pipeline]]="fma",W235="new"),290,0)</f>
        <v>0</v>
      </c>
      <c r="AK235" s="34"/>
    </row>
    <row r="236" spans="1:37" ht="17" x14ac:dyDescent="0.2">
      <c r="A236" s="31">
        <f>IF(Table6[[#This Row],[instruction]]&lt;&gt;"",MAX($A$6:A235)+1," ")</f>
        <v>231</v>
      </c>
      <c r="B236" s="32" t="s">
        <v>554</v>
      </c>
      <c r="C236" t="s">
        <v>90</v>
      </c>
      <c r="D236" s="31" t="s">
        <v>27</v>
      </c>
      <c r="E236" s="31" t="s">
        <v>8</v>
      </c>
      <c r="F236" s="31" t="s">
        <v>539</v>
      </c>
      <c r="G236" s="31" t="s">
        <v>630</v>
      </c>
      <c r="K236" s="2" t="str">
        <f t="shared" si="3"/>
        <v>alu</v>
      </c>
      <c r="L236" cm="1">
        <f t="array" ref="L2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6" t="str">
        <f>IF(OR(ISNUMBER(SEARCH("imad", Table6[[#This Row],[instruction]])), ISNUMBER(SEARCH("ffma", Table6[[#This Row],[instruction]])), ISNUMBER(SEARCH("fmul", Table6[[#This Row],[instruction]]))), "fma", "")</f>
        <v/>
      </c>
      <c r="P2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6" t="str">
        <f>IF(OR(ISNUMBER(SEARCH("s2r", Table6[[#This Row],[instruction]])),ISNUMBER(SEARCH("s2ur", Table6[[#This Row],[instruction]]))), "special", "")</f>
        <v/>
      </c>
      <c r="S236" t="str">
        <f>IF(OR(ISNUMBER(SEARCH("stg", Table6[[#This Row],[instruction]])),ISNUMBER(SEARCH("ldg", Table6[[#This Row],[instruction]]))), "global", "")</f>
        <v/>
      </c>
      <c r="T236" t="str">
        <f>IF(OR(ISNUMBER(SEARCH("sts", Table6[[#This Row],[instruction]])),ISNUMBER(SEARCH("lds", Table6[[#This Row],[instruction]]))), "shared", "")</f>
        <v/>
      </c>
      <c r="U236" t="str">
        <f>IF(OR(ISNUMBER(SEARCH("LDC", Table6[[#This Row],[instruction]]))), "ind. const", "")</f>
        <v/>
      </c>
      <c r="V2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Row],[s5]]))),U236=""), "cmb. const", "")</f>
        <v>cmb. const</v>
      </c>
      <c r="W236" s="2" t="s">
        <v>481</v>
      </c>
      <c r="Y236">
        <f>IF(Table6[[#This Row],[pipeline]]="fma",Table6[[#This Row],[delay]],0)</f>
        <v>0</v>
      </c>
      <c r="Z236">
        <f>IF(AND(Table6[[#This Row],[pipeline]]="fma",W236="new"),290,0)</f>
        <v>0</v>
      </c>
      <c r="AK236" s="34"/>
    </row>
    <row r="237" spans="1:37" ht="17" x14ac:dyDescent="0.2">
      <c r="A237" s="31">
        <f>IF(Table6[[#This Row],[instruction]]&lt;&gt;"",MAX($A$6:A236)+1," ")</f>
        <v>232</v>
      </c>
      <c r="B237" s="32" t="s">
        <v>554</v>
      </c>
      <c r="C237" t="s">
        <v>509</v>
      </c>
      <c r="D237" s="31" t="s">
        <v>12</v>
      </c>
      <c r="E237" s="31" t="s">
        <v>82</v>
      </c>
      <c r="F237" s="31" t="s">
        <v>538</v>
      </c>
      <c r="G237" s="31" t="s">
        <v>502</v>
      </c>
      <c r="K237" s="2" t="str">
        <f t="shared" si="3"/>
        <v>fma</v>
      </c>
      <c r="L237" cm="1">
        <f t="array" ref="L2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7" t="str">
        <f>IF(OR(ISNUMBER(SEARCH("imad", Table6[[#This Row],[instruction]])), ISNUMBER(SEARCH("ffma", Table6[[#This Row],[instruction]])), ISNUMBER(SEARCH("fmul", Table6[[#This Row],[instruction]]))), "fma", "")</f>
        <v>fma</v>
      </c>
      <c r="P2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7" t="str">
        <f>IF(OR(ISNUMBER(SEARCH("s2r", Table6[[#This Row],[instruction]])),ISNUMBER(SEARCH("s2ur", Table6[[#This Row],[instruction]]))), "special", "")</f>
        <v/>
      </c>
      <c r="S237" t="str">
        <f>IF(OR(ISNUMBER(SEARCH("stg", Table6[[#This Row],[instruction]])),ISNUMBER(SEARCH("ldg", Table6[[#This Row],[instruction]]))), "global", "")</f>
        <v/>
      </c>
      <c r="T237" t="str">
        <f>IF(OR(ISNUMBER(SEARCH("sts", Table6[[#This Row],[instruction]])),ISNUMBER(SEARCH("lds", Table6[[#This Row],[instruction]]))), "shared", "")</f>
        <v/>
      </c>
      <c r="U237" t="str">
        <f>IF(OR(ISNUMBER(SEARCH("LDC", Table6[[#This Row],[instruction]]))), "ind. const", "")</f>
        <v/>
      </c>
      <c r="V2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Row],[s5]]))),U237=""), "cmb. const", "")</f>
        <v>cmb. const</v>
      </c>
      <c r="W237" s="2" t="s">
        <v>481</v>
      </c>
      <c r="Y237">
        <f>IF(Table6[[#This Row],[pipeline]]="fma",Table6[[#This Row],[delay]],0)</f>
        <v>4</v>
      </c>
      <c r="Z237">
        <f>IF(AND(Table6[[#This Row],[pipeline]]="fma",W237="new"),290,0)</f>
        <v>0</v>
      </c>
      <c r="AK237" s="34"/>
    </row>
    <row r="238" spans="1:37" ht="17" x14ac:dyDescent="0.2">
      <c r="A238" s="31">
        <f>IF(Table6[[#This Row],[instruction]]&lt;&gt;"",MAX($A$6:A237)+1," ")</f>
        <v>233</v>
      </c>
      <c r="B238" s="32" t="s">
        <v>485</v>
      </c>
      <c r="C238" t="s">
        <v>0</v>
      </c>
      <c r="D238" s="31" t="s">
        <v>58</v>
      </c>
      <c r="E238" s="31" t="s">
        <v>631</v>
      </c>
      <c r="K238" s="2" t="s">
        <v>95</v>
      </c>
      <c r="L238">
        <v>1</v>
      </c>
      <c r="O238" t="str">
        <f>IF(OR(ISNUMBER(SEARCH("imad", Table6[[#This Row],[instruction]])), ISNUMBER(SEARCH("ffma", Table6[[#This Row],[instruction]])), ISNUMBER(SEARCH("fmul", Table6[[#This Row],[instruction]]))), "fma", "")</f>
        <v/>
      </c>
      <c r="P2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8" t="str">
        <f>IF(OR(ISNUMBER(SEARCH("s2r", Table6[[#This Row],[instruction]])),ISNUMBER(SEARCH("s2ur", Table6[[#This Row],[instruction]]))), "special", "")</f>
        <v/>
      </c>
      <c r="S238" t="str">
        <f>IF(OR(ISNUMBER(SEARCH("stg", Table6[[#This Row],[instruction]])),ISNUMBER(SEARCH("ldg", Table6[[#This Row],[instruction]]))), "global", "")</f>
        <v/>
      </c>
      <c r="T238" t="str">
        <f>IF(OR(ISNUMBER(SEARCH("sts", Table6[[#This Row],[instruction]])),ISNUMBER(SEARCH("lds", Table6[[#This Row],[instruction]]))), "shared", "")</f>
        <v/>
      </c>
      <c r="U238" t="str">
        <f>IF(OR(ISNUMBER(SEARCH("LDC", Table6[[#This Row],[instruction]]))), "ind. const", "")</f>
        <v/>
      </c>
      <c r="V2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Row],[s5]]))),U238=""), "cmb. const", "")</f>
        <v/>
      </c>
      <c r="Y238">
        <f>IF(Table6[[#This Row],[pipeline]]="fma",Table6[[#This Row],[delay]],0)</f>
        <v>0</v>
      </c>
      <c r="Z238">
        <f>IF(AND(Table6[[#This Row],[pipeline]]="fma",W238="new"),290,0)</f>
        <v>0</v>
      </c>
      <c r="AK238" s="34"/>
    </row>
    <row r="239" spans="1:37" ht="17" x14ac:dyDescent="0.2">
      <c r="A239" s="31">
        <f>IF(Table6[[#This Row],[instruction]]&lt;&gt;"",MAX($A$6:A238)+1," ")</f>
        <v>234</v>
      </c>
      <c r="B239" s="32" t="s">
        <v>485</v>
      </c>
      <c r="C239" t="s">
        <v>463</v>
      </c>
      <c r="D239" s="31" t="s">
        <v>74</v>
      </c>
      <c r="E239" s="31" t="s">
        <v>51</v>
      </c>
      <c r="F239" s="31" t="s">
        <v>4</v>
      </c>
      <c r="G239" s="31" t="s">
        <v>75</v>
      </c>
      <c r="H239" s="31" t="s">
        <v>494</v>
      </c>
      <c r="K239" s="2" t="str">
        <f t="shared" si="3"/>
        <v>alu</v>
      </c>
      <c r="L239" cm="1">
        <f t="array" ref="L2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39" t="str">
        <f>IF(OR(ISNUMBER(SEARCH("imad", Table6[[#This Row],[instruction]])), ISNUMBER(SEARCH("ffma", Table6[[#This Row],[instruction]])), ISNUMBER(SEARCH("fmul", Table6[[#This Row],[instruction]]))), "fma", "")</f>
        <v/>
      </c>
      <c r="P2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39" t="str">
        <f>IF(OR(ISNUMBER(SEARCH("s2r", Table6[[#This Row],[instruction]])),ISNUMBER(SEARCH("s2ur", Table6[[#This Row],[instruction]]))), "special", "")</f>
        <v/>
      </c>
      <c r="S239" t="str">
        <f>IF(OR(ISNUMBER(SEARCH("stg", Table6[[#This Row],[instruction]])),ISNUMBER(SEARCH("ldg", Table6[[#This Row],[instruction]]))), "global", "")</f>
        <v/>
      </c>
      <c r="T239" t="str">
        <f>IF(OR(ISNUMBER(SEARCH("sts", Table6[[#This Row],[instruction]])),ISNUMBER(SEARCH("lds", Table6[[#This Row],[instruction]]))), "shared", "")</f>
        <v/>
      </c>
      <c r="U239" t="str">
        <f>IF(OR(ISNUMBER(SEARCH("LDC", Table6[[#This Row],[instruction]]))), "ind. const", "")</f>
        <v/>
      </c>
      <c r="V2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Row],[s5]]))),U239=""), "cmb. const", "")</f>
        <v/>
      </c>
      <c r="Y239">
        <f>IF(Table6[[#This Row],[pipeline]]="fma",Table6[[#This Row],[delay]],0)</f>
        <v>0</v>
      </c>
      <c r="Z239">
        <f>IF(AND(Table6[[#This Row],[pipeline]]="fma",W239="new"),290,0)</f>
        <v>0</v>
      </c>
      <c r="AK239" s="34"/>
    </row>
    <row r="240" spans="1:37" ht="17" x14ac:dyDescent="0.2">
      <c r="A240" s="31">
        <f>IF(Table6[[#This Row],[instruction]]&lt;&gt;"",MAX($A$6:A239)+1," ")</f>
        <v>235</v>
      </c>
      <c r="B240" s="32" t="s">
        <v>554</v>
      </c>
      <c r="C240" t="s">
        <v>509</v>
      </c>
      <c r="D240" s="31" t="s">
        <v>4</v>
      </c>
      <c r="E240" s="31" t="s">
        <v>436</v>
      </c>
      <c r="F240" s="31" t="s">
        <v>538</v>
      </c>
      <c r="G240" s="31" t="s">
        <v>502</v>
      </c>
      <c r="K240" s="2" t="str">
        <f t="shared" si="3"/>
        <v>fma</v>
      </c>
      <c r="L240" cm="1">
        <f t="array" ref="L2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0" t="str">
        <f>IF(OR(ISNUMBER(SEARCH("imad", Table6[[#This Row],[instruction]])), ISNUMBER(SEARCH("ffma", Table6[[#This Row],[instruction]])), ISNUMBER(SEARCH("fmul", Table6[[#This Row],[instruction]]))), "fma", "")</f>
        <v>fma</v>
      </c>
      <c r="P2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0" t="str">
        <f>IF(OR(ISNUMBER(SEARCH("s2r", Table6[[#This Row],[instruction]])),ISNUMBER(SEARCH("s2ur", Table6[[#This Row],[instruction]]))), "special", "")</f>
        <v/>
      </c>
      <c r="S240" t="str">
        <f>IF(OR(ISNUMBER(SEARCH("stg", Table6[[#This Row],[instruction]])),ISNUMBER(SEARCH("ldg", Table6[[#This Row],[instruction]]))), "global", "")</f>
        <v/>
      </c>
      <c r="T240" t="str">
        <f>IF(OR(ISNUMBER(SEARCH("sts", Table6[[#This Row],[instruction]])),ISNUMBER(SEARCH("lds", Table6[[#This Row],[instruction]]))), "shared", "")</f>
        <v/>
      </c>
      <c r="U240" t="str">
        <f>IF(OR(ISNUMBER(SEARCH("LDC", Table6[[#This Row],[instruction]]))), "ind. const", "")</f>
        <v/>
      </c>
      <c r="V2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Row],[s5]]))),U240=""), "cmb. const", "")</f>
        <v>cmb. const</v>
      </c>
      <c r="W240" s="2" t="s">
        <v>481</v>
      </c>
      <c r="Y240">
        <f>IF(Table6[[#This Row],[pipeline]]="fma",Table6[[#This Row],[delay]],0)</f>
        <v>4</v>
      </c>
      <c r="Z240">
        <f>IF(AND(Table6[[#This Row],[pipeline]]="fma",W240="new"),290,0)</f>
        <v>0</v>
      </c>
      <c r="AK240" s="34"/>
    </row>
    <row r="241" spans="1:37" ht="17" x14ac:dyDescent="0.2">
      <c r="A241" s="31">
        <f>IF(Table6[[#This Row],[instruction]]&lt;&gt;"",MAX($A$6:A240)+1," ")</f>
        <v>236</v>
      </c>
      <c r="B241" s="32" t="s">
        <v>554</v>
      </c>
      <c r="C241" t="s">
        <v>90</v>
      </c>
      <c r="D241" s="31" t="s">
        <v>58</v>
      </c>
      <c r="E241" s="31" t="s">
        <v>8</v>
      </c>
      <c r="F241" s="31" t="s">
        <v>539</v>
      </c>
      <c r="G241" s="31" t="s">
        <v>501</v>
      </c>
      <c r="K241" s="2" t="str">
        <f t="shared" si="3"/>
        <v>alu</v>
      </c>
      <c r="L241" cm="1">
        <f t="array" ref="L2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1" t="str">
        <f>IF(OR(ISNUMBER(SEARCH("imad", Table6[[#This Row],[instruction]])), ISNUMBER(SEARCH("ffma", Table6[[#This Row],[instruction]])), ISNUMBER(SEARCH("fmul", Table6[[#This Row],[instruction]]))), "fma", "")</f>
        <v/>
      </c>
      <c r="P2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1" t="str">
        <f>IF(OR(ISNUMBER(SEARCH("s2r", Table6[[#This Row],[instruction]])),ISNUMBER(SEARCH("s2ur", Table6[[#This Row],[instruction]]))), "special", "")</f>
        <v/>
      </c>
      <c r="S241" t="str">
        <f>IF(OR(ISNUMBER(SEARCH("stg", Table6[[#This Row],[instruction]])),ISNUMBER(SEARCH("ldg", Table6[[#This Row],[instruction]]))), "global", "")</f>
        <v/>
      </c>
      <c r="T241" t="str">
        <f>IF(OR(ISNUMBER(SEARCH("sts", Table6[[#This Row],[instruction]])),ISNUMBER(SEARCH("lds", Table6[[#This Row],[instruction]]))), "shared", "")</f>
        <v/>
      </c>
      <c r="U241" t="str">
        <f>IF(OR(ISNUMBER(SEARCH("LDC", Table6[[#This Row],[instruction]]))), "ind. const", "")</f>
        <v/>
      </c>
      <c r="V2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Row],[s5]]))),U241=""), "cmb. const", "")</f>
        <v>cmb. const</v>
      </c>
      <c r="W241" s="2" t="s">
        <v>481</v>
      </c>
      <c r="Y241">
        <f>IF(Table6[[#This Row],[pipeline]]="fma",Table6[[#This Row],[delay]],0)</f>
        <v>0</v>
      </c>
      <c r="Z241">
        <f>IF(AND(Table6[[#This Row],[pipeline]]="fma",W241="new"),290,0)</f>
        <v>0</v>
      </c>
      <c r="AK241" s="34"/>
    </row>
    <row r="242" spans="1:37" ht="17" x14ac:dyDescent="0.2">
      <c r="A242" s="31">
        <f>IF(Table6[[#This Row],[instruction]]&lt;&gt;"",MAX($A$6:A241)+1," ")</f>
        <v>237</v>
      </c>
      <c r="B242" s="32" t="s">
        <v>485</v>
      </c>
      <c r="C242" t="s">
        <v>0</v>
      </c>
      <c r="D242" s="31" t="s">
        <v>7</v>
      </c>
      <c r="E242" s="31" t="s">
        <v>556</v>
      </c>
      <c r="K242" s="2" t="s">
        <v>95</v>
      </c>
      <c r="L242">
        <v>1</v>
      </c>
      <c r="O242" t="str">
        <f>IF(OR(ISNUMBER(SEARCH("imad", Table6[[#This Row],[instruction]])), ISNUMBER(SEARCH("ffma", Table6[[#This Row],[instruction]])), ISNUMBER(SEARCH("fmul", Table6[[#This Row],[instruction]]))), "fma", "")</f>
        <v/>
      </c>
      <c r="P2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2" t="str">
        <f>IF(OR(ISNUMBER(SEARCH("s2r", Table6[[#This Row],[instruction]])),ISNUMBER(SEARCH("s2ur", Table6[[#This Row],[instruction]]))), "special", "")</f>
        <v/>
      </c>
      <c r="S242" t="str">
        <f>IF(OR(ISNUMBER(SEARCH("stg", Table6[[#This Row],[instruction]])),ISNUMBER(SEARCH("ldg", Table6[[#This Row],[instruction]]))), "global", "")</f>
        <v/>
      </c>
      <c r="T242" t="str">
        <f>IF(OR(ISNUMBER(SEARCH("sts", Table6[[#This Row],[instruction]])),ISNUMBER(SEARCH("lds", Table6[[#This Row],[instruction]]))), "shared", "")</f>
        <v/>
      </c>
      <c r="U242" t="str">
        <f>IF(OR(ISNUMBER(SEARCH("LDC", Table6[[#This Row],[instruction]]))), "ind. const", "")</f>
        <v/>
      </c>
      <c r="V2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Row],[s5]]))),U242=""), "cmb. const", "")</f>
        <v/>
      </c>
      <c r="Y242">
        <f>IF(Table6[[#This Row],[pipeline]]="fma",Table6[[#This Row],[delay]],0)</f>
        <v>0</v>
      </c>
      <c r="Z242">
        <f>IF(AND(Table6[[#This Row],[pipeline]]="fma",W242="new"),290,0)</f>
        <v>0</v>
      </c>
      <c r="AK242" s="34"/>
    </row>
    <row r="243" spans="1:37" ht="17" x14ac:dyDescent="0.2">
      <c r="A243" s="31">
        <f>IF(Table6[[#This Row],[instruction]]&lt;&gt;"",MAX($A$6:A242)+1," ")</f>
        <v>238</v>
      </c>
      <c r="B243" s="32" t="s">
        <v>485</v>
      </c>
      <c r="C243" t="s">
        <v>515</v>
      </c>
      <c r="D243" s="31" t="s">
        <v>12</v>
      </c>
      <c r="E243" s="31" t="s">
        <v>8</v>
      </c>
      <c r="F243" s="31" t="s">
        <v>8</v>
      </c>
      <c r="G243" s="31" t="s">
        <v>632</v>
      </c>
      <c r="K243" s="2" t="str">
        <f t="shared" si="3"/>
        <v>fma</v>
      </c>
      <c r="L243" cm="1">
        <f t="array" ref="L2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3" t="str">
        <f>IF(OR(ISNUMBER(SEARCH("imad", Table6[[#This Row],[instruction]])), ISNUMBER(SEARCH("ffma", Table6[[#This Row],[instruction]])), ISNUMBER(SEARCH("fmul", Table6[[#This Row],[instruction]]))), "fma", "")</f>
        <v>fma</v>
      </c>
      <c r="P2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3" t="str">
        <f>IF(OR(ISNUMBER(SEARCH("s2r", Table6[[#This Row],[instruction]])),ISNUMBER(SEARCH("s2ur", Table6[[#This Row],[instruction]]))), "special", "")</f>
        <v/>
      </c>
      <c r="S243" t="str">
        <f>IF(OR(ISNUMBER(SEARCH("stg", Table6[[#This Row],[instruction]])),ISNUMBER(SEARCH("ldg", Table6[[#This Row],[instruction]]))), "global", "")</f>
        <v/>
      </c>
      <c r="T243" t="str">
        <f>IF(OR(ISNUMBER(SEARCH("sts", Table6[[#This Row],[instruction]])),ISNUMBER(SEARCH("lds", Table6[[#This Row],[instruction]]))), "shared", "")</f>
        <v/>
      </c>
      <c r="U243" t="str">
        <f>IF(OR(ISNUMBER(SEARCH("LDC", Table6[[#This Row],[instruction]]))), "ind. const", "")</f>
        <v/>
      </c>
      <c r="V2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Row],[s5]]))),U243=""), "cmb. const", "")</f>
        <v/>
      </c>
      <c r="Y243">
        <f>IF(Table6[[#This Row],[pipeline]]="fma",Table6[[#This Row],[delay]],0)</f>
        <v>4</v>
      </c>
      <c r="Z243">
        <f>IF(AND(Table6[[#This Row],[pipeline]]="fma",W243="new"),290,0)</f>
        <v>0</v>
      </c>
      <c r="AK243" s="34"/>
    </row>
    <row r="244" spans="1:37" ht="17" x14ac:dyDescent="0.2">
      <c r="A244" s="31">
        <f>IF(Table6[[#This Row],[instruction]]&lt;&gt;"",MAX($A$6:A243)+1," ")</f>
        <v>239</v>
      </c>
      <c r="B244" s="32" t="s">
        <v>485</v>
      </c>
      <c r="C244" t="s">
        <v>26</v>
      </c>
      <c r="D244" s="31" t="s">
        <v>46</v>
      </c>
      <c r="E244" s="31" t="e">
        <f>-S13</f>
        <v>#VALUE!</v>
      </c>
      <c r="F244" s="31" t="s">
        <v>8</v>
      </c>
      <c r="G244" s="31" t="s">
        <v>502</v>
      </c>
      <c r="K244" s="2" t="str">
        <f t="shared" si="3"/>
        <v>alu</v>
      </c>
      <c r="L244" cm="1">
        <f t="array" ref="L2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44" t="str">
        <f>IF(OR(ISNUMBER(SEARCH("imad", Table6[[#This Row],[instruction]])), ISNUMBER(SEARCH("ffma", Table6[[#This Row],[instruction]])), ISNUMBER(SEARCH("fmul", Table6[[#This Row],[instruction]]))), "fma", "")</f>
        <v/>
      </c>
      <c r="P2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4" t="str">
        <f>IF(OR(ISNUMBER(SEARCH("s2r", Table6[[#This Row],[instruction]])),ISNUMBER(SEARCH("s2ur", Table6[[#This Row],[instruction]]))), "special", "")</f>
        <v/>
      </c>
      <c r="S244" t="str">
        <f>IF(OR(ISNUMBER(SEARCH("stg", Table6[[#This Row],[instruction]])),ISNUMBER(SEARCH("ldg", Table6[[#This Row],[instruction]]))), "global", "")</f>
        <v/>
      </c>
      <c r="T244" t="str">
        <f>IF(OR(ISNUMBER(SEARCH("sts", Table6[[#This Row],[instruction]])),ISNUMBER(SEARCH("lds", Table6[[#This Row],[instruction]]))), "shared", "")</f>
        <v/>
      </c>
      <c r="U244" t="str">
        <f>IF(OR(ISNUMBER(SEARCH("LDC", Table6[[#This Row],[instruction]]))), "ind. const", "")</f>
        <v/>
      </c>
      <c r="V2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Row],[s5]]))),U244=""), "cmb. const", "")</f>
        <v/>
      </c>
      <c r="Y244">
        <f>IF(Table6[[#This Row],[pipeline]]="fma",Table6[[#This Row],[delay]],0)</f>
        <v>0</v>
      </c>
      <c r="Z244">
        <f>IF(AND(Table6[[#This Row],[pipeline]]="fma",W244="new"),290,0)</f>
        <v>0</v>
      </c>
      <c r="AK244" s="34"/>
    </row>
    <row r="245" spans="1:37" ht="17" x14ac:dyDescent="0.2">
      <c r="A245" s="31">
        <f>IF(Table6[[#This Row],[instruction]]&lt;&gt;"",MAX($A$6:A244)+1," ")</f>
        <v>240</v>
      </c>
      <c r="B245" s="32" t="s">
        <v>554</v>
      </c>
      <c r="C245" t="s">
        <v>90</v>
      </c>
      <c r="D245" s="31" t="s">
        <v>7</v>
      </c>
      <c r="E245" s="31" t="s">
        <v>8</v>
      </c>
      <c r="F245" s="31" t="s">
        <v>539</v>
      </c>
      <c r="G245" s="31" t="s">
        <v>593</v>
      </c>
      <c r="K245" s="2" t="str">
        <f t="shared" si="3"/>
        <v>alu</v>
      </c>
      <c r="L245" cm="1">
        <f t="array" ref="L2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5" t="str">
        <f>IF(OR(ISNUMBER(SEARCH("imad", Table6[[#This Row],[instruction]])), ISNUMBER(SEARCH("ffma", Table6[[#This Row],[instruction]])), ISNUMBER(SEARCH("fmul", Table6[[#This Row],[instruction]]))), "fma", "")</f>
        <v/>
      </c>
      <c r="P2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5" t="str">
        <f>IF(OR(ISNUMBER(SEARCH("s2r", Table6[[#This Row],[instruction]])),ISNUMBER(SEARCH("s2ur", Table6[[#This Row],[instruction]]))), "special", "")</f>
        <v/>
      </c>
      <c r="S245" t="str">
        <f>IF(OR(ISNUMBER(SEARCH("stg", Table6[[#This Row],[instruction]])),ISNUMBER(SEARCH("ldg", Table6[[#This Row],[instruction]]))), "global", "")</f>
        <v/>
      </c>
      <c r="T245" t="str">
        <f>IF(OR(ISNUMBER(SEARCH("sts", Table6[[#This Row],[instruction]])),ISNUMBER(SEARCH("lds", Table6[[#This Row],[instruction]]))), "shared", "")</f>
        <v/>
      </c>
      <c r="U245" t="str">
        <f>IF(OR(ISNUMBER(SEARCH("LDC", Table6[[#This Row],[instruction]]))), "ind. const", "")</f>
        <v/>
      </c>
      <c r="V2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Row],[s5]]))),U245=""), "cmb. const", "")</f>
        <v>cmb. const</v>
      </c>
      <c r="W245" s="2" t="s">
        <v>481</v>
      </c>
      <c r="Y245">
        <f>IF(Table6[[#This Row],[pipeline]]="fma",Table6[[#This Row],[delay]],0)</f>
        <v>0</v>
      </c>
      <c r="Z245">
        <f>IF(AND(Table6[[#This Row],[pipeline]]="fma",W245="new"),290,0)</f>
        <v>0</v>
      </c>
      <c r="AK245" s="34"/>
    </row>
    <row r="246" spans="1:37" ht="17" x14ac:dyDescent="0.2">
      <c r="A246" s="31">
        <f>IF(Table6[[#This Row],[instruction]]&lt;&gt;"",MAX($A$6:A245)+1," ")</f>
        <v>241</v>
      </c>
      <c r="B246" s="32" t="s">
        <v>485</v>
      </c>
      <c r="C246" t="s">
        <v>14</v>
      </c>
      <c r="D246" s="31" t="s">
        <v>447</v>
      </c>
      <c r="E246" s="31" t="s">
        <v>12</v>
      </c>
      <c r="F246" s="31" t="s">
        <v>541</v>
      </c>
      <c r="G246" s="31" t="s">
        <v>629</v>
      </c>
      <c r="K246" s="2" t="str">
        <f t="shared" si="3"/>
        <v>fma</v>
      </c>
      <c r="L246" cm="1">
        <f t="array" ref="L2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6" t="str">
        <f>IF(OR(ISNUMBER(SEARCH("imad", Table6[[#This Row],[instruction]])), ISNUMBER(SEARCH("ffma", Table6[[#This Row],[instruction]])), ISNUMBER(SEARCH("fmul", Table6[[#This Row],[instruction]]))), "fma", "")</f>
        <v>fma</v>
      </c>
      <c r="P2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6" t="str">
        <f>IF(OR(ISNUMBER(SEARCH("s2r", Table6[[#This Row],[instruction]])),ISNUMBER(SEARCH("s2ur", Table6[[#This Row],[instruction]]))), "special", "")</f>
        <v/>
      </c>
      <c r="S246" t="str">
        <f>IF(OR(ISNUMBER(SEARCH("stg", Table6[[#This Row],[instruction]])),ISNUMBER(SEARCH("ldg", Table6[[#This Row],[instruction]]))), "global", "")</f>
        <v/>
      </c>
      <c r="T246" t="str">
        <f>IF(OR(ISNUMBER(SEARCH("sts", Table6[[#This Row],[instruction]])),ISNUMBER(SEARCH("lds", Table6[[#This Row],[instruction]]))), "shared", "")</f>
        <v/>
      </c>
      <c r="U246" t="str">
        <f>IF(OR(ISNUMBER(SEARCH("LDC", Table6[[#This Row],[instruction]]))), "ind. const", "")</f>
        <v/>
      </c>
      <c r="V2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Row],[s5]]))),U246=""), "cmb. const", "")</f>
        <v>cmb. const</v>
      </c>
      <c r="W246" s="2" t="s">
        <v>481</v>
      </c>
      <c r="Y246">
        <f>IF(Table6[[#This Row],[pipeline]]="fma",Table6[[#This Row],[delay]],0)</f>
        <v>4</v>
      </c>
      <c r="Z246">
        <f>IF(AND(Table6[[#This Row],[pipeline]]="fma",W246="new"),290,0)</f>
        <v>0</v>
      </c>
      <c r="AK246" s="34"/>
    </row>
    <row r="247" spans="1:37" ht="17" x14ac:dyDescent="0.2">
      <c r="A247" s="31">
        <f>IF(Table6[[#This Row],[instruction]]&lt;&gt;"",MAX($A$6:A246)+1," ")</f>
        <v>242</v>
      </c>
      <c r="B247" s="32" t="s">
        <v>485</v>
      </c>
      <c r="C247" t="s">
        <v>26</v>
      </c>
      <c r="D247" s="31" t="s">
        <v>633</v>
      </c>
      <c r="E247" s="31" t="s">
        <v>592</v>
      </c>
      <c r="F247" s="31" t="s">
        <v>459</v>
      </c>
      <c r="G247" s="31" t="s">
        <v>502</v>
      </c>
      <c r="K247" s="2" t="str">
        <f t="shared" si="3"/>
        <v>alu</v>
      </c>
      <c r="L247" cm="1">
        <f t="array" ref="L2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47" t="str">
        <f>IF(OR(ISNUMBER(SEARCH("imad", Table6[[#This Row],[instruction]])), ISNUMBER(SEARCH("ffma", Table6[[#This Row],[instruction]])), ISNUMBER(SEARCH("fmul", Table6[[#This Row],[instruction]]))), "fma", "")</f>
        <v/>
      </c>
      <c r="P2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7" t="str">
        <f>IF(OR(ISNUMBER(SEARCH("s2r", Table6[[#This Row],[instruction]])),ISNUMBER(SEARCH("s2ur", Table6[[#This Row],[instruction]]))), "special", "")</f>
        <v/>
      </c>
      <c r="S247" t="str">
        <f>IF(OR(ISNUMBER(SEARCH("stg", Table6[[#This Row],[instruction]])),ISNUMBER(SEARCH("ldg", Table6[[#This Row],[instruction]]))), "global", "")</f>
        <v/>
      </c>
      <c r="T247" t="str">
        <f>IF(OR(ISNUMBER(SEARCH("sts", Table6[[#This Row],[instruction]])),ISNUMBER(SEARCH("lds", Table6[[#This Row],[instruction]]))), "shared", "")</f>
        <v/>
      </c>
      <c r="U247" t="str">
        <f>IF(OR(ISNUMBER(SEARCH("LDC", Table6[[#This Row],[instruction]]))), "ind. const", "")</f>
        <v/>
      </c>
      <c r="V2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Row],[s5]]))),U247=""), "cmb. const", "")</f>
        <v/>
      </c>
      <c r="Y247">
        <f>IF(Table6[[#This Row],[pipeline]]="fma",Table6[[#This Row],[delay]],0)</f>
        <v>0</v>
      </c>
      <c r="Z247">
        <f>IF(AND(Table6[[#This Row],[pipeline]]="fma",W247="new"),290,0)</f>
        <v>0</v>
      </c>
      <c r="AK247" s="34"/>
    </row>
    <row r="248" spans="1:37" ht="17" x14ac:dyDescent="0.2">
      <c r="A248" s="31">
        <f>IF(Table6[[#This Row],[instruction]]&lt;&gt;"",MAX($A$6:A247)+1," ")</f>
        <v>243</v>
      </c>
      <c r="B248" s="32" t="s">
        <v>485</v>
      </c>
      <c r="C248" t="s">
        <v>14</v>
      </c>
      <c r="D248" s="31" t="s">
        <v>567</v>
      </c>
      <c r="E248" s="31" t="s">
        <v>46</v>
      </c>
      <c r="F248" s="31" t="s">
        <v>541</v>
      </c>
      <c r="G248" s="31" t="s">
        <v>631</v>
      </c>
      <c r="K248" s="2" t="str">
        <f t="shared" si="3"/>
        <v>fma</v>
      </c>
      <c r="L248" cm="1">
        <f t="array" ref="L2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8" t="str">
        <f>IF(OR(ISNUMBER(SEARCH("imad", Table6[[#This Row],[instruction]])), ISNUMBER(SEARCH("ffma", Table6[[#This Row],[instruction]])), ISNUMBER(SEARCH("fmul", Table6[[#This Row],[instruction]]))), "fma", "")</f>
        <v>fma</v>
      </c>
      <c r="P2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8" t="str">
        <f>IF(OR(ISNUMBER(SEARCH("s2r", Table6[[#This Row],[instruction]])),ISNUMBER(SEARCH("s2ur", Table6[[#This Row],[instruction]]))), "special", "")</f>
        <v/>
      </c>
      <c r="S248" t="str">
        <f>IF(OR(ISNUMBER(SEARCH("stg", Table6[[#This Row],[instruction]])),ISNUMBER(SEARCH("ldg", Table6[[#This Row],[instruction]]))), "global", "")</f>
        <v/>
      </c>
      <c r="T248" t="str">
        <f>IF(OR(ISNUMBER(SEARCH("sts", Table6[[#This Row],[instruction]])),ISNUMBER(SEARCH("lds", Table6[[#This Row],[instruction]]))), "shared", "")</f>
        <v/>
      </c>
      <c r="U248" t="str">
        <f>IF(OR(ISNUMBER(SEARCH("LDC", Table6[[#This Row],[instruction]]))), "ind. const", "")</f>
        <v/>
      </c>
      <c r="V2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Row],[s5]]))),U248=""), "cmb. const", "")</f>
        <v>cmb. const</v>
      </c>
      <c r="W248" s="2" t="s">
        <v>481</v>
      </c>
      <c r="Y248">
        <f>IF(Table6[[#This Row],[pipeline]]="fma",Table6[[#This Row],[delay]],0)</f>
        <v>4</v>
      </c>
      <c r="Z248">
        <f>IF(AND(Table6[[#This Row],[pipeline]]="fma",W248="new"),290,0)</f>
        <v>0</v>
      </c>
      <c r="AK248" s="34"/>
    </row>
    <row r="249" spans="1:37" ht="17" x14ac:dyDescent="0.2">
      <c r="A249" s="31">
        <f>IF(Table6[[#This Row],[instruction]]&lt;&gt;"",MAX($A$6:A248)+1," ")</f>
        <v>244</v>
      </c>
      <c r="B249" s="32" t="s">
        <v>485</v>
      </c>
      <c r="C249" t="s">
        <v>515</v>
      </c>
      <c r="D249" s="31" t="s">
        <v>46</v>
      </c>
      <c r="E249" s="31" t="s">
        <v>8</v>
      </c>
      <c r="F249" s="31" t="s">
        <v>8</v>
      </c>
      <c r="G249" s="31" t="s">
        <v>634</v>
      </c>
      <c r="K249" s="2" t="str">
        <f t="shared" si="3"/>
        <v>fma</v>
      </c>
      <c r="L249" cm="1">
        <f t="array" ref="L2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49" t="str">
        <f>IF(OR(ISNUMBER(SEARCH("imad", Table6[[#This Row],[instruction]])), ISNUMBER(SEARCH("ffma", Table6[[#This Row],[instruction]])), ISNUMBER(SEARCH("fmul", Table6[[#This Row],[instruction]]))), "fma", "")</f>
        <v>fma</v>
      </c>
      <c r="P2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49" t="str">
        <f>IF(OR(ISNUMBER(SEARCH("s2r", Table6[[#This Row],[instruction]])),ISNUMBER(SEARCH("s2ur", Table6[[#This Row],[instruction]]))), "special", "")</f>
        <v/>
      </c>
      <c r="S249" t="str">
        <f>IF(OR(ISNUMBER(SEARCH("stg", Table6[[#This Row],[instruction]])),ISNUMBER(SEARCH("ldg", Table6[[#This Row],[instruction]]))), "global", "")</f>
        <v/>
      </c>
      <c r="T249" t="str">
        <f>IF(OR(ISNUMBER(SEARCH("sts", Table6[[#This Row],[instruction]])),ISNUMBER(SEARCH("lds", Table6[[#This Row],[instruction]]))), "shared", "")</f>
        <v/>
      </c>
      <c r="U249" t="str">
        <f>IF(OR(ISNUMBER(SEARCH("LDC", Table6[[#This Row],[instruction]]))), "ind. const", "")</f>
        <v/>
      </c>
      <c r="V2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Row],[s5]]))),U249=""), "cmb. const", "")</f>
        <v/>
      </c>
      <c r="Y249">
        <f>IF(Table6[[#This Row],[pipeline]]="fma",Table6[[#This Row],[delay]],0)</f>
        <v>4</v>
      </c>
      <c r="Z249">
        <f>IF(AND(Table6[[#This Row],[pipeline]]="fma",W249="new"),290,0)</f>
        <v>0</v>
      </c>
      <c r="AK249" s="34"/>
    </row>
    <row r="250" spans="1:37" ht="17" x14ac:dyDescent="0.2">
      <c r="A250" s="31">
        <f>IF(Table6[[#This Row],[instruction]]&lt;&gt;"",MAX($A$6:A249)+1," ")</f>
        <v>245</v>
      </c>
      <c r="B250" s="32" t="s">
        <v>485</v>
      </c>
      <c r="C250" t="s">
        <v>0</v>
      </c>
      <c r="D250" s="31" t="s">
        <v>71</v>
      </c>
      <c r="E250" s="31" t="s">
        <v>563</v>
      </c>
      <c r="K250" s="2" t="s">
        <v>95</v>
      </c>
      <c r="L250">
        <v>1</v>
      </c>
      <c r="O250" t="str">
        <f>IF(OR(ISNUMBER(SEARCH("imad", Table6[[#This Row],[instruction]])), ISNUMBER(SEARCH("ffma", Table6[[#This Row],[instruction]])), ISNUMBER(SEARCH("fmul", Table6[[#This Row],[instruction]]))), "fma", "")</f>
        <v/>
      </c>
      <c r="P2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0" t="str">
        <f>IF(OR(ISNUMBER(SEARCH("s2r", Table6[[#This Row],[instruction]])),ISNUMBER(SEARCH("s2ur", Table6[[#This Row],[instruction]]))), "special", "")</f>
        <v/>
      </c>
      <c r="S250" t="str">
        <f>IF(OR(ISNUMBER(SEARCH("stg", Table6[[#This Row],[instruction]])),ISNUMBER(SEARCH("ldg", Table6[[#This Row],[instruction]]))), "global", "")</f>
        <v/>
      </c>
      <c r="T250" t="str">
        <f>IF(OR(ISNUMBER(SEARCH("sts", Table6[[#This Row],[instruction]])),ISNUMBER(SEARCH("lds", Table6[[#This Row],[instruction]]))), "shared", "")</f>
        <v/>
      </c>
      <c r="U250" t="str">
        <f>IF(OR(ISNUMBER(SEARCH("LDC", Table6[[#This Row],[instruction]]))), "ind. const", "")</f>
        <v/>
      </c>
      <c r="V2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Row],[s5]]))),U250=""), "cmb. const", "")</f>
        <v/>
      </c>
      <c r="Y250">
        <f>IF(Table6[[#This Row],[pipeline]]="fma",Table6[[#This Row],[delay]],0)</f>
        <v>0</v>
      </c>
      <c r="Z250">
        <f>IF(AND(Table6[[#This Row],[pipeline]]="fma",W250="new"),290,0)</f>
        <v>0</v>
      </c>
      <c r="AK250" s="34"/>
    </row>
    <row r="251" spans="1:37" ht="17" x14ac:dyDescent="0.2">
      <c r="A251" s="31">
        <f>IF(Table6[[#This Row],[instruction]]&lt;&gt;"",MAX($A$6:A250)+1," ")</f>
        <v>246</v>
      </c>
      <c r="B251" s="32" t="s">
        <v>83</v>
      </c>
      <c r="C251" t="s">
        <v>509</v>
      </c>
      <c r="D251" s="31" t="s">
        <v>12</v>
      </c>
      <c r="E251" s="31" t="s">
        <v>447</v>
      </c>
      <c r="F251" s="31" t="s">
        <v>542</v>
      </c>
      <c r="G251" s="31" t="s">
        <v>502</v>
      </c>
      <c r="K251" s="2" t="str">
        <f t="shared" si="3"/>
        <v>fma</v>
      </c>
      <c r="L251" cm="1">
        <f t="array" ref="L2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1" t="str">
        <f>IF(OR(ISNUMBER(SEARCH("imad", Table6[[#This Row],[instruction]])), ISNUMBER(SEARCH("ffma", Table6[[#This Row],[instruction]])), ISNUMBER(SEARCH("fmul", Table6[[#This Row],[instruction]]))), "fma", "")</f>
        <v>fma</v>
      </c>
      <c r="P2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1" t="str">
        <f>IF(OR(ISNUMBER(SEARCH("s2r", Table6[[#This Row],[instruction]])),ISNUMBER(SEARCH("s2ur", Table6[[#This Row],[instruction]]))), "special", "")</f>
        <v/>
      </c>
      <c r="S251" t="str">
        <f>IF(OR(ISNUMBER(SEARCH("stg", Table6[[#This Row],[instruction]])),ISNUMBER(SEARCH("ldg", Table6[[#This Row],[instruction]]))), "global", "")</f>
        <v/>
      </c>
      <c r="T251" t="str">
        <f>IF(OR(ISNUMBER(SEARCH("sts", Table6[[#This Row],[instruction]])),ISNUMBER(SEARCH("lds", Table6[[#This Row],[instruction]]))), "shared", "")</f>
        <v/>
      </c>
      <c r="U251" t="str">
        <f>IF(OR(ISNUMBER(SEARCH("LDC", Table6[[#This Row],[instruction]]))), "ind. const", "")</f>
        <v/>
      </c>
      <c r="V2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Row],[s5]]))),U251=""), "cmb. const", "")</f>
        <v>cmb. const</v>
      </c>
      <c r="W251" s="2" t="s">
        <v>481</v>
      </c>
      <c r="Y251">
        <f>IF(Table6[[#This Row],[pipeline]]="fma",Table6[[#This Row],[delay]],0)</f>
        <v>4</v>
      </c>
      <c r="Z251">
        <f>IF(AND(Table6[[#This Row],[pipeline]]="fma",W251="new"),290,0)</f>
        <v>0</v>
      </c>
      <c r="AK251" s="34"/>
    </row>
    <row r="252" spans="1:37" ht="17" x14ac:dyDescent="0.2">
      <c r="A252" s="31">
        <f>IF(Table6[[#This Row],[instruction]]&lt;&gt;"",MAX($A$6:A251)+1," ")</f>
        <v>247</v>
      </c>
      <c r="B252" s="32" t="s">
        <v>485</v>
      </c>
      <c r="C252" t="s">
        <v>0</v>
      </c>
      <c r="D252" s="31" t="s">
        <v>4</v>
      </c>
      <c r="E252" s="31" t="s">
        <v>635</v>
      </c>
      <c r="K252" s="2" t="s">
        <v>95</v>
      </c>
      <c r="L252">
        <v>1</v>
      </c>
      <c r="O252" t="str">
        <f>IF(OR(ISNUMBER(SEARCH("imad", Table6[[#This Row],[instruction]])), ISNUMBER(SEARCH("ffma", Table6[[#This Row],[instruction]])), ISNUMBER(SEARCH("fmul", Table6[[#This Row],[instruction]]))), "fma", "")</f>
        <v/>
      </c>
      <c r="P2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2" t="str">
        <f>IF(OR(ISNUMBER(SEARCH("s2r", Table6[[#This Row],[instruction]])),ISNUMBER(SEARCH("s2ur", Table6[[#This Row],[instruction]]))), "special", "")</f>
        <v/>
      </c>
      <c r="S252" t="str">
        <f>IF(OR(ISNUMBER(SEARCH("stg", Table6[[#This Row],[instruction]])),ISNUMBER(SEARCH("ldg", Table6[[#This Row],[instruction]]))), "global", "")</f>
        <v/>
      </c>
      <c r="T252" t="str">
        <f>IF(OR(ISNUMBER(SEARCH("sts", Table6[[#This Row],[instruction]])),ISNUMBER(SEARCH("lds", Table6[[#This Row],[instruction]]))), "shared", "")</f>
        <v/>
      </c>
      <c r="U252" t="str">
        <f>IF(OR(ISNUMBER(SEARCH("LDC", Table6[[#This Row],[instruction]]))), "ind. const", "")</f>
        <v/>
      </c>
      <c r="V2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Row],[s5]]))),U252=""), "cmb. const", "")</f>
        <v/>
      </c>
      <c r="Y252">
        <f>IF(Table6[[#This Row],[pipeline]]="fma",Table6[[#This Row],[delay]],0)</f>
        <v>0</v>
      </c>
      <c r="Z252">
        <f>IF(AND(Table6[[#This Row],[pipeline]]="fma",W252="new"),290,0)</f>
        <v>0</v>
      </c>
      <c r="AK252" s="34"/>
    </row>
    <row r="253" spans="1:37" ht="17" x14ac:dyDescent="0.2">
      <c r="A253" s="31">
        <f>IF(Table6[[#This Row],[instruction]]&lt;&gt;"",MAX($A$6:A252)+1," ")</f>
        <v>248</v>
      </c>
      <c r="B253" s="32" t="s">
        <v>485</v>
      </c>
      <c r="C253" t="s">
        <v>0</v>
      </c>
      <c r="D253" s="31" t="s">
        <v>82</v>
      </c>
      <c r="E253" s="31" t="s">
        <v>611</v>
      </c>
      <c r="K253" s="2" t="s">
        <v>95</v>
      </c>
      <c r="L253">
        <v>1</v>
      </c>
      <c r="O253" t="str">
        <f>IF(OR(ISNUMBER(SEARCH("imad", Table6[[#This Row],[instruction]])), ISNUMBER(SEARCH("ffma", Table6[[#This Row],[instruction]])), ISNUMBER(SEARCH("fmul", Table6[[#This Row],[instruction]]))), "fma", "")</f>
        <v/>
      </c>
      <c r="P2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3" t="str">
        <f>IF(OR(ISNUMBER(SEARCH("s2r", Table6[[#This Row],[instruction]])),ISNUMBER(SEARCH("s2ur", Table6[[#This Row],[instruction]]))), "special", "")</f>
        <v/>
      </c>
      <c r="S253" t="str">
        <f>IF(OR(ISNUMBER(SEARCH("stg", Table6[[#This Row],[instruction]])),ISNUMBER(SEARCH("ldg", Table6[[#This Row],[instruction]]))), "global", "")</f>
        <v/>
      </c>
      <c r="T253" t="str">
        <f>IF(OR(ISNUMBER(SEARCH("sts", Table6[[#This Row],[instruction]])),ISNUMBER(SEARCH("lds", Table6[[#This Row],[instruction]]))), "shared", "")</f>
        <v/>
      </c>
      <c r="U253" t="str">
        <f>IF(OR(ISNUMBER(SEARCH("LDC", Table6[[#This Row],[instruction]]))), "ind. const", "")</f>
        <v/>
      </c>
      <c r="V2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Row],[s5]]))),U253=""), "cmb. const", "")</f>
        <v/>
      </c>
      <c r="Y253">
        <f>IF(Table6[[#This Row],[pipeline]]="fma",Table6[[#This Row],[delay]],0)</f>
        <v>0</v>
      </c>
      <c r="Z253">
        <f>IF(AND(Table6[[#This Row],[pipeline]]="fma",W253="new"),290,0)</f>
        <v>0</v>
      </c>
      <c r="AK253" s="34"/>
    </row>
    <row r="254" spans="1:37" ht="17" x14ac:dyDescent="0.2">
      <c r="A254" s="31">
        <f>IF(Table6[[#This Row],[instruction]]&lt;&gt;"",MAX($A$6:A253)+1," ")</f>
        <v>249</v>
      </c>
      <c r="B254" s="32" t="s">
        <v>554</v>
      </c>
      <c r="C254" t="s">
        <v>509</v>
      </c>
      <c r="D254" s="31" t="s">
        <v>430</v>
      </c>
      <c r="E254" s="31" t="s">
        <v>633</v>
      </c>
      <c r="F254" s="31" t="s">
        <v>538</v>
      </c>
      <c r="G254" s="31" t="s">
        <v>502</v>
      </c>
      <c r="K254" s="2" t="str">
        <f t="shared" si="3"/>
        <v>fma</v>
      </c>
      <c r="L254" cm="1">
        <f t="array" ref="L2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4" t="str">
        <f>IF(OR(ISNUMBER(SEARCH("imad", Table6[[#This Row],[instruction]])), ISNUMBER(SEARCH("ffma", Table6[[#This Row],[instruction]])), ISNUMBER(SEARCH("fmul", Table6[[#This Row],[instruction]]))), "fma", "")</f>
        <v>fma</v>
      </c>
      <c r="P2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4" t="str">
        <f>IF(OR(ISNUMBER(SEARCH("s2r", Table6[[#This Row],[instruction]])),ISNUMBER(SEARCH("s2ur", Table6[[#This Row],[instruction]]))), "special", "")</f>
        <v/>
      </c>
      <c r="S254" t="str">
        <f>IF(OR(ISNUMBER(SEARCH("stg", Table6[[#This Row],[instruction]])),ISNUMBER(SEARCH("ldg", Table6[[#This Row],[instruction]]))), "global", "")</f>
        <v/>
      </c>
      <c r="T254" t="str">
        <f>IF(OR(ISNUMBER(SEARCH("sts", Table6[[#This Row],[instruction]])),ISNUMBER(SEARCH("lds", Table6[[#This Row],[instruction]]))), "shared", "")</f>
        <v/>
      </c>
      <c r="U254" t="str">
        <f>IF(OR(ISNUMBER(SEARCH("LDC", Table6[[#This Row],[instruction]]))), "ind. const", "")</f>
        <v/>
      </c>
      <c r="V2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Row],[s5]]))),U254=""), "cmb. const", "")</f>
        <v>cmb. const</v>
      </c>
      <c r="W254" s="2" t="s">
        <v>481</v>
      </c>
      <c r="Y254">
        <f>IF(Table6[[#This Row],[pipeline]]="fma",Table6[[#This Row],[delay]],0)</f>
        <v>4</v>
      </c>
      <c r="Z254">
        <f>IF(AND(Table6[[#This Row],[pipeline]]="fma",W254="new"),290,0)</f>
        <v>0</v>
      </c>
      <c r="AK254" s="34"/>
    </row>
    <row r="255" spans="1:37" ht="17" x14ac:dyDescent="0.2">
      <c r="A255" s="31">
        <f>IF(Table6[[#This Row],[instruction]]&lt;&gt;"",MAX($A$6:A254)+1," ")</f>
        <v>250</v>
      </c>
      <c r="B255" s="32" t="s">
        <v>83</v>
      </c>
      <c r="C255" t="s">
        <v>90</v>
      </c>
      <c r="D255" s="31" t="s">
        <v>71</v>
      </c>
      <c r="E255" s="31" t="s">
        <v>8</v>
      </c>
      <c r="F255" s="31" t="s">
        <v>544</v>
      </c>
      <c r="G255" s="31" t="s">
        <v>501</v>
      </c>
      <c r="K255" s="2" t="str">
        <f t="shared" si="3"/>
        <v>alu</v>
      </c>
      <c r="L255" cm="1">
        <f t="array" ref="L2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5" t="str">
        <f>IF(OR(ISNUMBER(SEARCH("imad", Table6[[#This Row],[instruction]])), ISNUMBER(SEARCH("ffma", Table6[[#This Row],[instruction]])), ISNUMBER(SEARCH("fmul", Table6[[#This Row],[instruction]]))), "fma", "")</f>
        <v/>
      </c>
      <c r="P2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5" t="str">
        <f>IF(OR(ISNUMBER(SEARCH("s2r", Table6[[#This Row],[instruction]])),ISNUMBER(SEARCH("s2ur", Table6[[#This Row],[instruction]]))), "special", "")</f>
        <v/>
      </c>
      <c r="S255" t="str">
        <f>IF(OR(ISNUMBER(SEARCH("stg", Table6[[#This Row],[instruction]])),ISNUMBER(SEARCH("ldg", Table6[[#This Row],[instruction]]))), "global", "")</f>
        <v/>
      </c>
      <c r="T255" t="str">
        <f>IF(OR(ISNUMBER(SEARCH("sts", Table6[[#This Row],[instruction]])),ISNUMBER(SEARCH("lds", Table6[[#This Row],[instruction]]))), "shared", "")</f>
        <v/>
      </c>
      <c r="U255" t="str">
        <f>IF(OR(ISNUMBER(SEARCH("LDC", Table6[[#This Row],[instruction]]))), "ind. const", "")</f>
        <v/>
      </c>
      <c r="V2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Row],[s5]]))),U255=""), "cmb. const", "")</f>
        <v>cmb. const</v>
      </c>
      <c r="W255" s="2" t="s">
        <v>481</v>
      </c>
      <c r="Y255">
        <f>IF(Table6[[#This Row],[pipeline]]="fma",Table6[[#This Row],[delay]],0)</f>
        <v>0</v>
      </c>
      <c r="Z255">
        <f>IF(AND(Table6[[#This Row],[pipeline]]="fma",W255="new"),290,0)</f>
        <v>0</v>
      </c>
      <c r="AK255" s="34"/>
    </row>
    <row r="256" spans="1:37" ht="17" x14ac:dyDescent="0.2">
      <c r="A256" s="31">
        <f>IF(Table6[[#This Row],[instruction]]&lt;&gt;"",MAX($A$6:A255)+1," ")</f>
        <v>251</v>
      </c>
      <c r="B256" s="32" t="s">
        <v>485</v>
      </c>
      <c r="C256" t="s">
        <v>3</v>
      </c>
      <c r="D256" s="31" t="s">
        <v>12</v>
      </c>
      <c r="E256" s="31" t="s">
        <v>491</v>
      </c>
      <c r="K256" s="2" t="str">
        <f t="shared" si="3"/>
        <v>special</v>
      </c>
      <c r="L256" cm="1">
        <f t="array" ref="L2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56" t="str">
        <f>IF(OR(ISNUMBER(SEARCH("imad", Table6[[#This Row],[instruction]])), ISNUMBER(SEARCH("ffma", Table6[[#This Row],[instruction]])), ISNUMBER(SEARCH("fmul", Table6[[#This Row],[instruction]]))), "fma", "")</f>
        <v/>
      </c>
      <c r="P2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6" t="str">
        <f>IF(OR(ISNUMBER(SEARCH("s2r", Table6[[#This Row],[instruction]])),ISNUMBER(SEARCH("s2ur", Table6[[#This Row],[instruction]]))), "special", "")</f>
        <v>special</v>
      </c>
      <c r="S256" t="str">
        <f>IF(OR(ISNUMBER(SEARCH("stg", Table6[[#This Row],[instruction]])),ISNUMBER(SEARCH("ldg", Table6[[#This Row],[instruction]]))), "global", "")</f>
        <v/>
      </c>
      <c r="T256" t="str">
        <f>IF(OR(ISNUMBER(SEARCH("sts", Table6[[#This Row],[instruction]])),ISNUMBER(SEARCH("lds", Table6[[#This Row],[instruction]]))), "shared", "")</f>
        <v/>
      </c>
      <c r="U256" t="str">
        <f>IF(OR(ISNUMBER(SEARCH("LDC", Table6[[#This Row],[instruction]]))), "ind. const", "")</f>
        <v/>
      </c>
      <c r="V2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Row],[s5]]))),U256=""), "cmb. const", "")</f>
        <v/>
      </c>
      <c r="Y256">
        <f>IF(Table6[[#This Row],[pipeline]]="fma",Table6[[#This Row],[delay]],0)</f>
        <v>0</v>
      </c>
      <c r="Z256">
        <f>IF(AND(Table6[[#This Row],[pipeline]]="fma",W256="new"),290,0)</f>
        <v>0</v>
      </c>
      <c r="AK256" s="34"/>
    </row>
    <row r="257" spans="1:37" ht="17" x14ac:dyDescent="0.2">
      <c r="A257" s="31">
        <f>IF(Table6[[#This Row],[instruction]]&lt;&gt;"",MAX($A$6:A256)+1," ")</f>
        <v>252</v>
      </c>
      <c r="B257" s="32" t="s">
        <v>83</v>
      </c>
      <c r="C257" t="s">
        <v>509</v>
      </c>
      <c r="D257" s="31" t="s">
        <v>84</v>
      </c>
      <c r="E257" s="31" t="s">
        <v>567</v>
      </c>
      <c r="F257" s="31" t="s">
        <v>542</v>
      </c>
      <c r="G257" s="31" t="s">
        <v>502</v>
      </c>
      <c r="K257" s="2" t="str">
        <f t="shared" si="3"/>
        <v>fma</v>
      </c>
      <c r="L257" cm="1">
        <f t="array" ref="L2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7" t="str">
        <f>IF(OR(ISNUMBER(SEARCH("imad", Table6[[#This Row],[instruction]])), ISNUMBER(SEARCH("ffma", Table6[[#This Row],[instruction]])), ISNUMBER(SEARCH("fmul", Table6[[#This Row],[instruction]]))), "fma", "")</f>
        <v>fma</v>
      </c>
      <c r="P2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7" t="str">
        <f>IF(OR(ISNUMBER(SEARCH("s2r", Table6[[#This Row],[instruction]])),ISNUMBER(SEARCH("s2ur", Table6[[#This Row],[instruction]]))), "special", "")</f>
        <v/>
      </c>
      <c r="S257" t="str">
        <f>IF(OR(ISNUMBER(SEARCH("stg", Table6[[#This Row],[instruction]])),ISNUMBER(SEARCH("ldg", Table6[[#This Row],[instruction]]))), "global", "")</f>
        <v/>
      </c>
      <c r="T257" t="str">
        <f>IF(OR(ISNUMBER(SEARCH("sts", Table6[[#This Row],[instruction]])),ISNUMBER(SEARCH("lds", Table6[[#This Row],[instruction]]))), "shared", "")</f>
        <v/>
      </c>
      <c r="U257" t="str">
        <f>IF(OR(ISNUMBER(SEARCH("LDC", Table6[[#This Row],[instruction]]))), "ind. const", "")</f>
        <v/>
      </c>
      <c r="V2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Row],[s5]]))),U257=""), "cmb. const", "")</f>
        <v>cmb. const</v>
      </c>
      <c r="W257" s="2" t="s">
        <v>481</v>
      </c>
      <c r="Y257">
        <f>IF(Table6[[#This Row],[pipeline]]="fma",Table6[[#This Row],[delay]],0)</f>
        <v>4</v>
      </c>
      <c r="Z257">
        <f>IF(AND(Table6[[#This Row],[pipeline]]="fma",W257="new"),290,0)</f>
        <v>0</v>
      </c>
      <c r="AK257" s="34"/>
    </row>
    <row r="258" spans="1:37" ht="17" x14ac:dyDescent="0.2">
      <c r="A258" s="31">
        <f>IF(Table6[[#This Row],[instruction]]&lt;&gt;"",MAX($A$6:A257)+1," ")</f>
        <v>253</v>
      </c>
      <c r="B258" s="32" t="s">
        <v>554</v>
      </c>
      <c r="C258" t="s">
        <v>90</v>
      </c>
      <c r="D258" s="31" t="s">
        <v>4</v>
      </c>
      <c r="E258" s="31" t="s">
        <v>8</v>
      </c>
      <c r="F258" s="31" t="s">
        <v>539</v>
      </c>
      <c r="G258" s="31" t="s">
        <v>636</v>
      </c>
      <c r="K258" s="2" t="str">
        <f t="shared" si="3"/>
        <v>alu</v>
      </c>
      <c r="L258" cm="1">
        <f t="array" ref="L2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8" t="str">
        <f>IF(OR(ISNUMBER(SEARCH("imad", Table6[[#This Row],[instruction]])), ISNUMBER(SEARCH("ffma", Table6[[#This Row],[instruction]])), ISNUMBER(SEARCH("fmul", Table6[[#This Row],[instruction]]))), "fma", "")</f>
        <v/>
      </c>
      <c r="P2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8" t="str">
        <f>IF(OR(ISNUMBER(SEARCH("s2r", Table6[[#This Row],[instruction]])),ISNUMBER(SEARCH("s2ur", Table6[[#This Row],[instruction]]))), "special", "")</f>
        <v/>
      </c>
      <c r="S258" t="str">
        <f>IF(OR(ISNUMBER(SEARCH("stg", Table6[[#This Row],[instruction]])),ISNUMBER(SEARCH("ldg", Table6[[#This Row],[instruction]]))), "global", "")</f>
        <v/>
      </c>
      <c r="T258" t="str">
        <f>IF(OR(ISNUMBER(SEARCH("sts", Table6[[#This Row],[instruction]])),ISNUMBER(SEARCH("lds", Table6[[#This Row],[instruction]]))), "shared", "")</f>
        <v/>
      </c>
      <c r="U258" t="str">
        <f>IF(OR(ISNUMBER(SEARCH("LDC", Table6[[#This Row],[instruction]]))), "ind. const", "")</f>
        <v/>
      </c>
      <c r="V2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Row],[s5]]))),U258=""), "cmb. const", "")</f>
        <v>cmb. const</v>
      </c>
      <c r="W258" s="2" t="s">
        <v>481</v>
      </c>
      <c r="Y258">
        <f>IF(Table6[[#This Row],[pipeline]]="fma",Table6[[#This Row],[delay]],0)</f>
        <v>0</v>
      </c>
      <c r="Z258">
        <f>IF(AND(Table6[[#This Row],[pipeline]]="fma",W258="new"),290,0)</f>
        <v>0</v>
      </c>
      <c r="AK258" s="34"/>
    </row>
    <row r="259" spans="1:37" ht="17" x14ac:dyDescent="0.2">
      <c r="A259" s="31">
        <f>IF(Table6[[#This Row],[instruction]]&lt;&gt;"",MAX($A$6:A258)+1," ")</f>
        <v>254</v>
      </c>
      <c r="B259" s="32" t="s">
        <v>485</v>
      </c>
      <c r="C259" t="s">
        <v>14</v>
      </c>
      <c r="D259" s="31" t="s">
        <v>637</v>
      </c>
      <c r="E259" s="31" t="s">
        <v>46</v>
      </c>
      <c r="F259" s="31" t="s">
        <v>541</v>
      </c>
      <c r="G259" s="31" t="s">
        <v>556</v>
      </c>
      <c r="K259" s="2" t="str">
        <f t="shared" si="3"/>
        <v>fma</v>
      </c>
      <c r="L259" cm="1">
        <f t="array" ref="L2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59" t="str">
        <f>IF(OR(ISNUMBER(SEARCH("imad", Table6[[#This Row],[instruction]])), ISNUMBER(SEARCH("ffma", Table6[[#This Row],[instruction]])), ISNUMBER(SEARCH("fmul", Table6[[#This Row],[instruction]]))), "fma", "")</f>
        <v>fma</v>
      </c>
      <c r="P2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59" t="str">
        <f>IF(OR(ISNUMBER(SEARCH("s2r", Table6[[#This Row],[instruction]])),ISNUMBER(SEARCH("s2ur", Table6[[#This Row],[instruction]]))), "special", "")</f>
        <v/>
      </c>
      <c r="S259" t="str">
        <f>IF(OR(ISNUMBER(SEARCH("stg", Table6[[#This Row],[instruction]])),ISNUMBER(SEARCH("ldg", Table6[[#This Row],[instruction]]))), "global", "")</f>
        <v/>
      </c>
      <c r="T259" t="str">
        <f>IF(OR(ISNUMBER(SEARCH("sts", Table6[[#This Row],[instruction]])),ISNUMBER(SEARCH("lds", Table6[[#This Row],[instruction]]))), "shared", "")</f>
        <v/>
      </c>
      <c r="U259" t="str">
        <f>IF(OR(ISNUMBER(SEARCH("LDC", Table6[[#This Row],[instruction]]))), "ind. const", "")</f>
        <v/>
      </c>
      <c r="V2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Row],[s5]]))),U259=""), "cmb. const", "")</f>
        <v>cmb. const</v>
      </c>
      <c r="W259" s="2" t="s">
        <v>481</v>
      </c>
      <c r="Y259">
        <f>IF(Table6[[#This Row],[pipeline]]="fma",Table6[[#This Row],[delay]],0)</f>
        <v>4</v>
      </c>
      <c r="Z259">
        <f>IF(AND(Table6[[#This Row],[pipeline]]="fma",W259="new"),290,0)</f>
        <v>0</v>
      </c>
      <c r="AK259" s="34"/>
    </row>
    <row r="260" spans="1:37" ht="17" x14ac:dyDescent="0.2">
      <c r="A260" s="31">
        <f>IF(Table6[[#This Row],[instruction]]&lt;&gt;"",MAX($A$6:A259)+1," ")</f>
        <v>255</v>
      </c>
      <c r="B260" s="32" t="s">
        <v>83</v>
      </c>
      <c r="C260" t="s">
        <v>90</v>
      </c>
      <c r="D260" s="31" t="s">
        <v>82</v>
      </c>
      <c r="E260" s="31" t="s">
        <v>8</v>
      </c>
      <c r="F260" s="31" t="s">
        <v>544</v>
      </c>
      <c r="G260" s="31" t="s">
        <v>545</v>
      </c>
      <c r="K260" s="2" t="str">
        <f t="shared" si="3"/>
        <v>alu</v>
      </c>
      <c r="L260" cm="1">
        <f t="array" ref="L2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0" t="str">
        <f>IF(OR(ISNUMBER(SEARCH("imad", Table6[[#This Row],[instruction]])), ISNUMBER(SEARCH("ffma", Table6[[#This Row],[instruction]])), ISNUMBER(SEARCH("fmul", Table6[[#This Row],[instruction]]))), "fma", "")</f>
        <v/>
      </c>
      <c r="P2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0" t="str">
        <f>IF(OR(ISNUMBER(SEARCH("s2r", Table6[[#This Row],[instruction]])),ISNUMBER(SEARCH("s2ur", Table6[[#This Row],[instruction]]))), "special", "")</f>
        <v/>
      </c>
      <c r="S260" t="str">
        <f>IF(OR(ISNUMBER(SEARCH("stg", Table6[[#This Row],[instruction]])),ISNUMBER(SEARCH("ldg", Table6[[#This Row],[instruction]]))), "global", "")</f>
        <v/>
      </c>
      <c r="T260" t="str">
        <f>IF(OR(ISNUMBER(SEARCH("sts", Table6[[#This Row],[instruction]])),ISNUMBER(SEARCH("lds", Table6[[#This Row],[instruction]]))), "shared", "")</f>
        <v/>
      </c>
      <c r="U260" t="str">
        <f>IF(OR(ISNUMBER(SEARCH("LDC", Table6[[#This Row],[instruction]]))), "ind. const", "")</f>
        <v/>
      </c>
      <c r="V2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Row],[s5]]))),U260=""), "cmb. const", "")</f>
        <v>cmb. const</v>
      </c>
      <c r="W260" s="2" t="s">
        <v>481</v>
      </c>
      <c r="Y260">
        <f>IF(Table6[[#This Row],[pipeline]]="fma",Table6[[#This Row],[delay]],0)</f>
        <v>0</v>
      </c>
      <c r="Z260">
        <f>IF(AND(Table6[[#This Row],[pipeline]]="fma",W260="new"),290,0)</f>
        <v>0</v>
      </c>
      <c r="AK260" s="34"/>
    </row>
    <row r="261" spans="1:37" ht="17" x14ac:dyDescent="0.2">
      <c r="A261" s="31">
        <f>IF(Table6[[#This Row],[instruction]]&lt;&gt;"",MAX($A$6:A260)+1," ")</f>
        <v>256</v>
      </c>
      <c r="B261" s="32" t="s">
        <v>485</v>
      </c>
      <c r="C261" t="s">
        <v>3</v>
      </c>
      <c r="D261" s="31" t="s">
        <v>46</v>
      </c>
      <c r="E261" s="31" t="s">
        <v>487</v>
      </c>
      <c r="K261" s="2" t="str">
        <f t="shared" si="3"/>
        <v>special</v>
      </c>
      <c r="L261" cm="1">
        <f t="array" ref="L2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261" t="str">
        <f>IF(OR(ISNUMBER(SEARCH("imad", Table6[[#This Row],[instruction]])), ISNUMBER(SEARCH("ffma", Table6[[#This Row],[instruction]])), ISNUMBER(SEARCH("fmul", Table6[[#This Row],[instruction]]))), "fma", "")</f>
        <v/>
      </c>
      <c r="P2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1" t="str">
        <f>IF(OR(ISNUMBER(SEARCH("s2r", Table6[[#This Row],[instruction]])),ISNUMBER(SEARCH("s2ur", Table6[[#This Row],[instruction]]))), "special", "")</f>
        <v>special</v>
      </c>
      <c r="S261" t="str">
        <f>IF(OR(ISNUMBER(SEARCH("stg", Table6[[#This Row],[instruction]])),ISNUMBER(SEARCH("ldg", Table6[[#This Row],[instruction]]))), "global", "")</f>
        <v/>
      </c>
      <c r="T261" t="str">
        <f>IF(OR(ISNUMBER(SEARCH("sts", Table6[[#This Row],[instruction]])),ISNUMBER(SEARCH("lds", Table6[[#This Row],[instruction]]))), "shared", "")</f>
        <v/>
      </c>
      <c r="U261" t="str">
        <f>IF(OR(ISNUMBER(SEARCH("LDC", Table6[[#This Row],[instruction]]))), "ind. const", "")</f>
        <v/>
      </c>
      <c r="V2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Row],[s5]]))),U261=""), "cmb. const", "")</f>
        <v/>
      </c>
      <c r="Y261">
        <f>IF(Table6[[#This Row],[pipeline]]="fma",Table6[[#This Row],[delay]],0)</f>
        <v>0</v>
      </c>
      <c r="Z261">
        <f>IF(AND(Table6[[#This Row],[pipeline]]="fma",W261="new"),290,0)</f>
        <v>0</v>
      </c>
      <c r="AK261" s="34"/>
    </row>
    <row r="262" spans="1:37" ht="17" x14ac:dyDescent="0.2">
      <c r="A262" s="31">
        <f>IF(Table6[[#This Row],[instruction]]&lt;&gt;"",MAX($A$6:A261)+1," ")</f>
        <v>257</v>
      </c>
      <c r="B262" s="32" t="s">
        <v>485</v>
      </c>
      <c r="C262" t="s">
        <v>26</v>
      </c>
      <c r="D262" s="31" t="s">
        <v>84</v>
      </c>
      <c r="E262" s="31" t="e">
        <f>-S20</f>
        <v>#VALUE!</v>
      </c>
      <c r="F262" s="31" t="s">
        <v>8</v>
      </c>
      <c r="G262" s="31" t="s">
        <v>502</v>
      </c>
      <c r="K262" s="2" t="str">
        <f t="shared" ref="K262:K325" si="4">IF(O262&lt;&gt;"", O262, IF(P262&lt;&gt;"", P262, IF(R262&lt;&gt;"", R262, IF(S262&lt;&gt;"", S262, IF(T262&lt;&gt;"", T262, IF(U262&lt;&gt;"", U262, IF(Q262&lt;&gt;"", Q262, "")))))))</f>
        <v>alu</v>
      </c>
      <c r="L262" cm="1">
        <f t="array" ref="L2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62" t="str">
        <f>IF(OR(ISNUMBER(SEARCH("imad", Table6[[#This Row],[instruction]])), ISNUMBER(SEARCH("ffma", Table6[[#This Row],[instruction]])), ISNUMBER(SEARCH("fmul", Table6[[#This Row],[instruction]]))), "fma", "")</f>
        <v/>
      </c>
      <c r="P2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2" t="str">
        <f>IF(OR(ISNUMBER(SEARCH("s2r", Table6[[#This Row],[instruction]])),ISNUMBER(SEARCH("s2ur", Table6[[#This Row],[instruction]]))), "special", "")</f>
        <v/>
      </c>
      <c r="S262" t="str">
        <f>IF(OR(ISNUMBER(SEARCH("stg", Table6[[#This Row],[instruction]])),ISNUMBER(SEARCH("ldg", Table6[[#This Row],[instruction]]))), "global", "")</f>
        <v/>
      </c>
      <c r="T262" t="str">
        <f>IF(OR(ISNUMBER(SEARCH("sts", Table6[[#This Row],[instruction]])),ISNUMBER(SEARCH("lds", Table6[[#This Row],[instruction]]))), "shared", "")</f>
        <v/>
      </c>
      <c r="U262" t="str">
        <f>IF(OR(ISNUMBER(SEARCH("LDC", Table6[[#This Row],[instruction]]))), "ind. const", "")</f>
        <v/>
      </c>
      <c r="V2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Row],[s5]]))),U262=""), "cmb. const", "")</f>
        <v/>
      </c>
      <c r="Y262">
        <f>IF(Table6[[#This Row],[pipeline]]="fma",Table6[[#This Row],[delay]],0)</f>
        <v>0</v>
      </c>
      <c r="Z262">
        <f>IF(AND(Table6[[#This Row],[pipeline]]="fma",W262="new"),290,0)</f>
        <v>0</v>
      </c>
      <c r="AK262" s="34"/>
    </row>
    <row r="263" spans="1:37" ht="17" x14ac:dyDescent="0.2">
      <c r="A263" s="31">
        <f>IF(Table6[[#This Row],[instruction]]&lt;&gt;"",MAX($A$6:A262)+1," ")</f>
        <v>258</v>
      </c>
      <c r="B263" s="32" t="s">
        <v>83</v>
      </c>
      <c r="C263" t="s">
        <v>509</v>
      </c>
      <c r="D263" s="31" t="s">
        <v>430</v>
      </c>
      <c r="E263" s="31" t="s">
        <v>637</v>
      </c>
      <c r="F263" s="31" t="s">
        <v>542</v>
      </c>
      <c r="G263" s="31" t="s">
        <v>502</v>
      </c>
      <c r="K263" s="2" t="str">
        <f t="shared" si="4"/>
        <v>fma</v>
      </c>
      <c r="L263" cm="1">
        <f t="array" ref="L2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3" t="str">
        <f>IF(OR(ISNUMBER(SEARCH("imad", Table6[[#This Row],[instruction]])), ISNUMBER(SEARCH("ffma", Table6[[#This Row],[instruction]])), ISNUMBER(SEARCH("fmul", Table6[[#This Row],[instruction]]))), "fma", "")</f>
        <v>fma</v>
      </c>
      <c r="P2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3" t="str">
        <f>IF(OR(ISNUMBER(SEARCH("s2r", Table6[[#This Row],[instruction]])),ISNUMBER(SEARCH("s2ur", Table6[[#This Row],[instruction]]))), "special", "")</f>
        <v/>
      </c>
      <c r="S263" t="str">
        <f>IF(OR(ISNUMBER(SEARCH("stg", Table6[[#This Row],[instruction]])),ISNUMBER(SEARCH("ldg", Table6[[#This Row],[instruction]]))), "global", "")</f>
        <v/>
      </c>
      <c r="T263" t="str">
        <f>IF(OR(ISNUMBER(SEARCH("sts", Table6[[#This Row],[instruction]])),ISNUMBER(SEARCH("lds", Table6[[#This Row],[instruction]]))), "shared", "")</f>
        <v/>
      </c>
      <c r="U263" t="str">
        <f>IF(OR(ISNUMBER(SEARCH("LDC", Table6[[#This Row],[instruction]]))), "ind. const", "")</f>
        <v/>
      </c>
      <c r="V2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Row],[s5]]))),U263=""), "cmb. const", "")</f>
        <v>cmb. const</v>
      </c>
      <c r="W263" s="2" t="s">
        <v>481</v>
      </c>
      <c r="Y263">
        <f>IF(Table6[[#This Row],[pipeline]]="fma",Table6[[#This Row],[delay]],0)</f>
        <v>4</v>
      </c>
      <c r="Z263">
        <f>IF(AND(Table6[[#This Row],[pipeline]]="fma",W263="new"),290,0)</f>
        <v>0</v>
      </c>
      <c r="AK263" s="34"/>
    </row>
    <row r="264" spans="1:37" ht="17" x14ac:dyDescent="0.2">
      <c r="A264" s="31">
        <f>IF(Table6[[#This Row],[instruction]]&lt;&gt;"",MAX($A$6:A263)+1," ")</f>
        <v>259</v>
      </c>
      <c r="B264" s="32" t="s">
        <v>485</v>
      </c>
      <c r="C264" t="s">
        <v>26</v>
      </c>
      <c r="D264" s="31" t="s">
        <v>439</v>
      </c>
      <c r="E264" s="31" t="e">
        <f>-S11</f>
        <v>#VALUE!</v>
      </c>
      <c r="F264" s="31" t="s">
        <v>8</v>
      </c>
      <c r="G264" s="31" t="s">
        <v>502</v>
      </c>
      <c r="K264" s="2" t="str">
        <f t="shared" si="4"/>
        <v>alu</v>
      </c>
      <c r="L264" cm="1">
        <f t="array" ref="L2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64" t="str">
        <f>IF(OR(ISNUMBER(SEARCH("imad", Table6[[#This Row],[instruction]])), ISNUMBER(SEARCH("ffma", Table6[[#This Row],[instruction]])), ISNUMBER(SEARCH("fmul", Table6[[#This Row],[instruction]]))), "fma", "")</f>
        <v/>
      </c>
      <c r="P2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4" t="str">
        <f>IF(OR(ISNUMBER(SEARCH("s2r", Table6[[#This Row],[instruction]])),ISNUMBER(SEARCH("s2ur", Table6[[#This Row],[instruction]]))), "special", "")</f>
        <v/>
      </c>
      <c r="S264" t="str">
        <f>IF(OR(ISNUMBER(SEARCH("stg", Table6[[#This Row],[instruction]])),ISNUMBER(SEARCH("ldg", Table6[[#This Row],[instruction]]))), "global", "")</f>
        <v/>
      </c>
      <c r="T264" t="str">
        <f>IF(OR(ISNUMBER(SEARCH("sts", Table6[[#This Row],[instruction]])),ISNUMBER(SEARCH("lds", Table6[[#This Row],[instruction]]))), "shared", "")</f>
        <v/>
      </c>
      <c r="U264" t="str">
        <f>IF(OR(ISNUMBER(SEARCH("LDC", Table6[[#This Row],[instruction]]))), "ind. const", "")</f>
        <v/>
      </c>
      <c r="V2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Row],[s5]]))),U264=""), "cmb. const", "")</f>
        <v/>
      </c>
      <c r="Y264">
        <f>IF(Table6[[#This Row],[pipeline]]="fma",Table6[[#This Row],[delay]],0)</f>
        <v>0</v>
      </c>
      <c r="Z264">
        <f>IF(AND(Table6[[#This Row],[pipeline]]="fma",W264="new"),290,0)</f>
        <v>0</v>
      </c>
      <c r="AK264" s="34"/>
    </row>
    <row r="265" spans="1:37" ht="17" x14ac:dyDescent="0.2">
      <c r="A265" s="31">
        <f>IF(Table6[[#This Row],[instruction]]&lt;&gt;"",MAX($A$6:A264)+1," ")</f>
        <v>260</v>
      </c>
      <c r="B265" s="32" t="s">
        <v>485</v>
      </c>
      <c r="C265" t="s">
        <v>45</v>
      </c>
      <c r="D265" s="31" t="s">
        <v>436</v>
      </c>
      <c r="E265" s="31" t="s">
        <v>8</v>
      </c>
      <c r="F265" s="31" t="s">
        <v>8</v>
      </c>
      <c r="G265" s="31" t="s">
        <v>638</v>
      </c>
      <c r="K265" s="2" t="str">
        <f t="shared" si="4"/>
        <v>fma</v>
      </c>
      <c r="L265" cm="1">
        <f t="array" ref="L2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5" t="str">
        <f>IF(OR(ISNUMBER(SEARCH("imad", Table6[[#This Row],[instruction]])), ISNUMBER(SEARCH("ffma", Table6[[#This Row],[instruction]])), ISNUMBER(SEARCH("fmul", Table6[[#This Row],[instruction]]))), "fma", "")</f>
        <v>fma</v>
      </c>
      <c r="P2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5" t="str">
        <f>IF(OR(ISNUMBER(SEARCH("s2r", Table6[[#This Row],[instruction]])),ISNUMBER(SEARCH("s2ur", Table6[[#This Row],[instruction]]))), "special", "")</f>
        <v/>
      </c>
      <c r="S265" t="str">
        <f>IF(OR(ISNUMBER(SEARCH("stg", Table6[[#This Row],[instruction]])),ISNUMBER(SEARCH("ldg", Table6[[#This Row],[instruction]]))), "global", "")</f>
        <v/>
      </c>
      <c r="T265" t="str">
        <f>IF(OR(ISNUMBER(SEARCH("sts", Table6[[#This Row],[instruction]])),ISNUMBER(SEARCH("lds", Table6[[#This Row],[instruction]]))), "shared", "")</f>
        <v/>
      </c>
      <c r="U265" t="str">
        <f>IF(OR(ISNUMBER(SEARCH("LDC", Table6[[#This Row],[instruction]]))), "ind. const", "")</f>
        <v/>
      </c>
      <c r="V2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Row],[s5]]))),U265=""), "cmb. const", "")</f>
        <v/>
      </c>
      <c r="Y265">
        <f>IF(Table6[[#This Row],[pipeline]]="fma",Table6[[#This Row],[delay]],0)</f>
        <v>4</v>
      </c>
      <c r="Z265">
        <f>IF(AND(Table6[[#This Row],[pipeline]]="fma",W265="new"),290,0)</f>
        <v>0</v>
      </c>
      <c r="AK265" s="34"/>
    </row>
    <row r="266" spans="1:37" ht="17" x14ac:dyDescent="0.2">
      <c r="A266" s="31">
        <f>IF(Table6[[#This Row],[instruction]]&lt;&gt;"",MAX($A$6:A265)+1," ")</f>
        <v>261</v>
      </c>
      <c r="B266" s="32" t="s">
        <v>83</v>
      </c>
      <c r="C266" t="s">
        <v>90</v>
      </c>
      <c r="D266" s="31" t="s">
        <v>436</v>
      </c>
      <c r="E266" s="31" t="s">
        <v>8</v>
      </c>
      <c r="F266" s="31" t="s">
        <v>544</v>
      </c>
      <c r="G266" s="31" t="s">
        <v>636</v>
      </c>
      <c r="K266" s="2" t="str">
        <f t="shared" si="4"/>
        <v>alu</v>
      </c>
      <c r="L266" cm="1">
        <f t="array" ref="L2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6" t="str">
        <f>IF(OR(ISNUMBER(SEARCH("imad", Table6[[#This Row],[instruction]])), ISNUMBER(SEARCH("ffma", Table6[[#This Row],[instruction]])), ISNUMBER(SEARCH("fmul", Table6[[#This Row],[instruction]]))), "fma", "")</f>
        <v/>
      </c>
      <c r="P2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6" t="str">
        <f>IF(OR(ISNUMBER(SEARCH("s2r", Table6[[#This Row],[instruction]])),ISNUMBER(SEARCH("s2ur", Table6[[#This Row],[instruction]]))), "special", "")</f>
        <v/>
      </c>
      <c r="S266" t="str">
        <f>IF(OR(ISNUMBER(SEARCH("stg", Table6[[#This Row],[instruction]])),ISNUMBER(SEARCH("ldg", Table6[[#This Row],[instruction]]))), "global", "")</f>
        <v/>
      </c>
      <c r="T266" t="str">
        <f>IF(OR(ISNUMBER(SEARCH("sts", Table6[[#This Row],[instruction]])),ISNUMBER(SEARCH("lds", Table6[[#This Row],[instruction]]))), "shared", "")</f>
        <v/>
      </c>
      <c r="U266" t="str">
        <f>IF(OR(ISNUMBER(SEARCH("LDC", Table6[[#This Row],[instruction]]))), "ind. const", "")</f>
        <v/>
      </c>
      <c r="V2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Row],[s5]]))),U266=""), "cmb. const", "")</f>
        <v>cmb. const</v>
      </c>
      <c r="W266" s="2" t="s">
        <v>481</v>
      </c>
      <c r="Y266">
        <f>IF(Table6[[#This Row],[pipeline]]="fma",Table6[[#This Row],[delay]],0)</f>
        <v>0</v>
      </c>
      <c r="Z266">
        <f>IF(AND(Table6[[#This Row],[pipeline]]="fma",W266="new"),290,0)</f>
        <v>0</v>
      </c>
      <c r="AK266" s="34"/>
    </row>
    <row r="267" spans="1:37" ht="17" x14ac:dyDescent="0.2">
      <c r="A267" s="31">
        <f>IF(Table6[[#This Row],[instruction]]&lt;&gt;"",MAX($A$6:A266)+1," ")</f>
        <v>262</v>
      </c>
      <c r="B267" s="32" t="s">
        <v>485</v>
      </c>
      <c r="C267" t="s">
        <v>14</v>
      </c>
      <c r="D267" s="31" t="s">
        <v>84</v>
      </c>
      <c r="E267" s="31" t="s">
        <v>84</v>
      </c>
      <c r="F267" s="31" t="s">
        <v>546</v>
      </c>
      <c r="G267" s="31" t="s">
        <v>563</v>
      </c>
      <c r="K267" s="2" t="str">
        <f t="shared" si="4"/>
        <v>fma</v>
      </c>
      <c r="L267" cm="1">
        <f t="array" ref="L2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7" t="str">
        <f>IF(OR(ISNUMBER(SEARCH("imad", Table6[[#This Row],[instruction]])), ISNUMBER(SEARCH("ffma", Table6[[#This Row],[instruction]])), ISNUMBER(SEARCH("fmul", Table6[[#This Row],[instruction]]))), "fma", "")</f>
        <v>fma</v>
      </c>
      <c r="P2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7" t="str">
        <f>IF(OR(ISNUMBER(SEARCH("s2r", Table6[[#This Row],[instruction]])),ISNUMBER(SEARCH("s2ur", Table6[[#This Row],[instruction]]))), "special", "")</f>
        <v/>
      </c>
      <c r="S267" t="str">
        <f>IF(OR(ISNUMBER(SEARCH("stg", Table6[[#This Row],[instruction]])),ISNUMBER(SEARCH("ldg", Table6[[#This Row],[instruction]]))), "global", "")</f>
        <v/>
      </c>
      <c r="T267" t="str">
        <f>IF(OR(ISNUMBER(SEARCH("sts", Table6[[#This Row],[instruction]])),ISNUMBER(SEARCH("lds", Table6[[#This Row],[instruction]]))), "shared", "")</f>
        <v/>
      </c>
      <c r="U267" t="str">
        <f>IF(OR(ISNUMBER(SEARCH("LDC", Table6[[#This Row],[instruction]]))), "ind. const", "")</f>
        <v/>
      </c>
      <c r="V2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Row],[s5]]))),U267=""), "cmb. const", "")</f>
        <v>cmb. const</v>
      </c>
      <c r="W267" s="2" t="s">
        <v>481</v>
      </c>
      <c r="Y267">
        <f>IF(Table6[[#This Row],[pipeline]]="fma",Table6[[#This Row],[delay]],0)</f>
        <v>4</v>
      </c>
      <c r="Z267">
        <f>IF(AND(Table6[[#This Row],[pipeline]]="fma",W267="new"),290,0)</f>
        <v>0</v>
      </c>
      <c r="AK267" s="34"/>
    </row>
    <row r="268" spans="1:37" ht="17" x14ac:dyDescent="0.2">
      <c r="A268" s="31">
        <f>IF(Table6[[#This Row],[instruction]]&lt;&gt;"",MAX($A$6:A267)+1," ")</f>
        <v>263</v>
      </c>
      <c r="B268" s="32" t="s">
        <v>485</v>
      </c>
      <c r="C268" t="s">
        <v>515</v>
      </c>
      <c r="D268" s="31" t="s">
        <v>430</v>
      </c>
      <c r="E268" s="31" t="s">
        <v>8</v>
      </c>
      <c r="F268" s="31" t="s">
        <v>8</v>
      </c>
      <c r="G268" s="31" t="s">
        <v>639</v>
      </c>
      <c r="K268" s="2" t="str">
        <f t="shared" si="4"/>
        <v>fma</v>
      </c>
      <c r="L268" cm="1">
        <f t="array" ref="L2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68" t="str">
        <f>IF(OR(ISNUMBER(SEARCH("imad", Table6[[#This Row],[instruction]])), ISNUMBER(SEARCH("ffma", Table6[[#This Row],[instruction]])), ISNUMBER(SEARCH("fmul", Table6[[#This Row],[instruction]]))), "fma", "")</f>
        <v>fma</v>
      </c>
      <c r="P2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8" t="str">
        <f>IF(OR(ISNUMBER(SEARCH("s2r", Table6[[#This Row],[instruction]])),ISNUMBER(SEARCH("s2ur", Table6[[#This Row],[instruction]]))), "special", "")</f>
        <v/>
      </c>
      <c r="S268" t="str">
        <f>IF(OR(ISNUMBER(SEARCH("stg", Table6[[#This Row],[instruction]])),ISNUMBER(SEARCH("ldg", Table6[[#This Row],[instruction]]))), "global", "")</f>
        <v/>
      </c>
      <c r="T268" t="str">
        <f>IF(OR(ISNUMBER(SEARCH("sts", Table6[[#This Row],[instruction]])),ISNUMBER(SEARCH("lds", Table6[[#This Row],[instruction]]))), "shared", "")</f>
        <v/>
      </c>
      <c r="U268" t="str">
        <f>IF(OR(ISNUMBER(SEARCH("LDC", Table6[[#This Row],[instruction]]))), "ind. const", "")</f>
        <v/>
      </c>
      <c r="V2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Row],[s5]]))),U268=""), "cmb. const", "")</f>
        <v/>
      </c>
      <c r="Y268">
        <f>IF(Table6[[#This Row],[pipeline]]="fma",Table6[[#This Row],[delay]],0)</f>
        <v>4</v>
      </c>
      <c r="Z268">
        <f>IF(AND(Table6[[#This Row],[pipeline]]="fma",W268="new"),290,0)</f>
        <v>0</v>
      </c>
      <c r="AK268" s="34"/>
    </row>
    <row r="269" spans="1:37" ht="17" x14ac:dyDescent="0.2">
      <c r="A269" s="31">
        <f>IF(Table6[[#This Row],[instruction]]&lt;&gt;"",MAX($A$6:A268)+1," ")</f>
        <v>264</v>
      </c>
      <c r="B269" s="32" t="s">
        <v>485</v>
      </c>
      <c r="C269" t="s">
        <v>26</v>
      </c>
      <c r="D269" s="31" t="s">
        <v>440</v>
      </c>
      <c r="E269" s="31" t="e">
        <f>-S22</f>
        <v>#VALUE!</v>
      </c>
      <c r="F269" s="31" t="s">
        <v>8</v>
      </c>
      <c r="G269" s="31" t="s">
        <v>502</v>
      </c>
      <c r="K269" s="2" t="str">
        <f t="shared" si="4"/>
        <v>alu</v>
      </c>
      <c r="L269" cm="1">
        <f t="array" ref="L2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69" t="str">
        <f>IF(OR(ISNUMBER(SEARCH("imad", Table6[[#This Row],[instruction]])), ISNUMBER(SEARCH("ffma", Table6[[#This Row],[instruction]])), ISNUMBER(SEARCH("fmul", Table6[[#This Row],[instruction]]))), "fma", "")</f>
        <v/>
      </c>
      <c r="P2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69" t="str">
        <f>IF(OR(ISNUMBER(SEARCH("s2r", Table6[[#This Row],[instruction]])),ISNUMBER(SEARCH("s2ur", Table6[[#This Row],[instruction]]))), "special", "")</f>
        <v/>
      </c>
      <c r="S269" t="str">
        <f>IF(OR(ISNUMBER(SEARCH("stg", Table6[[#This Row],[instruction]])),ISNUMBER(SEARCH("ldg", Table6[[#This Row],[instruction]]))), "global", "")</f>
        <v/>
      </c>
      <c r="T269" t="str">
        <f>IF(OR(ISNUMBER(SEARCH("sts", Table6[[#This Row],[instruction]])),ISNUMBER(SEARCH("lds", Table6[[#This Row],[instruction]]))), "shared", "")</f>
        <v/>
      </c>
      <c r="U269" t="str">
        <f>IF(OR(ISNUMBER(SEARCH("LDC", Table6[[#This Row],[instruction]]))), "ind. const", "")</f>
        <v/>
      </c>
      <c r="V2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Row],[s5]]))),U269=""), "cmb. const", "")</f>
        <v/>
      </c>
      <c r="Y269">
        <f>IF(Table6[[#This Row],[pipeline]]="fma",Table6[[#This Row],[delay]],0)</f>
        <v>0</v>
      </c>
      <c r="Z269">
        <f>IF(AND(Table6[[#This Row],[pipeline]]="fma",W269="new"),290,0)</f>
        <v>0</v>
      </c>
      <c r="AK269" s="34"/>
    </row>
    <row r="270" spans="1:37" ht="17" x14ac:dyDescent="0.2">
      <c r="A270" s="31">
        <f>IF(Table6[[#This Row],[instruction]]&lt;&gt;"",MAX($A$6:A269)+1," ")</f>
        <v>265</v>
      </c>
      <c r="B270" s="32" t="s">
        <v>485</v>
      </c>
      <c r="C270" t="s">
        <v>14</v>
      </c>
      <c r="D270" s="31" t="s">
        <v>640</v>
      </c>
      <c r="E270" s="31" t="s">
        <v>439</v>
      </c>
      <c r="F270" s="31" t="s">
        <v>541</v>
      </c>
      <c r="G270" s="31" t="s">
        <v>635</v>
      </c>
      <c r="K270" s="2" t="str">
        <f t="shared" si="4"/>
        <v>fma</v>
      </c>
      <c r="L270" cm="1">
        <f t="array" ref="L2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0" t="str">
        <f>IF(OR(ISNUMBER(SEARCH("imad", Table6[[#This Row],[instruction]])), ISNUMBER(SEARCH("ffma", Table6[[#This Row],[instruction]])), ISNUMBER(SEARCH("fmul", Table6[[#This Row],[instruction]]))), "fma", "")</f>
        <v>fma</v>
      </c>
      <c r="P2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0" t="str">
        <f>IF(OR(ISNUMBER(SEARCH("s2r", Table6[[#This Row],[instruction]])),ISNUMBER(SEARCH("s2ur", Table6[[#This Row],[instruction]]))), "special", "")</f>
        <v/>
      </c>
      <c r="S270" t="str">
        <f>IF(OR(ISNUMBER(SEARCH("stg", Table6[[#This Row],[instruction]])),ISNUMBER(SEARCH("ldg", Table6[[#This Row],[instruction]]))), "global", "")</f>
        <v/>
      </c>
      <c r="T270" t="str">
        <f>IF(OR(ISNUMBER(SEARCH("sts", Table6[[#This Row],[instruction]])),ISNUMBER(SEARCH("lds", Table6[[#This Row],[instruction]]))), "shared", "")</f>
        <v/>
      </c>
      <c r="U270" t="str">
        <f>IF(OR(ISNUMBER(SEARCH("LDC", Table6[[#This Row],[instruction]]))), "ind. const", "")</f>
        <v/>
      </c>
      <c r="V2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Row],[s5]]))),U270=""), "cmb. const", "")</f>
        <v>cmb. const</v>
      </c>
      <c r="W270" s="2" t="s">
        <v>481</v>
      </c>
      <c r="Y270">
        <f>IF(Table6[[#This Row],[pipeline]]="fma",Table6[[#This Row],[delay]],0)</f>
        <v>4</v>
      </c>
      <c r="Z270">
        <f>IF(AND(Table6[[#This Row],[pipeline]]="fma",W270="new"),290,0)</f>
        <v>0</v>
      </c>
      <c r="AK270" s="34"/>
    </row>
    <row r="271" spans="1:37" ht="17" x14ac:dyDescent="0.2">
      <c r="A271" s="31">
        <f>IF(Table6[[#This Row],[instruction]]&lt;&gt;"",MAX($A$6:A270)+1," ")</f>
        <v>266</v>
      </c>
      <c r="B271" s="32" t="s">
        <v>485</v>
      </c>
      <c r="C271" t="s">
        <v>26</v>
      </c>
      <c r="D271" s="31" t="s">
        <v>447</v>
      </c>
      <c r="E271" s="31" t="s">
        <v>23</v>
      </c>
      <c r="F271" s="31" t="s">
        <v>84</v>
      </c>
      <c r="G271" s="31" t="s">
        <v>502</v>
      </c>
      <c r="K271" s="2" t="str">
        <f t="shared" si="4"/>
        <v>alu</v>
      </c>
      <c r="L271" cm="1">
        <f t="array" ref="L2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71" t="str">
        <f>IF(OR(ISNUMBER(SEARCH("imad", Table6[[#This Row],[instruction]])), ISNUMBER(SEARCH("ffma", Table6[[#This Row],[instruction]])), ISNUMBER(SEARCH("fmul", Table6[[#This Row],[instruction]]))), "fma", "")</f>
        <v/>
      </c>
      <c r="P2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1" t="str">
        <f>IF(OR(ISNUMBER(SEARCH("s2r", Table6[[#This Row],[instruction]])),ISNUMBER(SEARCH("s2ur", Table6[[#This Row],[instruction]]))), "special", "")</f>
        <v/>
      </c>
      <c r="S271" t="str">
        <f>IF(OR(ISNUMBER(SEARCH("stg", Table6[[#This Row],[instruction]])),ISNUMBER(SEARCH("ldg", Table6[[#This Row],[instruction]]))), "global", "")</f>
        <v/>
      </c>
      <c r="T271" t="str">
        <f>IF(OR(ISNUMBER(SEARCH("sts", Table6[[#This Row],[instruction]])),ISNUMBER(SEARCH("lds", Table6[[#This Row],[instruction]]))), "shared", "")</f>
        <v/>
      </c>
      <c r="U271" t="str">
        <f>IF(OR(ISNUMBER(SEARCH("LDC", Table6[[#This Row],[instruction]]))), "ind. const", "")</f>
        <v/>
      </c>
      <c r="V2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Row],[s5]]))),U271=""), "cmb. const", "")</f>
        <v/>
      </c>
      <c r="Y271">
        <f>IF(Table6[[#This Row],[pipeline]]="fma",Table6[[#This Row],[delay]],0)</f>
        <v>0</v>
      </c>
      <c r="Z271">
        <f>IF(AND(Table6[[#This Row],[pipeline]]="fma",W271="new"),290,0)</f>
        <v>0</v>
      </c>
      <c r="AK271" s="34"/>
    </row>
    <row r="272" spans="1:37" ht="17" x14ac:dyDescent="0.2">
      <c r="A272" s="31">
        <f>IF(Table6[[#This Row],[instruction]]&lt;&gt;"",MAX($A$6:A271)+1," ")</f>
        <v>267</v>
      </c>
      <c r="B272" s="32" t="s">
        <v>485</v>
      </c>
      <c r="C272" t="s">
        <v>14</v>
      </c>
      <c r="D272" s="31" t="s">
        <v>430</v>
      </c>
      <c r="E272" s="31" t="s">
        <v>430</v>
      </c>
      <c r="F272" s="31" t="s">
        <v>546</v>
      </c>
      <c r="G272" s="31" t="s">
        <v>611</v>
      </c>
      <c r="K272" s="2" t="str">
        <f t="shared" si="4"/>
        <v>fma</v>
      </c>
      <c r="L272" cm="1">
        <f t="array" ref="L2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2" t="str">
        <f>IF(OR(ISNUMBER(SEARCH("imad", Table6[[#This Row],[instruction]])), ISNUMBER(SEARCH("ffma", Table6[[#This Row],[instruction]])), ISNUMBER(SEARCH("fmul", Table6[[#This Row],[instruction]]))), "fma", "")</f>
        <v>fma</v>
      </c>
      <c r="P2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2" t="str">
        <f>IF(OR(ISNUMBER(SEARCH("s2r", Table6[[#This Row],[instruction]])),ISNUMBER(SEARCH("s2ur", Table6[[#This Row],[instruction]]))), "special", "")</f>
        <v/>
      </c>
      <c r="S272" t="str">
        <f>IF(OR(ISNUMBER(SEARCH("stg", Table6[[#This Row],[instruction]])),ISNUMBER(SEARCH("ldg", Table6[[#This Row],[instruction]]))), "global", "")</f>
        <v/>
      </c>
      <c r="T272" t="str">
        <f>IF(OR(ISNUMBER(SEARCH("sts", Table6[[#This Row],[instruction]])),ISNUMBER(SEARCH("lds", Table6[[#This Row],[instruction]]))), "shared", "")</f>
        <v/>
      </c>
      <c r="U272" t="str">
        <f>IF(OR(ISNUMBER(SEARCH("LDC", Table6[[#This Row],[instruction]]))), "ind. const", "")</f>
        <v/>
      </c>
      <c r="V2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Row],[s5]]))),U272=""), "cmb. const", "")</f>
        <v>cmb. const</v>
      </c>
      <c r="W272" s="2" t="s">
        <v>481</v>
      </c>
      <c r="Y272">
        <f>IF(Table6[[#This Row],[pipeline]]="fma",Table6[[#This Row],[delay]],0)</f>
        <v>4</v>
      </c>
      <c r="Z272">
        <f>IF(AND(Table6[[#This Row],[pipeline]]="fma",W272="new"),290,0)</f>
        <v>0</v>
      </c>
      <c r="AK272" s="34"/>
    </row>
    <row r="273" spans="1:37" ht="17" x14ac:dyDescent="0.2">
      <c r="A273" s="31">
        <f>IF(Table6[[#This Row],[instruction]]&lt;&gt;"",MAX($A$6:A272)+1," ")</f>
        <v>268</v>
      </c>
      <c r="B273" s="32" t="s">
        <v>485</v>
      </c>
      <c r="C273" t="s">
        <v>14</v>
      </c>
      <c r="D273" s="31" t="s">
        <v>84</v>
      </c>
      <c r="E273" s="31" t="s">
        <v>440</v>
      </c>
      <c r="F273" s="31" t="s">
        <v>546</v>
      </c>
      <c r="G273" s="31" t="s">
        <v>638</v>
      </c>
      <c r="K273" s="2" t="str">
        <f t="shared" si="4"/>
        <v>fma</v>
      </c>
      <c r="L273" cm="1">
        <f t="array" ref="L2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3" t="str">
        <f>IF(OR(ISNUMBER(SEARCH("imad", Table6[[#This Row],[instruction]])), ISNUMBER(SEARCH("ffma", Table6[[#This Row],[instruction]])), ISNUMBER(SEARCH("fmul", Table6[[#This Row],[instruction]]))), "fma", "")</f>
        <v>fma</v>
      </c>
      <c r="P2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3" t="str">
        <f>IF(OR(ISNUMBER(SEARCH("s2r", Table6[[#This Row],[instruction]])),ISNUMBER(SEARCH("s2ur", Table6[[#This Row],[instruction]]))), "special", "")</f>
        <v/>
      </c>
      <c r="S273" t="str">
        <f>IF(OR(ISNUMBER(SEARCH("stg", Table6[[#This Row],[instruction]])),ISNUMBER(SEARCH("ldg", Table6[[#This Row],[instruction]]))), "global", "")</f>
        <v/>
      </c>
      <c r="T273" t="str">
        <f>IF(OR(ISNUMBER(SEARCH("sts", Table6[[#This Row],[instruction]])),ISNUMBER(SEARCH("lds", Table6[[#This Row],[instruction]]))), "shared", "")</f>
        <v/>
      </c>
      <c r="U273" t="str">
        <f>IF(OR(ISNUMBER(SEARCH("LDC", Table6[[#This Row],[instruction]]))), "ind. const", "")</f>
        <v/>
      </c>
      <c r="V2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Row],[s5]]))),U273=""), "cmb. const", "")</f>
        <v>cmb. const</v>
      </c>
      <c r="W273" s="2" t="s">
        <v>481</v>
      </c>
      <c r="Y273">
        <f>IF(Table6[[#This Row],[pipeline]]="fma",Table6[[#This Row],[delay]],0)</f>
        <v>4</v>
      </c>
      <c r="Z273">
        <f>IF(AND(Table6[[#This Row],[pipeline]]="fma",W273="new"),290,0)</f>
        <v>0</v>
      </c>
      <c r="AK273" s="34"/>
    </row>
    <row r="274" spans="1:37" ht="17" x14ac:dyDescent="0.2">
      <c r="A274" s="31">
        <f>IF(Table6[[#This Row],[instruction]]&lt;&gt;"",MAX($A$6:A273)+1," ")</f>
        <v>269</v>
      </c>
      <c r="B274" s="32" t="s">
        <v>485</v>
      </c>
      <c r="C274" t="s">
        <v>26</v>
      </c>
      <c r="D274" s="31" t="s">
        <v>637</v>
      </c>
      <c r="E274" s="31" t="s">
        <v>19</v>
      </c>
      <c r="F274" s="31" t="s">
        <v>71</v>
      </c>
      <c r="G274" s="31" t="s">
        <v>502</v>
      </c>
      <c r="K274" s="2" t="str">
        <f t="shared" si="4"/>
        <v>alu</v>
      </c>
      <c r="L274" cm="1">
        <f t="array" ref="L2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74" t="str">
        <f>IF(OR(ISNUMBER(SEARCH("imad", Table6[[#This Row],[instruction]])), ISNUMBER(SEARCH("ffma", Table6[[#This Row],[instruction]])), ISNUMBER(SEARCH("fmul", Table6[[#This Row],[instruction]]))), "fma", "")</f>
        <v/>
      </c>
      <c r="P2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4" t="str">
        <f>IF(OR(ISNUMBER(SEARCH("s2r", Table6[[#This Row],[instruction]])),ISNUMBER(SEARCH("s2ur", Table6[[#This Row],[instruction]]))), "special", "")</f>
        <v/>
      </c>
      <c r="S274" t="str">
        <f>IF(OR(ISNUMBER(SEARCH("stg", Table6[[#This Row],[instruction]])),ISNUMBER(SEARCH("ldg", Table6[[#This Row],[instruction]]))), "global", "")</f>
        <v/>
      </c>
      <c r="T274" t="str">
        <f>IF(OR(ISNUMBER(SEARCH("sts", Table6[[#This Row],[instruction]])),ISNUMBER(SEARCH("lds", Table6[[#This Row],[instruction]]))), "shared", "")</f>
        <v/>
      </c>
      <c r="U274" t="str">
        <f>IF(OR(ISNUMBER(SEARCH("LDC", Table6[[#This Row],[instruction]]))), "ind. const", "")</f>
        <v/>
      </c>
      <c r="V2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Row],[s5]]))),U274=""), "cmb. const", "")</f>
        <v/>
      </c>
      <c r="Y274">
        <f>IF(Table6[[#This Row],[pipeline]]="fma",Table6[[#This Row],[delay]],0)</f>
        <v>0</v>
      </c>
      <c r="Z274">
        <f>IF(AND(Table6[[#This Row],[pipeline]]="fma",W274="new"),290,0)</f>
        <v>0</v>
      </c>
      <c r="AK274" s="34"/>
    </row>
    <row r="275" spans="1:37" ht="17" x14ac:dyDescent="0.2">
      <c r="A275" s="31">
        <f>IF(Table6[[#This Row],[instruction]]&lt;&gt;"",MAX($A$6:A274)+1," ")</f>
        <v>270</v>
      </c>
      <c r="B275" s="32" t="s">
        <v>83</v>
      </c>
      <c r="C275" t="s">
        <v>509</v>
      </c>
      <c r="D275" s="31" t="s">
        <v>71</v>
      </c>
      <c r="E275" s="31" t="s">
        <v>640</v>
      </c>
      <c r="F275" s="31" t="s">
        <v>542</v>
      </c>
      <c r="G275" s="31" t="s">
        <v>502</v>
      </c>
      <c r="K275" s="2" t="str">
        <f t="shared" si="4"/>
        <v>fma</v>
      </c>
      <c r="L275" cm="1">
        <f t="array" ref="L2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5" t="str">
        <f>IF(OR(ISNUMBER(SEARCH("imad", Table6[[#This Row],[instruction]])), ISNUMBER(SEARCH("ffma", Table6[[#This Row],[instruction]])), ISNUMBER(SEARCH("fmul", Table6[[#This Row],[instruction]]))), "fma", "")</f>
        <v>fma</v>
      </c>
      <c r="P2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5" t="str">
        <f>IF(OR(ISNUMBER(SEARCH("s2r", Table6[[#This Row],[instruction]])),ISNUMBER(SEARCH("s2ur", Table6[[#This Row],[instruction]]))), "special", "")</f>
        <v/>
      </c>
      <c r="S275" t="str">
        <f>IF(OR(ISNUMBER(SEARCH("stg", Table6[[#This Row],[instruction]])),ISNUMBER(SEARCH("ldg", Table6[[#This Row],[instruction]]))), "global", "")</f>
        <v/>
      </c>
      <c r="T275" t="str">
        <f>IF(OR(ISNUMBER(SEARCH("sts", Table6[[#This Row],[instruction]])),ISNUMBER(SEARCH("lds", Table6[[#This Row],[instruction]]))), "shared", "")</f>
        <v/>
      </c>
      <c r="U275" t="str">
        <f>IF(OR(ISNUMBER(SEARCH("LDC", Table6[[#This Row],[instruction]]))), "ind. const", "")</f>
        <v/>
      </c>
      <c r="V2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Row],[s5]]))),U275=""), "cmb. const", "")</f>
        <v>cmb. const</v>
      </c>
      <c r="W275" s="2" t="s">
        <v>481</v>
      </c>
      <c r="Y275">
        <f>IF(Table6[[#This Row],[pipeline]]="fma",Table6[[#This Row],[delay]],0)</f>
        <v>4</v>
      </c>
      <c r="Z275">
        <f>IF(AND(Table6[[#This Row],[pipeline]]="fma",W275="new"),290,0)</f>
        <v>0</v>
      </c>
      <c r="AK275" s="34"/>
    </row>
    <row r="276" spans="1:37" ht="17" x14ac:dyDescent="0.2">
      <c r="A276" s="31">
        <f>IF(Table6[[#This Row],[instruction]]&lt;&gt;"",MAX($A$6:A275)+1," ")</f>
        <v>271</v>
      </c>
      <c r="B276" s="32" t="s">
        <v>485</v>
      </c>
      <c r="C276" t="s">
        <v>87</v>
      </c>
      <c r="D276" s="31" t="s">
        <v>50</v>
      </c>
      <c r="E276" s="31" t="s">
        <v>51</v>
      </c>
      <c r="F276" s="31" t="s">
        <v>447</v>
      </c>
      <c r="G276" s="31" t="s">
        <v>414</v>
      </c>
      <c r="H276" s="31" t="s">
        <v>494</v>
      </c>
      <c r="K276" s="2" t="str">
        <f t="shared" si="4"/>
        <v>alu</v>
      </c>
      <c r="L276" cm="1">
        <f t="array" ref="L2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6" t="str">
        <f>IF(OR(ISNUMBER(SEARCH("imad", Table6[[#This Row],[instruction]])), ISNUMBER(SEARCH("ffma", Table6[[#This Row],[instruction]])), ISNUMBER(SEARCH("fmul", Table6[[#This Row],[instruction]]))), "fma", "")</f>
        <v/>
      </c>
      <c r="P2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6" t="str">
        <f>IF(OR(ISNUMBER(SEARCH("s2r", Table6[[#This Row],[instruction]])),ISNUMBER(SEARCH("s2ur", Table6[[#This Row],[instruction]]))), "special", "")</f>
        <v/>
      </c>
      <c r="S276" t="str">
        <f>IF(OR(ISNUMBER(SEARCH("stg", Table6[[#This Row],[instruction]])),ISNUMBER(SEARCH("ldg", Table6[[#This Row],[instruction]]))), "global", "")</f>
        <v/>
      </c>
      <c r="T276" t="str">
        <f>IF(OR(ISNUMBER(SEARCH("sts", Table6[[#This Row],[instruction]])),ISNUMBER(SEARCH("lds", Table6[[#This Row],[instruction]]))), "shared", "")</f>
        <v/>
      </c>
      <c r="U276" t="str">
        <f>IF(OR(ISNUMBER(SEARCH("LDC", Table6[[#This Row],[instruction]]))), "ind. const", "")</f>
        <v/>
      </c>
      <c r="V2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Row],[s5]]))),U276=""), "cmb. const", "")</f>
        <v>cmb. const</v>
      </c>
      <c r="W276" s="2" t="s">
        <v>481</v>
      </c>
      <c r="Y276">
        <f>IF(Table6[[#This Row],[pipeline]]="fma",Table6[[#This Row],[delay]],0)</f>
        <v>0</v>
      </c>
      <c r="Z276">
        <f>IF(AND(Table6[[#This Row],[pipeline]]="fma",W276="new"),290,0)</f>
        <v>0</v>
      </c>
      <c r="AK276" s="34"/>
    </row>
    <row r="277" spans="1:37" ht="17" x14ac:dyDescent="0.2">
      <c r="A277" s="31">
        <f>IF(Table6[[#This Row],[instruction]]&lt;&gt;"",MAX($A$6:A276)+1," ")</f>
        <v>272</v>
      </c>
      <c r="B277" s="32" t="s">
        <v>485</v>
      </c>
      <c r="C277" t="s">
        <v>26</v>
      </c>
      <c r="D277" s="31" t="s">
        <v>633</v>
      </c>
      <c r="E277" s="31" t="s">
        <v>23</v>
      </c>
      <c r="F277" s="31" t="s">
        <v>430</v>
      </c>
      <c r="G277" s="31" t="s">
        <v>502</v>
      </c>
      <c r="K277" s="2" t="str">
        <f t="shared" si="4"/>
        <v>alu</v>
      </c>
      <c r="L277" cm="1">
        <f t="array" ref="L2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77" t="str">
        <f>IF(OR(ISNUMBER(SEARCH("imad", Table6[[#This Row],[instruction]])), ISNUMBER(SEARCH("ffma", Table6[[#This Row],[instruction]])), ISNUMBER(SEARCH("fmul", Table6[[#This Row],[instruction]]))), "fma", "")</f>
        <v/>
      </c>
      <c r="P2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7" t="str">
        <f>IF(OR(ISNUMBER(SEARCH("s2r", Table6[[#This Row],[instruction]])),ISNUMBER(SEARCH("s2ur", Table6[[#This Row],[instruction]]))), "special", "")</f>
        <v/>
      </c>
      <c r="S277" t="str">
        <f>IF(OR(ISNUMBER(SEARCH("stg", Table6[[#This Row],[instruction]])),ISNUMBER(SEARCH("ldg", Table6[[#This Row],[instruction]]))), "global", "")</f>
        <v/>
      </c>
      <c r="T277" t="str">
        <f>IF(OR(ISNUMBER(SEARCH("sts", Table6[[#This Row],[instruction]])),ISNUMBER(SEARCH("lds", Table6[[#This Row],[instruction]]))), "shared", "")</f>
        <v/>
      </c>
      <c r="U277" t="str">
        <f>IF(OR(ISNUMBER(SEARCH("LDC", Table6[[#This Row],[instruction]]))), "ind. const", "")</f>
        <v/>
      </c>
      <c r="V2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Row],[s5]]))),U277=""), "cmb. const", "")</f>
        <v/>
      </c>
      <c r="Y277">
        <f>IF(Table6[[#This Row],[pipeline]]="fma",Table6[[#This Row],[delay]],0)</f>
        <v>0</v>
      </c>
      <c r="Z277">
        <f>IF(AND(Table6[[#This Row],[pipeline]]="fma",W277="new"),290,0)</f>
        <v>0</v>
      </c>
      <c r="AK277" s="34"/>
    </row>
    <row r="278" spans="1:37" ht="17" x14ac:dyDescent="0.2">
      <c r="A278" s="31">
        <f>IF(Table6[[#This Row],[instruction]]&lt;&gt;"",MAX($A$6:A277)+1," ")</f>
        <v>273</v>
      </c>
      <c r="B278" s="32" t="s">
        <v>485</v>
      </c>
      <c r="C278" t="s">
        <v>425</v>
      </c>
      <c r="D278" s="31" t="s">
        <v>430</v>
      </c>
      <c r="E278" s="31" t="s">
        <v>19</v>
      </c>
      <c r="F278" s="31" t="s">
        <v>75</v>
      </c>
      <c r="G278" s="31" t="s">
        <v>631</v>
      </c>
      <c r="K278" s="2" t="str">
        <f t="shared" si="4"/>
        <v>fma</v>
      </c>
      <c r="L278" cm="1">
        <f t="array" ref="L2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8" t="str">
        <f>IF(OR(ISNUMBER(SEARCH("imad", Table6[[#This Row],[instruction]])), ISNUMBER(SEARCH("ffma", Table6[[#This Row],[instruction]])), ISNUMBER(SEARCH("fmul", Table6[[#This Row],[instruction]]))), "fma", "")</f>
        <v>fma</v>
      </c>
      <c r="P2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8" t="str">
        <f>IF(OR(ISNUMBER(SEARCH("s2r", Table6[[#This Row],[instruction]])),ISNUMBER(SEARCH("s2ur", Table6[[#This Row],[instruction]]))), "special", "")</f>
        <v/>
      </c>
      <c r="S278" t="str">
        <f>IF(OR(ISNUMBER(SEARCH("stg", Table6[[#This Row],[instruction]])),ISNUMBER(SEARCH("ldg", Table6[[#This Row],[instruction]]))), "global", "")</f>
        <v/>
      </c>
      <c r="T278" t="str">
        <f>IF(OR(ISNUMBER(SEARCH("sts", Table6[[#This Row],[instruction]])),ISNUMBER(SEARCH("lds", Table6[[#This Row],[instruction]]))), "shared", "")</f>
        <v/>
      </c>
      <c r="U278" t="str">
        <f>IF(OR(ISNUMBER(SEARCH("LDC", Table6[[#This Row],[instruction]]))), "ind. const", "")</f>
        <v/>
      </c>
      <c r="V2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Row],[s5]]))),U278=""), "cmb. const", "")</f>
        <v/>
      </c>
      <c r="Y278">
        <f>IF(Table6[[#This Row],[pipeline]]="fma",Table6[[#This Row],[delay]],0)</f>
        <v>4</v>
      </c>
      <c r="Z278">
        <f>IF(AND(Table6[[#This Row],[pipeline]]="fma",W278="new"),290,0)</f>
        <v>0</v>
      </c>
      <c r="AK278" s="34"/>
    </row>
    <row r="279" spans="1:37" ht="17" x14ac:dyDescent="0.2">
      <c r="A279" s="31">
        <f>IF(Table6[[#This Row],[instruction]]&lt;&gt;"",MAX($A$6:A278)+1," ")</f>
        <v>274</v>
      </c>
      <c r="B279" s="32" t="s">
        <v>485</v>
      </c>
      <c r="C279" t="s">
        <v>547</v>
      </c>
      <c r="D279" s="31" t="s">
        <v>50</v>
      </c>
      <c r="E279" s="31" t="s">
        <v>51</v>
      </c>
      <c r="F279" s="31" t="s">
        <v>637</v>
      </c>
      <c r="G279" s="31" t="s">
        <v>413</v>
      </c>
      <c r="H279" s="31" t="s">
        <v>527</v>
      </c>
      <c r="K279" s="2" t="str">
        <f t="shared" si="4"/>
        <v>alu</v>
      </c>
      <c r="L279" cm="1">
        <f t="array" ref="L2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79" t="str">
        <f>IF(OR(ISNUMBER(SEARCH("imad", Table6[[#This Row],[instruction]])), ISNUMBER(SEARCH("ffma", Table6[[#This Row],[instruction]])), ISNUMBER(SEARCH("fmul", Table6[[#This Row],[instruction]]))), "fma", "")</f>
        <v/>
      </c>
      <c r="P2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79" t="str">
        <f>IF(OR(ISNUMBER(SEARCH("s2r", Table6[[#This Row],[instruction]])),ISNUMBER(SEARCH("s2ur", Table6[[#This Row],[instruction]]))), "special", "")</f>
        <v/>
      </c>
      <c r="S279" t="str">
        <f>IF(OR(ISNUMBER(SEARCH("stg", Table6[[#This Row],[instruction]])),ISNUMBER(SEARCH("ldg", Table6[[#This Row],[instruction]]))), "global", "")</f>
        <v/>
      </c>
      <c r="T279" t="str">
        <f>IF(OR(ISNUMBER(SEARCH("sts", Table6[[#This Row],[instruction]])),ISNUMBER(SEARCH("lds", Table6[[#This Row],[instruction]]))), "shared", "")</f>
        <v/>
      </c>
      <c r="U279" t="str">
        <f>IF(OR(ISNUMBER(SEARCH("LDC", Table6[[#This Row],[instruction]]))), "ind. const", "")</f>
        <v/>
      </c>
      <c r="V2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Row],[s5]]))),U279=""), "cmb. const", "")</f>
        <v>cmb. const</v>
      </c>
      <c r="W279" s="2" t="s">
        <v>481</v>
      </c>
      <c r="Y279">
        <f>IF(Table6[[#This Row],[pipeline]]="fma",Table6[[#This Row],[delay]],0)</f>
        <v>0</v>
      </c>
      <c r="Z279">
        <f>IF(AND(Table6[[#This Row],[pipeline]]="fma",W279="new"),290,0)</f>
        <v>0</v>
      </c>
      <c r="AK279" s="34"/>
    </row>
    <row r="280" spans="1:37" ht="17" x14ac:dyDescent="0.2">
      <c r="A280" s="31">
        <f>IF(Table6[[#This Row],[instruction]]&lt;&gt;"",MAX($A$6:A279)+1," ")</f>
        <v>275</v>
      </c>
      <c r="B280" s="32" t="s">
        <v>485</v>
      </c>
      <c r="C280" t="s">
        <v>45</v>
      </c>
      <c r="D280" s="31" t="s">
        <v>567</v>
      </c>
      <c r="E280" s="31" t="s">
        <v>8</v>
      </c>
      <c r="F280" s="31" t="s">
        <v>8</v>
      </c>
      <c r="G280" s="31" t="s">
        <v>641</v>
      </c>
      <c r="K280" s="2" t="str">
        <f t="shared" si="4"/>
        <v>fma</v>
      </c>
      <c r="L280" cm="1">
        <f t="array" ref="L2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0" t="str">
        <f>IF(OR(ISNUMBER(SEARCH("imad", Table6[[#This Row],[instruction]])), ISNUMBER(SEARCH("ffma", Table6[[#This Row],[instruction]])), ISNUMBER(SEARCH("fmul", Table6[[#This Row],[instruction]]))), "fma", "")</f>
        <v>fma</v>
      </c>
      <c r="P2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0" t="str">
        <f>IF(OR(ISNUMBER(SEARCH("s2r", Table6[[#This Row],[instruction]])),ISNUMBER(SEARCH("s2ur", Table6[[#This Row],[instruction]]))), "special", "")</f>
        <v/>
      </c>
      <c r="S280" t="str">
        <f>IF(OR(ISNUMBER(SEARCH("stg", Table6[[#This Row],[instruction]])),ISNUMBER(SEARCH("ldg", Table6[[#This Row],[instruction]]))), "global", "")</f>
        <v/>
      </c>
      <c r="T280" t="str">
        <f>IF(OR(ISNUMBER(SEARCH("sts", Table6[[#This Row],[instruction]])),ISNUMBER(SEARCH("lds", Table6[[#This Row],[instruction]]))), "shared", "")</f>
        <v/>
      </c>
      <c r="U280" t="str">
        <f>IF(OR(ISNUMBER(SEARCH("LDC", Table6[[#This Row],[instruction]]))), "ind. const", "")</f>
        <v/>
      </c>
      <c r="V2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Row],[s5]]))),U280=""), "cmb. const", "")</f>
        <v/>
      </c>
      <c r="Y280">
        <f>IF(Table6[[#This Row],[pipeline]]="fma",Table6[[#This Row],[delay]],0)</f>
        <v>4</v>
      </c>
      <c r="Z280">
        <f>IF(AND(Table6[[#This Row],[pipeline]]="fma",W280="new"),290,0)</f>
        <v>0</v>
      </c>
      <c r="AK280" s="34"/>
    </row>
    <row r="281" spans="1:37" ht="17" x14ac:dyDescent="0.2">
      <c r="A281" s="31">
        <f>IF(Table6[[#This Row],[instruction]]&lt;&gt;"",MAX($A$6:A280)+1," ")</f>
        <v>276</v>
      </c>
      <c r="B281" s="32" t="s">
        <v>485</v>
      </c>
      <c r="C281" t="s">
        <v>87</v>
      </c>
      <c r="D281" s="31" t="s">
        <v>78</v>
      </c>
      <c r="E281" s="31" t="s">
        <v>51</v>
      </c>
      <c r="F281" s="31" t="s">
        <v>633</v>
      </c>
      <c r="G281" s="31" t="s">
        <v>414</v>
      </c>
      <c r="H281" s="31" t="s">
        <v>494</v>
      </c>
      <c r="K281" s="2" t="str">
        <f t="shared" si="4"/>
        <v>alu</v>
      </c>
      <c r="L281" cm="1">
        <f t="array" ref="L2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1" t="str">
        <f>IF(OR(ISNUMBER(SEARCH("imad", Table6[[#This Row],[instruction]])), ISNUMBER(SEARCH("ffma", Table6[[#This Row],[instruction]])), ISNUMBER(SEARCH("fmul", Table6[[#This Row],[instruction]]))), "fma", "")</f>
        <v/>
      </c>
      <c r="P2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1" t="str">
        <f>IF(OR(ISNUMBER(SEARCH("s2r", Table6[[#This Row],[instruction]])),ISNUMBER(SEARCH("s2ur", Table6[[#This Row],[instruction]]))), "special", "")</f>
        <v/>
      </c>
      <c r="S281" t="str">
        <f>IF(OR(ISNUMBER(SEARCH("stg", Table6[[#This Row],[instruction]])),ISNUMBER(SEARCH("ldg", Table6[[#This Row],[instruction]]))), "global", "")</f>
        <v/>
      </c>
      <c r="T281" t="str">
        <f>IF(OR(ISNUMBER(SEARCH("sts", Table6[[#This Row],[instruction]])),ISNUMBER(SEARCH("lds", Table6[[#This Row],[instruction]]))), "shared", "")</f>
        <v/>
      </c>
      <c r="U281" t="str">
        <f>IF(OR(ISNUMBER(SEARCH("LDC", Table6[[#This Row],[instruction]]))), "ind. const", "")</f>
        <v/>
      </c>
      <c r="V2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Row],[s5]]))),U281=""), "cmb. const", "")</f>
        <v>cmb. const</v>
      </c>
      <c r="W281" s="2" t="s">
        <v>481</v>
      </c>
      <c r="Y281">
        <f>IF(Table6[[#This Row],[pipeline]]="fma",Table6[[#This Row],[delay]],0)</f>
        <v>0</v>
      </c>
      <c r="Z281">
        <f>IF(AND(Table6[[#This Row],[pipeline]]="fma",W281="new"),290,0)</f>
        <v>0</v>
      </c>
      <c r="AK281" s="34"/>
    </row>
    <row r="282" spans="1:37" ht="17" x14ac:dyDescent="0.2">
      <c r="A282" s="31">
        <f>IF(Table6[[#This Row],[instruction]]&lt;&gt;"",MAX($A$6:A281)+1," ")</f>
        <v>277</v>
      </c>
      <c r="B282" s="32" t="s">
        <v>485</v>
      </c>
      <c r="C282" t="s">
        <v>14</v>
      </c>
      <c r="D282" s="31" t="s">
        <v>440</v>
      </c>
      <c r="E282" s="31" t="s">
        <v>46</v>
      </c>
      <c r="F282" s="31" t="s">
        <v>15</v>
      </c>
      <c r="G282" s="31" t="s">
        <v>501</v>
      </c>
      <c r="K282" s="2" t="str">
        <f t="shared" si="4"/>
        <v>fma</v>
      </c>
      <c r="L282" cm="1">
        <f t="array" ref="L2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2" t="str">
        <f>IF(OR(ISNUMBER(SEARCH("imad", Table6[[#This Row],[instruction]])), ISNUMBER(SEARCH("ffma", Table6[[#This Row],[instruction]])), ISNUMBER(SEARCH("fmul", Table6[[#This Row],[instruction]]))), "fma", "")</f>
        <v>fma</v>
      </c>
      <c r="P2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2" t="str">
        <f>IF(OR(ISNUMBER(SEARCH("s2r", Table6[[#This Row],[instruction]])),ISNUMBER(SEARCH("s2ur", Table6[[#This Row],[instruction]]))), "special", "")</f>
        <v/>
      </c>
      <c r="S282" t="str">
        <f>IF(OR(ISNUMBER(SEARCH("stg", Table6[[#This Row],[instruction]])),ISNUMBER(SEARCH("ldg", Table6[[#This Row],[instruction]]))), "global", "")</f>
        <v/>
      </c>
      <c r="T282" t="str">
        <f>IF(OR(ISNUMBER(SEARCH("sts", Table6[[#This Row],[instruction]])),ISNUMBER(SEARCH("lds", Table6[[#This Row],[instruction]]))), "shared", "")</f>
        <v/>
      </c>
      <c r="U282" t="str">
        <f>IF(OR(ISNUMBER(SEARCH("LDC", Table6[[#This Row],[instruction]]))), "ind. const", "")</f>
        <v/>
      </c>
      <c r="V2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Row],[s5]]))),U282=""), "cmb. const", "")</f>
        <v>cmb. const</v>
      </c>
      <c r="W282" s="2" t="s">
        <v>481</v>
      </c>
      <c r="Y282">
        <f>IF(Table6[[#This Row],[pipeline]]="fma",Table6[[#This Row],[delay]],0)</f>
        <v>4</v>
      </c>
      <c r="Z282">
        <f>IF(AND(Table6[[#This Row],[pipeline]]="fma",W282="new"),290,0)</f>
        <v>0</v>
      </c>
      <c r="AK282" s="34"/>
    </row>
    <row r="283" spans="1:37" ht="17" x14ac:dyDescent="0.2">
      <c r="A283" s="31">
        <f>IF(Table6[[#This Row],[instruction]]&lt;&gt;"",MAX($A$6:A282)+1," ")</f>
        <v>278</v>
      </c>
      <c r="B283" s="32" t="s">
        <v>485</v>
      </c>
      <c r="C283" t="s">
        <v>26</v>
      </c>
      <c r="D283" s="31" t="s">
        <v>82</v>
      </c>
      <c r="E283" s="31" t="s">
        <v>23</v>
      </c>
      <c r="F283" s="31" t="s">
        <v>84</v>
      </c>
      <c r="G283" s="31" t="s">
        <v>502</v>
      </c>
      <c r="K283" s="2" t="str">
        <f t="shared" si="4"/>
        <v>alu</v>
      </c>
      <c r="L283" cm="1">
        <f t="array" ref="L2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83" t="str">
        <f>IF(OR(ISNUMBER(SEARCH("imad", Table6[[#This Row],[instruction]])), ISNUMBER(SEARCH("ffma", Table6[[#This Row],[instruction]])), ISNUMBER(SEARCH("fmul", Table6[[#This Row],[instruction]]))), "fma", "")</f>
        <v/>
      </c>
      <c r="P2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3" t="str">
        <f>IF(OR(ISNUMBER(SEARCH("s2r", Table6[[#This Row],[instruction]])),ISNUMBER(SEARCH("s2ur", Table6[[#This Row],[instruction]]))), "special", "")</f>
        <v/>
      </c>
      <c r="S283" t="str">
        <f>IF(OR(ISNUMBER(SEARCH("stg", Table6[[#This Row],[instruction]])),ISNUMBER(SEARCH("ldg", Table6[[#This Row],[instruction]]))), "global", "")</f>
        <v/>
      </c>
      <c r="T283" t="str">
        <f>IF(OR(ISNUMBER(SEARCH("sts", Table6[[#This Row],[instruction]])),ISNUMBER(SEARCH("lds", Table6[[#This Row],[instruction]]))), "shared", "")</f>
        <v/>
      </c>
      <c r="U283" t="str">
        <f>IF(OR(ISNUMBER(SEARCH("LDC", Table6[[#This Row],[instruction]]))), "ind. const", "")</f>
        <v/>
      </c>
      <c r="V2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Row],[s5]]))),U283=""), "cmb. const", "")</f>
        <v/>
      </c>
      <c r="Y283">
        <f>IF(Table6[[#This Row],[pipeline]]="fma",Table6[[#This Row],[delay]],0)</f>
        <v>0</v>
      </c>
      <c r="Z283">
        <f>IF(AND(Table6[[#This Row],[pipeline]]="fma",W283="new"),290,0)</f>
        <v>0</v>
      </c>
      <c r="AK283" s="34"/>
    </row>
    <row r="284" spans="1:37" ht="17" x14ac:dyDescent="0.2">
      <c r="A284" s="31">
        <f>IF(Table6[[#This Row],[instruction]]&lt;&gt;"",MAX($A$6:A283)+1," ")</f>
        <v>279</v>
      </c>
      <c r="B284" s="32" t="s">
        <v>83</v>
      </c>
      <c r="C284" t="s">
        <v>90</v>
      </c>
      <c r="D284" s="31" t="s">
        <v>567</v>
      </c>
      <c r="E284" s="31" t="s">
        <v>8</v>
      </c>
      <c r="F284" s="31" t="s">
        <v>544</v>
      </c>
      <c r="G284" s="31" t="s">
        <v>543</v>
      </c>
      <c r="K284" s="2" t="str">
        <f t="shared" si="4"/>
        <v>alu</v>
      </c>
      <c r="L284" cm="1">
        <f t="array" ref="L2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4" t="str">
        <f>IF(OR(ISNUMBER(SEARCH("imad", Table6[[#This Row],[instruction]])), ISNUMBER(SEARCH("ffma", Table6[[#This Row],[instruction]])), ISNUMBER(SEARCH("fmul", Table6[[#This Row],[instruction]]))), "fma", "")</f>
        <v/>
      </c>
      <c r="P2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4" t="str">
        <f>IF(OR(ISNUMBER(SEARCH("s2r", Table6[[#This Row],[instruction]])),ISNUMBER(SEARCH("s2ur", Table6[[#This Row],[instruction]]))), "special", "")</f>
        <v/>
      </c>
      <c r="S284" t="str">
        <f>IF(OR(ISNUMBER(SEARCH("stg", Table6[[#This Row],[instruction]])),ISNUMBER(SEARCH("ldg", Table6[[#This Row],[instruction]]))), "global", "")</f>
        <v/>
      </c>
      <c r="T284" t="str">
        <f>IF(OR(ISNUMBER(SEARCH("sts", Table6[[#This Row],[instruction]])),ISNUMBER(SEARCH("lds", Table6[[#This Row],[instruction]]))), "shared", "")</f>
        <v/>
      </c>
      <c r="U284" t="str">
        <f>IF(OR(ISNUMBER(SEARCH("LDC", Table6[[#This Row],[instruction]]))), "ind. const", "")</f>
        <v/>
      </c>
      <c r="V2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Row],[s5]]))),U284=""), "cmb. const", "")</f>
        <v>cmb. const</v>
      </c>
      <c r="W284" s="2" t="s">
        <v>481</v>
      </c>
      <c r="Y284">
        <f>IF(Table6[[#This Row],[pipeline]]="fma",Table6[[#This Row],[delay]],0)</f>
        <v>0</v>
      </c>
      <c r="Z284">
        <f>IF(AND(Table6[[#This Row],[pipeline]]="fma",W284="new"),290,0)</f>
        <v>0</v>
      </c>
      <c r="AK284" s="34"/>
    </row>
    <row r="285" spans="1:37" ht="17" x14ac:dyDescent="0.2">
      <c r="A285" s="31">
        <f>IF(Table6[[#This Row],[instruction]]&lt;&gt;"",MAX($A$6:A284)+1," ")</f>
        <v>280</v>
      </c>
      <c r="B285" s="32" t="s">
        <v>485</v>
      </c>
      <c r="C285" t="s">
        <v>547</v>
      </c>
      <c r="D285" s="31" t="s">
        <v>78</v>
      </c>
      <c r="E285" s="31" t="s">
        <v>51</v>
      </c>
      <c r="F285" s="31" t="s">
        <v>430</v>
      </c>
      <c r="G285" s="31" t="s">
        <v>413</v>
      </c>
      <c r="H285" s="31" t="s">
        <v>602</v>
      </c>
      <c r="K285" s="2" t="str">
        <f t="shared" si="4"/>
        <v>alu</v>
      </c>
      <c r="L285" cm="1">
        <f t="array" ref="L2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5" t="str">
        <f>IF(OR(ISNUMBER(SEARCH("imad", Table6[[#This Row],[instruction]])), ISNUMBER(SEARCH("ffma", Table6[[#This Row],[instruction]])), ISNUMBER(SEARCH("fmul", Table6[[#This Row],[instruction]]))), "fma", "")</f>
        <v/>
      </c>
      <c r="P2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5" t="str">
        <f>IF(OR(ISNUMBER(SEARCH("s2r", Table6[[#This Row],[instruction]])),ISNUMBER(SEARCH("s2ur", Table6[[#This Row],[instruction]]))), "special", "")</f>
        <v/>
      </c>
      <c r="S285" t="str">
        <f>IF(OR(ISNUMBER(SEARCH("stg", Table6[[#This Row],[instruction]])),ISNUMBER(SEARCH("ldg", Table6[[#This Row],[instruction]]))), "global", "")</f>
        <v/>
      </c>
      <c r="T285" t="str">
        <f>IF(OR(ISNUMBER(SEARCH("sts", Table6[[#This Row],[instruction]])),ISNUMBER(SEARCH("lds", Table6[[#This Row],[instruction]]))), "shared", "")</f>
        <v/>
      </c>
      <c r="U285" t="str">
        <f>IF(OR(ISNUMBER(SEARCH("LDC", Table6[[#This Row],[instruction]]))), "ind. const", "")</f>
        <v/>
      </c>
      <c r="V2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Row],[s5]]))),U285=""), "cmb. const", "")</f>
        <v>cmb. const</v>
      </c>
      <c r="W285" s="2" t="s">
        <v>481</v>
      </c>
      <c r="Y285">
        <f>IF(Table6[[#This Row],[pipeline]]="fma",Table6[[#This Row],[delay]],0)</f>
        <v>0</v>
      </c>
      <c r="Z285">
        <f>IF(AND(Table6[[#This Row],[pipeline]]="fma",W285="new"),290,0)</f>
        <v>0</v>
      </c>
      <c r="AK285" s="34"/>
    </row>
    <row r="286" spans="1:37" ht="17" x14ac:dyDescent="0.2">
      <c r="A286" s="31">
        <f>IF(Table6[[#This Row],[instruction]]&lt;&gt;"",MAX($A$6:A285)+1," ")</f>
        <v>281</v>
      </c>
      <c r="B286" s="32" t="s">
        <v>485</v>
      </c>
      <c r="C286" t="s">
        <v>26</v>
      </c>
      <c r="D286" s="31" t="s">
        <v>71</v>
      </c>
      <c r="E286" s="31" t="s">
        <v>19</v>
      </c>
      <c r="F286" s="31" t="s">
        <v>436</v>
      </c>
      <c r="G286" s="31" t="s">
        <v>502</v>
      </c>
      <c r="K286" s="2" t="str">
        <f t="shared" si="4"/>
        <v>alu</v>
      </c>
      <c r="L286" cm="1">
        <f t="array" ref="L2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86" t="str">
        <f>IF(OR(ISNUMBER(SEARCH("imad", Table6[[#This Row],[instruction]])), ISNUMBER(SEARCH("ffma", Table6[[#This Row],[instruction]])), ISNUMBER(SEARCH("fmul", Table6[[#This Row],[instruction]]))), "fma", "")</f>
        <v/>
      </c>
      <c r="P2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6" t="str">
        <f>IF(OR(ISNUMBER(SEARCH("s2r", Table6[[#This Row],[instruction]])),ISNUMBER(SEARCH("s2ur", Table6[[#This Row],[instruction]]))), "special", "")</f>
        <v/>
      </c>
      <c r="S286" t="str">
        <f>IF(OR(ISNUMBER(SEARCH("stg", Table6[[#This Row],[instruction]])),ISNUMBER(SEARCH("ldg", Table6[[#This Row],[instruction]]))), "global", "")</f>
        <v/>
      </c>
      <c r="T286" t="str">
        <f>IF(OR(ISNUMBER(SEARCH("sts", Table6[[#This Row],[instruction]])),ISNUMBER(SEARCH("lds", Table6[[#This Row],[instruction]]))), "shared", "")</f>
        <v/>
      </c>
      <c r="U286" t="str">
        <f>IF(OR(ISNUMBER(SEARCH("LDC", Table6[[#This Row],[instruction]]))), "ind. const", "")</f>
        <v/>
      </c>
      <c r="V2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Row],[s5]]))),U286=""), "cmb. const", "")</f>
        <v/>
      </c>
      <c r="Y286">
        <f>IF(Table6[[#This Row],[pipeline]]="fma",Table6[[#This Row],[delay]],0)</f>
        <v>0</v>
      </c>
      <c r="Z286">
        <f>IF(AND(Table6[[#This Row],[pipeline]]="fma",W286="new"),290,0)</f>
        <v>0</v>
      </c>
      <c r="AK286" s="34"/>
    </row>
    <row r="287" spans="1:37" ht="17" x14ac:dyDescent="0.2">
      <c r="A287" s="31">
        <f>IF(Table6[[#This Row],[instruction]]&lt;&gt;"",MAX($A$6:A286)+1," ")</f>
        <v>282</v>
      </c>
      <c r="B287" s="32" t="s">
        <v>485</v>
      </c>
      <c r="C287" t="s">
        <v>515</v>
      </c>
      <c r="D287" s="31" t="s">
        <v>439</v>
      </c>
      <c r="E287" s="31" t="s">
        <v>8</v>
      </c>
      <c r="F287" s="31" t="s">
        <v>8</v>
      </c>
      <c r="G287" s="31" t="s">
        <v>642</v>
      </c>
      <c r="K287" s="2" t="str">
        <f t="shared" si="4"/>
        <v>fma</v>
      </c>
      <c r="L287" cm="1">
        <f t="array" ref="L2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7" t="str">
        <f>IF(OR(ISNUMBER(SEARCH("imad", Table6[[#This Row],[instruction]])), ISNUMBER(SEARCH("ffma", Table6[[#This Row],[instruction]])), ISNUMBER(SEARCH("fmul", Table6[[#This Row],[instruction]]))), "fma", "")</f>
        <v>fma</v>
      </c>
      <c r="P2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7" t="str">
        <f>IF(OR(ISNUMBER(SEARCH("s2r", Table6[[#This Row],[instruction]])),ISNUMBER(SEARCH("s2ur", Table6[[#This Row],[instruction]]))), "special", "")</f>
        <v/>
      </c>
      <c r="S287" t="str">
        <f>IF(OR(ISNUMBER(SEARCH("stg", Table6[[#This Row],[instruction]])),ISNUMBER(SEARCH("ldg", Table6[[#This Row],[instruction]]))), "global", "")</f>
        <v/>
      </c>
      <c r="T287" t="str">
        <f>IF(OR(ISNUMBER(SEARCH("sts", Table6[[#This Row],[instruction]])),ISNUMBER(SEARCH("lds", Table6[[#This Row],[instruction]]))), "shared", "")</f>
        <v/>
      </c>
      <c r="U287" t="str">
        <f>IF(OR(ISNUMBER(SEARCH("LDC", Table6[[#This Row],[instruction]]))), "ind. const", "")</f>
        <v/>
      </c>
      <c r="V2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Row],[s5]]))),U287=""), "cmb. const", "")</f>
        <v/>
      </c>
      <c r="Y287">
        <f>IF(Table6[[#This Row],[pipeline]]="fma",Table6[[#This Row],[delay]],0)</f>
        <v>4</v>
      </c>
      <c r="Z287">
        <f>IF(AND(Table6[[#This Row],[pipeline]]="fma",W287="new"),290,0)</f>
        <v>0</v>
      </c>
      <c r="AK287" s="34"/>
    </row>
    <row r="288" spans="1:37" ht="17" x14ac:dyDescent="0.2">
      <c r="A288" s="31">
        <f>IF(Table6[[#This Row],[instruction]]&lt;&gt;"",MAX($A$6:A287)+1," ")</f>
        <v>283</v>
      </c>
      <c r="B288" s="32" t="s">
        <v>485</v>
      </c>
      <c r="C288" t="s">
        <v>87</v>
      </c>
      <c r="D288" s="31" t="s">
        <v>74</v>
      </c>
      <c r="E288" s="31" t="s">
        <v>51</v>
      </c>
      <c r="F288" s="31" t="s">
        <v>82</v>
      </c>
      <c r="G288" s="31" t="s">
        <v>414</v>
      </c>
      <c r="H288" s="31" t="s">
        <v>494</v>
      </c>
      <c r="K288" s="2" t="str">
        <f t="shared" si="4"/>
        <v>alu</v>
      </c>
      <c r="L288" cm="1">
        <f t="array" ref="L2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8" t="str">
        <f>IF(OR(ISNUMBER(SEARCH("imad", Table6[[#This Row],[instruction]])), ISNUMBER(SEARCH("ffma", Table6[[#This Row],[instruction]])), ISNUMBER(SEARCH("fmul", Table6[[#This Row],[instruction]]))), "fma", "")</f>
        <v/>
      </c>
      <c r="P2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8" t="str">
        <f>IF(OR(ISNUMBER(SEARCH("s2r", Table6[[#This Row],[instruction]])),ISNUMBER(SEARCH("s2ur", Table6[[#This Row],[instruction]]))), "special", "")</f>
        <v/>
      </c>
      <c r="S288" t="str">
        <f>IF(OR(ISNUMBER(SEARCH("stg", Table6[[#This Row],[instruction]])),ISNUMBER(SEARCH("ldg", Table6[[#This Row],[instruction]]))), "global", "")</f>
        <v/>
      </c>
      <c r="T288" t="str">
        <f>IF(OR(ISNUMBER(SEARCH("sts", Table6[[#This Row],[instruction]])),ISNUMBER(SEARCH("lds", Table6[[#This Row],[instruction]]))), "shared", "")</f>
        <v/>
      </c>
      <c r="U288" t="str">
        <f>IF(OR(ISNUMBER(SEARCH("LDC", Table6[[#This Row],[instruction]]))), "ind. const", "")</f>
        <v/>
      </c>
      <c r="V2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Row],[s5]]))),U288=""), "cmb. const", "")</f>
        <v>cmb. const</v>
      </c>
      <c r="W288" s="2" t="s">
        <v>481</v>
      </c>
      <c r="Y288">
        <f>IF(Table6[[#This Row],[pipeline]]="fma",Table6[[#This Row],[delay]],0)</f>
        <v>0</v>
      </c>
      <c r="Z288">
        <f>IF(AND(Table6[[#This Row],[pipeline]]="fma",W288="new"),290,0)</f>
        <v>0</v>
      </c>
      <c r="AK288" s="34"/>
    </row>
    <row r="289" spans="1:37" ht="17" x14ac:dyDescent="0.2">
      <c r="A289" s="31">
        <f>IF(Table6[[#This Row],[instruction]]&lt;&gt;"",MAX($A$6:A288)+1," ")</f>
        <v>284</v>
      </c>
      <c r="B289" s="32" t="s">
        <v>580</v>
      </c>
      <c r="C289" t="s">
        <v>14</v>
      </c>
      <c r="D289" s="31" t="s">
        <v>84</v>
      </c>
      <c r="E289" s="31" t="s">
        <v>17</v>
      </c>
      <c r="F289" s="31" t="s">
        <v>417</v>
      </c>
      <c r="G289" s="31" t="s">
        <v>563</v>
      </c>
      <c r="K289" s="2" t="str">
        <f t="shared" si="4"/>
        <v>fma</v>
      </c>
      <c r="L289" cm="1">
        <f t="array" ref="L2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89" t="str">
        <f>IF(OR(ISNUMBER(SEARCH("imad", Table6[[#This Row],[instruction]])), ISNUMBER(SEARCH("ffma", Table6[[#This Row],[instruction]])), ISNUMBER(SEARCH("fmul", Table6[[#This Row],[instruction]]))), "fma", "")</f>
        <v>fma</v>
      </c>
      <c r="P2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89" t="str">
        <f>IF(OR(ISNUMBER(SEARCH("s2r", Table6[[#This Row],[instruction]])),ISNUMBER(SEARCH("s2ur", Table6[[#This Row],[instruction]]))), "special", "")</f>
        <v/>
      </c>
      <c r="S289" t="str">
        <f>IF(OR(ISNUMBER(SEARCH("stg", Table6[[#This Row],[instruction]])),ISNUMBER(SEARCH("ldg", Table6[[#This Row],[instruction]]))), "global", "")</f>
        <v/>
      </c>
      <c r="T289" t="str">
        <f>IF(OR(ISNUMBER(SEARCH("sts", Table6[[#This Row],[instruction]])),ISNUMBER(SEARCH("lds", Table6[[#This Row],[instruction]]))), "shared", "")</f>
        <v/>
      </c>
      <c r="U289" t="str">
        <f>IF(OR(ISNUMBER(SEARCH("LDC", Table6[[#This Row],[instruction]]))), "ind. const", "")</f>
        <v/>
      </c>
      <c r="V2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Row],[s5]]))),U289=""), "cmb. const", "")</f>
        <v>cmb. const</v>
      </c>
      <c r="W289" s="2" t="s">
        <v>481</v>
      </c>
      <c r="Y289">
        <f>IF(Table6[[#This Row],[pipeline]]="fma",Table6[[#This Row],[delay]],0)</f>
        <v>4</v>
      </c>
      <c r="Z289">
        <f>IF(AND(Table6[[#This Row],[pipeline]]="fma",W289="new"),290,0)</f>
        <v>0</v>
      </c>
      <c r="AK289" s="34"/>
    </row>
    <row r="290" spans="1:37" ht="17" x14ac:dyDescent="0.2">
      <c r="A290" s="31">
        <f>IF(Table6[[#This Row],[instruction]]&lt;&gt;"",MAX($A$6:A289)+1," ")</f>
        <v>285</v>
      </c>
      <c r="B290" s="32" t="s">
        <v>485</v>
      </c>
      <c r="C290" t="s">
        <v>570</v>
      </c>
      <c r="D290" s="31" t="s">
        <v>440</v>
      </c>
      <c r="E290" s="31" t="s">
        <v>440</v>
      </c>
      <c r="F290" s="31" t="s">
        <v>10</v>
      </c>
      <c r="G290" s="31" t="s">
        <v>571</v>
      </c>
      <c r="K290" s="2" t="str">
        <f t="shared" si="4"/>
        <v>alu</v>
      </c>
      <c r="L290" cm="1">
        <f t="array" ref="L2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290" t="str">
        <f>IF(OR(ISNUMBER(SEARCH("imad", Table6[[#This Row],[instruction]])), ISNUMBER(SEARCH("ffma", Table6[[#This Row],[instruction]])), ISNUMBER(SEARCH("fmul", Table6[[#This Row],[instruction]]))), "fma", "")</f>
        <v/>
      </c>
      <c r="P2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0" t="str">
        <f>IF(OR(ISNUMBER(SEARCH("s2r", Table6[[#This Row],[instruction]])),ISNUMBER(SEARCH("s2ur", Table6[[#This Row],[instruction]]))), "special", "")</f>
        <v/>
      </c>
      <c r="S290" t="str">
        <f>IF(OR(ISNUMBER(SEARCH("stg", Table6[[#This Row],[instruction]])),ISNUMBER(SEARCH("ldg", Table6[[#This Row],[instruction]]))), "global", "")</f>
        <v/>
      </c>
      <c r="T290" t="str">
        <f>IF(OR(ISNUMBER(SEARCH("sts", Table6[[#This Row],[instruction]])),ISNUMBER(SEARCH("lds", Table6[[#This Row],[instruction]]))), "shared", "")</f>
        <v/>
      </c>
      <c r="U290" t="str">
        <f>IF(OR(ISNUMBER(SEARCH("LDC", Table6[[#This Row],[instruction]]))), "ind. const", "")</f>
        <v/>
      </c>
      <c r="V2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Row],[s5]]))),U290=""), "cmb. const", "")</f>
        <v/>
      </c>
      <c r="Y290">
        <f>IF(Table6[[#This Row],[pipeline]]="fma",Table6[[#This Row],[delay]],0)</f>
        <v>0</v>
      </c>
      <c r="Z290">
        <f>IF(AND(Table6[[#This Row],[pipeline]]="fma",W290="new"),290,0)</f>
        <v>0</v>
      </c>
      <c r="AK290" s="34"/>
    </row>
    <row r="291" spans="1:37" ht="17" x14ac:dyDescent="0.2">
      <c r="A291" s="31">
        <f>IF(Table6[[#This Row],[instruction]]&lt;&gt;"",MAX($A$6:A290)+1," ")</f>
        <v>286</v>
      </c>
      <c r="B291" s="32" t="s">
        <v>485</v>
      </c>
      <c r="C291" t="s">
        <v>14</v>
      </c>
      <c r="D291" s="31" t="s">
        <v>439</v>
      </c>
      <c r="E291" s="31" t="s">
        <v>439</v>
      </c>
      <c r="F291" s="31" t="s">
        <v>546</v>
      </c>
      <c r="G291" s="31" t="s">
        <v>641</v>
      </c>
      <c r="K291" s="2" t="str">
        <f t="shared" si="4"/>
        <v>fma</v>
      </c>
      <c r="L291" cm="1">
        <f t="array" ref="L2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1" t="str">
        <f>IF(OR(ISNUMBER(SEARCH("imad", Table6[[#This Row],[instruction]])), ISNUMBER(SEARCH("ffma", Table6[[#This Row],[instruction]])), ISNUMBER(SEARCH("fmul", Table6[[#This Row],[instruction]]))), "fma", "")</f>
        <v>fma</v>
      </c>
      <c r="P2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1" t="str">
        <f>IF(OR(ISNUMBER(SEARCH("s2r", Table6[[#This Row],[instruction]])),ISNUMBER(SEARCH("s2ur", Table6[[#This Row],[instruction]]))), "special", "")</f>
        <v/>
      </c>
      <c r="S291" t="str">
        <f>IF(OR(ISNUMBER(SEARCH("stg", Table6[[#This Row],[instruction]])),ISNUMBER(SEARCH("ldg", Table6[[#This Row],[instruction]]))), "global", "")</f>
        <v/>
      </c>
      <c r="T291" t="str">
        <f>IF(OR(ISNUMBER(SEARCH("sts", Table6[[#This Row],[instruction]])),ISNUMBER(SEARCH("lds", Table6[[#This Row],[instruction]]))), "shared", "")</f>
        <v/>
      </c>
      <c r="U291" t="str">
        <f>IF(OR(ISNUMBER(SEARCH("LDC", Table6[[#This Row],[instruction]]))), "ind. const", "")</f>
        <v/>
      </c>
      <c r="V2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Row],[s5]]))),U291=""), "cmb. const", "")</f>
        <v>cmb. const</v>
      </c>
      <c r="W291" s="2" t="s">
        <v>481</v>
      </c>
      <c r="Y291">
        <f>IF(Table6[[#This Row],[pipeline]]="fma",Table6[[#This Row],[delay]],0)</f>
        <v>4</v>
      </c>
      <c r="Z291">
        <f>IF(AND(Table6[[#This Row],[pipeline]]="fma",W291="new"),290,0)</f>
        <v>0</v>
      </c>
      <c r="AK291" s="34"/>
    </row>
    <row r="292" spans="1:37" ht="17" x14ac:dyDescent="0.2">
      <c r="A292" s="31">
        <f>IF(Table6[[#This Row],[instruction]]&lt;&gt;"",MAX($A$6:A291)+1," ")</f>
        <v>287</v>
      </c>
      <c r="B292" s="32" t="s">
        <v>485</v>
      </c>
      <c r="C292" t="s">
        <v>547</v>
      </c>
      <c r="D292" s="31" t="s">
        <v>74</v>
      </c>
      <c r="E292" s="31" t="s">
        <v>51</v>
      </c>
      <c r="F292" s="31" t="s">
        <v>71</v>
      </c>
      <c r="G292" s="31" t="s">
        <v>413</v>
      </c>
      <c r="H292" s="31" t="s">
        <v>643</v>
      </c>
      <c r="K292" s="2" t="str">
        <f t="shared" si="4"/>
        <v>alu</v>
      </c>
      <c r="L292" cm="1">
        <f t="array" ref="L2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2" t="str">
        <f>IF(OR(ISNUMBER(SEARCH("imad", Table6[[#This Row],[instruction]])), ISNUMBER(SEARCH("ffma", Table6[[#This Row],[instruction]])), ISNUMBER(SEARCH("fmul", Table6[[#This Row],[instruction]]))), "fma", "")</f>
        <v/>
      </c>
      <c r="P2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2" t="str">
        <f>IF(OR(ISNUMBER(SEARCH("s2r", Table6[[#This Row],[instruction]])),ISNUMBER(SEARCH("s2ur", Table6[[#This Row],[instruction]]))), "special", "")</f>
        <v/>
      </c>
      <c r="S292" t="str">
        <f>IF(OR(ISNUMBER(SEARCH("stg", Table6[[#This Row],[instruction]])),ISNUMBER(SEARCH("ldg", Table6[[#This Row],[instruction]]))), "global", "")</f>
        <v/>
      </c>
      <c r="T292" t="str">
        <f>IF(OR(ISNUMBER(SEARCH("sts", Table6[[#This Row],[instruction]])),ISNUMBER(SEARCH("lds", Table6[[#This Row],[instruction]]))), "shared", "")</f>
        <v/>
      </c>
      <c r="U292" t="str">
        <f>IF(OR(ISNUMBER(SEARCH("LDC", Table6[[#This Row],[instruction]]))), "ind. const", "")</f>
        <v/>
      </c>
      <c r="V2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Row],[s5]]))),U292=""), "cmb. const", "")</f>
        <v>cmb. const</v>
      </c>
      <c r="W292" s="2" t="s">
        <v>481</v>
      </c>
      <c r="Y292">
        <f>IF(Table6[[#This Row],[pipeline]]="fma",Table6[[#This Row],[delay]],0)</f>
        <v>0</v>
      </c>
      <c r="Z292">
        <f>IF(AND(Table6[[#This Row],[pipeline]]="fma",W292="new"),290,0)</f>
        <v>0</v>
      </c>
      <c r="AK292" s="34"/>
    </row>
    <row r="293" spans="1:37" ht="17" x14ac:dyDescent="0.2">
      <c r="A293" s="31">
        <f>IF(Table6[[#This Row],[instruction]]&lt;&gt;"",MAX($A$6:A292)+1," ")</f>
        <v>288</v>
      </c>
      <c r="B293" s="32" t="s">
        <v>580</v>
      </c>
      <c r="C293" t="s">
        <v>14</v>
      </c>
      <c r="D293" s="31" t="s">
        <v>84</v>
      </c>
      <c r="E293" s="31" t="s">
        <v>27</v>
      </c>
      <c r="F293" s="31" t="s">
        <v>422</v>
      </c>
      <c r="G293" s="31" t="s">
        <v>545</v>
      </c>
      <c r="K293" s="2" t="str">
        <f t="shared" si="4"/>
        <v>fma</v>
      </c>
      <c r="L293" cm="1">
        <f t="array" ref="L2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3" t="str">
        <f>IF(OR(ISNUMBER(SEARCH("imad", Table6[[#This Row],[instruction]])), ISNUMBER(SEARCH("ffma", Table6[[#This Row],[instruction]])), ISNUMBER(SEARCH("fmul", Table6[[#This Row],[instruction]]))), "fma", "")</f>
        <v>fma</v>
      </c>
      <c r="P2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3" t="str">
        <f>IF(OR(ISNUMBER(SEARCH("s2r", Table6[[#This Row],[instruction]])),ISNUMBER(SEARCH("s2ur", Table6[[#This Row],[instruction]]))), "special", "")</f>
        <v/>
      </c>
      <c r="S293" t="str">
        <f>IF(OR(ISNUMBER(SEARCH("stg", Table6[[#This Row],[instruction]])),ISNUMBER(SEARCH("ldg", Table6[[#This Row],[instruction]]))), "global", "")</f>
        <v/>
      </c>
      <c r="T293" t="str">
        <f>IF(OR(ISNUMBER(SEARCH("sts", Table6[[#This Row],[instruction]])),ISNUMBER(SEARCH("lds", Table6[[#This Row],[instruction]]))), "shared", "")</f>
        <v/>
      </c>
      <c r="U293" t="str">
        <f>IF(OR(ISNUMBER(SEARCH("LDC", Table6[[#This Row],[instruction]]))), "ind. const", "")</f>
        <v/>
      </c>
      <c r="V2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Row],[s5]]))),U293=""), "cmb. const", "")</f>
        <v>cmb. const</v>
      </c>
      <c r="W293" s="2" t="s">
        <v>481</v>
      </c>
      <c r="Y293">
        <f>IF(Table6[[#This Row],[pipeline]]="fma",Table6[[#This Row],[delay]],0)</f>
        <v>4</v>
      </c>
      <c r="Z293">
        <f>IF(AND(Table6[[#This Row],[pipeline]]="fma",W293="new"),290,0)</f>
        <v>0</v>
      </c>
      <c r="AK293" s="34"/>
    </row>
    <row r="294" spans="1:37" ht="17" x14ac:dyDescent="0.2">
      <c r="A294" s="31">
        <f>IF(Table6[[#This Row],[instruction]]&lt;&gt;"",MAX($A$6:A293)+1," ")</f>
        <v>289</v>
      </c>
      <c r="B294" s="32" t="s">
        <v>485</v>
      </c>
      <c r="C294" t="s">
        <v>26</v>
      </c>
      <c r="D294" s="31" t="s">
        <v>436</v>
      </c>
      <c r="E294" s="31" t="s">
        <v>440</v>
      </c>
      <c r="F294" s="31" t="s">
        <v>526</v>
      </c>
      <c r="G294" s="31" t="s">
        <v>502</v>
      </c>
      <c r="K294" s="2" t="str">
        <f t="shared" si="4"/>
        <v>alu</v>
      </c>
      <c r="L294" cm="1">
        <f t="array" ref="L2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94" t="str">
        <f>IF(OR(ISNUMBER(SEARCH("imad", Table6[[#This Row],[instruction]])), ISNUMBER(SEARCH("ffma", Table6[[#This Row],[instruction]])), ISNUMBER(SEARCH("fmul", Table6[[#This Row],[instruction]]))), "fma", "")</f>
        <v/>
      </c>
      <c r="P2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4" t="str">
        <f>IF(OR(ISNUMBER(SEARCH("s2r", Table6[[#This Row],[instruction]])),ISNUMBER(SEARCH("s2ur", Table6[[#This Row],[instruction]]))), "special", "")</f>
        <v/>
      </c>
      <c r="S294" t="str">
        <f>IF(OR(ISNUMBER(SEARCH("stg", Table6[[#This Row],[instruction]])),ISNUMBER(SEARCH("ldg", Table6[[#This Row],[instruction]]))), "global", "")</f>
        <v/>
      </c>
      <c r="T294" t="str">
        <f>IF(OR(ISNUMBER(SEARCH("sts", Table6[[#This Row],[instruction]])),ISNUMBER(SEARCH("lds", Table6[[#This Row],[instruction]]))), "shared", "")</f>
        <v/>
      </c>
      <c r="U294" t="str">
        <f>IF(OR(ISNUMBER(SEARCH("LDC", Table6[[#This Row],[instruction]]))), "ind. const", "")</f>
        <v/>
      </c>
      <c r="V2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Row],[s5]]))),U294=""), "cmb. const", "")</f>
        <v/>
      </c>
      <c r="Y294">
        <f>IF(Table6[[#This Row],[pipeline]]="fma",Table6[[#This Row],[delay]],0)</f>
        <v>0</v>
      </c>
      <c r="Z294">
        <f>IF(AND(Table6[[#This Row],[pipeline]]="fma",W294="new"),290,0)</f>
        <v>0</v>
      </c>
      <c r="AK294" s="34"/>
    </row>
    <row r="295" spans="1:37" ht="17" x14ac:dyDescent="0.2">
      <c r="A295" s="31">
        <f>IF(Table6[[#This Row],[instruction]]&lt;&gt;"",MAX($A$6:A294)+1," ")</f>
        <v>290</v>
      </c>
      <c r="B295" s="32" t="s">
        <v>644</v>
      </c>
      <c r="C295" t="s">
        <v>14</v>
      </c>
      <c r="D295" s="31" t="s">
        <v>27</v>
      </c>
      <c r="E295" s="31" t="s">
        <v>17</v>
      </c>
      <c r="F295" s="31" t="s">
        <v>417</v>
      </c>
      <c r="G295" s="31" t="s">
        <v>635</v>
      </c>
      <c r="K295" s="2" t="str">
        <f t="shared" si="4"/>
        <v>fma</v>
      </c>
      <c r="L295" cm="1">
        <f t="array" ref="L2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5" t="str">
        <f>IF(OR(ISNUMBER(SEARCH("imad", Table6[[#This Row],[instruction]])), ISNUMBER(SEARCH("ffma", Table6[[#This Row],[instruction]])), ISNUMBER(SEARCH("fmul", Table6[[#This Row],[instruction]]))), "fma", "")</f>
        <v>fma</v>
      </c>
      <c r="P2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5" t="str">
        <f>IF(OR(ISNUMBER(SEARCH("s2r", Table6[[#This Row],[instruction]])),ISNUMBER(SEARCH("s2ur", Table6[[#This Row],[instruction]]))), "special", "")</f>
        <v/>
      </c>
      <c r="S295" t="str">
        <f>IF(OR(ISNUMBER(SEARCH("stg", Table6[[#This Row],[instruction]])),ISNUMBER(SEARCH("ldg", Table6[[#This Row],[instruction]]))), "global", "")</f>
        <v/>
      </c>
      <c r="T295" t="str">
        <f>IF(OR(ISNUMBER(SEARCH("sts", Table6[[#This Row],[instruction]])),ISNUMBER(SEARCH("lds", Table6[[#This Row],[instruction]]))), "shared", "")</f>
        <v/>
      </c>
      <c r="U295" t="str">
        <f>IF(OR(ISNUMBER(SEARCH("LDC", Table6[[#This Row],[instruction]]))), "ind. const", "")</f>
        <v/>
      </c>
      <c r="V2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Row],[s5]]))),U295=""), "cmb. const", "")</f>
        <v>cmb. const</v>
      </c>
      <c r="W295" s="2" t="s">
        <v>481</v>
      </c>
      <c r="Y295">
        <f>IF(Table6[[#This Row],[pipeline]]="fma",Table6[[#This Row],[delay]],0)</f>
        <v>4</v>
      </c>
      <c r="Z295">
        <f>IF(AND(Table6[[#This Row],[pipeline]]="fma",W295="new"),290,0)</f>
        <v>0</v>
      </c>
      <c r="AK295" s="34"/>
    </row>
    <row r="296" spans="1:37" ht="17" x14ac:dyDescent="0.2">
      <c r="A296" s="31">
        <f>IF(Table6[[#This Row],[instruction]]&lt;&gt;"",MAX($A$6:A295)+1," ")</f>
        <v>291</v>
      </c>
      <c r="B296" s="32" t="s">
        <v>485</v>
      </c>
      <c r="C296" t="s">
        <v>26</v>
      </c>
      <c r="D296" s="31" t="s">
        <v>633</v>
      </c>
      <c r="E296" s="31" t="s">
        <v>23</v>
      </c>
      <c r="F296" s="31" t="s">
        <v>439</v>
      </c>
      <c r="G296" s="31" t="s">
        <v>502</v>
      </c>
      <c r="K296" s="2" t="str">
        <f t="shared" si="4"/>
        <v>alu</v>
      </c>
      <c r="L296" cm="1">
        <f t="array" ref="L2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296" t="str">
        <f>IF(OR(ISNUMBER(SEARCH("imad", Table6[[#This Row],[instruction]])), ISNUMBER(SEARCH("ffma", Table6[[#This Row],[instruction]])), ISNUMBER(SEARCH("fmul", Table6[[#This Row],[instruction]]))), "fma", "")</f>
        <v/>
      </c>
      <c r="P2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6" t="str">
        <f>IF(OR(ISNUMBER(SEARCH("s2r", Table6[[#This Row],[instruction]])),ISNUMBER(SEARCH("s2ur", Table6[[#This Row],[instruction]]))), "special", "")</f>
        <v/>
      </c>
      <c r="S296" t="str">
        <f>IF(OR(ISNUMBER(SEARCH("stg", Table6[[#This Row],[instruction]])),ISNUMBER(SEARCH("ldg", Table6[[#This Row],[instruction]]))), "global", "")</f>
        <v/>
      </c>
      <c r="T296" t="str">
        <f>IF(OR(ISNUMBER(SEARCH("sts", Table6[[#This Row],[instruction]])),ISNUMBER(SEARCH("lds", Table6[[#This Row],[instruction]]))), "shared", "")</f>
        <v/>
      </c>
      <c r="U296" t="str">
        <f>IF(OR(ISNUMBER(SEARCH("LDC", Table6[[#This Row],[instruction]]))), "ind. const", "")</f>
        <v/>
      </c>
      <c r="V2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Row],[s5]]))),U296=""), "cmb. const", "")</f>
        <v/>
      </c>
      <c r="Y296">
        <f>IF(Table6[[#This Row],[pipeline]]="fma",Table6[[#This Row],[delay]],0)</f>
        <v>0</v>
      </c>
      <c r="Z296">
        <f>IF(AND(Table6[[#This Row],[pipeline]]="fma",W296="new"),290,0)</f>
        <v>0</v>
      </c>
      <c r="AK296" s="34"/>
    </row>
    <row r="297" spans="1:37" ht="17" x14ac:dyDescent="0.2">
      <c r="A297" s="31">
        <f>IF(Table6[[#This Row],[instruction]]&lt;&gt;"",MAX($A$6:A296)+1," ")</f>
        <v>292</v>
      </c>
      <c r="B297" s="32" t="s">
        <v>580</v>
      </c>
      <c r="C297" t="s">
        <v>14</v>
      </c>
      <c r="D297" s="31" t="s">
        <v>84</v>
      </c>
      <c r="E297" s="31" t="s">
        <v>637</v>
      </c>
      <c r="F297" s="31" t="s">
        <v>549</v>
      </c>
      <c r="G297" s="31" t="s">
        <v>545</v>
      </c>
      <c r="K297" s="2" t="str">
        <f t="shared" si="4"/>
        <v>fma</v>
      </c>
      <c r="L297" cm="1">
        <f t="array" ref="L2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7" t="str">
        <f>IF(OR(ISNUMBER(SEARCH("imad", Table6[[#This Row],[instruction]])), ISNUMBER(SEARCH("ffma", Table6[[#This Row],[instruction]])), ISNUMBER(SEARCH("fmul", Table6[[#This Row],[instruction]]))), "fma", "")</f>
        <v>fma</v>
      </c>
      <c r="P2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7" t="str">
        <f>IF(OR(ISNUMBER(SEARCH("s2r", Table6[[#This Row],[instruction]])),ISNUMBER(SEARCH("s2ur", Table6[[#This Row],[instruction]]))), "special", "")</f>
        <v/>
      </c>
      <c r="S297" t="str">
        <f>IF(OR(ISNUMBER(SEARCH("stg", Table6[[#This Row],[instruction]])),ISNUMBER(SEARCH("ldg", Table6[[#This Row],[instruction]]))), "global", "")</f>
        <v/>
      </c>
      <c r="T297" t="str">
        <f>IF(OR(ISNUMBER(SEARCH("sts", Table6[[#This Row],[instruction]])),ISNUMBER(SEARCH("lds", Table6[[#This Row],[instruction]]))), "shared", "")</f>
        <v/>
      </c>
      <c r="U297" t="str">
        <f>IF(OR(ISNUMBER(SEARCH("LDC", Table6[[#This Row],[instruction]]))), "ind. const", "")</f>
        <v/>
      </c>
      <c r="V2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Row],[s5]]))),U297=""), "cmb. const", "")</f>
        <v>cmb. const</v>
      </c>
      <c r="W297" s="2" t="s">
        <v>481</v>
      </c>
      <c r="Y297">
        <f>IF(Table6[[#This Row],[pipeline]]="fma",Table6[[#This Row],[delay]],0)</f>
        <v>4</v>
      </c>
      <c r="Z297">
        <f>IF(AND(Table6[[#This Row],[pipeline]]="fma",W297="new"),290,0)</f>
        <v>0</v>
      </c>
      <c r="AK297" s="34"/>
    </row>
    <row r="298" spans="1:37" ht="17" x14ac:dyDescent="0.2">
      <c r="A298" s="31">
        <f>IF(Table6[[#This Row],[instruction]]&lt;&gt;"",MAX($A$6:A297)+1," ")</f>
        <v>293</v>
      </c>
      <c r="B298" s="32" t="s">
        <v>485</v>
      </c>
      <c r="C298" t="s">
        <v>49</v>
      </c>
      <c r="D298" s="31" t="s">
        <v>517</v>
      </c>
      <c r="E298" s="31" t="s">
        <v>51</v>
      </c>
      <c r="F298" s="31" t="s">
        <v>436</v>
      </c>
      <c r="G298" s="31" t="s">
        <v>442</v>
      </c>
      <c r="H298" s="31" t="s">
        <v>494</v>
      </c>
      <c r="K298" s="2" t="str">
        <f t="shared" si="4"/>
        <v>alu</v>
      </c>
      <c r="L298" cm="1">
        <f t="array" ref="L2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8" t="str">
        <f>IF(OR(ISNUMBER(SEARCH("imad", Table6[[#This Row],[instruction]])), ISNUMBER(SEARCH("ffma", Table6[[#This Row],[instruction]])), ISNUMBER(SEARCH("fmul", Table6[[#This Row],[instruction]]))), "fma", "")</f>
        <v/>
      </c>
      <c r="P2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2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8" t="str">
        <f>IF(OR(ISNUMBER(SEARCH("s2r", Table6[[#This Row],[instruction]])),ISNUMBER(SEARCH("s2ur", Table6[[#This Row],[instruction]]))), "special", "")</f>
        <v/>
      </c>
      <c r="S298" t="str">
        <f>IF(OR(ISNUMBER(SEARCH("stg", Table6[[#This Row],[instruction]])),ISNUMBER(SEARCH("ldg", Table6[[#This Row],[instruction]]))), "global", "")</f>
        <v/>
      </c>
      <c r="T298" t="str">
        <f>IF(OR(ISNUMBER(SEARCH("sts", Table6[[#This Row],[instruction]])),ISNUMBER(SEARCH("lds", Table6[[#This Row],[instruction]]))), "shared", "")</f>
        <v/>
      </c>
      <c r="U298" t="str">
        <f>IF(OR(ISNUMBER(SEARCH("LDC", Table6[[#This Row],[instruction]]))), "ind. const", "")</f>
        <v/>
      </c>
      <c r="V2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Row],[s5]]))),U298=""), "cmb. const", "")</f>
        <v>cmb. const</v>
      </c>
      <c r="W298" s="2" t="s">
        <v>481</v>
      </c>
      <c r="Y298">
        <f>IF(Table6[[#This Row],[pipeline]]="fma",Table6[[#This Row],[delay]],0)</f>
        <v>0</v>
      </c>
      <c r="Z298">
        <f>IF(AND(Table6[[#This Row],[pipeline]]="fma",W298="new"),290,0)</f>
        <v>0</v>
      </c>
      <c r="AK298" s="34"/>
    </row>
    <row r="299" spans="1:37" ht="17" x14ac:dyDescent="0.2">
      <c r="A299" s="31">
        <f>IF(Table6[[#This Row],[instruction]]&lt;&gt;"",MAX($A$6:A298)+1," ")</f>
        <v>294</v>
      </c>
      <c r="B299" s="32" t="s">
        <v>644</v>
      </c>
      <c r="C299" t="s">
        <v>14</v>
      </c>
      <c r="D299" s="31" t="s">
        <v>447</v>
      </c>
      <c r="E299" s="31" t="s">
        <v>58</v>
      </c>
      <c r="F299" s="31" t="s">
        <v>422</v>
      </c>
      <c r="G299" s="31" t="s">
        <v>540</v>
      </c>
      <c r="K299" s="2" t="str">
        <f t="shared" si="4"/>
        <v>fma</v>
      </c>
      <c r="L299" cm="1">
        <f t="array" ref="L2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299" t="str">
        <f>IF(OR(ISNUMBER(SEARCH("imad", Table6[[#This Row],[instruction]])), ISNUMBER(SEARCH("ffma", Table6[[#This Row],[instruction]])), ISNUMBER(SEARCH("fmul", Table6[[#This Row],[instruction]]))), "fma", "")</f>
        <v>fma</v>
      </c>
      <c r="P2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2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299" t="str">
        <f>IF(OR(ISNUMBER(SEARCH("s2r", Table6[[#This Row],[instruction]])),ISNUMBER(SEARCH("s2ur", Table6[[#This Row],[instruction]]))), "special", "")</f>
        <v/>
      </c>
      <c r="S299" t="str">
        <f>IF(OR(ISNUMBER(SEARCH("stg", Table6[[#This Row],[instruction]])),ISNUMBER(SEARCH("ldg", Table6[[#This Row],[instruction]]))), "global", "")</f>
        <v/>
      </c>
      <c r="T299" t="str">
        <f>IF(OR(ISNUMBER(SEARCH("sts", Table6[[#This Row],[instruction]])),ISNUMBER(SEARCH("lds", Table6[[#This Row],[instruction]]))), "shared", "")</f>
        <v/>
      </c>
      <c r="U299" t="str">
        <f>IF(OR(ISNUMBER(SEARCH("LDC", Table6[[#This Row],[instruction]]))), "ind. const", "")</f>
        <v/>
      </c>
      <c r="V2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Row],[s5]]))),U299=""), "cmb. const", "")</f>
        <v>cmb. const</v>
      </c>
      <c r="W299" s="2" t="s">
        <v>481</v>
      </c>
      <c r="Y299">
        <f>IF(Table6[[#This Row],[pipeline]]="fma",Table6[[#This Row],[delay]],0)</f>
        <v>4</v>
      </c>
      <c r="Z299">
        <f>IF(AND(Table6[[#This Row],[pipeline]]="fma",W299="new"),290,0)</f>
        <v>0</v>
      </c>
      <c r="AK299" s="34"/>
    </row>
    <row r="300" spans="1:37" ht="17" x14ac:dyDescent="0.2">
      <c r="A300" s="31">
        <f>IF(Table6[[#This Row],[instruction]]&lt;&gt;"",MAX($A$6:A299)+1," ")</f>
        <v>295</v>
      </c>
      <c r="B300" s="32" t="s">
        <v>485</v>
      </c>
      <c r="C300" t="s">
        <v>6</v>
      </c>
      <c r="D300" s="31" t="s">
        <v>27</v>
      </c>
      <c r="E300" s="31" t="e" cm="1">
        <f t="array" ref="E300">-RZ</f>
        <v>#NAME?</v>
      </c>
      <c r="F300" s="31" t="s">
        <v>8</v>
      </c>
      <c r="G300" s="31">
        <v>0</v>
      </c>
      <c r="H300" s="31" t="s">
        <v>525</v>
      </c>
      <c r="K300" s="2" t="s">
        <v>40</v>
      </c>
      <c r="L300">
        <v>8</v>
      </c>
      <c r="M300" t="s">
        <v>807</v>
      </c>
      <c r="O300" t="str">
        <f>IF(OR(ISNUMBER(SEARCH("imad", Table6[[#This Row],[instruction]])), ISNUMBER(SEARCH("ffma", Table6[[#This Row],[instruction]])), ISNUMBER(SEARCH("fmul", Table6[[#This Row],[instruction]]))), "fma", "")</f>
        <v/>
      </c>
      <c r="P3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0" t="str">
        <f>IF(OR(ISNUMBER(SEARCH("s2r", Table6[[#This Row],[instruction]])),ISNUMBER(SEARCH("s2ur", Table6[[#This Row],[instruction]]))), "special", "")</f>
        <v/>
      </c>
      <c r="S300" t="str">
        <f>IF(OR(ISNUMBER(SEARCH("stg", Table6[[#This Row],[instruction]])),ISNUMBER(SEARCH("ldg", Table6[[#This Row],[instruction]]))), "global", "")</f>
        <v/>
      </c>
      <c r="T300" t="str">
        <f>IF(OR(ISNUMBER(SEARCH("sts", Table6[[#This Row],[instruction]])),ISNUMBER(SEARCH("lds", Table6[[#This Row],[instruction]]))), "shared", "")</f>
        <v/>
      </c>
      <c r="U300" t="str">
        <f>IF(OR(ISNUMBER(SEARCH("LDC", Table6[[#This Row],[instruction]]))), "ind. const", "")</f>
        <v/>
      </c>
      <c r="V3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Row],[s5]]))),U300=""), "cmb. const", "")</f>
        <v/>
      </c>
      <c r="Y300">
        <f>IF(Table6[[#This Row],[pipeline]]="fma",Table6[[#This Row],[delay]],0)</f>
        <v>0</v>
      </c>
      <c r="Z300">
        <f>IF(AND(Table6[[#This Row],[pipeline]]="fma",W300="new"),290,0)</f>
        <v>0</v>
      </c>
      <c r="AK300" s="34"/>
    </row>
    <row r="301" spans="1:37" ht="17" x14ac:dyDescent="0.2">
      <c r="A301" s="31">
        <f>IF(Table6[[#This Row],[instruction]]&lt;&gt;"",MAX($A$6:A300)+1," ")</f>
        <v>296</v>
      </c>
      <c r="B301" s="32" t="s">
        <v>485</v>
      </c>
      <c r="C301" t="s">
        <v>26</v>
      </c>
      <c r="D301" s="31" t="s">
        <v>436</v>
      </c>
      <c r="E301" s="31" t="s">
        <v>19</v>
      </c>
      <c r="F301" s="31" t="s">
        <v>567</v>
      </c>
      <c r="G301" s="31" t="s">
        <v>502</v>
      </c>
      <c r="K301" s="2" t="str">
        <f t="shared" si="4"/>
        <v>alu</v>
      </c>
      <c r="L301" cm="1">
        <f t="array" ref="L3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01" t="str">
        <f>IF(OR(ISNUMBER(SEARCH("imad", Table6[[#This Row],[instruction]])), ISNUMBER(SEARCH("ffma", Table6[[#This Row],[instruction]])), ISNUMBER(SEARCH("fmul", Table6[[#This Row],[instruction]]))), "fma", "")</f>
        <v/>
      </c>
      <c r="P3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1" t="str">
        <f>IF(OR(ISNUMBER(SEARCH("s2r", Table6[[#This Row],[instruction]])),ISNUMBER(SEARCH("s2ur", Table6[[#This Row],[instruction]]))), "special", "")</f>
        <v/>
      </c>
      <c r="S301" t="str">
        <f>IF(OR(ISNUMBER(SEARCH("stg", Table6[[#This Row],[instruction]])),ISNUMBER(SEARCH("ldg", Table6[[#This Row],[instruction]]))), "global", "")</f>
        <v/>
      </c>
      <c r="T301" t="str">
        <f>IF(OR(ISNUMBER(SEARCH("sts", Table6[[#This Row],[instruction]])),ISNUMBER(SEARCH("lds", Table6[[#This Row],[instruction]]))), "shared", "")</f>
        <v/>
      </c>
      <c r="U301" t="str">
        <f>IF(OR(ISNUMBER(SEARCH("LDC", Table6[[#This Row],[instruction]]))), "ind. const", "")</f>
        <v/>
      </c>
      <c r="V3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Row],[s5]]))),U301=""), "cmb. const", "")</f>
        <v/>
      </c>
      <c r="Y301">
        <f>IF(Table6[[#This Row],[pipeline]]="fma",Table6[[#This Row],[delay]],0)</f>
        <v>0</v>
      </c>
      <c r="Z301">
        <f>IF(AND(Table6[[#This Row],[pipeline]]="fma",W301="new"),290,0)</f>
        <v>0</v>
      </c>
      <c r="AK301" s="34"/>
    </row>
    <row r="302" spans="1:37" ht="17" x14ac:dyDescent="0.2">
      <c r="A302" s="31">
        <f>IF(Table6[[#This Row],[instruction]]&lt;&gt;"",MAX($A$6:A301)+1," ")</f>
        <v>297</v>
      </c>
      <c r="B302" s="32" t="s">
        <v>582</v>
      </c>
      <c r="C302" t="s">
        <v>14</v>
      </c>
      <c r="D302" s="31" t="s">
        <v>58</v>
      </c>
      <c r="E302" s="31" t="s">
        <v>17</v>
      </c>
      <c r="F302" s="31" t="s">
        <v>417</v>
      </c>
      <c r="G302" s="31" t="s">
        <v>631</v>
      </c>
      <c r="K302" s="2" t="str">
        <f t="shared" si="4"/>
        <v>fma</v>
      </c>
      <c r="L302" cm="1">
        <f t="array" ref="L3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2" t="str">
        <f>IF(OR(ISNUMBER(SEARCH("imad", Table6[[#This Row],[instruction]])), ISNUMBER(SEARCH("ffma", Table6[[#This Row],[instruction]])), ISNUMBER(SEARCH("fmul", Table6[[#This Row],[instruction]]))), "fma", "")</f>
        <v>fma</v>
      </c>
      <c r="P3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2" t="str">
        <f>IF(OR(ISNUMBER(SEARCH("s2r", Table6[[#This Row],[instruction]])),ISNUMBER(SEARCH("s2ur", Table6[[#This Row],[instruction]]))), "special", "")</f>
        <v/>
      </c>
      <c r="S302" t="str">
        <f>IF(OR(ISNUMBER(SEARCH("stg", Table6[[#This Row],[instruction]])),ISNUMBER(SEARCH("ldg", Table6[[#This Row],[instruction]]))), "global", "")</f>
        <v/>
      </c>
      <c r="T302" t="str">
        <f>IF(OR(ISNUMBER(SEARCH("sts", Table6[[#This Row],[instruction]])),ISNUMBER(SEARCH("lds", Table6[[#This Row],[instruction]]))), "shared", "")</f>
        <v/>
      </c>
      <c r="U302" t="str">
        <f>IF(OR(ISNUMBER(SEARCH("LDC", Table6[[#This Row],[instruction]]))), "ind. const", "")</f>
        <v/>
      </c>
      <c r="V3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Row],[s5]]))),U302=""), "cmb. const", "")</f>
        <v>cmb. const</v>
      </c>
      <c r="W302" s="2" t="s">
        <v>481</v>
      </c>
      <c r="Y302">
        <f>IF(Table6[[#This Row],[pipeline]]="fma",Table6[[#This Row],[delay]],0)</f>
        <v>4</v>
      </c>
      <c r="Z302">
        <f>IF(AND(Table6[[#This Row],[pipeline]]="fma",W302="new"),290,0)</f>
        <v>0</v>
      </c>
      <c r="AK302" s="34"/>
    </row>
    <row r="303" spans="1:37" ht="17" x14ac:dyDescent="0.2">
      <c r="A303" s="31">
        <f>IF(Table6[[#This Row],[instruction]]&lt;&gt;"",MAX($A$6:A302)+1," ")</f>
        <v>298</v>
      </c>
      <c r="B303" s="32" t="s">
        <v>485</v>
      </c>
      <c r="C303" t="s">
        <v>87</v>
      </c>
      <c r="D303" s="31" t="s">
        <v>533</v>
      </c>
      <c r="E303" s="31" t="s">
        <v>51</v>
      </c>
      <c r="F303" s="31" t="s">
        <v>633</v>
      </c>
      <c r="G303" s="31" t="s">
        <v>414</v>
      </c>
      <c r="H303" s="31" t="s">
        <v>494</v>
      </c>
      <c r="K303" s="2" t="str">
        <f t="shared" si="4"/>
        <v>alu</v>
      </c>
      <c r="L303" cm="1">
        <f t="array" ref="L3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3" t="str">
        <f>IF(OR(ISNUMBER(SEARCH("imad", Table6[[#This Row],[instruction]])), ISNUMBER(SEARCH("ffma", Table6[[#This Row],[instruction]])), ISNUMBER(SEARCH("fmul", Table6[[#This Row],[instruction]]))), "fma", "")</f>
        <v/>
      </c>
      <c r="P3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3" t="str">
        <f>IF(OR(ISNUMBER(SEARCH("s2r", Table6[[#This Row],[instruction]])),ISNUMBER(SEARCH("s2ur", Table6[[#This Row],[instruction]]))), "special", "")</f>
        <v/>
      </c>
      <c r="S303" t="str">
        <f>IF(OR(ISNUMBER(SEARCH("stg", Table6[[#This Row],[instruction]])),ISNUMBER(SEARCH("ldg", Table6[[#This Row],[instruction]]))), "global", "")</f>
        <v/>
      </c>
      <c r="T303" t="str">
        <f>IF(OR(ISNUMBER(SEARCH("sts", Table6[[#This Row],[instruction]])),ISNUMBER(SEARCH("lds", Table6[[#This Row],[instruction]]))), "shared", "")</f>
        <v/>
      </c>
      <c r="U303" t="str">
        <f>IF(OR(ISNUMBER(SEARCH("LDC", Table6[[#This Row],[instruction]]))), "ind. const", "")</f>
        <v/>
      </c>
      <c r="V3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Row],[s5]]))),U303=""), "cmb. const", "")</f>
        <v>cmb. const</v>
      </c>
      <c r="W303" s="2" t="s">
        <v>481</v>
      </c>
      <c r="Y303">
        <f>IF(Table6[[#This Row],[pipeline]]="fma",Table6[[#This Row],[delay]],0)</f>
        <v>0</v>
      </c>
      <c r="Z303">
        <f>IF(AND(Table6[[#This Row],[pipeline]]="fma",W303="new"),290,0)</f>
        <v>0</v>
      </c>
      <c r="AK303" s="34"/>
    </row>
    <row r="304" spans="1:37" ht="17" x14ac:dyDescent="0.2">
      <c r="A304" s="31">
        <f>IF(Table6[[#This Row],[instruction]]&lt;&gt;"",MAX($A$6:A303)+1," ")</f>
        <v>299</v>
      </c>
      <c r="B304" s="32" t="s">
        <v>580</v>
      </c>
      <c r="C304" t="s">
        <v>45</v>
      </c>
      <c r="D304" s="31" t="s">
        <v>82</v>
      </c>
      <c r="E304" s="31" t="s">
        <v>8</v>
      </c>
      <c r="F304" s="31" t="s">
        <v>8</v>
      </c>
      <c r="G304" s="31" t="s">
        <v>548</v>
      </c>
      <c r="K304" s="2" t="str">
        <f t="shared" si="4"/>
        <v>fma</v>
      </c>
      <c r="L304" cm="1">
        <f t="array" ref="L3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4" t="str">
        <f>IF(OR(ISNUMBER(SEARCH("imad", Table6[[#This Row],[instruction]])), ISNUMBER(SEARCH("ffma", Table6[[#This Row],[instruction]])), ISNUMBER(SEARCH("fmul", Table6[[#This Row],[instruction]]))), "fma", "")</f>
        <v>fma</v>
      </c>
      <c r="P3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4" t="str">
        <f>IF(OR(ISNUMBER(SEARCH("s2r", Table6[[#This Row],[instruction]])),ISNUMBER(SEARCH("s2ur", Table6[[#This Row],[instruction]]))), "special", "")</f>
        <v/>
      </c>
      <c r="S304" t="str">
        <f>IF(OR(ISNUMBER(SEARCH("stg", Table6[[#This Row],[instruction]])),ISNUMBER(SEARCH("ldg", Table6[[#This Row],[instruction]]))), "global", "")</f>
        <v/>
      </c>
      <c r="T304" t="str">
        <f>IF(OR(ISNUMBER(SEARCH("sts", Table6[[#This Row],[instruction]])),ISNUMBER(SEARCH("lds", Table6[[#This Row],[instruction]]))), "shared", "")</f>
        <v/>
      </c>
      <c r="U304" t="str">
        <f>IF(OR(ISNUMBER(SEARCH("LDC", Table6[[#This Row],[instruction]]))), "ind. const", "")</f>
        <v/>
      </c>
      <c r="V3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Row],[s5]]))),U304=""), "cmb. const", "")</f>
        <v/>
      </c>
      <c r="Y304">
        <f>IF(Table6[[#This Row],[pipeline]]="fma",Table6[[#This Row],[delay]],0)</f>
        <v>4</v>
      </c>
      <c r="Z304">
        <f>IF(AND(Table6[[#This Row],[pipeline]]="fma",W304="new"),290,0)</f>
        <v>0</v>
      </c>
      <c r="AK304" s="34"/>
    </row>
    <row r="305" spans="1:37" ht="17" x14ac:dyDescent="0.2">
      <c r="A305" s="31">
        <f>IF(Table6[[#This Row],[instruction]]&lt;&gt;"",MAX($A$6:A304)+1," ")</f>
        <v>300</v>
      </c>
      <c r="B305" s="32" t="s">
        <v>485</v>
      </c>
      <c r="C305" t="s">
        <v>26</v>
      </c>
      <c r="D305" s="31" t="s">
        <v>439</v>
      </c>
      <c r="E305" s="31" t="s">
        <v>440</v>
      </c>
      <c r="F305" s="31" t="s">
        <v>56</v>
      </c>
      <c r="G305" s="31" t="s">
        <v>502</v>
      </c>
      <c r="K305" s="2" t="str">
        <f t="shared" si="4"/>
        <v>alu</v>
      </c>
      <c r="L305" cm="1">
        <f t="array" ref="L3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05" t="str">
        <f>IF(OR(ISNUMBER(SEARCH("imad", Table6[[#This Row],[instruction]])), ISNUMBER(SEARCH("ffma", Table6[[#This Row],[instruction]])), ISNUMBER(SEARCH("fmul", Table6[[#This Row],[instruction]]))), "fma", "")</f>
        <v/>
      </c>
      <c r="P3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5" t="str">
        <f>IF(OR(ISNUMBER(SEARCH("s2r", Table6[[#This Row],[instruction]])),ISNUMBER(SEARCH("s2ur", Table6[[#This Row],[instruction]]))), "special", "")</f>
        <v/>
      </c>
      <c r="S305" t="str">
        <f>IF(OR(ISNUMBER(SEARCH("stg", Table6[[#This Row],[instruction]])),ISNUMBER(SEARCH("ldg", Table6[[#This Row],[instruction]]))), "global", "")</f>
        <v/>
      </c>
      <c r="T305" t="str">
        <f>IF(OR(ISNUMBER(SEARCH("sts", Table6[[#This Row],[instruction]])),ISNUMBER(SEARCH("lds", Table6[[#This Row],[instruction]]))), "shared", "")</f>
        <v/>
      </c>
      <c r="U305" t="str">
        <f>IF(OR(ISNUMBER(SEARCH("LDC", Table6[[#This Row],[instruction]]))), "ind. const", "")</f>
        <v/>
      </c>
      <c r="V3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Row],[s5]]))),U305=""), "cmb. const", "")</f>
        <v/>
      </c>
      <c r="Y305">
        <f>IF(Table6[[#This Row],[pipeline]]="fma",Table6[[#This Row],[delay]],0)</f>
        <v>0</v>
      </c>
      <c r="Z305">
        <f>IF(AND(Table6[[#This Row],[pipeline]]="fma",W305="new"),290,0)</f>
        <v>0</v>
      </c>
      <c r="AK305" s="34"/>
    </row>
    <row r="306" spans="1:37" ht="17" x14ac:dyDescent="0.2">
      <c r="A306" s="31">
        <f>IF(Table6[[#This Row],[instruction]]&lt;&gt;"",MAX($A$6:A305)+1," ")</f>
        <v>301</v>
      </c>
      <c r="B306" s="32" t="s">
        <v>582</v>
      </c>
      <c r="C306" t="s">
        <v>14</v>
      </c>
      <c r="D306" s="31" t="s">
        <v>58</v>
      </c>
      <c r="E306" s="31" t="s">
        <v>7</v>
      </c>
      <c r="F306" s="31" t="s">
        <v>422</v>
      </c>
      <c r="G306" s="31" t="s">
        <v>503</v>
      </c>
      <c r="K306" s="2" t="str">
        <f t="shared" si="4"/>
        <v>fma</v>
      </c>
      <c r="L306" cm="1">
        <f t="array" ref="L3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6" t="str">
        <f>IF(OR(ISNUMBER(SEARCH("imad", Table6[[#This Row],[instruction]])), ISNUMBER(SEARCH("ffma", Table6[[#This Row],[instruction]])), ISNUMBER(SEARCH("fmul", Table6[[#This Row],[instruction]]))), "fma", "")</f>
        <v>fma</v>
      </c>
      <c r="P3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6" t="str">
        <f>IF(OR(ISNUMBER(SEARCH("s2r", Table6[[#This Row],[instruction]])),ISNUMBER(SEARCH("s2ur", Table6[[#This Row],[instruction]]))), "special", "")</f>
        <v/>
      </c>
      <c r="S306" t="str">
        <f>IF(OR(ISNUMBER(SEARCH("stg", Table6[[#This Row],[instruction]])),ISNUMBER(SEARCH("ldg", Table6[[#This Row],[instruction]]))), "global", "")</f>
        <v/>
      </c>
      <c r="T306" t="str">
        <f>IF(OR(ISNUMBER(SEARCH("sts", Table6[[#This Row],[instruction]])),ISNUMBER(SEARCH("lds", Table6[[#This Row],[instruction]]))), "shared", "")</f>
        <v/>
      </c>
      <c r="U306" t="str">
        <f>IF(OR(ISNUMBER(SEARCH("LDC", Table6[[#This Row],[instruction]]))), "ind. const", "")</f>
        <v/>
      </c>
      <c r="V3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Row],[s5]]))),U306=""), "cmb. const", "")</f>
        <v>cmb. const</v>
      </c>
      <c r="W306" s="2" t="s">
        <v>481</v>
      </c>
      <c r="Y306">
        <f>IF(Table6[[#This Row],[pipeline]]="fma",Table6[[#This Row],[delay]],0)</f>
        <v>4</v>
      </c>
      <c r="Z306">
        <f>IF(AND(Table6[[#This Row],[pipeline]]="fma",W306="new"),290,0)</f>
        <v>0</v>
      </c>
      <c r="AK306" s="34"/>
    </row>
    <row r="307" spans="1:37" ht="17" x14ac:dyDescent="0.2">
      <c r="A307" s="31">
        <f>IF(Table6[[#This Row],[instruction]]&lt;&gt;"",MAX($A$6:A306)+1," ")</f>
        <v>302</v>
      </c>
      <c r="B307" s="32" t="s">
        <v>644</v>
      </c>
      <c r="C307" t="s">
        <v>0</v>
      </c>
      <c r="D307" s="31" t="s">
        <v>7</v>
      </c>
      <c r="E307" s="31" t="s">
        <v>548</v>
      </c>
      <c r="K307" s="2" t="s">
        <v>95</v>
      </c>
      <c r="L307">
        <v>1</v>
      </c>
      <c r="O307" t="str">
        <f>IF(OR(ISNUMBER(SEARCH("imad", Table6[[#This Row],[instruction]])), ISNUMBER(SEARCH("ffma", Table6[[#This Row],[instruction]])), ISNUMBER(SEARCH("fmul", Table6[[#This Row],[instruction]]))), "fma", "")</f>
        <v/>
      </c>
      <c r="P3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7" t="str">
        <f>IF(OR(ISNUMBER(SEARCH("s2r", Table6[[#This Row],[instruction]])),ISNUMBER(SEARCH("s2ur", Table6[[#This Row],[instruction]]))), "special", "")</f>
        <v/>
      </c>
      <c r="S307" t="str">
        <f>IF(OR(ISNUMBER(SEARCH("stg", Table6[[#This Row],[instruction]])),ISNUMBER(SEARCH("ldg", Table6[[#This Row],[instruction]]))), "global", "")</f>
        <v/>
      </c>
      <c r="T307" t="str">
        <f>IF(OR(ISNUMBER(SEARCH("sts", Table6[[#This Row],[instruction]])),ISNUMBER(SEARCH("lds", Table6[[#This Row],[instruction]]))), "shared", "")</f>
        <v/>
      </c>
      <c r="U307" t="str">
        <f>IF(OR(ISNUMBER(SEARCH("LDC", Table6[[#This Row],[instruction]]))), "ind. const", "")</f>
        <v/>
      </c>
      <c r="V3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Row],[s5]]))),U307=""), "cmb. const", "")</f>
        <v/>
      </c>
      <c r="Y307">
        <f>IF(Table6[[#This Row],[pipeline]]="fma",Table6[[#This Row],[delay]],0)</f>
        <v>0</v>
      </c>
      <c r="Z307">
        <f>IF(AND(Table6[[#This Row],[pipeline]]="fma",W307="new"),290,0)</f>
        <v>0</v>
      </c>
      <c r="AK307" s="34"/>
    </row>
    <row r="308" spans="1:37" ht="17" x14ac:dyDescent="0.2">
      <c r="A308" s="31">
        <f>IF(Table6[[#This Row],[instruction]]&lt;&gt;"",MAX($A$6:A307)+1," ")</f>
        <v>303</v>
      </c>
      <c r="B308" s="32" t="s">
        <v>580</v>
      </c>
      <c r="C308" t="s">
        <v>54</v>
      </c>
      <c r="D308" s="31" t="s">
        <v>84</v>
      </c>
      <c r="E308" s="31" t="s">
        <v>84</v>
      </c>
      <c r="F308" s="31" t="s">
        <v>82</v>
      </c>
      <c r="G308" s="31" t="s">
        <v>550</v>
      </c>
      <c r="K308" s="2" t="str">
        <f t="shared" si="4"/>
        <v>fma</v>
      </c>
      <c r="L308" cm="1">
        <f t="array" ref="L3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8" t="str">
        <f>IF(OR(ISNUMBER(SEARCH("imad", Table6[[#This Row],[instruction]])), ISNUMBER(SEARCH("ffma", Table6[[#This Row],[instruction]])), ISNUMBER(SEARCH("fmul", Table6[[#This Row],[instruction]]))), "fma", "")</f>
        <v>fma</v>
      </c>
      <c r="P3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8" t="str">
        <f>IF(OR(ISNUMBER(SEARCH("s2r", Table6[[#This Row],[instruction]])),ISNUMBER(SEARCH("s2ur", Table6[[#This Row],[instruction]]))), "special", "")</f>
        <v/>
      </c>
      <c r="S308" t="str">
        <f>IF(OR(ISNUMBER(SEARCH("stg", Table6[[#This Row],[instruction]])),ISNUMBER(SEARCH("ldg", Table6[[#This Row],[instruction]]))), "global", "")</f>
        <v/>
      </c>
      <c r="T308" t="str">
        <f>IF(OR(ISNUMBER(SEARCH("sts", Table6[[#This Row],[instruction]])),ISNUMBER(SEARCH("lds", Table6[[#This Row],[instruction]]))), "shared", "")</f>
        <v/>
      </c>
      <c r="U308" t="str">
        <f>IF(OR(ISNUMBER(SEARCH("LDC", Table6[[#This Row],[instruction]]))), "ind. const", "")</f>
        <v/>
      </c>
      <c r="V3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Row],[s5]]))),U308=""), "cmb. const", "")</f>
        <v>cmb. const</v>
      </c>
      <c r="W308" s="2" t="s">
        <v>481</v>
      </c>
      <c r="Y308">
        <f>IF(Table6[[#This Row],[pipeline]]="fma",Table6[[#This Row],[delay]],0)</f>
        <v>4</v>
      </c>
      <c r="Z308">
        <f>IF(AND(Table6[[#This Row],[pipeline]]="fma",W308="new"),290,0)</f>
        <v>0</v>
      </c>
      <c r="AK308" s="34"/>
    </row>
    <row r="309" spans="1:37" ht="17" x14ac:dyDescent="0.2">
      <c r="A309" s="31">
        <f>IF(Table6[[#This Row],[instruction]]&lt;&gt;"",MAX($A$6:A308)+1," ")</f>
        <v>304</v>
      </c>
      <c r="B309" s="32" t="s">
        <v>485</v>
      </c>
      <c r="C309" t="s">
        <v>547</v>
      </c>
      <c r="D309" s="31" t="s">
        <v>533</v>
      </c>
      <c r="E309" s="31" t="s">
        <v>51</v>
      </c>
      <c r="F309" s="31" t="s">
        <v>436</v>
      </c>
      <c r="G309" s="31" t="s">
        <v>413</v>
      </c>
      <c r="H309" s="31" t="s">
        <v>645</v>
      </c>
      <c r="K309" s="2" t="str">
        <f t="shared" si="4"/>
        <v>alu</v>
      </c>
      <c r="L309" cm="1">
        <f t="array" ref="L3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09" t="str">
        <f>IF(OR(ISNUMBER(SEARCH("imad", Table6[[#This Row],[instruction]])), ISNUMBER(SEARCH("ffma", Table6[[#This Row],[instruction]])), ISNUMBER(SEARCH("fmul", Table6[[#This Row],[instruction]]))), "fma", "")</f>
        <v/>
      </c>
      <c r="P3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09" t="str">
        <f>IF(OR(ISNUMBER(SEARCH("s2r", Table6[[#This Row],[instruction]])),ISNUMBER(SEARCH("s2ur", Table6[[#This Row],[instruction]]))), "special", "")</f>
        <v/>
      </c>
      <c r="S309" t="str">
        <f>IF(OR(ISNUMBER(SEARCH("stg", Table6[[#This Row],[instruction]])),ISNUMBER(SEARCH("ldg", Table6[[#This Row],[instruction]]))), "global", "")</f>
        <v/>
      </c>
      <c r="T309" t="str">
        <f>IF(OR(ISNUMBER(SEARCH("sts", Table6[[#This Row],[instruction]])),ISNUMBER(SEARCH("lds", Table6[[#This Row],[instruction]]))), "shared", "")</f>
        <v/>
      </c>
      <c r="U309" t="str">
        <f>IF(OR(ISNUMBER(SEARCH("LDC", Table6[[#This Row],[instruction]]))), "ind. const", "")</f>
        <v/>
      </c>
      <c r="V3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Row],[s5]]))),U309=""), "cmb. const", "")</f>
        <v>cmb. const</v>
      </c>
      <c r="W309" s="2" t="s">
        <v>481</v>
      </c>
      <c r="Y309">
        <f>IF(Table6[[#This Row],[pipeline]]="fma",Table6[[#This Row],[delay]],0)</f>
        <v>0</v>
      </c>
      <c r="Z309">
        <f>IF(AND(Table6[[#This Row],[pipeline]]="fma",W309="new"),290,0)</f>
        <v>0</v>
      </c>
      <c r="AK309" s="34"/>
    </row>
    <row r="310" spans="1:37" ht="17" x14ac:dyDescent="0.2">
      <c r="A310" s="31">
        <f>IF(Table6[[#This Row],[instruction]]&lt;&gt;"",MAX($A$6:A309)+1," ")</f>
        <v>305</v>
      </c>
      <c r="B310" s="32" t="s">
        <v>485</v>
      </c>
      <c r="C310" t="s">
        <v>49</v>
      </c>
      <c r="D310" s="31" t="s">
        <v>646</v>
      </c>
      <c r="E310" s="31" t="s">
        <v>51</v>
      </c>
      <c r="F310" s="31" t="s">
        <v>439</v>
      </c>
      <c r="G310" s="31" t="s">
        <v>442</v>
      </c>
      <c r="H310" s="31" t="s">
        <v>494</v>
      </c>
      <c r="K310" s="2" t="str">
        <f t="shared" si="4"/>
        <v>alu</v>
      </c>
      <c r="L310" cm="1">
        <f t="array" ref="L3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0" t="str">
        <f>IF(OR(ISNUMBER(SEARCH("imad", Table6[[#This Row],[instruction]])), ISNUMBER(SEARCH("ffma", Table6[[#This Row],[instruction]])), ISNUMBER(SEARCH("fmul", Table6[[#This Row],[instruction]]))), "fma", "")</f>
        <v/>
      </c>
      <c r="P3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0" t="str">
        <f>IF(OR(ISNUMBER(SEARCH("s2r", Table6[[#This Row],[instruction]])),ISNUMBER(SEARCH("s2ur", Table6[[#This Row],[instruction]]))), "special", "")</f>
        <v/>
      </c>
      <c r="S310" t="str">
        <f>IF(OR(ISNUMBER(SEARCH("stg", Table6[[#This Row],[instruction]])),ISNUMBER(SEARCH("ldg", Table6[[#This Row],[instruction]]))), "global", "")</f>
        <v/>
      </c>
      <c r="T310" t="str">
        <f>IF(OR(ISNUMBER(SEARCH("sts", Table6[[#This Row],[instruction]])),ISNUMBER(SEARCH("lds", Table6[[#This Row],[instruction]]))), "shared", "")</f>
        <v/>
      </c>
      <c r="U310" t="str">
        <f>IF(OR(ISNUMBER(SEARCH("LDC", Table6[[#This Row],[instruction]]))), "ind. const", "")</f>
        <v/>
      </c>
      <c r="V3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Row],[s5]]))),U310=""), "cmb. const", "")</f>
        <v>cmb. const</v>
      </c>
      <c r="W310" s="2" t="s">
        <v>481</v>
      </c>
      <c r="Y310">
        <f>IF(Table6[[#This Row],[pipeline]]="fma",Table6[[#This Row],[delay]],0)</f>
        <v>0</v>
      </c>
      <c r="Z310">
        <f>IF(AND(Table6[[#This Row],[pipeline]]="fma",W310="new"),290,0)</f>
        <v>0</v>
      </c>
      <c r="AK310" s="34"/>
    </row>
    <row r="311" spans="1:37" ht="17" x14ac:dyDescent="0.2">
      <c r="A311" s="31">
        <f>IF(Table6[[#This Row],[instruction]]&lt;&gt;"",MAX($A$6:A310)+1," ")</f>
        <v>306</v>
      </c>
      <c r="B311" s="32" t="s">
        <v>644</v>
      </c>
      <c r="C311" t="s">
        <v>14</v>
      </c>
      <c r="D311" s="31" t="s">
        <v>430</v>
      </c>
      <c r="E311" s="31" t="s">
        <v>430</v>
      </c>
      <c r="F311" s="31" t="s">
        <v>549</v>
      </c>
      <c r="G311" s="31" t="s">
        <v>563</v>
      </c>
      <c r="K311" s="2" t="str">
        <f t="shared" si="4"/>
        <v>fma</v>
      </c>
      <c r="L311" cm="1">
        <f t="array" ref="L3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1" t="str">
        <f>IF(OR(ISNUMBER(SEARCH("imad", Table6[[#This Row],[instruction]])), ISNUMBER(SEARCH("ffma", Table6[[#This Row],[instruction]])), ISNUMBER(SEARCH("fmul", Table6[[#This Row],[instruction]]))), "fma", "")</f>
        <v>fma</v>
      </c>
      <c r="P3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1" t="str">
        <f>IF(OR(ISNUMBER(SEARCH("s2r", Table6[[#This Row],[instruction]])),ISNUMBER(SEARCH("s2ur", Table6[[#This Row],[instruction]]))), "special", "")</f>
        <v/>
      </c>
      <c r="S311" t="str">
        <f>IF(OR(ISNUMBER(SEARCH("stg", Table6[[#This Row],[instruction]])),ISNUMBER(SEARCH("ldg", Table6[[#This Row],[instruction]]))), "global", "")</f>
        <v/>
      </c>
      <c r="T311" t="str">
        <f>IF(OR(ISNUMBER(SEARCH("sts", Table6[[#This Row],[instruction]])),ISNUMBER(SEARCH("lds", Table6[[#This Row],[instruction]]))), "shared", "")</f>
        <v/>
      </c>
      <c r="U311" t="str">
        <f>IF(OR(ISNUMBER(SEARCH("LDC", Table6[[#This Row],[instruction]]))), "ind. const", "")</f>
        <v/>
      </c>
      <c r="V3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Row],[s5]]))),U311=""), "cmb. const", "")</f>
        <v>cmb. const</v>
      </c>
      <c r="W311" s="2" t="s">
        <v>481</v>
      </c>
      <c r="Y311">
        <f>IF(Table6[[#This Row],[pipeline]]="fma",Table6[[#This Row],[delay]],0)</f>
        <v>4</v>
      </c>
      <c r="Z311">
        <f>IF(AND(Table6[[#This Row],[pipeline]]="fma",W311="new"),290,0)</f>
        <v>0</v>
      </c>
      <c r="AK311" s="34"/>
    </row>
    <row r="312" spans="1:37" ht="17" x14ac:dyDescent="0.2">
      <c r="A312" s="31">
        <f>IF(Table6[[#This Row],[instruction]]&lt;&gt;"",MAX($A$6:A311)+1," ")</f>
        <v>307</v>
      </c>
      <c r="B312" s="32" t="s">
        <v>580</v>
      </c>
      <c r="C312" t="s">
        <v>444</v>
      </c>
      <c r="D312" s="31" t="s">
        <v>27</v>
      </c>
      <c r="E312" s="31" t="s">
        <v>587</v>
      </c>
      <c r="K312" s="2" t="str">
        <f t="shared" si="4"/>
        <v>global</v>
      </c>
      <c r="L312" cm="1">
        <f t="array" ref="L3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12" t="str">
        <f>IF(OR(ISNUMBER(SEARCH("imad", Table6[[#This Row],[instruction]])), ISNUMBER(SEARCH("ffma", Table6[[#This Row],[instruction]])), ISNUMBER(SEARCH("fmul", Table6[[#This Row],[instruction]]))), "fma", "")</f>
        <v/>
      </c>
      <c r="P3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2" t="str">
        <f>IF(OR(ISNUMBER(SEARCH("s2r", Table6[[#This Row],[instruction]])),ISNUMBER(SEARCH("s2ur", Table6[[#This Row],[instruction]]))), "special", "")</f>
        <v/>
      </c>
      <c r="S312" t="str">
        <f>IF(OR(ISNUMBER(SEARCH("stg", Table6[[#This Row],[instruction]])),ISNUMBER(SEARCH("ldg", Table6[[#This Row],[instruction]]))), "global", "")</f>
        <v>global</v>
      </c>
      <c r="T312" t="str">
        <f>IF(OR(ISNUMBER(SEARCH("sts", Table6[[#This Row],[instruction]])),ISNUMBER(SEARCH("lds", Table6[[#This Row],[instruction]]))), "shared", "")</f>
        <v/>
      </c>
      <c r="U312" t="str">
        <f>IF(OR(ISNUMBER(SEARCH("LDC", Table6[[#This Row],[instruction]]))), "ind. const", "")</f>
        <v/>
      </c>
      <c r="V3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Row],[s5]]))),U312=""), "cmb. const", "")</f>
        <v/>
      </c>
      <c r="Y312">
        <f>IF(Table6[[#This Row],[pipeline]]="fma",Table6[[#This Row],[delay]],0)</f>
        <v>0</v>
      </c>
      <c r="Z312">
        <f>IF(AND(Table6[[#This Row],[pipeline]]="fma",W312="new"),290,0)</f>
        <v>0</v>
      </c>
      <c r="AK312" s="34"/>
    </row>
    <row r="313" spans="1:37" ht="17" x14ac:dyDescent="0.2">
      <c r="A313" s="31">
        <f>IF(Table6[[#This Row],[instruction]]&lt;&gt;"",MAX($A$6:A312)+1," ")</f>
        <v>308</v>
      </c>
      <c r="B313" s="32" t="s">
        <v>582</v>
      </c>
      <c r="C313" t="s">
        <v>14</v>
      </c>
      <c r="D313" s="31" t="s">
        <v>439</v>
      </c>
      <c r="E313" s="31" t="s">
        <v>71</v>
      </c>
      <c r="F313" s="31" t="s">
        <v>549</v>
      </c>
      <c r="G313" s="31" t="s">
        <v>503</v>
      </c>
      <c r="K313" s="2" t="str">
        <f t="shared" si="4"/>
        <v>fma</v>
      </c>
      <c r="L313" cm="1">
        <f t="array" ref="L3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3" t="str">
        <f>IF(OR(ISNUMBER(SEARCH("imad", Table6[[#This Row],[instruction]])), ISNUMBER(SEARCH("ffma", Table6[[#This Row],[instruction]])), ISNUMBER(SEARCH("fmul", Table6[[#This Row],[instruction]]))), "fma", "")</f>
        <v>fma</v>
      </c>
      <c r="P3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3" t="str">
        <f>IF(OR(ISNUMBER(SEARCH("s2r", Table6[[#This Row],[instruction]])),ISNUMBER(SEARCH("s2ur", Table6[[#This Row],[instruction]]))), "special", "")</f>
        <v/>
      </c>
      <c r="S313" t="str">
        <f>IF(OR(ISNUMBER(SEARCH("stg", Table6[[#This Row],[instruction]])),ISNUMBER(SEARCH("ldg", Table6[[#This Row],[instruction]]))), "global", "")</f>
        <v/>
      </c>
      <c r="T313" t="str">
        <f>IF(OR(ISNUMBER(SEARCH("sts", Table6[[#This Row],[instruction]])),ISNUMBER(SEARCH("lds", Table6[[#This Row],[instruction]]))), "shared", "")</f>
        <v/>
      </c>
      <c r="U313" t="str">
        <f>IF(OR(ISNUMBER(SEARCH("LDC", Table6[[#This Row],[instruction]]))), "ind. const", "")</f>
        <v/>
      </c>
      <c r="V3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Row],[s5]]))),U313=""), "cmb. const", "")</f>
        <v>cmb. const</v>
      </c>
      <c r="W313" s="2" t="s">
        <v>481</v>
      </c>
      <c r="Y313">
        <f>IF(Table6[[#This Row],[pipeline]]="fma",Table6[[#This Row],[delay]],0)</f>
        <v>4</v>
      </c>
      <c r="Z313">
        <f>IF(AND(Table6[[#This Row],[pipeline]]="fma",W313="new"),290,0)</f>
        <v>0</v>
      </c>
      <c r="AK313" s="34"/>
    </row>
    <row r="314" spans="1:37" ht="17" x14ac:dyDescent="0.2">
      <c r="A314" s="31">
        <f>IF(Table6[[#This Row],[instruction]]&lt;&gt;"",MAX($A$6:A313)+1," ")</f>
        <v>309</v>
      </c>
      <c r="B314" s="32" t="s">
        <v>485</v>
      </c>
      <c r="C314" t="s">
        <v>45</v>
      </c>
      <c r="D314" s="31" t="s">
        <v>58</v>
      </c>
      <c r="E314" s="31" t="s">
        <v>8</v>
      </c>
      <c r="F314" s="31" t="s">
        <v>8</v>
      </c>
      <c r="G314" s="31" t="s">
        <v>502</v>
      </c>
      <c r="K314" s="2" t="str">
        <f t="shared" si="4"/>
        <v>fma</v>
      </c>
      <c r="L314" cm="1">
        <f t="array" ref="L3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4" t="str">
        <f>IF(OR(ISNUMBER(SEARCH("imad", Table6[[#This Row],[instruction]])), ISNUMBER(SEARCH("ffma", Table6[[#This Row],[instruction]])), ISNUMBER(SEARCH("fmul", Table6[[#This Row],[instruction]]))), "fma", "")</f>
        <v>fma</v>
      </c>
      <c r="P3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4" t="str">
        <f>IF(OR(ISNUMBER(SEARCH("s2r", Table6[[#This Row],[instruction]])),ISNUMBER(SEARCH("s2ur", Table6[[#This Row],[instruction]]))), "special", "")</f>
        <v/>
      </c>
      <c r="S314" t="str">
        <f>IF(OR(ISNUMBER(SEARCH("stg", Table6[[#This Row],[instruction]])),ISNUMBER(SEARCH("ldg", Table6[[#This Row],[instruction]]))), "global", "")</f>
        <v/>
      </c>
      <c r="T314" t="str">
        <f>IF(OR(ISNUMBER(SEARCH("sts", Table6[[#This Row],[instruction]])),ISNUMBER(SEARCH("lds", Table6[[#This Row],[instruction]]))), "shared", "")</f>
        <v/>
      </c>
      <c r="U314" t="str">
        <f>IF(OR(ISNUMBER(SEARCH("LDC", Table6[[#This Row],[instruction]]))), "ind. const", "")</f>
        <v/>
      </c>
      <c r="V3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Row],[s5]]))),U314=""), "cmb. const", "")</f>
        <v/>
      </c>
      <c r="Y314">
        <f>IF(Table6[[#This Row],[pipeline]]="fma",Table6[[#This Row],[delay]],0)</f>
        <v>4</v>
      </c>
      <c r="Z314">
        <f>IF(AND(Table6[[#This Row],[pipeline]]="fma",W314="new"),290,0)</f>
        <v>0</v>
      </c>
      <c r="AK314" s="34"/>
    </row>
    <row r="315" spans="1:37" ht="17" x14ac:dyDescent="0.2">
      <c r="A315" s="31">
        <f>IF(Table6[[#This Row],[instruction]]&lt;&gt;"",MAX($A$6:A314)+1," ")</f>
        <v>310</v>
      </c>
      <c r="B315" s="32" t="s">
        <v>485</v>
      </c>
      <c r="C315" t="s">
        <v>49</v>
      </c>
      <c r="D315" s="31" t="s">
        <v>50</v>
      </c>
      <c r="E315" s="31" t="s">
        <v>51</v>
      </c>
      <c r="F315" s="31" t="s">
        <v>440</v>
      </c>
      <c r="G315" s="31" t="s">
        <v>442</v>
      </c>
      <c r="H315" s="31" t="s">
        <v>494</v>
      </c>
      <c r="K315" s="2" t="str">
        <f t="shared" si="4"/>
        <v>alu</v>
      </c>
      <c r="L315" cm="1">
        <f t="array" ref="L3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5" t="str">
        <f>IF(OR(ISNUMBER(SEARCH("imad", Table6[[#This Row],[instruction]])), ISNUMBER(SEARCH("ffma", Table6[[#This Row],[instruction]])), ISNUMBER(SEARCH("fmul", Table6[[#This Row],[instruction]]))), "fma", "")</f>
        <v/>
      </c>
      <c r="P3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5" t="str">
        <f>IF(OR(ISNUMBER(SEARCH("s2r", Table6[[#This Row],[instruction]])),ISNUMBER(SEARCH("s2ur", Table6[[#This Row],[instruction]]))), "special", "")</f>
        <v/>
      </c>
      <c r="S315" t="str">
        <f>IF(OR(ISNUMBER(SEARCH("stg", Table6[[#This Row],[instruction]])),ISNUMBER(SEARCH("ldg", Table6[[#This Row],[instruction]]))), "global", "")</f>
        <v/>
      </c>
      <c r="T315" t="str">
        <f>IF(OR(ISNUMBER(SEARCH("sts", Table6[[#This Row],[instruction]])),ISNUMBER(SEARCH("lds", Table6[[#This Row],[instruction]]))), "shared", "")</f>
        <v/>
      </c>
      <c r="U315" t="str">
        <f>IF(OR(ISNUMBER(SEARCH("LDC", Table6[[#This Row],[instruction]]))), "ind. const", "")</f>
        <v/>
      </c>
      <c r="V3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Row],[s5]]))),U315=""), "cmb. const", "")</f>
        <v>cmb. const</v>
      </c>
      <c r="W315" s="2" t="s">
        <v>481</v>
      </c>
      <c r="Y315">
        <f>IF(Table6[[#This Row],[pipeline]]="fma",Table6[[#This Row],[delay]],0)</f>
        <v>0</v>
      </c>
      <c r="Z315">
        <f>IF(AND(Table6[[#This Row],[pipeline]]="fma",W315="new"),290,0)</f>
        <v>0</v>
      </c>
      <c r="AK315" s="34"/>
    </row>
    <row r="316" spans="1:37" ht="17" x14ac:dyDescent="0.2">
      <c r="A316" s="31">
        <f>IF(Table6[[#This Row],[instruction]]&lt;&gt;"",MAX($A$6:A315)+1," ")</f>
        <v>311</v>
      </c>
      <c r="B316" s="32" t="s">
        <v>644</v>
      </c>
      <c r="C316" t="s">
        <v>54</v>
      </c>
      <c r="D316" s="31" t="s">
        <v>430</v>
      </c>
      <c r="E316" s="31" t="s">
        <v>430</v>
      </c>
      <c r="F316" s="31" t="s">
        <v>7</v>
      </c>
      <c r="G316" s="31" t="s">
        <v>550</v>
      </c>
      <c r="K316" s="2" t="str">
        <f t="shared" si="4"/>
        <v>fma</v>
      </c>
      <c r="L316" cm="1">
        <f t="array" ref="L3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6" t="str">
        <f>IF(OR(ISNUMBER(SEARCH("imad", Table6[[#This Row],[instruction]])), ISNUMBER(SEARCH("ffma", Table6[[#This Row],[instruction]])), ISNUMBER(SEARCH("fmul", Table6[[#This Row],[instruction]]))), "fma", "")</f>
        <v>fma</v>
      </c>
      <c r="P3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6" t="str">
        <f>IF(OR(ISNUMBER(SEARCH("s2r", Table6[[#This Row],[instruction]])),ISNUMBER(SEARCH("s2ur", Table6[[#This Row],[instruction]]))), "special", "")</f>
        <v/>
      </c>
      <c r="S316" t="str">
        <f>IF(OR(ISNUMBER(SEARCH("stg", Table6[[#This Row],[instruction]])),ISNUMBER(SEARCH("ldg", Table6[[#This Row],[instruction]]))), "global", "")</f>
        <v/>
      </c>
      <c r="T316" t="str">
        <f>IF(OR(ISNUMBER(SEARCH("sts", Table6[[#This Row],[instruction]])),ISNUMBER(SEARCH("lds", Table6[[#This Row],[instruction]]))), "shared", "")</f>
        <v/>
      </c>
      <c r="U316" t="str">
        <f>IF(OR(ISNUMBER(SEARCH("LDC", Table6[[#This Row],[instruction]]))), "ind. const", "")</f>
        <v/>
      </c>
      <c r="V3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Row],[s5]]))),U316=""), "cmb. const", "")</f>
        <v>cmb. const</v>
      </c>
      <c r="W316" s="2" t="s">
        <v>481</v>
      </c>
      <c r="Y316">
        <f>IF(Table6[[#This Row],[pipeline]]="fma",Table6[[#This Row],[delay]],0)</f>
        <v>4</v>
      </c>
      <c r="Z316">
        <f>IF(AND(Table6[[#This Row],[pipeline]]="fma",W316="new"),290,0)</f>
        <v>0</v>
      </c>
      <c r="AK316" s="34"/>
    </row>
    <row r="317" spans="1:37" ht="17" x14ac:dyDescent="0.2">
      <c r="A317" s="31">
        <f>IF(Table6[[#This Row],[instruction]]&lt;&gt;"",MAX($A$6:A316)+1," ")</f>
        <v>312</v>
      </c>
      <c r="B317" s="32" t="s">
        <v>485</v>
      </c>
      <c r="C317" t="s">
        <v>26</v>
      </c>
      <c r="D317" s="31" t="s">
        <v>440</v>
      </c>
      <c r="E317" s="31" t="s">
        <v>440</v>
      </c>
      <c r="F317" s="31" t="s">
        <v>579</v>
      </c>
      <c r="G317" s="31" t="s">
        <v>502</v>
      </c>
      <c r="K317" s="2" t="str">
        <f t="shared" si="4"/>
        <v>alu</v>
      </c>
      <c r="L317" cm="1">
        <f t="array" ref="L3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317" t="str">
        <f>IF(OR(ISNUMBER(SEARCH("imad", Table6[[#This Row],[instruction]])), ISNUMBER(SEARCH("ffma", Table6[[#This Row],[instruction]])), ISNUMBER(SEARCH("fmul", Table6[[#This Row],[instruction]]))), "fma", "")</f>
        <v/>
      </c>
      <c r="P3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7" t="str">
        <f>IF(OR(ISNUMBER(SEARCH("s2r", Table6[[#This Row],[instruction]])),ISNUMBER(SEARCH("s2ur", Table6[[#This Row],[instruction]]))), "special", "")</f>
        <v/>
      </c>
      <c r="S317" t="str">
        <f>IF(OR(ISNUMBER(SEARCH("stg", Table6[[#This Row],[instruction]])),ISNUMBER(SEARCH("ldg", Table6[[#This Row],[instruction]]))), "global", "")</f>
        <v/>
      </c>
      <c r="T317" t="str">
        <f>IF(OR(ISNUMBER(SEARCH("sts", Table6[[#This Row],[instruction]])),ISNUMBER(SEARCH("lds", Table6[[#This Row],[instruction]]))), "shared", "")</f>
        <v/>
      </c>
      <c r="U317" t="str">
        <f>IF(OR(ISNUMBER(SEARCH("LDC", Table6[[#This Row],[instruction]]))), "ind. const", "")</f>
        <v/>
      </c>
      <c r="V3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Row],[s5]]))),U317=""), "cmb. const", "")</f>
        <v/>
      </c>
      <c r="Y317">
        <f>IF(Table6[[#This Row],[pipeline]]="fma",Table6[[#This Row],[delay]],0)</f>
        <v>0</v>
      </c>
      <c r="Z317">
        <f>IF(AND(Table6[[#This Row],[pipeline]]="fma",W317="new"),290,0)</f>
        <v>0</v>
      </c>
      <c r="AK317" s="34"/>
    </row>
    <row r="318" spans="1:37" ht="17" x14ac:dyDescent="0.2">
      <c r="A318" s="31">
        <f>IF(Table6[[#This Row],[instruction]]&lt;&gt;"",MAX($A$6:A317)+1," ")</f>
        <v>313</v>
      </c>
      <c r="B318" s="32" t="s">
        <v>644</v>
      </c>
      <c r="C318" t="s">
        <v>444</v>
      </c>
      <c r="D318" s="31" t="s">
        <v>58</v>
      </c>
      <c r="E318" s="31" t="s">
        <v>551</v>
      </c>
      <c r="K318" s="2" t="str">
        <f t="shared" si="4"/>
        <v>global</v>
      </c>
      <c r="L318" cm="1">
        <f t="array" ref="L3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18" t="str">
        <f>IF(OR(ISNUMBER(SEARCH("imad", Table6[[#This Row],[instruction]])), ISNUMBER(SEARCH("ffma", Table6[[#This Row],[instruction]])), ISNUMBER(SEARCH("fmul", Table6[[#This Row],[instruction]]))), "fma", "")</f>
        <v/>
      </c>
      <c r="P3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8" t="str">
        <f>IF(OR(ISNUMBER(SEARCH("s2r", Table6[[#This Row],[instruction]])),ISNUMBER(SEARCH("s2ur", Table6[[#This Row],[instruction]]))), "special", "")</f>
        <v/>
      </c>
      <c r="S318" t="str">
        <f>IF(OR(ISNUMBER(SEARCH("stg", Table6[[#This Row],[instruction]])),ISNUMBER(SEARCH("ldg", Table6[[#This Row],[instruction]]))), "global", "")</f>
        <v>global</v>
      </c>
      <c r="T318" t="str">
        <f>IF(OR(ISNUMBER(SEARCH("sts", Table6[[#This Row],[instruction]])),ISNUMBER(SEARCH("lds", Table6[[#This Row],[instruction]]))), "shared", "")</f>
        <v/>
      </c>
      <c r="U318" t="str">
        <f>IF(OR(ISNUMBER(SEARCH("LDC", Table6[[#This Row],[instruction]]))), "ind. const", "")</f>
        <v/>
      </c>
      <c r="V3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Row],[s5]]))),U318=""), "cmb. const", "")</f>
        <v/>
      </c>
      <c r="Y318">
        <f>IF(Table6[[#This Row],[pipeline]]="fma",Table6[[#This Row],[delay]],0)</f>
        <v>0</v>
      </c>
      <c r="Z318">
        <f>IF(AND(Table6[[#This Row],[pipeline]]="fma",W318="new"),290,0)</f>
        <v>0</v>
      </c>
      <c r="AK318" s="34"/>
    </row>
    <row r="319" spans="1:37" ht="17" x14ac:dyDescent="0.2">
      <c r="A319" s="31">
        <f>IF(Table6[[#This Row],[instruction]]&lt;&gt;"",MAX($A$6:A318)+1," ")</f>
        <v>314</v>
      </c>
      <c r="B319" s="32" t="s">
        <v>485</v>
      </c>
      <c r="C319" t="s">
        <v>49</v>
      </c>
      <c r="D319" s="31" t="s">
        <v>78</v>
      </c>
      <c r="E319" s="31" t="s">
        <v>51</v>
      </c>
      <c r="F319" s="31" t="s">
        <v>440</v>
      </c>
      <c r="G319" s="31" t="s">
        <v>442</v>
      </c>
      <c r="H319" s="31" t="s">
        <v>494</v>
      </c>
      <c r="K319" s="2" t="str">
        <f t="shared" si="4"/>
        <v>alu</v>
      </c>
      <c r="L319" cm="1">
        <f t="array" ref="L3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19" t="str">
        <f>IF(OR(ISNUMBER(SEARCH("imad", Table6[[#This Row],[instruction]])), ISNUMBER(SEARCH("ffma", Table6[[#This Row],[instruction]])), ISNUMBER(SEARCH("fmul", Table6[[#This Row],[instruction]]))), "fma", "")</f>
        <v/>
      </c>
      <c r="P3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19" t="str">
        <f>IF(OR(ISNUMBER(SEARCH("s2r", Table6[[#This Row],[instruction]])),ISNUMBER(SEARCH("s2ur", Table6[[#This Row],[instruction]]))), "special", "")</f>
        <v/>
      </c>
      <c r="S319" t="str">
        <f>IF(OR(ISNUMBER(SEARCH("stg", Table6[[#This Row],[instruction]])),ISNUMBER(SEARCH("ldg", Table6[[#This Row],[instruction]]))), "global", "")</f>
        <v/>
      </c>
      <c r="T319" t="str">
        <f>IF(OR(ISNUMBER(SEARCH("sts", Table6[[#This Row],[instruction]])),ISNUMBER(SEARCH("lds", Table6[[#This Row],[instruction]]))), "shared", "")</f>
        <v/>
      </c>
      <c r="U319" t="str">
        <f>IF(OR(ISNUMBER(SEARCH("LDC", Table6[[#This Row],[instruction]]))), "ind. const", "")</f>
        <v/>
      </c>
      <c r="V3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Row],[s5]]))),U319=""), "cmb. const", "")</f>
        <v>cmb. const</v>
      </c>
      <c r="W319" s="2" t="s">
        <v>481</v>
      </c>
      <c r="Y319">
        <f>IF(Table6[[#This Row],[pipeline]]="fma",Table6[[#This Row],[delay]],0)</f>
        <v>0</v>
      </c>
      <c r="Z319">
        <f>IF(AND(Table6[[#This Row],[pipeline]]="fma",W319="new"),290,0)</f>
        <v>0</v>
      </c>
      <c r="AK319" s="34"/>
    </row>
    <row r="320" spans="1:37" ht="17" x14ac:dyDescent="0.2">
      <c r="A320" s="31">
        <f>IF(Table6[[#This Row],[instruction]]&lt;&gt;"",MAX($A$6:A319)+1," ")</f>
        <v>315</v>
      </c>
      <c r="B320" s="32" t="s">
        <v>584</v>
      </c>
      <c r="C320" t="s">
        <v>14</v>
      </c>
      <c r="D320" s="31" t="s">
        <v>7</v>
      </c>
      <c r="E320" s="31" t="s">
        <v>17</v>
      </c>
      <c r="F320" s="31" t="s">
        <v>417</v>
      </c>
      <c r="G320" s="31" t="s">
        <v>635</v>
      </c>
      <c r="K320" s="2" t="str">
        <f t="shared" si="4"/>
        <v>fma</v>
      </c>
      <c r="L320" cm="1">
        <f t="array" ref="L3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20" t="str">
        <f>IF(OR(ISNUMBER(SEARCH("imad", Table6[[#This Row],[instruction]])), ISNUMBER(SEARCH("ffma", Table6[[#This Row],[instruction]])), ISNUMBER(SEARCH("fmul", Table6[[#This Row],[instruction]]))), "fma", "")</f>
        <v>fma</v>
      </c>
      <c r="P3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0" t="str">
        <f>IF(OR(ISNUMBER(SEARCH("s2r", Table6[[#This Row],[instruction]])),ISNUMBER(SEARCH("s2ur", Table6[[#This Row],[instruction]]))), "special", "")</f>
        <v/>
      </c>
      <c r="S320" t="str">
        <f>IF(OR(ISNUMBER(SEARCH("stg", Table6[[#This Row],[instruction]])),ISNUMBER(SEARCH("ldg", Table6[[#This Row],[instruction]]))), "global", "")</f>
        <v/>
      </c>
      <c r="T320" t="str">
        <f>IF(OR(ISNUMBER(SEARCH("sts", Table6[[#This Row],[instruction]])),ISNUMBER(SEARCH("lds", Table6[[#This Row],[instruction]]))), "shared", "")</f>
        <v/>
      </c>
      <c r="U320" t="str">
        <f>IF(OR(ISNUMBER(SEARCH("LDC", Table6[[#This Row],[instruction]]))), "ind. const", "")</f>
        <v/>
      </c>
      <c r="V3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Row],[s5]]))),U320=""), "cmb. const", "")</f>
        <v>cmb. const</v>
      </c>
      <c r="W320" s="2" t="s">
        <v>481</v>
      </c>
      <c r="Y320">
        <f>IF(Table6[[#This Row],[pipeline]]="fma",Table6[[#This Row],[delay]],0)</f>
        <v>4</v>
      </c>
      <c r="Z320">
        <f>IF(AND(Table6[[#This Row],[pipeline]]="fma",W320="new"),290,0)</f>
        <v>0</v>
      </c>
      <c r="AK320" s="34"/>
    </row>
    <row r="321" spans="1:37" ht="17" x14ac:dyDescent="0.2">
      <c r="A321" s="31">
        <f>IF(Table6[[#This Row],[instruction]]&lt;&gt;"",MAX($A$6:A320)+1," ")</f>
        <v>316</v>
      </c>
      <c r="B321" s="32" t="s">
        <v>582</v>
      </c>
      <c r="C321" t="s">
        <v>0</v>
      </c>
      <c r="D321" s="31" t="s">
        <v>447</v>
      </c>
      <c r="E321" s="31" t="s">
        <v>548</v>
      </c>
      <c r="K321" s="2" t="str">
        <f t="shared" si="4"/>
        <v/>
      </c>
      <c r="L321" cm="1">
        <f t="array" ref="L3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21" t="str">
        <f>IF(OR(ISNUMBER(SEARCH("imad", Table6[[#This Row],[instruction]])), ISNUMBER(SEARCH("ffma", Table6[[#This Row],[instruction]])), ISNUMBER(SEARCH("fmul", Table6[[#This Row],[instruction]]))), "fma", "")</f>
        <v/>
      </c>
      <c r="P3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1" t="str">
        <f>IF(OR(ISNUMBER(SEARCH("s2r", Table6[[#This Row],[instruction]])),ISNUMBER(SEARCH("s2ur", Table6[[#This Row],[instruction]]))), "special", "")</f>
        <v/>
      </c>
      <c r="S321" t="str">
        <f>IF(OR(ISNUMBER(SEARCH("stg", Table6[[#This Row],[instruction]])),ISNUMBER(SEARCH("ldg", Table6[[#This Row],[instruction]]))), "global", "")</f>
        <v/>
      </c>
      <c r="T321" t="str">
        <f>IF(OR(ISNUMBER(SEARCH("sts", Table6[[#This Row],[instruction]])),ISNUMBER(SEARCH("lds", Table6[[#This Row],[instruction]]))), "shared", "")</f>
        <v/>
      </c>
      <c r="U321" t="str">
        <f>IF(OR(ISNUMBER(SEARCH("LDC", Table6[[#This Row],[instruction]]))), "ind. const", "")</f>
        <v/>
      </c>
      <c r="V3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Row],[s5]]))),U321=""), "cmb. const", "")</f>
        <v/>
      </c>
      <c r="Y321">
        <f>IF(Table6[[#This Row],[pipeline]]="fma",Table6[[#This Row],[delay]],0)</f>
        <v>0</v>
      </c>
      <c r="Z321">
        <f>IF(AND(Table6[[#This Row],[pipeline]]="fma",W321="new"),290,0)</f>
        <v>0</v>
      </c>
      <c r="AK321" s="34"/>
    </row>
    <row r="322" spans="1:37" ht="17" x14ac:dyDescent="0.2">
      <c r="A322" s="31">
        <f>IF(Table6[[#This Row],[instruction]]&lt;&gt;"",MAX($A$6:A321)+1," ")</f>
        <v>317</v>
      </c>
      <c r="B322" s="32" t="s">
        <v>647</v>
      </c>
      <c r="C322" t="s">
        <v>45</v>
      </c>
      <c r="D322" s="31" t="s">
        <v>648</v>
      </c>
      <c r="E322" s="31" t="s">
        <v>8</v>
      </c>
      <c r="F322" s="31" t="s">
        <v>8</v>
      </c>
      <c r="G322" s="31" t="s">
        <v>548</v>
      </c>
      <c r="K322" s="2" t="str">
        <f t="shared" si="4"/>
        <v>fma</v>
      </c>
      <c r="L322" cm="1">
        <f t="array" ref="L3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22" t="str">
        <f>IF(OR(ISNUMBER(SEARCH("imad", Table6[[#This Row],[instruction]])), ISNUMBER(SEARCH("ffma", Table6[[#This Row],[instruction]])), ISNUMBER(SEARCH("fmul", Table6[[#This Row],[instruction]]))), "fma", "")</f>
        <v>fma</v>
      </c>
      <c r="P3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2" t="str">
        <f>IF(OR(ISNUMBER(SEARCH("s2r", Table6[[#This Row],[instruction]])),ISNUMBER(SEARCH("s2ur", Table6[[#This Row],[instruction]]))), "special", "")</f>
        <v/>
      </c>
      <c r="S322" t="str">
        <f>IF(OR(ISNUMBER(SEARCH("stg", Table6[[#This Row],[instruction]])),ISNUMBER(SEARCH("ldg", Table6[[#This Row],[instruction]]))), "global", "")</f>
        <v/>
      </c>
      <c r="T322" t="str">
        <f>IF(OR(ISNUMBER(SEARCH("sts", Table6[[#This Row],[instruction]])),ISNUMBER(SEARCH("lds", Table6[[#This Row],[instruction]]))), "shared", "")</f>
        <v/>
      </c>
      <c r="U322" t="str">
        <f>IF(OR(ISNUMBER(SEARCH("LDC", Table6[[#This Row],[instruction]]))), "ind. const", "")</f>
        <v/>
      </c>
      <c r="V3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Row],[s5]]))),U322=""), "cmb. const", "")</f>
        <v/>
      </c>
      <c r="Y322">
        <f>IF(Table6[[#This Row],[pipeline]]="fma",Table6[[#This Row],[delay]],0)</f>
        <v>4</v>
      </c>
      <c r="Z322">
        <f>IF(AND(Table6[[#This Row],[pipeline]]="fma",W322="new"),290,0)</f>
        <v>0</v>
      </c>
      <c r="AK322" s="34"/>
    </row>
    <row r="323" spans="1:37" ht="17" x14ac:dyDescent="0.2">
      <c r="A323" s="31">
        <f>IF(Table6[[#This Row],[instruction]]&lt;&gt;"",MAX($A$6:A322)+1," ")</f>
        <v>318</v>
      </c>
      <c r="B323" s="32" t="s">
        <v>647</v>
      </c>
      <c r="C323" t="s">
        <v>0</v>
      </c>
      <c r="D323" s="31" t="s">
        <v>649</v>
      </c>
      <c r="E323" s="31" t="s">
        <v>583</v>
      </c>
      <c r="K323" s="2" t="str">
        <f t="shared" si="4"/>
        <v/>
      </c>
      <c r="L323" cm="1">
        <f t="array" ref="L3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23" t="str">
        <f>IF(OR(ISNUMBER(SEARCH("imad", Table6[[#This Row],[instruction]])), ISNUMBER(SEARCH("ffma", Table6[[#This Row],[instruction]])), ISNUMBER(SEARCH("fmul", Table6[[#This Row],[instruction]]))), "fma", "")</f>
        <v/>
      </c>
      <c r="P3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3" t="str">
        <f>IF(OR(ISNUMBER(SEARCH("s2r", Table6[[#This Row],[instruction]])),ISNUMBER(SEARCH("s2ur", Table6[[#This Row],[instruction]]))), "special", "")</f>
        <v/>
      </c>
      <c r="S323" t="str">
        <f>IF(OR(ISNUMBER(SEARCH("stg", Table6[[#This Row],[instruction]])),ISNUMBER(SEARCH("ldg", Table6[[#This Row],[instruction]]))), "global", "")</f>
        <v/>
      </c>
      <c r="T323" t="str">
        <f>IF(OR(ISNUMBER(SEARCH("sts", Table6[[#This Row],[instruction]])),ISNUMBER(SEARCH("lds", Table6[[#This Row],[instruction]]))), "shared", "")</f>
        <v/>
      </c>
      <c r="U323" t="str">
        <f>IF(OR(ISNUMBER(SEARCH("LDC", Table6[[#This Row],[instruction]]))), "ind. const", "")</f>
        <v/>
      </c>
      <c r="V3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Row],[s5]]))),U323=""), "cmb. const", "")</f>
        <v>cmb. const</v>
      </c>
      <c r="W323" s="2" t="s">
        <v>481</v>
      </c>
      <c r="Y323">
        <f>IF(Table6[[#This Row],[pipeline]]="fma",Table6[[#This Row],[delay]],0)</f>
        <v>0</v>
      </c>
      <c r="Z323">
        <f>IF(AND(Table6[[#This Row],[pipeline]]="fma",W323="new"),290,0)</f>
        <v>0</v>
      </c>
      <c r="AK323" s="34"/>
    </row>
    <row r="324" spans="1:37" ht="17" x14ac:dyDescent="0.2">
      <c r="A324" s="31">
        <f>IF(Table6[[#This Row],[instruction]]&lt;&gt;"",MAX($A$6:A323)+1," ")</f>
        <v>319</v>
      </c>
      <c r="B324" s="32" t="s">
        <v>584</v>
      </c>
      <c r="C324" t="s">
        <v>14</v>
      </c>
      <c r="D324" s="31" t="s">
        <v>4</v>
      </c>
      <c r="E324" s="31" t="s">
        <v>4</v>
      </c>
      <c r="F324" s="31" t="s">
        <v>422</v>
      </c>
      <c r="G324" s="31" t="s">
        <v>537</v>
      </c>
      <c r="K324" s="2" t="str">
        <f t="shared" si="4"/>
        <v>fma</v>
      </c>
      <c r="L324" cm="1">
        <f t="array" ref="L3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24" t="str">
        <f>IF(OR(ISNUMBER(SEARCH("imad", Table6[[#This Row],[instruction]])), ISNUMBER(SEARCH("ffma", Table6[[#This Row],[instruction]])), ISNUMBER(SEARCH("fmul", Table6[[#This Row],[instruction]]))), "fma", "")</f>
        <v>fma</v>
      </c>
      <c r="P3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4" t="str">
        <f>IF(OR(ISNUMBER(SEARCH("s2r", Table6[[#This Row],[instruction]])),ISNUMBER(SEARCH("s2ur", Table6[[#This Row],[instruction]]))), "special", "")</f>
        <v/>
      </c>
      <c r="S324" t="str">
        <f>IF(OR(ISNUMBER(SEARCH("stg", Table6[[#This Row],[instruction]])),ISNUMBER(SEARCH("ldg", Table6[[#This Row],[instruction]]))), "global", "")</f>
        <v/>
      </c>
      <c r="T324" t="str">
        <f>IF(OR(ISNUMBER(SEARCH("sts", Table6[[#This Row],[instruction]])),ISNUMBER(SEARCH("lds", Table6[[#This Row],[instruction]]))), "shared", "")</f>
        <v/>
      </c>
      <c r="U324" t="str">
        <f>IF(OR(ISNUMBER(SEARCH("LDC", Table6[[#This Row],[instruction]]))), "ind. const", "")</f>
        <v/>
      </c>
      <c r="V3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Row],[s5]]))),U324=""), "cmb. const", "")</f>
        <v>cmb. const</v>
      </c>
      <c r="W324" s="2" t="s">
        <v>481</v>
      </c>
      <c r="Y324">
        <f>IF(Table6[[#This Row],[pipeline]]="fma",Table6[[#This Row],[delay]],0)</f>
        <v>4</v>
      </c>
      <c r="Z324">
        <f>IF(AND(Table6[[#This Row],[pipeline]]="fma",W324="new"),290,0)</f>
        <v>0</v>
      </c>
      <c r="AK324" s="34"/>
    </row>
    <row r="325" spans="1:37" ht="17" x14ac:dyDescent="0.2">
      <c r="A325" s="31">
        <f>IF(Table6[[#This Row],[instruction]]&lt;&gt;"",MAX($A$6:A324)+1," ")</f>
        <v>320</v>
      </c>
      <c r="B325" s="32" t="s">
        <v>485</v>
      </c>
      <c r="C325" t="s">
        <v>6</v>
      </c>
      <c r="D325" s="31" t="s">
        <v>7</v>
      </c>
      <c r="E325" s="31" t="e" cm="1">
        <f t="array" ref="E325">-RZ</f>
        <v>#NAME?</v>
      </c>
      <c r="F325" s="31" t="s">
        <v>8</v>
      </c>
      <c r="G325" s="31">
        <v>0</v>
      </c>
      <c r="H325" s="31" t="s">
        <v>525</v>
      </c>
      <c r="K325" s="2" t="str">
        <f t="shared" si="4"/>
        <v/>
      </c>
      <c r="L325" cm="1">
        <f t="array" ref="L3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25" t="str">
        <f>IF(OR(ISNUMBER(SEARCH("imad", Table6[[#This Row],[instruction]])), ISNUMBER(SEARCH("ffma", Table6[[#This Row],[instruction]])), ISNUMBER(SEARCH("fmul", Table6[[#This Row],[instruction]]))), "fma", "")</f>
        <v/>
      </c>
      <c r="P3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5" t="str">
        <f>IF(OR(ISNUMBER(SEARCH("s2r", Table6[[#This Row],[instruction]])),ISNUMBER(SEARCH("s2ur", Table6[[#This Row],[instruction]]))), "special", "")</f>
        <v/>
      </c>
      <c r="S325" t="str">
        <f>IF(OR(ISNUMBER(SEARCH("stg", Table6[[#This Row],[instruction]])),ISNUMBER(SEARCH("ldg", Table6[[#This Row],[instruction]]))), "global", "")</f>
        <v/>
      </c>
      <c r="T325" t="str">
        <f>IF(OR(ISNUMBER(SEARCH("sts", Table6[[#This Row],[instruction]])),ISNUMBER(SEARCH("lds", Table6[[#This Row],[instruction]]))), "shared", "")</f>
        <v/>
      </c>
      <c r="U325" t="str">
        <f>IF(OR(ISNUMBER(SEARCH("LDC", Table6[[#This Row],[instruction]]))), "ind. const", "")</f>
        <v/>
      </c>
      <c r="V3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Row],[s5]]))),U325=""), "cmb. const", "")</f>
        <v/>
      </c>
      <c r="Y325">
        <f>IF(Table6[[#This Row],[pipeline]]="fma",Table6[[#This Row],[delay]],0)</f>
        <v>0</v>
      </c>
      <c r="Z325">
        <f>IF(AND(Table6[[#This Row],[pipeline]]="fma",W325="new"),290,0)</f>
        <v>0</v>
      </c>
      <c r="AK325" s="34"/>
    </row>
    <row r="326" spans="1:37" ht="17" x14ac:dyDescent="0.2">
      <c r="A326" s="31">
        <f>IF(Table6[[#This Row],[instruction]]&lt;&gt;"",MAX($A$6:A325)+1," ")</f>
        <v>321</v>
      </c>
      <c r="B326" s="32" t="s">
        <v>650</v>
      </c>
      <c r="C326" t="s">
        <v>0</v>
      </c>
      <c r="D326" s="31" t="s">
        <v>651</v>
      </c>
      <c r="E326" s="31" t="s">
        <v>583</v>
      </c>
      <c r="K326" s="2" t="str">
        <f t="shared" ref="K326:K389" si="5">IF(O326&lt;&gt;"", O326, IF(P326&lt;&gt;"", P326, IF(R326&lt;&gt;"", R326, IF(S326&lt;&gt;"", S326, IF(T326&lt;&gt;"", T326, IF(U326&lt;&gt;"", U326, IF(Q326&lt;&gt;"", Q326, "")))))))</f>
        <v/>
      </c>
      <c r="L326" cm="1">
        <f t="array" ref="L3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26" t="str">
        <f>IF(OR(ISNUMBER(SEARCH("imad", Table6[[#This Row],[instruction]])), ISNUMBER(SEARCH("ffma", Table6[[#This Row],[instruction]])), ISNUMBER(SEARCH("fmul", Table6[[#This Row],[instruction]]))), "fma", "")</f>
        <v/>
      </c>
      <c r="P3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6" t="str">
        <f>IF(OR(ISNUMBER(SEARCH("s2r", Table6[[#This Row],[instruction]])),ISNUMBER(SEARCH("s2ur", Table6[[#This Row],[instruction]]))), "special", "")</f>
        <v/>
      </c>
      <c r="S326" t="str">
        <f>IF(OR(ISNUMBER(SEARCH("stg", Table6[[#This Row],[instruction]])),ISNUMBER(SEARCH("ldg", Table6[[#This Row],[instruction]]))), "global", "")</f>
        <v/>
      </c>
      <c r="T326" t="str">
        <f>IF(OR(ISNUMBER(SEARCH("sts", Table6[[#This Row],[instruction]])),ISNUMBER(SEARCH("lds", Table6[[#This Row],[instruction]]))), "shared", "")</f>
        <v/>
      </c>
      <c r="U326" t="str">
        <f>IF(OR(ISNUMBER(SEARCH("LDC", Table6[[#This Row],[instruction]]))), "ind. const", "")</f>
        <v/>
      </c>
      <c r="V3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Row],[s5]]))),U326=""), "cmb. const", "")</f>
        <v>cmb. const</v>
      </c>
      <c r="W326" s="2" t="s">
        <v>481</v>
      </c>
      <c r="Y326">
        <f>IF(Table6[[#This Row],[pipeline]]="fma",Table6[[#This Row],[delay]],0)</f>
        <v>0</v>
      </c>
      <c r="Z326">
        <f>IF(AND(Table6[[#This Row],[pipeline]]="fma",W326="new"),290,0)</f>
        <v>0</v>
      </c>
      <c r="AK326" s="34"/>
    </row>
    <row r="327" spans="1:37" ht="17" x14ac:dyDescent="0.2">
      <c r="A327" s="31">
        <f>IF(Table6[[#This Row],[instruction]]&lt;&gt;"",MAX($A$6:A326)+1," ")</f>
        <v>322</v>
      </c>
      <c r="B327" s="32" t="s">
        <v>582</v>
      </c>
      <c r="C327" t="s">
        <v>54</v>
      </c>
      <c r="D327" s="31" t="s">
        <v>84</v>
      </c>
      <c r="E327" s="31" t="s">
        <v>439</v>
      </c>
      <c r="F327" s="31" t="s">
        <v>447</v>
      </c>
      <c r="G327" s="31" t="s">
        <v>550</v>
      </c>
      <c r="K327" s="2" t="str">
        <f t="shared" si="5"/>
        <v>fma</v>
      </c>
      <c r="L327" cm="1">
        <f t="array" ref="L3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27" t="str">
        <f>IF(OR(ISNUMBER(SEARCH("imad", Table6[[#This Row],[instruction]])), ISNUMBER(SEARCH("ffma", Table6[[#This Row],[instruction]])), ISNUMBER(SEARCH("fmul", Table6[[#This Row],[instruction]]))), "fma", "")</f>
        <v>fma</v>
      </c>
      <c r="P3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7" t="str">
        <f>IF(OR(ISNUMBER(SEARCH("s2r", Table6[[#This Row],[instruction]])),ISNUMBER(SEARCH("s2ur", Table6[[#This Row],[instruction]]))), "special", "")</f>
        <v/>
      </c>
      <c r="S327" t="str">
        <f>IF(OR(ISNUMBER(SEARCH("stg", Table6[[#This Row],[instruction]])),ISNUMBER(SEARCH("ldg", Table6[[#This Row],[instruction]]))), "global", "")</f>
        <v/>
      </c>
      <c r="T327" t="str">
        <f>IF(OR(ISNUMBER(SEARCH("sts", Table6[[#This Row],[instruction]])),ISNUMBER(SEARCH("lds", Table6[[#This Row],[instruction]]))), "shared", "")</f>
        <v/>
      </c>
      <c r="U327" t="str">
        <f>IF(OR(ISNUMBER(SEARCH("LDC", Table6[[#This Row],[instruction]]))), "ind. const", "")</f>
        <v/>
      </c>
      <c r="V3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Row],[s5]]))),U327=""), "cmb. const", "")</f>
        <v>cmb. const</v>
      </c>
      <c r="W327" s="2" t="s">
        <v>481</v>
      </c>
      <c r="Y327">
        <f>IF(Table6[[#This Row],[pipeline]]="fma",Table6[[#This Row],[delay]],0)</f>
        <v>4</v>
      </c>
      <c r="Z327">
        <f>IF(AND(Table6[[#This Row],[pipeline]]="fma",W327="new"),290,0)</f>
        <v>0</v>
      </c>
      <c r="AK327" s="34"/>
    </row>
    <row r="328" spans="1:37" ht="17" x14ac:dyDescent="0.2">
      <c r="A328" s="31">
        <f>IF(Table6[[#This Row],[instruction]]&lt;&gt;"",MAX($A$6:A327)+1," ")</f>
        <v>323</v>
      </c>
      <c r="B328" s="32" t="s">
        <v>584</v>
      </c>
      <c r="C328" t="s">
        <v>0</v>
      </c>
      <c r="D328" s="31" t="s">
        <v>430</v>
      </c>
      <c r="E328" s="31" t="s">
        <v>548</v>
      </c>
      <c r="K328" s="2" t="str">
        <f t="shared" si="5"/>
        <v/>
      </c>
      <c r="L328" cm="1">
        <f t="array" ref="L3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28" t="str">
        <f>IF(OR(ISNUMBER(SEARCH("imad", Table6[[#This Row],[instruction]])), ISNUMBER(SEARCH("ffma", Table6[[#This Row],[instruction]])), ISNUMBER(SEARCH("fmul", Table6[[#This Row],[instruction]]))), "fma", "")</f>
        <v/>
      </c>
      <c r="P3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8" t="str">
        <f>IF(OR(ISNUMBER(SEARCH("s2r", Table6[[#This Row],[instruction]])),ISNUMBER(SEARCH("s2ur", Table6[[#This Row],[instruction]]))), "special", "")</f>
        <v/>
      </c>
      <c r="S328" t="str">
        <f>IF(OR(ISNUMBER(SEARCH("stg", Table6[[#This Row],[instruction]])),ISNUMBER(SEARCH("ldg", Table6[[#This Row],[instruction]]))), "global", "")</f>
        <v/>
      </c>
      <c r="T328" t="str">
        <f>IF(OR(ISNUMBER(SEARCH("sts", Table6[[#This Row],[instruction]])),ISNUMBER(SEARCH("lds", Table6[[#This Row],[instruction]]))), "shared", "")</f>
        <v/>
      </c>
      <c r="U328" t="str">
        <f>IF(OR(ISNUMBER(SEARCH("LDC", Table6[[#This Row],[instruction]]))), "ind. const", "")</f>
        <v/>
      </c>
      <c r="V3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Row],[s5]]))),U328=""), "cmb. const", "")</f>
        <v/>
      </c>
      <c r="Y328">
        <f>IF(Table6[[#This Row],[pipeline]]="fma",Table6[[#This Row],[delay]],0)</f>
        <v>0</v>
      </c>
      <c r="Z328">
        <f>IF(AND(Table6[[#This Row],[pipeline]]="fma",W328="new"),290,0)</f>
        <v>0</v>
      </c>
      <c r="AK328" s="34"/>
    </row>
    <row r="329" spans="1:37" ht="17" x14ac:dyDescent="0.2">
      <c r="A329" s="31">
        <f>IF(Table6[[#This Row],[instruction]]&lt;&gt;"",MAX($A$6:A328)+1," ")</f>
        <v>324</v>
      </c>
      <c r="B329" s="32" t="s">
        <v>485</v>
      </c>
      <c r="C329" t="s">
        <v>626</v>
      </c>
      <c r="D329" s="31" t="s">
        <v>652</v>
      </c>
      <c r="E329" s="31" t="s">
        <v>653</v>
      </c>
      <c r="K329" s="2" t="str">
        <f t="shared" si="5"/>
        <v>shared</v>
      </c>
      <c r="L329" cm="1">
        <f t="array" ref="L3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29" t="str">
        <f>IF(OR(ISNUMBER(SEARCH("imad", Table6[[#This Row],[instruction]])), ISNUMBER(SEARCH("ffma", Table6[[#This Row],[instruction]])), ISNUMBER(SEARCH("fmul", Table6[[#This Row],[instruction]]))), "fma", "")</f>
        <v/>
      </c>
      <c r="P3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29" t="str">
        <f>IF(OR(ISNUMBER(SEARCH("s2r", Table6[[#This Row],[instruction]])),ISNUMBER(SEARCH("s2ur", Table6[[#This Row],[instruction]]))), "special", "")</f>
        <v/>
      </c>
      <c r="S329" t="str">
        <f>IF(OR(ISNUMBER(SEARCH("stg", Table6[[#This Row],[instruction]])),ISNUMBER(SEARCH("ldg", Table6[[#This Row],[instruction]]))), "global", "")</f>
        <v/>
      </c>
      <c r="T329" t="str">
        <f>IF(OR(ISNUMBER(SEARCH("sts", Table6[[#This Row],[instruction]])),ISNUMBER(SEARCH("lds", Table6[[#This Row],[instruction]]))), "shared", "")</f>
        <v>shared</v>
      </c>
      <c r="U329" t="str">
        <f>IF(OR(ISNUMBER(SEARCH("LDC", Table6[[#This Row],[instruction]]))), "ind. const", "")</f>
        <v/>
      </c>
      <c r="V3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Row],[s5]]))),U329=""), "cmb. const", "")</f>
        <v/>
      </c>
      <c r="Y329">
        <f>IF(Table6[[#This Row],[pipeline]]="fma",Table6[[#This Row],[delay]],0)</f>
        <v>0</v>
      </c>
      <c r="Z329">
        <f>IF(AND(Table6[[#This Row],[pipeline]]="fma",W329="new"),290,0)</f>
        <v>0</v>
      </c>
      <c r="AK329" s="34"/>
    </row>
    <row r="330" spans="1:37" ht="17" x14ac:dyDescent="0.2">
      <c r="A330" s="31">
        <f>IF(Table6[[#This Row],[instruction]]&lt;&gt;"",MAX($A$6:A329)+1," ")</f>
        <v>325</v>
      </c>
      <c r="B330" s="32" t="s">
        <v>644</v>
      </c>
      <c r="C330" t="s">
        <v>45</v>
      </c>
      <c r="D330" s="31" t="s">
        <v>654</v>
      </c>
      <c r="E330" s="31" t="s">
        <v>8</v>
      </c>
      <c r="F330" s="31" t="s">
        <v>8</v>
      </c>
      <c r="G330" s="31" t="s">
        <v>583</v>
      </c>
      <c r="K330" s="2" t="str">
        <f t="shared" si="5"/>
        <v>fma</v>
      </c>
      <c r="L330" cm="1">
        <f t="array" ref="L3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0" t="str">
        <f>IF(OR(ISNUMBER(SEARCH("imad", Table6[[#This Row],[instruction]])), ISNUMBER(SEARCH("ffma", Table6[[#This Row],[instruction]])), ISNUMBER(SEARCH("fmul", Table6[[#This Row],[instruction]]))), "fma", "")</f>
        <v>fma</v>
      </c>
      <c r="P3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0" t="str">
        <f>IF(OR(ISNUMBER(SEARCH("s2r", Table6[[#This Row],[instruction]])),ISNUMBER(SEARCH("s2ur", Table6[[#This Row],[instruction]]))), "special", "")</f>
        <v/>
      </c>
      <c r="S330" t="str">
        <f>IF(OR(ISNUMBER(SEARCH("stg", Table6[[#This Row],[instruction]])),ISNUMBER(SEARCH("ldg", Table6[[#This Row],[instruction]]))), "global", "")</f>
        <v/>
      </c>
      <c r="T330" t="str">
        <f>IF(OR(ISNUMBER(SEARCH("sts", Table6[[#This Row],[instruction]])),ISNUMBER(SEARCH("lds", Table6[[#This Row],[instruction]]))), "shared", "")</f>
        <v/>
      </c>
      <c r="U330" t="str">
        <f>IF(OR(ISNUMBER(SEARCH("LDC", Table6[[#This Row],[instruction]]))), "ind. const", "")</f>
        <v/>
      </c>
      <c r="V3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Row],[s5]]))),U330=""), "cmb. const", "")</f>
        <v>cmb. const</v>
      </c>
      <c r="W330" s="2" t="s">
        <v>481</v>
      </c>
      <c r="Y330">
        <f>IF(Table6[[#This Row],[pipeline]]="fma",Table6[[#This Row],[delay]],0)</f>
        <v>4</v>
      </c>
      <c r="Z330">
        <f>IF(AND(Table6[[#This Row],[pipeline]]="fma",W330="new"),290,0)</f>
        <v>0</v>
      </c>
      <c r="AK330" s="34"/>
    </row>
    <row r="331" spans="1:37" ht="17" x14ac:dyDescent="0.2">
      <c r="A331" s="31">
        <f>IF(Table6[[#This Row],[instruction]]&lt;&gt;"",MAX($A$6:A330)+1," ")</f>
        <v>326</v>
      </c>
      <c r="B331" s="32" t="s">
        <v>580</v>
      </c>
      <c r="C331" t="s">
        <v>0</v>
      </c>
      <c r="D331" s="31" t="s">
        <v>655</v>
      </c>
      <c r="E331" s="31" t="s">
        <v>548</v>
      </c>
      <c r="K331" s="2" t="str">
        <f t="shared" si="5"/>
        <v/>
      </c>
      <c r="L331" cm="1">
        <f t="array" ref="L3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31" t="str">
        <f>IF(OR(ISNUMBER(SEARCH("imad", Table6[[#This Row],[instruction]])), ISNUMBER(SEARCH("ffma", Table6[[#This Row],[instruction]])), ISNUMBER(SEARCH("fmul", Table6[[#This Row],[instruction]]))), "fma", "")</f>
        <v/>
      </c>
      <c r="P3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1" t="str">
        <f>IF(OR(ISNUMBER(SEARCH("s2r", Table6[[#This Row],[instruction]])),ISNUMBER(SEARCH("s2ur", Table6[[#This Row],[instruction]]))), "special", "")</f>
        <v/>
      </c>
      <c r="S331" t="str">
        <f>IF(OR(ISNUMBER(SEARCH("stg", Table6[[#This Row],[instruction]])),ISNUMBER(SEARCH("ldg", Table6[[#This Row],[instruction]]))), "global", "")</f>
        <v/>
      </c>
      <c r="T331" t="str">
        <f>IF(OR(ISNUMBER(SEARCH("sts", Table6[[#This Row],[instruction]])),ISNUMBER(SEARCH("lds", Table6[[#This Row],[instruction]]))), "shared", "")</f>
        <v/>
      </c>
      <c r="U331" t="str">
        <f>IF(OR(ISNUMBER(SEARCH("LDC", Table6[[#This Row],[instruction]]))), "ind. const", "")</f>
        <v/>
      </c>
      <c r="V3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Row],[s5]]))),U331=""), "cmb. const", "")</f>
        <v/>
      </c>
      <c r="Y331">
        <f>IF(Table6[[#This Row],[pipeline]]="fma",Table6[[#This Row],[delay]],0)</f>
        <v>0</v>
      </c>
      <c r="Z331">
        <f>IF(AND(Table6[[#This Row],[pipeline]]="fma",W331="new"),290,0)</f>
        <v>0</v>
      </c>
      <c r="AK331" s="34"/>
    </row>
    <row r="332" spans="1:37" ht="17" x14ac:dyDescent="0.2">
      <c r="A332" s="31">
        <f>IF(Table6[[#This Row],[instruction]]&lt;&gt;"",MAX($A$6:A331)+1," ")</f>
        <v>327</v>
      </c>
      <c r="B332" s="32" t="s">
        <v>584</v>
      </c>
      <c r="C332" t="s">
        <v>14</v>
      </c>
      <c r="D332" s="31" t="s">
        <v>436</v>
      </c>
      <c r="E332" s="31" t="s">
        <v>436</v>
      </c>
      <c r="F332" s="31" t="s">
        <v>549</v>
      </c>
      <c r="G332" s="31" t="s">
        <v>593</v>
      </c>
      <c r="K332" s="2" t="str">
        <f t="shared" si="5"/>
        <v>fma</v>
      </c>
      <c r="L332" cm="1">
        <f t="array" ref="L3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2" t="str">
        <f>IF(OR(ISNUMBER(SEARCH("imad", Table6[[#This Row],[instruction]])), ISNUMBER(SEARCH("ffma", Table6[[#This Row],[instruction]])), ISNUMBER(SEARCH("fmul", Table6[[#This Row],[instruction]]))), "fma", "")</f>
        <v>fma</v>
      </c>
      <c r="P3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2" t="str">
        <f>IF(OR(ISNUMBER(SEARCH("s2r", Table6[[#This Row],[instruction]])),ISNUMBER(SEARCH("s2ur", Table6[[#This Row],[instruction]]))), "special", "")</f>
        <v/>
      </c>
      <c r="S332" t="str">
        <f>IF(OR(ISNUMBER(SEARCH("stg", Table6[[#This Row],[instruction]])),ISNUMBER(SEARCH("ldg", Table6[[#This Row],[instruction]]))), "global", "")</f>
        <v/>
      </c>
      <c r="T332" t="str">
        <f>IF(OR(ISNUMBER(SEARCH("sts", Table6[[#This Row],[instruction]])),ISNUMBER(SEARCH("lds", Table6[[#This Row],[instruction]]))), "shared", "")</f>
        <v/>
      </c>
      <c r="U332" t="str">
        <f>IF(OR(ISNUMBER(SEARCH("LDC", Table6[[#This Row],[instruction]]))), "ind. const", "")</f>
        <v/>
      </c>
      <c r="V3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Row],[s5]]))),U332=""), "cmb. const", "")</f>
        <v>cmb. const</v>
      </c>
      <c r="W332" s="2" t="s">
        <v>481</v>
      </c>
      <c r="Y332">
        <f>IF(Table6[[#This Row],[pipeline]]="fma",Table6[[#This Row],[delay]],0)</f>
        <v>4</v>
      </c>
      <c r="Z332">
        <f>IF(AND(Table6[[#This Row],[pipeline]]="fma",W332="new"),290,0)</f>
        <v>0</v>
      </c>
      <c r="AK332" s="34"/>
    </row>
    <row r="333" spans="1:37" ht="17" x14ac:dyDescent="0.2">
      <c r="A333" s="31">
        <f>IF(Table6[[#This Row],[instruction]]&lt;&gt;"",MAX($A$6:A332)+1," ")</f>
        <v>328</v>
      </c>
      <c r="B333" s="32" t="s">
        <v>650</v>
      </c>
      <c r="C333" t="s">
        <v>0</v>
      </c>
      <c r="D333" s="31" t="s">
        <v>637</v>
      </c>
      <c r="E333" s="31" t="s">
        <v>548</v>
      </c>
      <c r="K333" s="2" t="str">
        <f t="shared" si="5"/>
        <v/>
      </c>
      <c r="L333" cm="1">
        <f t="array" ref="L3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33" t="str">
        <f>IF(OR(ISNUMBER(SEARCH("imad", Table6[[#This Row],[instruction]])), ISNUMBER(SEARCH("ffma", Table6[[#This Row],[instruction]])), ISNUMBER(SEARCH("fmul", Table6[[#This Row],[instruction]]))), "fma", "")</f>
        <v/>
      </c>
      <c r="P3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3" t="str">
        <f>IF(OR(ISNUMBER(SEARCH("s2r", Table6[[#This Row],[instruction]])),ISNUMBER(SEARCH("s2ur", Table6[[#This Row],[instruction]]))), "special", "")</f>
        <v/>
      </c>
      <c r="S333" t="str">
        <f>IF(OR(ISNUMBER(SEARCH("stg", Table6[[#This Row],[instruction]])),ISNUMBER(SEARCH("ldg", Table6[[#This Row],[instruction]]))), "global", "")</f>
        <v/>
      </c>
      <c r="T333" t="str">
        <f>IF(OR(ISNUMBER(SEARCH("sts", Table6[[#This Row],[instruction]])),ISNUMBER(SEARCH("lds", Table6[[#This Row],[instruction]]))), "shared", "")</f>
        <v/>
      </c>
      <c r="U333" t="str">
        <f>IF(OR(ISNUMBER(SEARCH("LDC", Table6[[#This Row],[instruction]]))), "ind. const", "")</f>
        <v/>
      </c>
      <c r="V3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Row],[s5]]))),U333=""), "cmb. const", "")</f>
        <v/>
      </c>
      <c r="Y333">
        <f>IF(Table6[[#This Row],[pipeline]]="fma",Table6[[#This Row],[delay]],0)</f>
        <v>0</v>
      </c>
      <c r="Z333">
        <f>IF(AND(Table6[[#This Row],[pipeline]]="fma",W333="new"),290,0)</f>
        <v>0</v>
      </c>
      <c r="AK333" s="34"/>
    </row>
    <row r="334" spans="1:37" ht="17" x14ac:dyDescent="0.2">
      <c r="A334" s="31">
        <f>IF(Table6[[#This Row],[instruction]]&lt;&gt;"",MAX($A$6:A333)+1," ")</f>
        <v>329</v>
      </c>
      <c r="B334" s="32" t="s">
        <v>650</v>
      </c>
      <c r="C334" t="s">
        <v>14</v>
      </c>
      <c r="D334" s="31" t="s">
        <v>651</v>
      </c>
      <c r="E334" s="31" t="s">
        <v>651</v>
      </c>
      <c r="F334" s="31" t="s">
        <v>56</v>
      </c>
      <c r="G334" s="31" t="s">
        <v>656</v>
      </c>
      <c r="K334" s="2" t="str">
        <f t="shared" si="5"/>
        <v>fma</v>
      </c>
      <c r="L334" cm="1">
        <f t="array" ref="L3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4" t="str">
        <f>IF(OR(ISNUMBER(SEARCH("imad", Table6[[#This Row],[instruction]])), ISNUMBER(SEARCH("ffma", Table6[[#This Row],[instruction]])), ISNUMBER(SEARCH("fmul", Table6[[#This Row],[instruction]]))), "fma", "")</f>
        <v>fma</v>
      </c>
      <c r="P3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4" t="str">
        <f>IF(OR(ISNUMBER(SEARCH("s2r", Table6[[#This Row],[instruction]])),ISNUMBER(SEARCH("s2ur", Table6[[#This Row],[instruction]]))), "special", "")</f>
        <v/>
      </c>
      <c r="S334" t="str">
        <f>IF(OR(ISNUMBER(SEARCH("stg", Table6[[#This Row],[instruction]])),ISNUMBER(SEARCH("ldg", Table6[[#This Row],[instruction]]))), "global", "")</f>
        <v/>
      </c>
      <c r="T334" t="str">
        <f>IF(OR(ISNUMBER(SEARCH("sts", Table6[[#This Row],[instruction]])),ISNUMBER(SEARCH("lds", Table6[[#This Row],[instruction]]))), "shared", "")</f>
        <v/>
      </c>
      <c r="U334" t="str">
        <f>IF(OR(ISNUMBER(SEARCH("LDC", Table6[[#This Row],[instruction]]))), "ind. const", "")</f>
        <v/>
      </c>
      <c r="V3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Row],[s5]]))),U334=""), "cmb. const", "")</f>
        <v/>
      </c>
      <c r="Y334">
        <f>IF(Table6[[#This Row],[pipeline]]="fma",Table6[[#This Row],[delay]],0)</f>
        <v>4</v>
      </c>
      <c r="Z334">
        <f>IF(AND(Table6[[#This Row],[pipeline]]="fma",W334="new"),290,0)</f>
        <v>0</v>
      </c>
      <c r="AK334" s="34"/>
    </row>
    <row r="335" spans="1:37" ht="17" x14ac:dyDescent="0.2">
      <c r="A335" s="31">
        <f>IF(Table6[[#This Row],[instruction]]&lt;&gt;"",MAX($A$6:A334)+1," ")</f>
        <v>330</v>
      </c>
      <c r="B335" s="32" t="s">
        <v>647</v>
      </c>
      <c r="C335" t="s">
        <v>200</v>
      </c>
      <c r="D335" s="31" t="s">
        <v>649</v>
      </c>
      <c r="E335" s="31" t="s">
        <v>649</v>
      </c>
      <c r="F335" s="31" t="s">
        <v>594</v>
      </c>
      <c r="G335" s="31" t="s">
        <v>657</v>
      </c>
      <c r="K335" s="2" t="str">
        <f t="shared" si="5"/>
        <v>alu</v>
      </c>
      <c r="L335" cm="1">
        <f t="array" ref="L3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335" t="str">
        <f>IF(OR(ISNUMBER(SEARCH("imad", Table6[[#This Row],[instruction]])), ISNUMBER(SEARCH("ffma", Table6[[#This Row],[instruction]])), ISNUMBER(SEARCH("fmul", Table6[[#This Row],[instruction]]))), "fma", "")</f>
        <v/>
      </c>
      <c r="P3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3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5" t="str">
        <f>IF(OR(ISNUMBER(SEARCH("s2r", Table6[[#This Row],[instruction]])),ISNUMBER(SEARCH("s2ur", Table6[[#This Row],[instruction]]))), "special", "")</f>
        <v/>
      </c>
      <c r="S335" t="str">
        <f>IF(OR(ISNUMBER(SEARCH("stg", Table6[[#This Row],[instruction]])),ISNUMBER(SEARCH("ldg", Table6[[#This Row],[instruction]]))), "global", "")</f>
        <v/>
      </c>
      <c r="T335" t="str">
        <f>IF(OR(ISNUMBER(SEARCH("sts", Table6[[#This Row],[instruction]])),ISNUMBER(SEARCH("lds", Table6[[#This Row],[instruction]]))), "shared", "")</f>
        <v/>
      </c>
      <c r="U335" t="str">
        <f>IF(OR(ISNUMBER(SEARCH("LDC", Table6[[#This Row],[instruction]]))), "ind. const", "")</f>
        <v/>
      </c>
      <c r="V3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Row],[s5]]))),U335=""), "cmb. const", "")</f>
        <v/>
      </c>
      <c r="Y335">
        <f>IF(Table6[[#This Row],[pipeline]]="fma",Table6[[#This Row],[delay]],0)</f>
        <v>0</v>
      </c>
      <c r="Z335">
        <f>IF(AND(Table6[[#This Row],[pipeline]]="fma",W335="new"),290,0)</f>
        <v>0</v>
      </c>
      <c r="AK335" s="34"/>
    </row>
    <row r="336" spans="1:37" ht="17" x14ac:dyDescent="0.2">
      <c r="A336" s="31">
        <f>IF(Table6[[#This Row],[instruction]]&lt;&gt;"",MAX($A$6:A335)+1," ")</f>
        <v>331</v>
      </c>
      <c r="B336" s="32" t="s">
        <v>644</v>
      </c>
      <c r="C336" t="s">
        <v>14</v>
      </c>
      <c r="D336" s="31" t="s">
        <v>654</v>
      </c>
      <c r="E336" s="31" t="s">
        <v>654</v>
      </c>
      <c r="F336" s="31" t="s">
        <v>579</v>
      </c>
      <c r="G336" s="31" t="s">
        <v>656</v>
      </c>
      <c r="K336" s="2" t="str">
        <f t="shared" si="5"/>
        <v>fma</v>
      </c>
      <c r="L336" cm="1">
        <f t="array" ref="L3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6" t="str">
        <f>IF(OR(ISNUMBER(SEARCH("imad", Table6[[#This Row],[instruction]])), ISNUMBER(SEARCH("ffma", Table6[[#This Row],[instruction]])), ISNUMBER(SEARCH("fmul", Table6[[#This Row],[instruction]]))), "fma", "")</f>
        <v>fma</v>
      </c>
      <c r="P3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6" t="str">
        <f>IF(OR(ISNUMBER(SEARCH("s2r", Table6[[#This Row],[instruction]])),ISNUMBER(SEARCH("s2ur", Table6[[#This Row],[instruction]]))), "special", "")</f>
        <v/>
      </c>
      <c r="S336" t="str">
        <f>IF(OR(ISNUMBER(SEARCH("stg", Table6[[#This Row],[instruction]])),ISNUMBER(SEARCH("ldg", Table6[[#This Row],[instruction]]))), "global", "")</f>
        <v/>
      </c>
      <c r="T336" t="str">
        <f>IF(OR(ISNUMBER(SEARCH("sts", Table6[[#This Row],[instruction]])),ISNUMBER(SEARCH("lds", Table6[[#This Row],[instruction]]))), "shared", "")</f>
        <v/>
      </c>
      <c r="U336" t="str">
        <f>IF(OR(ISNUMBER(SEARCH("LDC", Table6[[#This Row],[instruction]]))), "ind. const", "")</f>
        <v/>
      </c>
      <c r="V3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Row],[s5]]))),U336=""), "cmb. const", "")</f>
        <v/>
      </c>
      <c r="Y336">
        <f>IF(Table6[[#This Row],[pipeline]]="fma",Table6[[#This Row],[delay]],0)</f>
        <v>4</v>
      </c>
      <c r="Z336">
        <f>IF(AND(Table6[[#This Row],[pipeline]]="fma",W336="new"),290,0)</f>
        <v>0</v>
      </c>
      <c r="AK336" s="34"/>
    </row>
    <row r="337" spans="1:37" ht="17" x14ac:dyDescent="0.2">
      <c r="A337" s="31">
        <f>IF(Table6[[#This Row],[instruction]]&lt;&gt;"",MAX($A$6:A336)+1," ")</f>
        <v>332</v>
      </c>
      <c r="B337" s="32" t="s">
        <v>644</v>
      </c>
      <c r="C337" t="s">
        <v>0</v>
      </c>
      <c r="D337" s="31" t="s">
        <v>567</v>
      </c>
      <c r="E337" s="31" t="s">
        <v>548</v>
      </c>
      <c r="K337" s="2" t="str">
        <f t="shared" si="5"/>
        <v/>
      </c>
      <c r="L337" cm="1">
        <f t="array" ref="L3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37" t="str">
        <f>IF(OR(ISNUMBER(SEARCH("imad", Table6[[#This Row],[instruction]])), ISNUMBER(SEARCH("ffma", Table6[[#This Row],[instruction]])), ISNUMBER(SEARCH("fmul", Table6[[#This Row],[instruction]]))), "fma", "")</f>
        <v/>
      </c>
      <c r="P3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7" t="str">
        <f>IF(OR(ISNUMBER(SEARCH("s2r", Table6[[#This Row],[instruction]])),ISNUMBER(SEARCH("s2ur", Table6[[#This Row],[instruction]]))), "special", "")</f>
        <v/>
      </c>
      <c r="S337" t="str">
        <f>IF(OR(ISNUMBER(SEARCH("stg", Table6[[#This Row],[instruction]])),ISNUMBER(SEARCH("ldg", Table6[[#This Row],[instruction]]))), "global", "")</f>
        <v/>
      </c>
      <c r="T337" t="str">
        <f>IF(OR(ISNUMBER(SEARCH("sts", Table6[[#This Row],[instruction]])),ISNUMBER(SEARCH("lds", Table6[[#This Row],[instruction]]))), "shared", "")</f>
        <v/>
      </c>
      <c r="U337" t="str">
        <f>IF(OR(ISNUMBER(SEARCH("LDC", Table6[[#This Row],[instruction]]))), "ind. const", "")</f>
        <v/>
      </c>
      <c r="V3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Row],[s5]]))),U337=""), "cmb. const", "")</f>
        <v/>
      </c>
      <c r="Y337">
        <f>IF(Table6[[#This Row],[pipeline]]="fma",Table6[[#This Row],[delay]],0)</f>
        <v>0</v>
      </c>
      <c r="Z337">
        <f>IF(AND(Table6[[#This Row],[pipeline]]="fma",W337="new"),290,0)</f>
        <v>0</v>
      </c>
      <c r="AK337" s="34"/>
    </row>
    <row r="338" spans="1:37" ht="17" x14ac:dyDescent="0.2">
      <c r="A338" s="31">
        <f>IF(Table6[[#This Row],[instruction]]&lt;&gt;"",MAX($A$6:A337)+1," ")</f>
        <v>333</v>
      </c>
      <c r="B338" s="32" t="s">
        <v>582</v>
      </c>
      <c r="C338" t="s">
        <v>444</v>
      </c>
      <c r="D338" s="31" t="s">
        <v>7</v>
      </c>
      <c r="E338" s="31" t="s">
        <v>587</v>
      </c>
      <c r="K338" s="2" t="str">
        <f t="shared" si="5"/>
        <v>global</v>
      </c>
      <c r="L338" cm="1">
        <f t="array" ref="L3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38" t="str">
        <f>IF(OR(ISNUMBER(SEARCH("imad", Table6[[#This Row],[instruction]])), ISNUMBER(SEARCH("ffma", Table6[[#This Row],[instruction]])), ISNUMBER(SEARCH("fmul", Table6[[#This Row],[instruction]]))), "fma", "")</f>
        <v/>
      </c>
      <c r="P3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8" t="str">
        <f>IF(OR(ISNUMBER(SEARCH("s2r", Table6[[#This Row],[instruction]])),ISNUMBER(SEARCH("s2ur", Table6[[#This Row],[instruction]]))), "special", "")</f>
        <v/>
      </c>
      <c r="S338" t="str">
        <f>IF(OR(ISNUMBER(SEARCH("stg", Table6[[#This Row],[instruction]])),ISNUMBER(SEARCH("ldg", Table6[[#This Row],[instruction]]))), "global", "")</f>
        <v>global</v>
      </c>
      <c r="T338" t="str">
        <f>IF(OR(ISNUMBER(SEARCH("sts", Table6[[#This Row],[instruction]])),ISNUMBER(SEARCH("lds", Table6[[#This Row],[instruction]]))), "shared", "")</f>
        <v/>
      </c>
      <c r="U338" t="str">
        <f>IF(OR(ISNUMBER(SEARCH("LDC", Table6[[#This Row],[instruction]]))), "ind. const", "")</f>
        <v/>
      </c>
      <c r="V3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Row],[s5]]))),U338=""), "cmb. const", "")</f>
        <v/>
      </c>
      <c r="Y338">
        <f>IF(Table6[[#This Row],[pipeline]]="fma",Table6[[#This Row],[delay]],0)</f>
        <v>0</v>
      </c>
      <c r="Z338">
        <f>IF(AND(Table6[[#This Row],[pipeline]]="fma",W338="new"),290,0)</f>
        <v>0</v>
      </c>
      <c r="AK338" s="34"/>
    </row>
    <row r="339" spans="1:37" ht="17" x14ac:dyDescent="0.2">
      <c r="A339" s="31">
        <f>IF(Table6[[#This Row],[instruction]]&lt;&gt;"",MAX($A$6:A338)+1," ")</f>
        <v>334</v>
      </c>
      <c r="B339" s="32" t="s">
        <v>485</v>
      </c>
      <c r="C339" t="s">
        <v>45</v>
      </c>
      <c r="D339" s="31" t="s">
        <v>4</v>
      </c>
      <c r="E339" s="31" t="s">
        <v>8</v>
      </c>
      <c r="F339" s="31" t="s">
        <v>8</v>
      </c>
      <c r="G339" s="31" t="s">
        <v>502</v>
      </c>
      <c r="K339" s="2" t="str">
        <f t="shared" si="5"/>
        <v>fma</v>
      </c>
      <c r="L339" cm="1">
        <f t="array" ref="L3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39" t="str">
        <f>IF(OR(ISNUMBER(SEARCH("imad", Table6[[#This Row],[instruction]])), ISNUMBER(SEARCH("ffma", Table6[[#This Row],[instruction]])), ISNUMBER(SEARCH("fmul", Table6[[#This Row],[instruction]]))), "fma", "")</f>
        <v>fma</v>
      </c>
      <c r="P3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39" t="str">
        <f>IF(OR(ISNUMBER(SEARCH("s2r", Table6[[#This Row],[instruction]])),ISNUMBER(SEARCH("s2ur", Table6[[#This Row],[instruction]]))), "special", "")</f>
        <v/>
      </c>
      <c r="S339" t="str">
        <f>IF(OR(ISNUMBER(SEARCH("stg", Table6[[#This Row],[instruction]])),ISNUMBER(SEARCH("ldg", Table6[[#This Row],[instruction]]))), "global", "")</f>
        <v/>
      </c>
      <c r="T339" t="str">
        <f>IF(OR(ISNUMBER(SEARCH("sts", Table6[[#This Row],[instruction]])),ISNUMBER(SEARCH("lds", Table6[[#This Row],[instruction]]))), "shared", "")</f>
        <v/>
      </c>
      <c r="U339" t="str">
        <f>IF(OR(ISNUMBER(SEARCH("LDC", Table6[[#This Row],[instruction]]))), "ind. const", "")</f>
        <v/>
      </c>
      <c r="V3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Row],[s5]]))),U339=""), "cmb. const", "")</f>
        <v/>
      </c>
      <c r="Y339">
        <f>IF(Table6[[#This Row],[pipeline]]="fma",Table6[[#This Row],[delay]],0)</f>
        <v>4</v>
      </c>
      <c r="Z339">
        <f>IF(AND(Table6[[#This Row],[pipeline]]="fma",W339="new"),290,0)</f>
        <v>0</v>
      </c>
      <c r="AK339" s="34"/>
    </row>
    <row r="340" spans="1:37" ht="17" x14ac:dyDescent="0.2">
      <c r="A340" s="31">
        <f>IF(Table6[[#This Row],[instruction]]&lt;&gt;"",MAX($A$6:A339)+1," ")</f>
        <v>335</v>
      </c>
      <c r="B340" s="32" t="s">
        <v>647</v>
      </c>
      <c r="C340" t="s">
        <v>54</v>
      </c>
      <c r="D340" s="31" t="s">
        <v>649</v>
      </c>
      <c r="E340" s="31" t="s">
        <v>649</v>
      </c>
      <c r="F340" s="31" t="s">
        <v>648</v>
      </c>
      <c r="G340" s="31" t="s">
        <v>581</v>
      </c>
      <c r="K340" s="2" t="str">
        <f t="shared" si="5"/>
        <v>fma</v>
      </c>
      <c r="L340" cm="1">
        <f t="array" ref="L3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40" t="str">
        <f>IF(OR(ISNUMBER(SEARCH("imad", Table6[[#This Row],[instruction]])), ISNUMBER(SEARCH("ffma", Table6[[#This Row],[instruction]])), ISNUMBER(SEARCH("fmul", Table6[[#This Row],[instruction]]))), "fma", "")</f>
        <v>fma</v>
      </c>
      <c r="P3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0" t="str">
        <f>IF(OR(ISNUMBER(SEARCH("s2r", Table6[[#This Row],[instruction]])),ISNUMBER(SEARCH("s2ur", Table6[[#This Row],[instruction]]))), "special", "")</f>
        <v/>
      </c>
      <c r="S340" t="str">
        <f>IF(OR(ISNUMBER(SEARCH("stg", Table6[[#This Row],[instruction]])),ISNUMBER(SEARCH("ldg", Table6[[#This Row],[instruction]]))), "global", "")</f>
        <v/>
      </c>
      <c r="T340" t="str">
        <f>IF(OR(ISNUMBER(SEARCH("sts", Table6[[#This Row],[instruction]])),ISNUMBER(SEARCH("lds", Table6[[#This Row],[instruction]]))), "shared", "")</f>
        <v/>
      </c>
      <c r="U340" t="str">
        <f>IF(OR(ISNUMBER(SEARCH("LDC", Table6[[#This Row],[instruction]]))), "ind. const", "")</f>
        <v/>
      </c>
      <c r="V3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Row],[s5]]))),U340=""), "cmb. const", "")</f>
        <v>cmb. const</v>
      </c>
      <c r="W340" s="2" t="s">
        <v>481</v>
      </c>
      <c r="Y340">
        <f>IF(Table6[[#This Row],[pipeline]]="fma",Table6[[#This Row],[delay]],0)</f>
        <v>4</v>
      </c>
      <c r="Z340">
        <f>IF(AND(Table6[[#This Row],[pipeline]]="fma",W340="new"),290,0)</f>
        <v>0</v>
      </c>
      <c r="AK340" s="34"/>
    </row>
    <row r="341" spans="1:37" ht="17" x14ac:dyDescent="0.2">
      <c r="A341" s="31">
        <f>IF(Table6[[#This Row],[instruction]]&lt;&gt;"",MAX($A$6:A340)+1," ")</f>
        <v>336</v>
      </c>
      <c r="B341" s="32" t="s">
        <v>650</v>
      </c>
      <c r="C341" t="s">
        <v>54</v>
      </c>
      <c r="D341" s="31" t="s">
        <v>651</v>
      </c>
      <c r="E341" s="31" t="s">
        <v>651</v>
      </c>
      <c r="F341" s="31" t="s">
        <v>637</v>
      </c>
      <c r="G341" s="31" t="s">
        <v>581</v>
      </c>
      <c r="K341" s="2" t="str">
        <f t="shared" si="5"/>
        <v>fma</v>
      </c>
      <c r="L341" cm="1">
        <f t="array" ref="L3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41" t="str">
        <f>IF(OR(ISNUMBER(SEARCH("imad", Table6[[#This Row],[instruction]])), ISNUMBER(SEARCH("ffma", Table6[[#This Row],[instruction]])), ISNUMBER(SEARCH("fmul", Table6[[#This Row],[instruction]]))), "fma", "")</f>
        <v>fma</v>
      </c>
      <c r="P3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1" t="str">
        <f>IF(OR(ISNUMBER(SEARCH("s2r", Table6[[#This Row],[instruction]])),ISNUMBER(SEARCH("s2ur", Table6[[#This Row],[instruction]]))), "special", "")</f>
        <v/>
      </c>
      <c r="S341" t="str">
        <f>IF(OR(ISNUMBER(SEARCH("stg", Table6[[#This Row],[instruction]])),ISNUMBER(SEARCH("ldg", Table6[[#This Row],[instruction]]))), "global", "")</f>
        <v/>
      </c>
      <c r="T341" t="str">
        <f>IF(OR(ISNUMBER(SEARCH("sts", Table6[[#This Row],[instruction]])),ISNUMBER(SEARCH("lds", Table6[[#This Row],[instruction]]))), "shared", "")</f>
        <v/>
      </c>
      <c r="U341" t="str">
        <f>IF(OR(ISNUMBER(SEARCH("LDC", Table6[[#This Row],[instruction]]))), "ind. const", "")</f>
        <v/>
      </c>
      <c r="V3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Row],[s5]]))),U341=""), "cmb. const", "")</f>
        <v>cmb. const</v>
      </c>
      <c r="W341" s="2" t="s">
        <v>481</v>
      </c>
      <c r="Y341">
        <f>IF(Table6[[#This Row],[pipeline]]="fma",Table6[[#This Row],[delay]],0)</f>
        <v>4</v>
      </c>
      <c r="Z341">
        <f>IF(AND(Table6[[#This Row],[pipeline]]="fma",W341="new"),290,0)</f>
        <v>0</v>
      </c>
      <c r="AK341" s="34"/>
    </row>
    <row r="342" spans="1:37" ht="17" x14ac:dyDescent="0.2">
      <c r="A342" s="31">
        <f>IF(Table6[[#This Row],[instruction]]&lt;&gt;"",MAX($A$6:A341)+1," ")</f>
        <v>337</v>
      </c>
      <c r="B342" s="32" t="s">
        <v>647</v>
      </c>
      <c r="C342" t="s">
        <v>444</v>
      </c>
      <c r="D342" s="31" t="s">
        <v>574</v>
      </c>
      <c r="E342" s="31" t="s">
        <v>658</v>
      </c>
      <c r="K342" s="2" t="str">
        <f t="shared" si="5"/>
        <v>global</v>
      </c>
      <c r="L342" cm="1">
        <f t="array" ref="L3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42" t="str">
        <f>IF(OR(ISNUMBER(SEARCH("imad", Table6[[#This Row],[instruction]])), ISNUMBER(SEARCH("ffma", Table6[[#This Row],[instruction]])), ISNUMBER(SEARCH("fmul", Table6[[#This Row],[instruction]]))), "fma", "")</f>
        <v/>
      </c>
      <c r="P3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2" t="str">
        <f>IF(OR(ISNUMBER(SEARCH("s2r", Table6[[#This Row],[instruction]])),ISNUMBER(SEARCH("s2ur", Table6[[#This Row],[instruction]]))), "special", "")</f>
        <v/>
      </c>
      <c r="S342" t="str">
        <f>IF(OR(ISNUMBER(SEARCH("stg", Table6[[#This Row],[instruction]])),ISNUMBER(SEARCH("ldg", Table6[[#This Row],[instruction]]))), "global", "")</f>
        <v>global</v>
      </c>
      <c r="T342" t="str">
        <f>IF(OR(ISNUMBER(SEARCH("sts", Table6[[#This Row],[instruction]])),ISNUMBER(SEARCH("lds", Table6[[#This Row],[instruction]]))), "shared", "")</f>
        <v/>
      </c>
      <c r="U342" t="str">
        <f>IF(OR(ISNUMBER(SEARCH("LDC", Table6[[#This Row],[instruction]]))), "ind. const", "")</f>
        <v/>
      </c>
      <c r="V3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Row],[s5]]))),U342=""), "cmb. const", "")</f>
        <v/>
      </c>
      <c r="Y342">
        <f>IF(Table6[[#This Row],[pipeline]]="fma",Table6[[#This Row],[delay]],0)</f>
        <v>0</v>
      </c>
      <c r="Z342">
        <f>IF(AND(Table6[[#This Row],[pipeline]]="fma",W342="new"),290,0)</f>
        <v>0</v>
      </c>
      <c r="AK342" s="34"/>
    </row>
    <row r="343" spans="1:37" ht="17" x14ac:dyDescent="0.2">
      <c r="A343" s="31">
        <f>IF(Table6[[#This Row],[instruction]]&lt;&gt;"",MAX($A$6:A342)+1," ")</f>
        <v>338</v>
      </c>
      <c r="B343" s="32" t="s">
        <v>584</v>
      </c>
      <c r="C343" t="s">
        <v>54</v>
      </c>
      <c r="D343" s="31" t="s">
        <v>84</v>
      </c>
      <c r="E343" s="31" t="s">
        <v>436</v>
      </c>
      <c r="F343" s="31" t="s">
        <v>430</v>
      </c>
      <c r="G343" s="31" t="s">
        <v>550</v>
      </c>
      <c r="K343" s="2" t="str">
        <f t="shared" si="5"/>
        <v>fma</v>
      </c>
      <c r="L343" cm="1">
        <f t="array" ref="L3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43" t="str">
        <f>IF(OR(ISNUMBER(SEARCH("imad", Table6[[#This Row],[instruction]])), ISNUMBER(SEARCH("ffma", Table6[[#This Row],[instruction]])), ISNUMBER(SEARCH("fmul", Table6[[#This Row],[instruction]]))), "fma", "")</f>
        <v>fma</v>
      </c>
      <c r="P3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3" t="str">
        <f>IF(OR(ISNUMBER(SEARCH("s2r", Table6[[#This Row],[instruction]])),ISNUMBER(SEARCH("s2ur", Table6[[#This Row],[instruction]]))), "special", "")</f>
        <v/>
      </c>
      <c r="S343" t="str">
        <f>IF(OR(ISNUMBER(SEARCH("stg", Table6[[#This Row],[instruction]])),ISNUMBER(SEARCH("ldg", Table6[[#This Row],[instruction]]))), "global", "")</f>
        <v/>
      </c>
      <c r="T343" t="str">
        <f>IF(OR(ISNUMBER(SEARCH("sts", Table6[[#This Row],[instruction]])),ISNUMBER(SEARCH("lds", Table6[[#This Row],[instruction]]))), "shared", "")</f>
        <v/>
      </c>
      <c r="U343" t="str">
        <f>IF(OR(ISNUMBER(SEARCH("LDC", Table6[[#This Row],[instruction]]))), "ind. const", "")</f>
        <v/>
      </c>
      <c r="V3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Row],[s5]]))),U343=""), "cmb. const", "")</f>
        <v>cmb. const</v>
      </c>
      <c r="W343" s="2" t="s">
        <v>481</v>
      </c>
      <c r="Y343">
        <f>IF(Table6[[#This Row],[pipeline]]="fma",Table6[[#This Row],[delay]],0)</f>
        <v>4</v>
      </c>
      <c r="Z343">
        <f>IF(AND(Table6[[#This Row],[pipeline]]="fma",W343="new"),290,0)</f>
        <v>0</v>
      </c>
      <c r="AK343" s="34"/>
    </row>
    <row r="344" spans="1:37" ht="17" x14ac:dyDescent="0.2">
      <c r="A344" s="31">
        <f>IF(Table6[[#This Row],[instruction]]&lt;&gt;"",MAX($A$6:A343)+1," ")</f>
        <v>339</v>
      </c>
      <c r="B344" s="32" t="s">
        <v>650</v>
      </c>
      <c r="C344" t="s">
        <v>444</v>
      </c>
      <c r="D344" s="31" t="s">
        <v>573</v>
      </c>
      <c r="E344" s="31" t="s">
        <v>659</v>
      </c>
      <c r="K344" s="2" t="str">
        <f t="shared" si="5"/>
        <v>global</v>
      </c>
      <c r="L344" cm="1">
        <f t="array" ref="L3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44" t="str">
        <f>IF(OR(ISNUMBER(SEARCH("imad", Table6[[#This Row],[instruction]])), ISNUMBER(SEARCH("ffma", Table6[[#This Row],[instruction]])), ISNUMBER(SEARCH("fmul", Table6[[#This Row],[instruction]]))), "fma", "")</f>
        <v/>
      </c>
      <c r="P3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4" t="str">
        <f>IF(OR(ISNUMBER(SEARCH("s2r", Table6[[#This Row],[instruction]])),ISNUMBER(SEARCH("s2ur", Table6[[#This Row],[instruction]]))), "special", "")</f>
        <v/>
      </c>
      <c r="S344" t="str">
        <f>IF(OR(ISNUMBER(SEARCH("stg", Table6[[#This Row],[instruction]])),ISNUMBER(SEARCH("ldg", Table6[[#This Row],[instruction]]))), "global", "")</f>
        <v>global</v>
      </c>
      <c r="T344" t="str">
        <f>IF(OR(ISNUMBER(SEARCH("sts", Table6[[#This Row],[instruction]])),ISNUMBER(SEARCH("lds", Table6[[#This Row],[instruction]]))), "shared", "")</f>
        <v/>
      </c>
      <c r="U344" t="str">
        <f>IF(OR(ISNUMBER(SEARCH("LDC", Table6[[#This Row],[instruction]]))), "ind. const", "")</f>
        <v/>
      </c>
      <c r="V3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Row],[s5]]))),U344=""), "cmb. const", "")</f>
        <v/>
      </c>
      <c r="Y344">
        <f>IF(Table6[[#This Row],[pipeline]]="fma",Table6[[#This Row],[delay]],0)</f>
        <v>0</v>
      </c>
      <c r="Z344">
        <f>IF(AND(Table6[[#This Row],[pipeline]]="fma",W344="new"),290,0)</f>
        <v>0</v>
      </c>
      <c r="AK344" s="34"/>
    </row>
    <row r="345" spans="1:37" ht="17" x14ac:dyDescent="0.2">
      <c r="A345" s="31">
        <f>IF(Table6[[#This Row],[instruction]]&lt;&gt;"",MAX($A$6:A344)+1," ")</f>
        <v>340</v>
      </c>
      <c r="B345" s="32" t="s">
        <v>644</v>
      </c>
      <c r="C345" t="s">
        <v>54</v>
      </c>
      <c r="D345" s="31" t="s">
        <v>654</v>
      </c>
      <c r="E345" s="31" t="s">
        <v>654</v>
      </c>
      <c r="F345" s="31" t="s">
        <v>567</v>
      </c>
      <c r="G345" s="31" t="s">
        <v>581</v>
      </c>
      <c r="K345" s="2" t="str">
        <f t="shared" si="5"/>
        <v>fma</v>
      </c>
      <c r="L345" cm="1">
        <f t="array" ref="L3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45" t="str">
        <f>IF(OR(ISNUMBER(SEARCH("imad", Table6[[#This Row],[instruction]])), ISNUMBER(SEARCH("ffma", Table6[[#This Row],[instruction]])), ISNUMBER(SEARCH("fmul", Table6[[#This Row],[instruction]]))), "fma", "")</f>
        <v>fma</v>
      </c>
      <c r="P3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5" t="str">
        <f>IF(OR(ISNUMBER(SEARCH("s2r", Table6[[#This Row],[instruction]])),ISNUMBER(SEARCH("s2ur", Table6[[#This Row],[instruction]]))), "special", "")</f>
        <v/>
      </c>
      <c r="S345" t="str">
        <f>IF(OR(ISNUMBER(SEARCH("stg", Table6[[#This Row],[instruction]])),ISNUMBER(SEARCH("ldg", Table6[[#This Row],[instruction]]))), "global", "")</f>
        <v/>
      </c>
      <c r="T345" t="str">
        <f>IF(OR(ISNUMBER(SEARCH("sts", Table6[[#This Row],[instruction]])),ISNUMBER(SEARCH("lds", Table6[[#This Row],[instruction]]))), "shared", "")</f>
        <v/>
      </c>
      <c r="U345" t="str">
        <f>IF(OR(ISNUMBER(SEARCH("LDC", Table6[[#This Row],[instruction]]))), "ind. const", "")</f>
        <v/>
      </c>
      <c r="V3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Row],[s5]]))),U345=""), "cmb. const", "")</f>
        <v>cmb. const</v>
      </c>
      <c r="W345" s="2" t="s">
        <v>481</v>
      </c>
      <c r="Y345">
        <f>IF(Table6[[#This Row],[pipeline]]="fma",Table6[[#This Row],[delay]],0)</f>
        <v>4</v>
      </c>
      <c r="Z345">
        <f>IF(AND(Table6[[#This Row],[pipeline]]="fma",W345="new"),290,0)</f>
        <v>0</v>
      </c>
      <c r="AK345" s="34"/>
    </row>
    <row r="346" spans="1:37" ht="17" x14ac:dyDescent="0.2">
      <c r="A346" s="31">
        <f>IF(Table6[[#This Row],[instruction]]&lt;&gt;"",MAX($A$6:A345)+1," ")</f>
        <v>341</v>
      </c>
      <c r="B346" s="32" t="s">
        <v>584</v>
      </c>
      <c r="C346" t="s">
        <v>444</v>
      </c>
      <c r="D346" s="31" t="s">
        <v>4</v>
      </c>
      <c r="E346" s="31" t="s">
        <v>587</v>
      </c>
      <c r="K346" s="2" t="str">
        <f t="shared" si="5"/>
        <v>global</v>
      </c>
      <c r="L346" cm="1">
        <f t="array" ref="L3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46" t="str">
        <f>IF(OR(ISNUMBER(SEARCH("imad", Table6[[#This Row],[instruction]])), ISNUMBER(SEARCH("ffma", Table6[[#This Row],[instruction]])), ISNUMBER(SEARCH("fmul", Table6[[#This Row],[instruction]]))), "fma", "")</f>
        <v/>
      </c>
      <c r="P3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6" t="str">
        <f>IF(OR(ISNUMBER(SEARCH("s2r", Table6[[#This Row],[instruction]])),ISNUMBER(SEARCH("s2ur", Table6[[#This Row],[instruction]]))), "special", "")</f>
        <v/>
      </c>
      <c r="S346" t="str">
        <f>IF(OR(ISNUMBER(SEARCH("stg", Table6[[#This Row],[instruction]])),ISNUMBER(SEARCH("ldg", Table6[[#This Row],[instruction]]))), "global", "")</f>
        <v>global</v>
      </c>
      <c r="T346" t="str">
        <f>IF(OR(ISNUMBER(SEARCH("sts", Table6[[#This Row],[instruction]])),ISNUMBER(SEARCH("lds", Table6[[#This Row],[instruction]]))), "shared", "")</f>
        <v/>
      </c>
      <c r="U346" t="str">
        <f>IF(OR(ISNUMBER(SEARCH("LDC", Table6[[#This Row],[instruction]]))), "ind. const", "")</f>
        <v/>
      </c>
      <c r="V3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Row],[s5]]))),U346=""), "cmb. const", "")</f>
        <v/>
      </c>
      <c r="Y346">
        <f>IF(Table6[[#This Row],[pipeline]]="fma",Table6[[#This Row],[delay]],0)</f>
        <v>0</v>
      </c>
      <c r="Z346">
        <f>IF(AND(Table6[[#This Row],[pipeline]]="fma",W346="new"),290,0)</f>
        <v>0</v>
      </c>
      <c r="AK346" s="34"/>
    </row>
    <row r="347" spans="1:37" ht="17" x14ac:dyDescent="0.2">
      <c r="A347" s="31">
        <f>IF(Table6[[#This Row],[instruction]]&lt;&gt;"",MAX($A$6:A346)+1," ")</f>
        <v>342</v>
      </c>
      <c r="B347" s="32" t="s">
        <v>580</v>
      </c>
      <c r="C347" t="s">
        <v>54</v>
      </c>
      <c r="D347" s="31" t="s">
        <v>655</v>
      </c>
      <c r="E347" s="31" t="s">
        <v>594</v>
      </c>
      <c r="F347" s="31" t="s">
        <v>655</v>
      </c>
      <c r="G347" s="31" t="s">
        <v>581</v>
      </c>
      <c r="K347" s="2" t="str">
        <f t="shared" si="5"/>
        <v>fma</v>
      </c>
      <c r="L347" cm="1">
        <f t="array" ref="L3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47" t="str">
        <f>IF(OR(ISNUMBER(SEARCH("imad", Table6[[#This Row],[instruction]])), ISNUMBER(SEARCH("ffma", Table6[[#This Row],[instruction]])), ISNUMBER(SEARCH("fmul", Table6[[#This Row],[instruction]]))), "fma", "")</f>
        <v>fma</v>
      </c>
      <c r="P3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7" t="str">
        <f>IF(OR(ISNUMBER(SEARCH("s2r", Table6[[#This Row],[instruction]])),ISNUMBER(SEARCH("s2ur", Table6[[#This Row],[instruction]]))), "special", "")</f>
        <v/>
      </c>
      <c r="S347" t="str">
        <f>IF(OR(ISNUMBER(SEARCH("stg", Table6[[#This Row],[instruction]])),ISNUMBER(SEARCH("ldg", Table6[[#This Row],[instruction]]))), "global", "")</f>
        <v/>
      </c>
      <c r="T347" t="str">
        <f>IF(OR(ISNUMBER(SEARCH("sts", Table6[[#This Row],[instruction]])),ISNUMBER(SEARCH("lds", Table6[[#This Row],[instruction]]))), "shared", "")</f>
        <v/>
      </c>
      <c r="U347" t="str">
        <f>IF(OR(ISNUMBER(SEARCH("LDC", Table6[[#This Row],[instruction]]))), "ind. const", "")</f>
        <v/>
      </c>
      <c r="V3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Row],[s5]]))),U347=""), "cmb. const", "")</f>
        <v>cmb. const</v>
      </c>
      <c r="W347" s="2" t="s">
        <v>481</v>
      </c>
      <c r="Y347">
        <f>IF(Table6[[#This Row],[pipeline]]="fma",Table6[[#This Row],[delay]],0)</f>
        <v>4</v>
      </c>
      <c r="Z347">
        <f>IF(AND(Table6[[#This Row],[pipeline]]="fma",W347="new"),290,0)</f>
        <v>0</v>
      </c>
      <c r="AK347" s="34"/>
    </row>
    <row r="348" spans="1:37" ht="17" x14ac:dyDescent="0.2">
      <c r="A348" s="31">
        <f>IF(Table6[[#This Row],[instruction]]&lt;&gt;"",MAX($A$6:A347)+1," ")</f>
        <v>343</v>
      </c>
      <c r="B348" s="32" t="s">
        <v>644</v>
      </c>
      <c r="C348" t="s">
        <v>444</v>
      </c>
      <c r="D348" s="31" t="s">
        <v>572</v>
      </c>
      <c r="E348" s="31" t="s">
        <v>660</v>
      </c>
      <c r="K348" s="2" t="str">
        <f t="shared" si="5"/>
        <v>global</v>
      </c>
      <c r="L348" cm="1">
        <f t="array" ref="L3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48" t="str">
        <f>IF(OR(ISNUMBER(SEARCH("imad", Table6[[#This Row],[instruction]])), ISNUMBER(SEARCH("ffma", Table6[[#This Row],[instruction]])), ISNUMBER(SEARCH("fmul", Table6[[#This Row],[instruction]]))), "fma", "")</f>
        <v/>
      </c>
      <c r="P3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8" t="str">
        <f>IF(OR(ISNUMBER(SEARCH("s2r", Table6[[#This Row],[instruction]])),ISNUMBER(SEARCH("s2ur", Table6[[#This Row],[instruction]]))), "special", "")</f>
        <v/>
      </c>
      <c r="S348" t="str">
        <f>IF(OR(ISNUMBER(SEARCH("stg", Table6[[#This Row],[instruction]])),ISNUMBER(SEARCH("ldg", Table6[[#This Row],[instruction]]))), "global", "")</f>
        <v>global</v>
      </c>
      <c r="T348" t="str">
        <f>IF(OR(ISNUMBER(SEARCH("sts", Table6[[#This Row],[instruction]])),ISNUMBER(SEARCH("lds", Table6[[#This Row],[instruction]]))), "shared", "")</f>
        <v/>
      </c>
      <c r="U348" t="str">
        <f>IF(OR(ISNUMBER(SEARCH("LDC", Table6[[#This Row],[instruction]]))), "ind. const", "")</f>
        <v/>
      </c>
      <c r="V3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Row],[s5]]))),U348=""), "cmb. const", "")</f>
        <v/>
      </c>
      <c r="Y348">
        <f>IF(Table6[[#This Row],[pipeline]]="fma",Table6[[#This Row],[delay]],0)</f>
        <v>0</v>
      </c>
      <c r="Z348">
        <f>IF(AND(Table6[[#This Row],[pipeline]]="fma",W348="new"),290,0)</f>
        <v>0</v>
      </c>
      <c r="AK348" s="34"/>
    </row>
    <row r="349" spans="1:37" ht="17" x14ac:dyDescent="0.2">
      <c r="A349" s="31">
        <f>IF(Table6[[#This Row],[instruction]]&lt;&gt;"",MAX($A$6:A348)+1," ")</f>
        <v>344</v>
      </c>
      <c r="B349" s="32" t="s">
        <v>580</v>
      </c>
      <c r="C349" t="s">
        <v>444</v>
      </c>
      <c r="D349" s="31" t="s">
        <v>569</v>
      </c>
      <c r="E349" s="31" t="s">
        <v>661</v>
      </c>
      <c r="K349" s="2" t="str">
        <f t="shared" si="5"/>
        <v>global</v>
      </c>
      <c r="L349" cm="1">
        <f t="array" ref="L3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349" t="str">
        <f>IF(OR(ISNUMBER(SEARCH("imad", Table6[[#This Row],[instruction]])), ISNUMBER(SEARCH("ffma", Table6[[#This Row],[instruction]])), ISNUMBER(SEARCH("fmul", Table6[[#This Row],[instruction]]))), "fma", "")</f>
        <v/>
      </c>
      <c r="P3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49" t="str">
        <f>IF(OR(ISNUMBER(SEARCH("s2r", Table6[[#This Row],[instruction]])),ISNUMBER(SEARCH("s2ur", Table6[[#This Row],[instruction]]))), "special", "")</f>
        <v/>
      </c>
      <c r="S349" t="str">
        <f>IF(OR(ISNUMBER(SEARCH("stg", Table6[[#This Row],[instruction]])),ISNUMBER(SEARCH("ldg", Table6[[#This Row],[instruction]]))), "global", "")</f>
        <v>global</v>
      </c>
      <c r="T349" t="str">
        <f>IF(OR(ISNUMBER(SEARCH("sts", Table6[[#This Row],[instruction]])),ISNUMBER(SEARCH("lds", Table6[[#This Row],[instruction]]))), "shared", "")</f>
        <v/>
      </c>
      <c r="U349" t="str">
        <f>IF(OR(ISNUMBER(SEARCH("LDC", Table6[[#This Row],[instruction]]))), "ind. const", "")</f>
        <v/>
      </c>
      <c r="V3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Row],[s5]]))),U349=""), "cmb. const", "")</f>
        <v/>
      </c>
      <c r="Y349">
        <f>IF(Table6[[#This Row],[pipeline]]="fma",Table6[[#This Row],[delay]],0)</f>
        <v>0</v>
      </c>
      <c r="Z349">
        <f>IF(AND(Table6[[#This Row],[pipeline]]="fma",W349="new"),290,0)</f>
        <v>0</v>
      </c>
      <c r="AK349" s="34"/>
    </row>
    <row r="350" spans="1:37" ht="17" x14ac:dyDescent="0.2">
      <c r="A350" s="31">
        <f>IF(Table6[[#This Row],[instruction]]&lt;&gt;"",MAX($A$6:A349)+1," ")</f>
        <v>345</v>
      </c>
      <c r="B350" s="32" t="s">
        <v>485</v>
      </c>
      <c r="C350" t="s">
        <v>626</v>
      </c>
      <c r="D350" s="31" t="s">
        <v>84</v>
      </c>
      <c r="E350" s="31" t="s">
        <v>662</v>
      </c>
      <c r="K350" s="2" t="str">
        <f t="shared" si="5"/>
        <v>shared</v>
      </c>
      <c r="L350" cm="1">
        <f t="array" ref="L3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50" t="str">
        <f>IF(OR(ISNUMBER(SEARCH("imad", Table6[[#This Row],[instruction]])), ISNUMBER(SEARCH("ffma", Table6[[#This Row],[instruction]])), ISNUMBER(SEARCH("fmul", Table6[[#This Row],[instruction]]))), "fma", "")</f>
        <v/>
      </c>
      <c r="P3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0" t="str">
        <f>IF(OR(ISNUMBER(SEARCH("s2r", Table6[[#This Row],[instruction]])),ISNUMBER(SEARCH("s2ur", Table6[[#This Row],[instruction]]))), "special", "")</f>
        <v/>
      </c>
      <c r="S350" t="str">
        <f>IF(OR(ISNUMBER(SEARCH("stg", Table6[[#This Row],[instruction]])),ISNUMBER(SEARCH("ldg", Table6[[#This Row],[instruction]]))), "global", "")</f>
        <v/>
      </c>
      <c r="T350" t="str">
        <f>IF(OR(ISNUMBER(SEARCH("sts", Table6[[#This Row],[instruction]])),ISNUMBER(SEARCH("lds", Table6[[#This Row],[instruction]]))), "shared", "")</f>
        <v>shared</v>
      </c>
      <c r="U350" t="str">
        <f>IF(OR(ISNUMBER(SEARCH("LDC", Table6[[#This Row],[instruction]]))), "ind. const", "")</f>
        <v/>
      </c>
      <c r="V3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Row],[s5]]))),U350=""), "cmb. const", "")</f>
        <v/>
      </c>
      <c r="Y350">
        <f>IF(Table6[[#This Row],[pipeline]]="fma",Table6[[#This Row],[delay]],0)</f>
        <v>0</v>
      </c>
      <c r="Z350">
        <f>IF(AND(Table6[[#This Row],[pipeline]]="fma",W350="new"),290,0)</f>
        <v>0</v>
      </c>
      <c r="AK350" s="34"/>
    </row>
    <row r="351" spans="1:37" ht="17" x14ac:dyDescent="0.2">
      <c r="A351" s="31">
        <f>IF(Table6[[#This Row],[instruction]]&lt;&gt;"",MAX($A$6:A350)+1," ")</f>
        <v>346</v>
      </c>
      <c r="B351" s="32" t="s">
        <v>485</v>
      </c>
      <c r="C351" t="s">
        <v>626</v>
      </c>
      <c r="D351" s="31" t="s">
        <v>440</v>
      </c>
      <c r="E351" s="31" t="s">
        <v>663</v>
      </c>
      <c r="K351" s="2" t="str">
        <f t="shared" si="5"/>
        <v>shared</v>
      </c>
      <c r="L351" cm="1">
        <f t="array" ref="L3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51" t="str">
        <f>IF(OR(ISNUMBER(SEARCH("imad", Table6[[#This Row],[instruction]])), ISNUMBER(SEARCH("ffma", Table6[[#This Row],[instruction]])), ISNUMBER(SEARCH("fmul", Table6[[#This Row],[instruction]]))), "fma", "")</f>
        <v/>
      </c>
      <c r="P3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1" t="str">
        <f>IF(OR(ISNUMBER(SEARCH("s2r", Table6[[#This Row],[instruction]])),ISNUMBER(SEARCH("s2ur", Table6[[#This Row],[instruction]]))), "special", "")</f>
        <v/>
      </c>
      <c r="S351" t="str">
        <f>IF(OR(ISNUMBER(SEARCH("stg", Table6[[#This Row],[instruction]])),ISNUMBER(SEARCH("ldg", Table6[[#This Row],[instruction]]))), "global", "")</f>
        <v/>
      </c>
      <c r="T351" t="str">
        <f>IF(OR(ISNUMBER(SEARCH("sts", Table6[[#This Row],[instruction]])),ISNUMBER(SEARCH("lds", Table6[[#This Row],[instruction]]))), "shared", "")</f>
        <v>shared</v>
      </c>
      <c r="U351" t="str">
        <f>IF(OR(ISNUMBER(SEARCH("LDC", Table6[[#This Row],[instruction]]))), "ind. const", "")</f>
        <v/>
      </c>
      <c r="V3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Row],[s5]]))),U351=""), "cmb. const", "")</f>
        <v/>
      </c>
      <c r="Y351">
        <f>IF(Table6[[#This Row],[pipeline]]="fma",Table6[[#This Row],[delay]],0)</f>
        <v>0</v>
      </c>
      <c r="Z351">
        <f>IF(AND(Table6[[#This Row],[pipeline]]="fma",W351="new"),290,0)</f>
        <v>0</v>
      </c>
      <c r="AK351" s="34"/>
    </row>
    <row r="352" spans="1:37" ht="17" x14ac:dyDescent="0.2">
      <c r="A352" s="31">
        <f>IF(Table6[[#This Row],[instruction]]&lt;&gt;"",MAX($A$6:A351)+1," ")</f>
        <v>347</v>
      </c>
      <c r="B352" s="32" t="s">
        <v>485</v>
      </c>
      <c r="C352" t="s">
        <v>626</v>
      </c>
      <c r="D352" s="31" t="s">
        <v>654</v>
      </c>
      <c r="E352" s="31" t="s">
        <v>664</v>
      </c>
      <c r="K352" s="2" t="str">
        <f t="shared" si="5"/>
        <v>shared</v>
      </c>
      <c r="L352" cm="1">
        <f t="array" ref="L3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52" t="str">
        <f>IF(OR(ISNUMBER(SEARCH("imad", Table6[[#This Row],[instruction]])), ISNUMBER(SEARCH("ffma", Table6[[#This Row],[instruction]])), ISNUMBER(SEARCH("fmul", Table6[[#This Row],[instruction]]))), "fma", "")</f>
        <v/>
      </c>
      <c r="P3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2" t="str">
        <f>IF(OR(ISNUMBER(SEARCH("s2r", Table6[[#This Row],[instruction]])),ISNUMBER(SEARCH("s2ur", Table6[[#This Row],[instruction]]))), "special", "")</f>
        <v/>
      </c>
      <c r="S352" t="str">
        <f>IF(OR(ISNUMBER(SEARCH("stg", Table6[[#This Row],[instruction]])),ISNUMBER(SEARCH("ldg", Table6[[#This Row],[instruction]]))), "global", "")</f>
        <v/>
      </c>
      <c r="T352" t="str">
        <f>IF(OR(ISNUMBER(SEARCH("sts", Table6[[#This Row],[instruction]])),ISNUMBER(SEARCH("lds", Table6[[#This Row],[instruction]]))), "shared", "")</f>
        <v>shared</v>
      </c>
      <c r="U352" t="str">
        <f>IF(OR(ISNUMBER(SEARCH("LDC", Table6[[#This Row],[instruction]]))), "ind. const", "")</f>
        <v/>
      </c>
      <c r="V3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Row],[s5]]))),U352=""), "cmb. const", "")</f>
        <v/>
      </c>
      <c r="Y352">
        <f>IF(Table6[[#This Row],[pipeline]]="fma",Table6[[#This Row],[delay]],0)</f>
        <v>0</v>
      </c>
      <c r="Z352">
        <f>IF(AND(Table6[[#This Row],[pipeline]]="fma",W352="new"),290,0)</f>
        <v>0</v>
      </c>
      <c r="AK352" s="34"/>
    </row>
    <row r="353" spans="1:37" ht="17" x14ac:dyDescent="0.2">
      <c r="A353" s="31">
        <f>IF(Table6[[#This Row],[instruction]]&lt;&gt;"",MAX($A$6:A352)+1," ")</f>
        <v>348</v>
      </c>
      <c r="B353" s="32" t="s">
        <v>485</v>
      </c>
      <c r="C353" t="s">
        <v>70</v>
      </c>
      <c r="D353" s="31" t="s">
        <v>665</v>
      </c>
      <c r="E353" s="31" t="s">
        <v>440</v>
      </c>
      <c r="F353" s="31" t="s">
        <v>84</v>
      </c>
      <c r="G353" s="31" t="s">
        <v>586</v>
      </c>
      <c r="K353" s="2" t="str">
        <f t="shared" si="5"/>
        <v>fma</v>
      </c>
      <c r="L353" cm="1">
        <f t="array" ref="L3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3" t="str">
        <f>IF(OR(ISNUMBER(SEARCH("imad", Table6[[#This Row],[instruction]])), ISNUMBER(SEARCH("ffma", Table6[[#This Row],[instruction]])), ISNUMBER(SEARCH("fmul", Table6[[#This Row],[instruction]]))), "fma", "")</f>
        <v>fma</v>
      </c>
      <c r="P3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3" t="str">
        <f>IF(OR(ISNUMBER(SEARCH("s2r", Table6[[#This Row],[instruction]])),ISNUMBER(SEARCH("s2ur", Table6[[#This Row],[instruction]]))), "special", "")</f>
        <v/>
      </c>
      <c r="S353" t="str">
        <f>IF(OR(ISNUMBER(SEARCH("stg", Table6[[#This Row],[instruction]])),ISNUMBER(SEARCH("ldg", Table6[[#This Row],[instruction]]))), "global", "")</f>
        <v/>
      </c>
      <c r="T353" t="str">
        <f>IF(OR(ISNUMBER(SEARCH("sts", Table6[[#This Row],[instruction]])),ISNUMBER(SEARCH("lds", Table6[[#This Row],[instruction]]))), "shared", "")</f>
        <v/>
      </c>
      <c r="U353" t="str">
        <f>IF(OR(ISNUMBER(SEARCH("LDC", Table6[[#This Row],[instruction]]))), "ind. const", "")</f>
        <v/>
      </c>
      <c r="V3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Row],[s5]]))),U353=""), "cmb. const", "")</f>
        <v/>
      </c>
      <c r="Y353">
        <f>IF(Table6[[#This Row],[pipeline]]="fma",Table6[[#This Row],[delay]],0)</f>
        <v>4</v>
      </c>
      <c r="Z353">
        <f>IF(AND(Table6[[#This Row],[pipeline]]="fma",W353="new"),290,0)</f>
        <v>0</v>
      </c>
      <c r="AK353" s="34"/>
    </row>
    <row r="354" spans="1:37" ht="17" x14ac:dyDescent="0.2">
      <c r="A354" s="31">
        <f>IF(Table6[[#This Row],[instruction]]&lt;&gt;"",MAX($A$6:A353)+1," ")</f>
        <v>349</v>
      </c>
      <c r="B354" s="32" t="s">
        <v>485</v>
      </c>
      <c r="C354" t="s">
        <v>70</v>
      </c>
      <c r="D354" s="31" t="s">
        <v>649</v>
      </c>
      <c r="E354" s="31" t="s">
        <v>440</v>
      </c>
      <c r="F354" s="31" t="s">
        <v>82</v>
      </c>
      <c r="G354" s="31" t="s">
        <v>666</v>
      </c>
      <c r="K354" s="2" t="str">
        <f t="shared" si="5"/>
        <v>fma</v>
      </c>
      <c r="L354" cm="1">
        <f t="array" ref="L3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4" t="str">
        <f>IF(OR(ISNUMBER(SEARCH("imad", Table6[[#This Row],[instruction]])), ISNUMBER(SEARCH("ffma", Table6[[#This Row],[instruction]])), ISNUMBER(SEARCH("fmul", Table6[[#This Row],[instruction]]))), "fma", "")</f>
        <v>fma</v>
      </c>
      <c r="P3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4" t="str">
        <f>IF(OR(ISNUMBER(SEARCH("s2r", Table6[[#This Row],[instruction]])),ISNUMBER(SEARCH("s2ur", Table6[[#This Row],[instruction]]))), "special", "")</f>
        <v/>
      </c>
      <c r="S354" t="str">
        <f>IF(OR(ISNUMBER(SEARCH("stg", Table6[[#This Row],[instruction]])),ISNUMBER(SEARCH("ldg", Table6[[#This Row],[instruction]]))), "global", "")</f>
        <v/>
      </c>
      <c r="T354" t="str">
        <f>IF(OR(ISNUMBER(SEARCH("sts", Table6[[#This Row],[instruction]])),ISNUMBER(SEARCH("lds", Table6[[#This Row],[instruction]]))), "shared", "")</f>
        <v/>
      </c>
      <c r="U354" t="str">
        <f>IF(OR(ISNUMBER(SEARCH("LDC", Table6[[#This Row],[instruction]]))), "ind. const", "")</f>
        <v/>
      </c>
      <c r="V3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Row],[s5]]))),U354=""), "cmb. const", "")</f>
        <v/>
      </c>
      <c r="Y354">
        <f>IF(Table6[[#This Row],[pipeline]]="fma",Table6[[#This Row],[delay]],0)</f>
        <v>4</v>
      </c>
      <c r="Z354">
        <f>IF(AND(Table6[[#This Row],[pipeline]]="fma",W354="new"),290,0)</f>
        <v>0</v>
      </c>
      <c r="AK354" s="34"/>
    </row>
    <row r="355" spans="1:37" ht="17" x14ac:dyDescent="0.2">
      <c r="A355" s="31">
        <f>IF(Table6[[#This Row],[instruction]]&lt;&gt;"",MAX($A$6:A354)+1," ")</f>
        <v>350</v>
      </c>
      <c r="B355" s="32" t="s">
        <v>485</v>
      </c>
      <c r="C355" t="s">
        <v>70</v>
      </c>
      <c r="D355" s="31" t="s">
        <v>648</v>
      </c>
      <c r="E355" s="31" t="s">
        <v>440</v>
      </c>
      <c r="F355" s="31" t="s">
        <v>430</v>
      </c>
      <c r="G355" s="31" t="s">
        <v>667</v>
      </c>
      <c r="K355" s="2" t="str">
        <f t="shared" si="5"/>
        <v>fma</v>
      </c>
      <c r="L355" cm="1">
        <f t="array" ref="L3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5" t="str">
        <f>IF(OR(ISNUMBER(SEARCH("imad", Table6[[#This Row],[instruction]])), ISNUMBER(SEARCH("ffma", Table6[[#This Row],[instruction]])), ISNUMBER(SEARCH("fmul", Table6[[#This Row],[instruction]]))), "fma", "")</f>
        <v>fma</v>
      </c>
      <c r="P3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5" t="str">
        <f>IF(OR(ISNUMBER(SEARCH("s2r", Table6[[#This Row],[instruction]])),ISNUMBER(SEARCH("s2ur", Table6[[#This Row],[instruction]]))), "special", "")</f>
        <v/>
      </c>
      <c r="S355" t="str">
        <f>IF(OR(ISNUMBER(SEARCH("stg", Table6[[#This Row],[instruction]])),ISNUMBER(SEARCH("ldg", Table6[[#This Row],[instruction]]))), "global", "")</f>
        <v/>
      </c>
      <c r="T355" t="str">
        <f>IF(OR(ISNUMBER(SEARCH("sts", Table6[[#This Row],[instruction]])),ISNUMBER(SEARCH("lds", Table6[[#This Row],[instruction]]))), "shared", "")</f>
        <v/>
      </c>
      <c r="U355" t="str">
        <f>IF(OR(ISNUMBER(SEARCH("LDC", Table6[[#This Row],[instruction]]))), "ind. const", "")</f>
        <v/>
      </c>
      <c r="V3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Row],[s5]]))),U355=""), "cmb. const", "")</f>
        <v/>
      </c>
      <c r="Y355">
        <f>IF(Table6[[#This Row],[pipeline]]="fma",Table6[[#This Row],[delay]],0)</f>
        <v>4</v>
      </c>
      <c r="Z355">
        <f>IF(AND(Table6[[#This Row],[pipeline]]="fma",W355="new"),290,0)</f>
        <v>0</v>
      </c>
      <c r="AK355" s="34"/>
    </row>
    <row r="356" spans="1:37" ht="17" x14ac:dyDescent="0.2">
      <c r="A356" s="31">
        <f>IF(Table6[[#This Row],[instruction]]&lt;&gt;"",MAX($A$6:A355)+1," ")</f>
        <v>351</v>
      </c>
      <c r="B356" s="32" t="s">
        <v>485</v>
      </c>
      <c r="C356" t="s">
        <v>70</v>
      </c>
      <c r="D356" s="31" t="s">
        <v>600</v>
      </c>
      <c r="E356" s="31" t="s">
        <v>436</v>
      </c>
      <c r="F356" s="31" t="s">
        <v>84</v>
      </c>
      <c r="G356" s="31" t="s">
        <v>668</v>
      </c>
      <c r="K356" s="2" t="str">
        <f t="shared" si="5"/>
        <v>fma</v>
      </c>
      <c r="L356" cm="1">
        <f t="array" ref="L3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6" t="str">
        <f>IF(OR(ISNUMBER(SEARCH("imad", Table6[[#This Row],[instruction]])), ISNUMBER(SEARCH("ffma", Table6[[#This Row],[instruction]])), ISNUMBER(SEARCH("fmul", Table6[[#This Row],[instruction]]))), "fma", "")</f>
        <v>fma</v>
      </c>
      <c r="P3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6" t="str">
        <f>IF(OR(ISNUMBER(SEARCH("s2r", Table6[[#This Row],[instruction]])),ISNUMBER(SEARCH("s2ur", Table6[[#This Row],[instruction]]))), "special", "")</f>
        <v/>
      </c>
      <c r="S356" t="str">
        <f>IF(OR(ISNUMBER(SEARCH("stg", Table6[[#This Row],[instruction]])),ISNUMBER(SEARCH("ldg", Table6[[#This Row],[instruction]]))), "global", "")</f>
        <v/>
      </c>
      <c r="T356" t="str">
        <f>IF(OR(ISNUMBER(SEARCH("sts", Table6[[#This Row],[instruction]])),ISNUMBER(SEARCH("lds", Table6[[#This Row],[instruction]]))), "shared", "")</f>
        <v/>
      </c>
      <c r="U356" t="str">
        <f>IF(OR(ISNUMBER(SEARCH("LDC", Table6[[#This Row],[instruction]]))), "ind. const", "")</f>
        <v/>
      </c>
      <c r="V3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Row],[s5]]))),U356=""), "cmb. const", "")</f>
        <v/>
      </c>
      <c r="Y356">
        <f>IF(Table6[[#This Row],[pipeline]]="fma",Table6[[#This Row],[delay]],0)</f>
        <v>4</v>
      </c>
      <c r="Z356">
        <f>IF(AND(Table6[[#This Row],[pipeline]]="fma",W356="new"),290,0)</f>
        <v>0</v>
      </c>
      <c r="AK356" s="34"/>
    </row>
    <row r="357" spans="1:37" ht="17" x14ac:dyDescent="0.2">
      <c r="A357" s="31">
        <f>IF(Table6[[#This Row],[instruction]]&lt;&gt;"",MAX($A$6:A356)+1," ")</f>
        <v>352</v>
      </c>
      <c r="B357" s="32" t="s">
        <v>485</v>
      </c>
      <c r="C357" t="s">
        <v>70</v>
      </c>
      <c r="D357" s="31" t="s">
        <v>612</v>
      </c>
      <c r="E357" s="31" t="s">
        <v>439</v>
      </c>
      <c r="F357" s="31" t="s">
        <v>84</v>
      </c>
      <c r="G357" s="31" t="s">
        <v>669</v>
      </c>
      <c r="K357" s="2" t="str">
        <f t="shared" si="5"/>
        <v>fma</v>
      </c>
      <c r="L357" cm="1">
        <f t="array" ref="L3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7" t="str">
        <f>IF(OR(ISNUMBER(SEARCH("imad", Table6[[#This Row],[instruction]])), ISNUMBER(SEARCH("ffma", Table6[[#This Row],[instruction]])), ISNUMBER(SEARCH("fmul", Table6[[#This Row],[instruction]]))), "fma", "")</f>
        <v>fma</v>
      </c>
      <c r="P3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7" t="str">
        <f>IF(OR(ISNUMBER(SEARCH("s2r", Table6[[#This Row],[instruction]])),ISNUMBER(SEARCH("s2ur", Table6[[#This Row],[instruction]]))), "special", "")</f>
        <v/>
      </c>
      <c r="S357" t="str">
        <f>IF(OR(ISNUMBER(SEARCH("stg", Table6[[#This Row],[instruction]])),ISNUMBER(SEARCH("ldg", Table6[[#This Row],[instruction]]))), "global", "")</f>
        <v/>
      </c>
      <c r="T357" t="str">
        <f>IF(OR(ISNUMBER(SEARCH("sts", Table6[[#This Row],[instruction]])),ISNUMBER(SEARCH("lds", Table6[[#This Row],[instruction]]))), "shared", "")</f>
        <v/>
      </c>
      <c r="U357" t="str">
        <f>IF(OR(ISNUMBER(SEARCH("LDC", Table6[[#This Row],[instruction]]))), "ind. const", "")</f>
        <v/>
      </c>
      <c r="V3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Row],[s5]]))),U357=""), "cmb. const", "")</f>
        <v/>
      </c>
      <c r="Y357">
        <f>IF(Table6[[#This Row],[pipeline]]="fma",Table6[[#This Row],[delay]],0)</f>
        <v>4</v>
      </c>
      <c r="Z357">
        <f>IF(AND(Table6[[#This Row],[pipeline]]="fma",W357="new"),290,0)</f>
        <v>0</v>
      </c>
      <c r="AK357" s="34"/>
    </row>
    <row r="358" spans="1:37" ht="17" x14ac:dyDescent="0.2">
      <c r="A358" s="31">
        <f>IF(Table6[[#This Row],[instruction]]&lt;&gt;"",MAX($A$6:A357)+1," ")</f>
        <v>353</v>
      </c>
      <c r="B358" s="32" t="s">
        <v>485</v>
      </c>
      <c r="C358" t="s">
        <v>70</v>
      </c>
      <c r="D358" s="31" t="s">
        <v>609</v>
      </c>
      <c r="E358" s="31" t="s">
        <v>439</v>
      </c>
      <c r="F358" s="31" t="s">
        <v>82</v>
      </c>
      <c r="G358" s="31" t="s">
        <v>670</v>
      </c>
      <c r="K358" s="2" t="str">
        <f t="shared" si="5"/>
        <v>fma</v>
      </c>
      <c r="L358" cm="1">
        <f t="array" ref="L3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8" t="str">
        <f>IF(OR(ISNUMBER(SEARCH("imad", Table6[[#This Row],[instruction]])), ISNUMBER(SEARCH("ffma", Table6[[#This Row],[instruction]])), ISNUMBER(SEARCH("fmul", Table6[[#This Row],[instruction]]))), "fma", "")</f>
        <v>fma</v>
      </c>
      <c r="P3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8" t="str">
        <f>IF(OR(ISNUMBER(SEARCH("s2r", Table6[[#This Row],[instruction]])),ISNUMBER(SEARCH("s2ur", Table6[[#This Row],[instruction]]))), "special", "")</f>
        <v/>
      </c>
      <c r="S358" t="str">
        <f>IF(OR(ISNUMBER(SEARCH("stg", Table6[[#This Row],[instruction]])),ISNUMBER(SEARCH("ldg", Table6[[#This Row],[instruction]]))), "global", "")</f>
        <v/>
      </c>
      <c r="T358" t="str">
        <f>IF(OR(ISNUMBER(SEARCH("sts", Table6[[#This Row],[instruction]])),ISNUMBER(SEARCH("lds", Table6[[#This Row],[instruction]]))), "shared", "")</f>
        <v/>
      </c>
      <c r="U358" t="str">
        <f>IF(OR(ISNUMBER(SEARCH("LDC", Table6[[#This Row],[instruction]]))), "ind. const", "")</f>
        <v/>
      </c>
      <c r="V3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Row],[s5]]))),U358=""), "cmb. const", "")</f>
        <v/>
      </c>
      <c r="Y358">
        <f>IF(Table6[[#This Row],[pipeline]]="fma",Table6[[#This Row],[delay]],0)</f>
        <v>4</v>
      </c>
      <c r="Z358">
        <f>IF(AND(Table6[[#This Row],[pipeline]]="fma",W358="new"),290,0)</f>
        <v>0</v>
      </c>
      <c r="AK358" s="34"/>
    </row>
    <row r="359" spans="1:37" ht="17" x14ac:dyDescent="0.2">
      <c r="A359" s="31">
        <f>IF(Table6[[#This Row],[instruction]]&lt;&gt;"",MAX($A$6:A358)+1," ")</f>
        <v>354</v>
      </c>
      <c r="B359" s="32" t="s">
        <v>485</v>
      </c>
      <c r="C359" t="s">
        <v>70</v>
      </c>
      <c r="D359" s="31" t="s">
        <v>671</v>
      </c>
      <c r="E359" s="31" t="s">
        <v>439</v>
      </c>
      <c r="F359" s="31" t="s">
        <v>430</v>
      </c>
      <c r="G359" s="31" t="s">
        <v>672</v>
      </c>
      <c r="K359" s="2" t="str">
        <f t="shared" si="5"/>
        <v>fma</v>
      </c>
      <c r="L359" cm="1">
        <f t="array" ref="L3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59" t="str">
        <f>IF(OR(ISNUMBER(SEARCH("imad", Table6[[#This Row],[instruction]])), ISNUMBER(SEARCH("ffma", Table6[[#This Row],[instruction]])), ISNUMBER(SEARCH("fmul", Table6[[#This Row],[instruction]]))), "fma", "")</f>
        <v>fma</v>
      </c>
      <c r="P3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59" t="str">
        <f>IF(OR(ISNUMBER(SEARCH("s2r", Table6[[#This Row],[instruction]])),ISNUMBER(SEARCH("s2ur", Table6[[#This Row],[instruction]]))), "special", "")</f>
        <v/>
      </c>
      <c r="S359" t="str">
        <f>IF(OR(ISNUMBER(SEARCH("stg", Table6[[#This Row],[instruction]])),ISNUMBER(SEARCH("ldg", Table6[[#This Row],[instruction]]))), "global", "")</f>
        <v/>
      </c>
      <c r="T359" t="str">
        <f>IF(OR(ISNUMBER(SEARCH("sts", Table6[[#This Row],[instruction]])),ISNUMBER(SEARCH("lds", Table6[[#This Row],[instruction]]))), "shared", "")</f>
        <v/>
      </c>
      <c r="U359" t="str">
        <f>IF(OR(ISNUMBER(SEARCH("LDC", Table6[[#This Row],[instruction]]))), "ind. const", "")</f>
        <v/>
      </c>
      <c r="V3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Row],[s5]]))),U359=""), "cmb. const", "")</f>
        <v/>
      </c>
      <c r="Y359">
        <f>IF(Table6[[#This Row],[pipeline]]="fma",Table6[[#This Row],[delay]],0)</f>
        <v>4</v>
      </c>
      <c r="Z359">
        <f>IF(AND(Table6[[#This Row],[pipeline]]="fma",W359="new"),290,0)</f>
        <v>0</v>
      </c>
      <c r="AK359" s="34"/>
    </row>
    <row r="360" spans="1:37" ht="17" x14ac:dyDescent="0.2">
      <c r="A360" s="31">
        <f>IF(Table6[[#This Row],[instruction]]&lt;&gt;"",MAX($A$6:A359)+1," ")</f>
        <v>355</v>
      </c>
      <c r="B360" s="32" t="s">
        <v>485</v>
      </c>
      <c r="C360" t="s">
        <v>70</v>
      </c>
      <c r="D360" s="31" t="s">
        <v>440</v>
      </c>
      <c r="E360" s="31" t="s">
        <v>440</v>
      </c>
      <c r="F360" s="31" t="s">
        <v>71</v>
      </c>
      <c r="G360" s="31" t="s">
        <v>673</v>
      </c>
      <c r="K360" s="2" t="str">
        <f t="shared" si="5"/>
        <v>fma</v>
      </c>
      <c r="L360" cm="1">
        <f t="array" ref="L3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0" t="str">
        <f>IF(OR(ISNUMBER(SEARCH("imad", Table6[[#This Row],[instruction]])), ISNUMBER(SEARCH("ffma", Table6[[#This Row],[instruction]])), ISNUMBER(SEARCH("fmul", Table6[[#This Row],[instruction]]))), "fma", "")</f>
        <v>fma</v>
      </c>
      <c r="P3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0" t="str">
        <f>IF(OR(ISNUMBER(SEARCH("s2r", Table6[[#This Row],[instruction]])),ISNUMBER(SEARCH("s2ur", Table6[[#This Row],[instruction]]))), "special", "")</f>
        <v/>
      </c>
      <c r="S360" t="str">
        <f>IF(OR(ISNUMBER(SEARCH("stg", Table6[[#This Row],[instruction]])),ISNUMBER(SEARCH("ldg", Table6[[#This Row],[instruction]]))), "global", "")</f>
        <v/>
      </c>
      <c r="T360" t="str">
        <f>IF(OR(ISNUMBER(SEARCH("sts", Table6[[#This Row],[instruction]])),ISNUMBER(SEARCH("lds", Table6[[#This Row],[instruction]]))), "shared", "")</f>
        <v/>
      </c>
      <c r="U360" t="str">
        <f>IF(OR(ISNUMBER(SEARCH("LDC", Table6[[#This Row],[instruction]]))), "ind. const", "")</f>
        <v/>
      </c>
      <c r="V3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Row],[s5]]))),U360=""), "cmb. const", "")</f>
        <v/>
      </c>
      <c r="Y360">
        <f>IF(Table6[[#This Row],[pipeline]]="fma",Table6[[#This Row],[delay]],0)</f>
        <v>4</v>
      </c>
      <c r="Z360">
        <f>IF(AND(Table6[[#This Row],[pipeline]]="fma",W360="new"),290,0)</f>
        <v>0</v>
      </c>
      <c r="AK360" s="34"/>
    </row>
    <row r="361" spans="1:37" ht="17" x14ac:dyDescent="0.2">
      <c r="A361" s="31">
        <f>IF(Table6[[#This Row],[instruction]]&lt;&gt;"",MAX($A$6:A360)+1," ")</f>
        <v>356</v>
      </c>
      <c r="B361" s="32" t="s">
        <v>485</v>
      </c>
      <c r="C361" t="s">
        <v>70</v>
      </c>
      <c r="D361" s="31" t="s">
        <v>439</v>
      </c>
      <c r="E361" s="31" t="s">
        <v>439</v>
      </c>
      <c r="F361" s="31" t="s">
        <v>71</v>
      </c>
      <c r="G361" s="31" t="s">
        <v>674</v>
      </c>
      <c r="K361" s="2" t="str">
        <f t="shared" si="5"/>
        <v>fma</v>
      </c>
      <c r="L361" cm="1">
        <f t="array" ref="L3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1" t="str">
        <f>IF(OR(ISNUMBER(SEARCH("imad", Table6[[#This Row],[instruction]])), ISNUMBER(SEARCH("ffma", Table6[[#This Row],[instruction]])), ISNUMBER(SEARCH("fmul", Table6[[#This Row],[instruction]]))), "fma", "")</f>
        <v>fma</v>
      </c>
      <c r="P3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1" t="str">
        <f>IF(OR(ISNUMBER(SEARCH("s2r", Table6[[#This Row],[instruction]])),ISNUMBER(SEARCH("s2ur", Table6[[#This Row],[instruction]]))), "special", "")</f>
        <v/>
      </c>
      <c r="S361" t="str">
        <f>IF(OR(ISNUMBER(SEARCH("stg", Table6[[#This Row],[instruction]])),ISNUMBER(SEARCH("ldg", Table6[[#This Row],[instruction]]))), "global", "")</f>
        <v/>
      </c>
      <c r="T361" t="str">
        <f>IF(OR(ISNUMBER(SEARCH("sts", Table6[[#This Row],[instruction]])),ISNUMBER(SEARCH("lds", Table6[[#This Row],[instruction]]))), "shared", "")</f>
        <v/>
      </c>
      <c r="U361" t="str">
        <f>IF(OR(ISNUMBER(SEARCH("LDC", Table6[[#This Row],[instruction]]))), "ind. const", "")</f>
        <v/>
      </c>
      <c r="V3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Row],[s5]]))),U361=""), "cmb. const", "")</f>
        <v/>
      </c>
      <c r="Y361">
        <f>IF(Table6[[#This Row],[pipeline]]="fma",Table6[[#This Row],[delay]],0)</f>
        <v>4</v>
      </c>
      <c r="Z361">
        <f>IF(AND(Table6[[#This Row],[pipeline]]="fma",W361="new"),290,0)</f>
        <v>0</v>
      </c>
      <c r="AK361" s="34"/>
    </row>
    <row r="362" spans="1:37" ht="17" x14ac:dyDescent="0.2">
      <c r="A362" s="31">
        <f>IF(Table6[[#This Row],[instruction]]&lt;&gt;"",MAX($A$6:A361)+1," ")</f>
        <v>357</v>
      </c>
      <c r="B362" s="32" t="s">
        <v>485</v>
      </c>
      <c r="C362" t="s">
        <v>626</v>
      </c>
      <c r="D362" s="31" t="s">
        <v>80</v>
      </c>
      <c r="E362" s="31" t="s">
        <v>675</v>
      </c>
      <c r="K362" s="2" t="str">
        <f t="shared" si="5"/>
        <v>shared</v>
      </c>
      <c r="L362" cm="1">
        <f t="array" ref="L3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62" t="str">
        <f>IF(OR(ISNUMBER(SEARCH("imad", Table6[[#This Row],[instruction]])), ISNUMBER(SEARCH("ffma", Table6[[#This Row],[instruction]])), ISNUMBER(SEARCH("fmul", Table6[[#This Row],[instruction]]))), "fma", "")</f>
        <v/>
      </c>
      <c r="P3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2" t="str">
        <f>IF(OR(ISNUMBER(SEARCH("s2r", Table6[[#This Row],[instruction]])),ISNUMBER(SEARCH("s2ur", Table6[[#This Row],[instruction]]))), "special", "")</f>
        <v/>
      </c>
      <c r="S362" t="str">
        <f>IF(OR(ISNUMBER(SEARCH("stg", Table6[[#This Row],[instruction]])),ISNUMBER(SEARCH("ldg", Table6[[#This Row],[instruction]]))), "global", "")</f>
        <v/>
      </c>
      <c r="T362" t="str">
        <f>IF(OR(ISNUMBER(SEARCH("sts", Table6[[#This Row],[instruction]])),ISNUMBER(SEARCH("lds", Table6[[#This Row],[instruction]]))), "shared", "")</f>
        <v>shared</v>
      </c>
      <c r="U362" t="str">
        <f>IF(OR(ISNUMBER(SEARCH("LDC", Table6[[#This Row],[instruction]]))), "ind. const", "")</f>
        <v/>
      </c>
      <c r="V3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Row],[s5]]))),U362=""), "cmb. const", "")</f>
        <v/>
      </c>
      <c r="Y362">
        <f>IF(Table6[[#This Row],[pipeline]]="fma",Table6[[#This Row],[delay]],0)</f>
        <v>0</v>
      </c>
      <c r="Z362">
        <f>IF(AND(Table6[[#This Row],[pipeline]]="fma",W362="new"),290,0)</f>
        <v>0</v>
      </c>
      <c r="AK362" s="34"/>
    </row>
    <row r="363" spans="1:37" ht="17" x14ac:dyDescent="0.2">
      <c r="A363" s="31">
        <f>IF(Table6[[#This Row],[instruction]]&lt;&gt;"",MAX($A$6:A362)+1," ")</f>
        <v>358</v>
      </c>
      <c r="B363" s="32" t="s">
        <v>485</v>
      </c>
      <c r="C363" t="s">
        <v>70</v>
      </c>
      <c r="D363" s="31" t="s">
        <v>84</v>
      </c>
      <c r="E363" s="31" t="s">
        <v>447</v>
      </c>
      <c r="F363" s="31" t="s">
        <v>84</v>
      </c>
      <c r="G363" s="31" t="s">
        <v>676</v>
      </c>
      <c r="K363" s="2" t="str">
        <f t="shared" si="5"/>
        <v>fma</v>
      </c>
      <c r="L363" cm="1">
        <f t="array" ref="L3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3" t="str">
        <f>IF(OR(ISNUMBER(SEARCH("imad", Table6[[#This Row],[instruction]])), ISNUMBER(SEARCH("ffma", Table6[[#This Row],[instruction]])), ISNUMBER(SEARCH("fmul", Table6[[#This Row],[instruction]]))), "fma", "")</f>
        <v>fma</v>
      </c>
      <c r="P3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3" t="str">
        <f>IF(OR(ISNUMBER(SEARCH("s2r", Table6[[#This Row],[instruction]])),ISNUMBER(SEARCH("s2ur", Table6[[#This Row],[instruction]]))), "special", "")</f>
        <v/>
      </c>
      <c r="S363" t="str">
        <f>IF(OR(ISNUMBER(SEARCH("stg", Table6[[#This Row],[instruction]])),ISNUMBER(SEARCH("ldg", Table6[[#This Row],[instruction]]))), "global", "")</f>
        <v/>
      </c>
      <c r="T363" t="str">
        <f>IF(OR(ISNUMBER(SEARCH("sts", Table6[[#This Row],[instruction]])),ISNUMBER(SEARCH("lds", Table6[[#This Row],[instruction]]))), "shared", "")</f>
        <v/>
      </c>
      <c r="U363" t="str">
        <f>IF(OR(ISNUMBER(SEARCH("LDC", Table6[[#This Row],[instruction]]))), "ind. const", "")</f>
        <v/>
      </c>
      <c r="V3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Row],[s5]]))),U363=""), "cmb. const", "")</f>
        <v/>
      </c>
      <c r="Y363">
        <f>IF(Table6[[#This Row],[pipeline]]="fma",Table6[[#This Row],[delay]],0)</f>
        <v>4</v>
      </c>
      <c r="Z363">
        <f>IF(AND(Table6[[#This Row],[pipeline]]="fma",W363="new"),290,0)</f>
        <v>0</v>
      </c>
      <c r="AK363" s="34"/>
    </row>
    <row r="364" spans="1:37" ht="17" x14ac:dyDescent="0.2">
      <c r="A364" s="31">
        <f>IF(Table6[[#This Row],[instruction]]&lt;&gt;"",MAX($A$6:A363)+1," ")</f>
        <v>359</v>
      </c>
      <c r="B364" s="32" t="s">
        <v>485</v>
      </c>
      <c r="C364" t="s">
        <v>70</v>
      </c>
      <c r="D364" s="31" t="s">
        <v>665</v>
      </c>
      <c r="E364" s="31" t="s">
        <v>652</v>
      </c>
      <c r="F364" s="31" t="s">
        <v>627</v>
      </c>
      <c r="G364" s="31" t="s">
        <v>677</v>
      </c>
      <c r="K364" s="2" t="str">
        <f t="shared" si="5"/>
        <v>fma</v>
      </c>
      <c r="L364" cm="1">
        <f t="array" ref="L3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4" t="str">
        <f>IF(OR(ISNUMBER(SEARCH("imad", Table6[[#This Row],[instruction]])), ISNUMBER(SEARCH("ffma", Table6[[#This Row],[instruction]])), ISNUMBER(SEARCH("fmul", Table6[[#This Row],[instruction]]))), "fma", "")</f>
        <v>fma</v>
      </c>
      <c r="P3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4" t="str">
        <f>IF(OR(ISNUMBER(SEARCH("s2r", Table6[[#This Row],[instruction]])),ISNUMBER(SEARCH("s2ur", Table6[[#This Row],[instruction]]))), "special", "")</f>
        <v/>
      </c>
      <c r="S364" t="str">
        <f>IF(OR(ISNUMBER(SEARCH("stg", Table6[[#This Row],[instruction]])),ISNUMBER(SEARCH("ldg", Table6[[#This Row],[instruction]]))), "global", "")</f>
        <v/>
      </c>
      <c r="T364" t="str">
        <f>IF(OR(ISNUMBER(SEARCH("sts", Table6[[#This Row],[instruction]])),ISNUMBER(SEARCH("lds", Table6[[#This Row],[instruction]]))), "shared", "")</f>
        <v/>
      </c>
      <c r="U364" t="str">
        <f>IF(OR(ISNUMBER(SEARCH("LDC", Table6[[#This Row],[instruction]]))), "ind. const", "")</f>
        <v/>
      </c>
      <c r="V3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Row],[s5]]))),U364=""), "cmb. const", "")</f>
        <v/>
      </c>
      <c r="Y364">
        <f>IF(Table6[[#This Row],[pipeline]]="fma",Table6[[#This Row],[delay]],0)</f>
        <v>4</v>
      </c>
      <c r="Z364">
        <f>IF(AND(Table6[[#This Row],[pipeline]]="fma",W364="new"),290,0)</f>
        <v>0</v>
      </c>
      <c r="AK364" s="34"/>
    </row>
    <row r="365" spans="1:37" ht="17" x14ac:dyDescent="0.2">
      <c r="A365" s="31">
        <f>IF(Table6[[#This Row],[instruction]]&lt;&gt;"",MAX($A$6:A364)+1," ")</f>
        <v>360</v>
      </c>
      <c r="B365" s="32" t="s">
        <v>485</v>
      </c>
      <c r="C365" t="s">
        <v>70</v>
      </c>
      <c r="D365" s="31" t="s">
        <v>649</v>
      </c>
      <c r="E365" s="31" t="s">
        <v>652</v>
      </c>
      <c r="F365" s="31" t="s">
        <v>678</v>
      </c>
      <c r="G365" s="31" t="s">
        <v>679</v>
      </c>
      <c r="K365" s="2" t="str">
        <f t="shared" si="5"/>
        <v>fma</v>
      </c>
      <c r="L365" cm="1">
        <f t="array" ref="L3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5" t="str">
        <f>IF(OR(ISNUMBER(SEARCH("imad", Table6[[#This Row],[instruction]])), ISNUMBER(SEARCH("ffma", Table6[[#This Row],[instruction]])), ISNUMBER(SEARCH("fmul", Table6[[#This Row],[instruction]]))), "fma", "")</f>
        <v>fma</v>
      </c>
      <c r="P3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5" t="str">
        <f>IF(OR(ISNUMBER(SEARCH("s2r", Table6[[#This Row],[instruction]])),ISNUMBER(SEARCH("s2ur", Table6[[#This Row],[instruction]]))), "special", "")</f>
        <v/>
      </c>
      <c r="S365" t="str">
        <f>IF(OR(ISNUMBER(SEARCH("stg", Table6[[#This Row],[instruction]])),ISNUMBER(SEARCH("ldg", Table6[[#This Row],[instruction]]))), "global", "")</f>
        <v/>
      </c>
      <c r="T365" t="str">
        <f>IF(OR(ISNUMBER(SEARCH("sts", Table6[[#This Row],[instruction]])),ISNUMBER(SEARCH("lds", Table6[[#This Row],[instruction]]))), "shared", "")</f>
        <v/>
      </c>
      <c r="U365" t="str">
        <f>IF(OR(ISNUMBER(SEARCH("LDC", Table6[[#This Row],[instruction]]))), "ind. const", "")</f>
        <v/>
      </c>
      <c r="V3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Row],[s5]]))),U365=""), "cmb. const", "")</f>
        <v/>
      </c>
      <c r="Y365">
        <f>IF(Table6[[#This Row],[pipeline]]="fma",Table6[[#This Row],[delay]],0)</f>
        <v>4</v>
      </c>
      <c r="Z365">
        <f>IF(AND(Table6[[#This Row],[pipeline]]="fma",W365="new"),290,0)</f>
        <v>0</v>
      </c>
      <c r="AK365" s="34"/>
    </row>
    <row r="366" spans="1:37" ht="17" x14ac:dyDescent="0.2">
      <c r="A366" s="31">
        <f>IF(Table6[[#This Row],[instruction]]&lt;&gt;"",MAX($A$6:A365)+1," ")</f>
        <v>361</v>
      </c>
      <c r="B366" s="32" t="s">
        <v>485</v>
      </c>
      <c r="C366" t="s">
        <v>70</v>
      </c>
      <c r="D366" s="31" t="s">
        <v>648</v>
      </c>
      <c r="E366" s="31" t="s">
        <v>652</v>
      </c>
      <c r="F366" s="31" t="s">
        <v>680</v>
      </c>
      <c r="G366" s="31" t="s">
        <v>681</v>
      </c>
      <c r="K366" s="2" t="str">
        <f t="shared" si="5"/>
        <v>fma</v>
      </c>
      <c r="L366" cm="1">
        <f t="array" ref="L3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6" t="str">
        <f>IF(OR(ISNUMBER(SEARCH("imad", Table6[[#This Row],[instruction]])), ISNUMBER(SEARCH("ffma", Table6[[#This Row],[instruction]])), ISNUMBER(SEARCH("fmul", Table6[[#This Row],[instruction]]))), "fma", "")</f>
        <v>fma</v>
      </c>
      <c r="P3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6" t="str">
        <f>IF(OR(ISNUMBER(SEARCH("s2r", Table6[[#This Row],[instruction]])),ISNUMBER(SEARCH("s2ur", Table6[[#This Row],[instruction]]))), "special", "")</f>
        <v/>
      </c>
      <c r="S366" t="str">
        <f>IF(OR(ISNUMBER(SEARCH("stg", Table6[[#This Row],[instruction]])),ISNUMBER(SEARCH("ldg", Table6[[#This Row],[instruction]]))), "global", "")</f>
        <v/>
      </c>
      <c r="T366" t="str">
        <f>IF(OR(ISNUMBER(SEARCH("sts", Table6[[#This Row],[instruction]])),ISNUMBER(SEARCH("lds", Table6[[#This Row],[instruction]]))), "shared", "")</f>
        <v/>
      </c>
      <c r="U366" t="str">
        <f>IF(OR(ISNUMBER(SEARCH("LDC", Table6[[#This Row],[instruction]]))), "ind. const", "")</f>
        <v/>
      </c>
      <c r="V3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Row],[s5]]))),U366=""), "cmb. const", "")</f>
        <v/>
      </c>
      <c r="Y366">
        <f>IF(Table6[[#This Row],[pipeline]]="fma",Table6[[#This Row],[delay]],0)</f>
        <v>4</v>
      </c>
      <c r="Z366">
        <f>IF(AND(Table6[[#This Row],[pipeline]]="fma",W366="new"),290,0)</f>
        <v>0</v>
      </c>
      <c r="AK366" s="34"/>
    </row>
    <row r="367" spans="1:37" ht="17" x14ac:dyDescent="0.2">
      <c r="A367" s="31">
        <f>IF(Table6[[#This Row],[instruction]]&lt;&gt;"",MAX($A$6:A366)+1," ")</f>
        <v>362</v>
      </c>
      <c r="B367" s="32" t="s">
        <v>485</v>
      </c>
      <c r="C367" t="s">
        <v>70</v>
      </c>
      <c r="D367" s="31" t="s">
        <v>600</v>
      </c>
      <c r="E367" s="31" t="s">
        <v>633</v>
      </c>
      <c r="F367" s="31" t="s">
        <v>627</v>
      </c>
      <c r="G367" s="31" t="s">
        <v>668</v>
      </c>
      <c r="K367" s="2" t="str">
        <f t="shared" si="5"/>
        <v>fma</v>
      </c>
      <c r="L367" cm="1">
        <f t="array" ref="L3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7" t="str">
        <f>IF(OR(ISNUMBER(SEARCH("imad", Table6[[#This Row],[instruction]])), ISNUMBER(SEARCH("ffma", Table6[[#This Row],[instruction]])), ISNUMBER(SEARCH("fmul", Table6[[#This Row],[instruction]]))), "fma", "")</f>
        <v>fma</v>
      </c>
      <c r="P3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7" t="str">
        <f>IF(OR(ISNUMBER(SEARCH("s2r", Table6[[#This Row],[instruction]])),ISNUMBER(SEARCH("s2ur", Table6[[#This Row],[instruction]]))), "special", "")</f>
        <v/>
      </c>
      <c r="S367" t="str">
        <f>IF(OR(ISNUMBER(SEARCH("stg", Table6[[#This Row],[instruction]])),ISNUMBER(SEARCH("ldg", Table6[[#This Row],[instruction]]))), "global", "")</f>
        <v/>
      </c>
      <c r="T367" t="str">
        <f>IF(OR(ISNUMBER(SEARCH("sts", Table6[[#This Row],[instruction]])),ISNUMBER(SEARCH("lds", Table6[[#This Row],[instruction]]))), "shared", "")</f>
        <v/>
      </c>
      <c r="U367" t="str">
        <f>IF(OR(ISNUMBER(SEARCH("LDC", Table6[[#This Row],[instruction]]))), "ind. const", "")</f>
        <v/>
      </c>
      <c r="V3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Row],[s5]]))),U367=""), "cmb. const", "")</f>
        <v/>
      </c>
      <c r="Y367">
        <f>IF(Table6[[#This Row],[pipeline]]="fma",Table6[[#This Row],[delay]],0)</f>
        <v>4</v>
      </c>
      <c r="Z367">
        <f>IF(AND(Table6[[#This Row],[pipeline]]="fma",W367="new"),290,0)</f>
        <v>0</v>
      </c>
      <c r="AK367" s="34"/>
    </row>
    <row r="368" spans="1:37" ht="17" x14ac:dyDescent="0.2">
      <c r="A368" s="31">
        <f>IF(Table6[[#This Row],[instruction]]&lt;&gt;"",MAX($A$6:A367)+1," ")</f>
        <v>363</v>
      </c>
      <c r="B368" s="32" t="s">
        <v>485</v>
      </c>
      <c r="C368" t="s">
        <v>70</v>
      </c>
      <c r="D368" s="31" t="s">
        <v>612</v>
      </c>
      <c r="E368" s="31" t="s">
        <v>682</v>
      </c>
      <c r="F368" s="31" t="s">
        <v>627</v>
      </c>
      <c r="G368" s="31" t="s">
        <v>669</v>
      </c>
      <c r="K368" s="2" t="str">
        <f t="shared" si="5"/>
        <v>fma</v>
      </c>
      <c r="L368" cm="1">
        <f t="array" ref="L3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8" t="str">
        <f>IF(OR(ISNUMBER(SEARCH("imad", Table6[[#This Row],[instruction]])), ISNUMBER(SEARCH("ffma", Table6[[#This Row],[instruction]])), ISNUMBER(SEARCH("fmul", Table6[[#This Row],[instruction]]))), "fma", "")</f>
        <v>fma</v>
      </c>
      <c r="P3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8" t="str">
        <f>IF(OR(ISNUMBER(SEARCH("s2r", Table6[[#This Row],[instruction]])),ISNUMBER(SEARCH("s2ur", Table6[[#This Row],[instruction]]))), "special", "")</f>
        <v/>
      </c>
      <c r="S368" t="str">
        <f>IF(OR(ISNUMBER(SEARCH("stg", Table6[[#This Row],[instruction]])),ISNUMBER(SEARCH("ldg", Table6[[#This Row],[instruction]]))), "global", "")</f>
        <v/>
      </c>
      <c r="T368" t="str">
        <f>IF(OR(ISNUMBER(SEARCH("sts", Table6[[#This Row],[instruction]])),ISNUMBER(SEARCH("lds", Table6[[#This Row],[instruction]]))), "shared", "")</f>
        <v/>
      </c>
      <c r="U368" t="str">
        <f>IF(OR(ISNUMBER(SEARCH("LDC", Table6[[#This Row],[instruction]]))), "ind. const", "")</f>
        <v/>
      </c>
      <c r="V3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Row],[s5]]))),U368=""), "cmb. const", "")</f>
        <v/>
      </c>
      <c r="Y368">
        <f>IF(Table6[[#This Row],[pipeline]]="fma",Table6[[#This Row],[delay]],0)</f>
        <v>4</v>
      </c>
      <c r="Z368">
        <f>IF(AND(Table6[[#This Row],[pipeline]]="fma",W368="new"),290,0)</f>
        <v>0</v>
      </c>
      <c r="AK368" s="34"/>
    </row>
    <row r="369" spans="1:37" ht="17" x14ac:dyDescent="0.2">
      <c r="A369" s="31">
        <f>IF(Table6[[#This Row],[instruction]]&lt;&gt;"",MAX($A$6:A368)+1," ")</f>
        <v>364</v>
      </c>
      <c r="B369" s="32" t="s">
        <v>485</v>
      </c>
      <c r="C369" t="s">
        <v>70</v>
      </c>
      <c r="D369" s="31" t="s">
        <v>609</v>
      </c>
      <c r="E369" s="31" t="s">
        <v>682</v>
      </c>
      <c r="F369" s="31" t="s">
        <v>678</v>
      </c>
      <c r="G369" s="31" t="s">
        <v>670</v>
      </c>
      <c r="K369" s="2" t="str">
        <f t="shared" si="5"/>
        <v>fma</v>
      </c>
      <c r="L369" cm="1">
        <f t="array" ref="L3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69" t="str">
        <f>IF(OR(ISNUMBER(SEARCH("imad", Table6[[#This Row],[instruction]])), ISNUMBER(SEARCH("ffma", Table6[[#This Row],[instruction]])), ISNUMBER(SEARCH("fmul", Table6[[#This Row],[instruction]]))), "fma", "")</f>
        <v>fma</v>
      </c>
      <c r="P3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69" t="str">
        <f>IF(OR(ISNUMBER(SEARCH("s2r", Table6[[#This Row],[instruction]])),ISNUMBER(SEARCH("s2ur", Table6[[#This Row],[instruction]]))), "special", "")</f>
        <v/>
      </c>
      <c r="S369" t="str">
        <f>IF(OR(ISNUMBER(SEARCH("stg", Table6[[#This Row],[instruction]])),ISNUMBER(SEARCH("ldg", Table6[[#This Row],[instruction]]))), "global", "")</f>
        <v/>
      </c>
      <c r="T369" t="str">
        <f>IF(OR(ISNUMBER(SEARCH("sts", Table6[[#This Row],[instruction]])),ISNUMBER(SEARCH("lds", Table6[[#This Row],[instruction]]))), "shared", "")</f>
        <v/>
      </c>
      <c r="U369" t="str">
        <f>IF(OR(ISNUMBER(SEARCH("LDC", Table6[[#This Row],[instruction]]))), "ind. const", "")</f>
        <v/>
      </c>
      <c r="V3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Row],[s5]]))),U369=""), "cmb. const", "")</f>
        <v/>
      </c>
      <c r="Y369">
        <f>IF(Table6[[#This Row],[pipeline]]="fma",Table6[[#This Row],[delay]],0)</f>
        <v>4</v>
      </c>
      <c r="Z369">
        <f>IF(AND(Table6[[#This Row],[pipeline]]="fma",W369="new"),290,0)</f>
        <v>0</v>
      </c>
      <c r="AK369" s="34"/>
    </row>
    <row r="370" spans="1:37" ht="17" x14ac:dyDescent="0.2">
      <c r="A370" s="31">
        <f>IF(Table6[[#This Row],[instruction]]&lt;&gt;"",MAX($A$6:A369)+1," ")</f>
        <v>365</v>
      </c>
      <c r="B370" s="32" t="s">
        <v>485</v>
      </c>
      <c r="C370" t="s">
        <v>70</v>
      </c>
      <c r="D370" s="31" t="s">
        <v>671</v>
      </c>
      <c r="E370" s="31" t="s">
        <v>682</v>
      </c>
      <c r="F370" s="31" t="s">
        <v>680</v>
      </c>
      <c r="G370" s="31" t="s">
        <v>672</v>
      </c>
      <c r="K370" s="2" t="str">
        <f t="shared" si="5"/>
        <v>fma</v>
      </c>
      <c r="L370" cm="1">
        <f t="array" ref="L3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0" t="str">
        <f>IF(OR(ISNUMBER(SEARCH("imad", Table6[[#This Row],[instruction]])), ISNUMBER(SEARCH("ffma", Table6[[#This Row],[instruction]])), ISNUMBER(SEARCH("fmul", Table6[[#This Row],[instruction]]))), "fma", "")</f>
        <v>fma</v>
      </c>
      <c r="P3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0" t="str">
        <f>IF(OR(ISNUMBER(SEARCH("s2r", Table6[[#This Row],[instruction]])),ISNUMBER(SEARCH("s2ur", Table6[[#This Row],[instruction]]))), "special", "")</f>
        <v/>
      </c>
      <c r="S370" t="str">
        <f>IF(OR(ISNUMBER(SEARCH("stg", Table6[[#This Row],[instruction]])),ISNUMBER(SEARCH("ldg", Table6[[#This Row],[instruction]]))), "global", "")</f>
        <v/>
      </c>
      <c r="T370" t="str">
        <f>IF(OR(ISNUMBER(SEARCH("sts", Table6[[#This Row],[instruction]])),ISNUMBER(SEARCH("lds", Table6[[#This Row],[instruction]]))), "shared", "")</f>
        <v/>
      </c>
      <c r="U370" t="str">
        <f>IF(OR(ISNUMBER(SEARCH("LDC", Table6[[#This Row],[instruction]]))), "ind. const", "")</f>
        <v/>
      </c>
      <c r="V3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Row],[s5]]))),U370=""), "cmb. const", "")</f>
        <v/>
      </c>
      <c r="Y370">
        <f>IF(Table6[[#This Row],[pipeline]]="fma",Table6[[#This Row],[delay]],0)</f>
        <v>4</v>
      </c>
      <c r="Z370">
        <f>IF(AND(Table6[[#This Row],[pipeline]]="fma",W370="new"),290,0)</f>
        <v>0</v>
      </c>
      <c r="AK370" s="34"/>
    </row>
    <row r="371" spans="1:37" ht="17" x14ac:dyDescent="0.2">
      <c r="A371" s="31">
        <f>IF(Table6[[#This Row],[instruction]]&lt;&gt;"",MAX($A$6:A370)+1," ")</f>
        <v>366</v>
      </c>
      <c r="B371" s="32" t="s">
        <v>485</v>
      </c>
      <c r="C371" t="s">
        <v>70</v>
      </c>
      <c r="D371" s="31" t="s">
        <v>608</v>
      </c>
      <c r="E371" s="31" t="s">
        <v>436</v>
      </c>
      <c r="F371" s="31" t="s">
        <v>82</v>
      </c>
      <c r="G371" s="31" t="s">
        <v>683</v>
      </c>
      <c r="K371" s="2" t="str">
        <f t="shared" si="5"/>
        <v>fma</v>
      </c>
      <c r="L371" cm="1">
        <f t="array" ref="L3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1" t="str">
        <f>IF(OR(ISNUMBER(SEARCH("imad", Table6[[#This Row],[instruction]])), ISNUMBER(SEARCH("ffma", Table6[[#This Row],[instruction]])), ISNUMBER(SEARCH("fmul", Table6[[#This Row],[instruction]]))), "fma", "")</f>
        <v>fma</v>
      </c>
      <c r="P3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1" t="str">
        <f>IF(OR(ISNUMBER(SEARCH("s2r", Table6[[#This Row],[instruction]])),ISNUMBER(SEARCH("s2ur", Table6[[#This Row],[instruction]]))), "special", "")</f>
        <v/>
      </c>
      <c r="S371" t="str">
        <f>IF(OR(ISNUMBER(SEARCH("stg", Table6[[#This Row],[instruction]])),ISNUMBER(SEARCH("ldg", Table6[[#This Row],[instruction]]))), "global", "")</f>
        <v/>
      </c>
      <c r="T371" t="str">
        <f>IF(OR(ISNUMBER(SEARCH("sts", Table6[[#This Row],[instruction]])),ISNUMBER(SEARCH("lds", Table6[[#This Row],[instruction]]))), "shared", "")</f>
        <v/>
      </c>
      <c r="U371" t="str">
        <f>IF(OR(ISNUMBER(SEARCH("LDC", Table6[[#This Row],[instruction]]))), "ind. const", "")</f>
        <v/>
      </c>
      <c r="V3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Row],[s5]]))),U371=""), "cmb. const", "")</f>
        <v/>
      </c>
      <c r="Y371">
        <f>IF(Table6[[#This Row],[pipeline]]="fma",Table6[[#This Row],[delay]],0)</f>
        <v>4</v>
      </c>
      <c r="Z371">
        <f>IF(AND(Table6[[#This Row],[pipeline]]="fma",W371="new"),290,0)</f>
        <v>0</v>
      </c>
      <c r="AK371" s="34"/>
    </row>
    <row r="372" spans="1:37" ht="17" x14ac:dyDescent="0.2">
      <c r="A372" s="31">
        <f>IF(Table6[[#This Row],[instruction]]&lt;&gt;"",MAX($A$6:A371)+1," ")</f>
        <v>367</v>
      </c>
      <c r="B372" s="32" t="s">
        <v>485</v>
      </c>
      <c r="C372" t="s">
        <v>70</v>
      </c>
      <c r="D372" s="31" t="s">
        <v>613</v>
      </c>
      <c r="E372" s="31" t="s">
        <v>436</v>
      </c>
      <c r="F372" s="31" t="s">
        <v>430</v>
      </c>
      <c r="G372" s="31" t="s">
        <v>684</v>
      </c>
      <c r="K372" s="2" t="str">
        <f t="shared" si="5"/>
        <v>fma</v>
      </c>
      <c r="L372" cm="1">
        <f t="array" ref="L3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2" t="str">
        <f>IF(OR(ISNUMBER(SEARCH("imad", Table6[[#This Row],[instruction]])), ISNUMBER(SEARCH("ffma", Table6[[#This Row],[instruction]])), ISNUMBER(SEARCH("fmul", Table6[[#This Row],[instruction]]))), "fma", "")</f>
        <v>fma</v>
      </c>
      <c r="P3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2" t="str">
        <f>IF(OR(ISNUMBER(SEARCH("s2r", Table6[[#This Row],[instruction]])),ISNUMBER(SEARCH("s2ur", Table6[[#This Row],[instruction]]))), "special", "")</f>
        <v/>
      </c>
      <c r="S372" t="str">
        <f>IF(OR(ISNUMBER(SEARCH("stg", Table6[[#This Row],[instruction]])),ISNUMBER(SEARCH("ldg", Table6[[#This Row],[instruction]]))), "global", "")</f>
        <v/>
      </c>
      <c r="T372" t="str">
        <f>IF(OR(ISNUMBER(SEARCH("sts", Table6[[#This Row],[instruction]])),ISNUMBER(SEARCH("lds", Table6[[#This Row],[instruction]]))), "shared", "")</f>
        <v/>
      </c>
      <c r="U372" t="str">
        <f>IF(OR(ISNUMBER(SEARCH("LDC", Table6[[#This Row],[instruction]]))), "ind. const", "")</f>
        <v/>
      </c>
      <c r="V3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Row],[s5]]))),U372=""), "cmb. const", "")</f>
        <v/>
      </c>
      <c r="Y372">
        <f>IF(Table6[[#This Row],[pipeline]]="fma",Table6[[#This Row],[delay]],0)</f>
        <v>4</v>
      </c>
      <c r="Z372">
        <f>IF(AND(Table6[[#This Row],[pipeline]]="fma",W372="new"),290,0)</f>
        <v>0</v>
      </c>
      <c r="AK372" s="34"/>
    </row>
    <row r="373" spans="1:37" ht="17" x14ac:dyDescent="0.2">
      <c r="A373" s="31">
        <f>IF(Table6[[#This Row],[instruction]]&lt;&gt;"",MAX($A$6:A372)+1," ")</f>
        <v>368</v>
      </c>
      <c r="B373" s="32" t="s">
        <v>485</v>
      </c>
      <c r="C373" t="s">
        <v>70</v>
      </c>
      <c r="D373" s="31" t="s">
        <v>605</v>
      </c>
      <c r="E373" s="31" t="s">
        <v>436</v>
      </c>
      <c r="F373" s="31" t="s">
        <v>71</v>
      </c>
      <c r="G373" s="31" t="s">
        <v>685</v>
      </c>
      <c r="K373" s="2" t="str">
        <f t="shared" si="5"/>
        <v>fma</v>
      </c>
      <c r="L373" cm="1">
        <f t="array" ref="L3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3" t="str">
        <f>IF(OR(ISNUMBER(SEARCH("imad", Table6[[#This Row],[instruction]])), ISNUMBER(SEARCH("ffma", Table6[[#This Row],[instruction]])), ISNUMBER(SEARCH("fmul", Table6[[#This Row],[instruction]]))), "fma", "")</f>
        <v>fma</v>
      </c>
      <c r="P3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3" t="str">
        <f>IF(OR(ISNUMBER(SEARCH("s2r", Table6[[#This Row],[instruction]])),ISNUMBER(SEARCH("s2ur", Table6[[#This Row],[instruction]]))), "special", "")</f>
        <v/>
      </c>
      <c r="S373" t="str">
        <f>IF(OR(ISNUMBER(SEARCH("stg", Table6[[#This Row],[instruction]])),ISNUMBER(SEARCH("ldg", Table6[[#This Row],[instruction]]))), "global", "")</f>
        <v/>
      </c>
      <c r="T373" t="str">
        <f>IF(OR(ISNUMBER(SEARCH("sts", Table6[[#This Row],[instruction]])),ISNUMBER(SEARCH("lds", Table6[[#This Row],[instruction]]))), "shared", "")</f>
        <v/>
      </c>
      <c r="U373" t="str">
        <f>IF(OR(ISNUMBER(SEARCH("LDC", Table6[[#This Row],[instruction]]))), "ind. const", "")</f>
        <v/>
      </c>
      <c r="V3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Row],[s5]]))),U373=""), "cmb. const", "")</f>
        <v/>
      </c>
      <c r="Y373">
        <f>IF(Table6[[#This Row],[pipeline]]="fma",Table6[[#This Row],[delay]],0)</f>
        <v>4</v>
      </c>
      <c r="Z373">
        <f>IF(AND(Table6[[#This Row],[pipeline]]="fma",W373="new"),290,0)</f>
        <v>0</v>
      </c>
      <c r="AK373" s="34"/>
    </row>
    <row r="374" spans="1:37" ht="17" x14ac:dyDescent="0.2">
      <c r="A374" s="31">
        <f>IF(Table6[[#This Row],[instruction]]&lt;&gt;"",MAX($A$6:A373)+1," ")</f>
        <v>369</v>
      </c>
      <c r="B374" s="32" t="s">
        <v>485</v>
      </c>
      <c r="C374" t="s">
        <v>70</v>
      </c>
      <c r="D374" s="31" t="s">
        <v>597</v>
      </c>
      <c r="E374" s="31" t="s">
        <v>447</v>
      </c>
      <c r="F374" s="31" t="s">
        <v>82</v>
      </c>
      <c r="G374" s="31" t="s">
        <v>686</v>
      </c>
      <c r="K374" s="2" t="str">
        <f t="shared" si="5"/>
        <v>fma</v>
      </c>
      <c r="L374" cm="1">
        <f t="array" ref="L3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4" t="str">
        <f>IF(OR(ISNUMBER(SEARCH("imad", Table6[[#This Row],[instruction]])), ISNUMBER(SEARCH("ffma", Table6[[#This Row],[instruction]])), ISNUMBER(SEARCH("fmul", Table6[[#This Row],[instruction]]))), "fma", "")</f>
        <v>fma</v>
      </c>
      <c r="P3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4" t="str">
        <f>IF(OR(ISNUMBER(SEARCH("s2r", Table6[[#This Row],[instruction]])),ISNUMBER(SEARCH("s2ur", Table6[[#This Row],[instruction]]))), "special", "")</f>
        <v/>
      </c>
      <c r="S374" t="str">
        <f>IF(OR(ISNUMBER(SEARCH("stg", Table6[[#This Row],[instruction]])),ISNUMBER(SEARCH("ldg", Table6[[#This Row],[instruction]]))), "global", "")</f>
        <v/>
      </c>
      <c r="T374" t="str">
        <f>IF(OR(ISNUMBER(SEARCH("sts", Table6[[#This Row],[instruction]])),ISNUMBER(SEARCH("lds", Table6[[#This Row],[instruction]]))), "shared", "")</f>
        <v/>
      </c>
      <c r="U374" t="str">
        <f>IF(OR(ISNUMBER(SEARCH("LDC", Table6[[#This Row],[instruction]]))), "ind. const", "")</f>
        <v/>
      </c>
      <c r="V3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Row],[s5]]))),U374=""), "cmb. const", "")</f>
        <v/>
      </c>
      <c r="Y374">
        <f>IF(Table6[[#This Row],[pipeline]]="fma",Table6[[#This Row],[delay]],0)</f>
        <v>4</v>
      </c>
      <c r="Z374">
        <f>IF(AND(Table6[[#This Row],[pipeline]]="fma",W374="new"),290,0)</f>
        <v>0</v>
      </c>
      <c r="AK374" s="34"/>
    </row>
    <row r="375" spans="1:37" ht="17" x14ac:dyDescent="0.2">
      <c r="A375" s="31">
        <f>IF(Table6[[#This Row],[instruction]]&lt;&gt;"",MAX($A$6:A374)+1," ")</f>
        <v>370</v>
      </c>
      <c r="B375" s="32" t="s">
        <v>485</v>
      </c>
      <c r="C375" t="s">
        <v>70</v>
      </c>
      <c r="D375" s="31" t="s">
        <v>604</v>
      </c>
      <c r="E375" s="31" t="s">
        <v>447</v>
      </c>
      <c r="F375" s="31" t="s">
        <v>430</v>
      </c>
      <c r="G375" s="31" t="s">
        <v>687</v>
      </c>
      <c r="K375" s="2" t="str">
        <f t="shared" si="5"/>
        <v>fma</v>
      </c>
      <c r="L375" cm="1">
        <f t="array" ref="L3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5" t="str">
        <f>IF(OR(ISNUMBER(SEARCH("imad", Table6[[#This Row],[instruction]])), ISNUMBER(SEARCH("ffma", Table6[[#This Row],[instruction]])), ISNUMBER(SEARCH("fmul", Table6[[#This Row],[instruction]]))), "fma", "")</f>
        <v>fma</v>
      </c>
      <c r="P3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5" t="str">
        <f>IF(OR(ISNUMBER(SEARCH("s2r", Table6[[#This Row],[instruction]])),ISNUMBER(SEARCH("s2ur", Table6[[#This Row],[instruction]]))), "special", "")</f>
        <v/>
      </c>
      <c r="S375" t="str">
        <f>IF(OR(ISNUMBER(SEARCH("stg", Table6[[#This Row],[instruction]])),ISNUMBER(SEARCH("ldg", Table6[[#This Row],[instruction]]))), "global", "")</f>
        <v/>
      </c>
      <c r="T375" t="str">
        <f>IF(OR(ISNUMBER(SEARCH("sts", Table6[[#This Row],[instruction]])),ISNUMBER(SEARCH("lds", Table6[[#This Row],[instruction]]))), "shared", "")</f>
        <v/>
      </c>
      <c r="U375" t="str">
        <f>IF(OR(ISNUMBER(SEARCH("LDC", Table6[[#This Row],[instruction]]))), "ind. const", "")</f>
        <v/>
      </c>
      <c r="V3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Row],[s5]]))),U375=""), "cmb. const", "")</f>
        <v/>
      </c>
      <c r="Y375">
        <f>IF(Table6[[#This Row],[pipeline]]="fma",Table6[[#This Row],[delay]],0)</f>
        <v>4</v>
      </c>
      <c r="Z375">
        <f>IF(AND(Table6[[#This Row],[pipeline]]="fma",W375="new"),290,0)</f>
        <v>0</v>
      </c>
      <c r="AK375" s="34"/>
    </row>
    <row r="376" spans="1:37" ht="17" x14ac:dyDescent="0.2">
      <c r="A376" s="31">
        <f>IF(Table6[[#This Row],[instruction]]&lt;&gt;"",MAX($A$6:A375)+1," ")</f>
        <v>371</v>
      </c>
      <c r="B376" s="32" t="s">
        <v>485</v>
      </c>
      <c r="C376" t="s">
        <v>70</v>
      </c>
      <c r="D376" s="31" t="s">
        <v>598</v>
      </c>
      <c r="E376" s="31" t="s">
        <v>447</v>
      </c>
      <c r="F376" s="31" t="s">
        <v>71</v>
      </c>
      <c r="G376" s="31" t="s">
        <v>688</v>
      </c>
      <c r="K376" s="2" t="str">
        <f t="shared" si="5"/>
        <v>fma</v>
      </c>
      <c r="L376" cm="1">
        <f t="array" ref="L3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6" t="str">
        <f>IF(OR(ISNUMBER(SEARCH("imad", Table6[[#This Row],[instruction]])), ISNUMBER(SEARCH("ffma", Table6[[#This Row],[instruction]])), ISNUMBER(SEARCH("fmul", Table6[[#This Row],[instruction]]))), "fma", "")</f>
        <v>fma</v>
      </c>
      <c r="P3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6" t="str">
        <f>IF(OR(ISNUMBER(SEARCH("s2r", Table6[[#This Row],[instruction]])),ISNUMBER(SEARCH("s2ur", Table6[[#This Row],[instruction]]))), "special", "")</f>
        <v/>
      </c>
      <c r="S376" t="str">
        <f>IF(OR(ISNUMBER(SEARCH("stg", Table6[[#This Row],[instruction]])),ISNUMBER(SEARCH("ldg", Table6[[#This Row],[instruction]]))), "global", "")</f>
        <v/>
      </c>
      <c r="T376" t="str">
        <f>IF(OR(ISNUMBER(SEARCH("sts", Table6[[#This Row],[instruction]])),ISNUMBER(SEARCH("lds", Table6[[#This Row],[instruction]]))), "shared", "")</f>
        <v/>
      </c>
      <c r="U376" t="str">
        <f>IF(OR(ISNUMBER(SEARCH("LDC", Table6[[#This Row],[instruction]]))), "ind. const", "")</f>
        <v/>
      </c>
      <c r="V3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Row],[s5]]))),U376=""), "cmb. const", "")</f>
        <v/>
      </c>
      <c r="Y376">
        <f>IF(Table6[[#This Row],[pipeline]]="fma",Table6[[#This Row],[delay]],0)</f>
        <v>4</v>
      </c>
      <c r="Z376">
        <f>IF(AND(Table6[[#This Row],[pipeline]]="fma",W376="new"),290,0)</f>
        <v>0</v>
      </c>
      <c r="AK376" s="34"/>
    </row>
    <row r="377" spans="1:37" ht="17" x14ac:dyDescent="0.2">
      <c r="A377" s="31">
        <f>IF(Table6[[#This Row],[instruction]]&lt;&gt;"",MAX($A$6:A376)+1," ")</f>
        <v>372</v>
      </c>
      <c r="B377" s="32" t="s">
        <v>485</v>
      </c>
      <c r="C377" t="s">
        <v>70</v>
      </c>
      <c r="D377" s="31" t="s">
        <v>652</v>
      </c>
      <c r="E377" s="31" t="s">
        <v>652</v>
      </c>
      <c r="F377" s="31" t="s">
        <v>689</v>
      </c>
      <c r="G377" s="31" t="s">
        <v>690</v>
      </c>
      <c r="K377" s="2" t="str">
        <f t="shared" si="5"/>
        <v>fma</v>
      </c>
      <c r="L377" cm="1">
        <f t="array" ref="L3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7" t="str">
        <f>IF(OR(ISNUMBER(SEARCH("imad", Table6[[#This Row],[instruction]])), ISNUMBER(SEARCH("ffma", Table6[[#This Row],[instruction]])), ISNUMBER(SEARCH("fmul", Table6[[#This Row],[instruction]]))), "fma", "")</f>
        <v>fma</v>
      </c>
      <c r="P3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7" t="str">
        <f>IF(OR(ISNUMBER(SEARCH("s2r", Table6[[#This Row],[instruction]])),ISNUMBER(SEARCH("s2ur", Table6[[#This Row],[instruction]]))), "special", "")</f>
        <v/>
      </c>
      <c r="S377" t="str">
        <f>IF(OR(ISNUMBER(SEARCH("stg", Table6[[#This Row],[instruction]])),ISNUMBER(SEARCH("ldg", Table6[[#This Row],[instruction]]))), "global", "")</f>
        <v/>
      </c>
      <c r="T377" t="str">
        <f>IF(OR(ISNUMBER(SEARCH("sts", Table6[[#This Row],[instruction]])),ISNUMBER(SEARCH("lds", Table6[[#This Row],[instruction]]))), "shared", "")</f>
        <v/>
      </c>
      <c r="U377" t="str">
        <f>IF(OR(ISNUMBER(SEARCH("LDC", Table6[[#This Row],[instruction]]))), "ind. const", "")</f>
        <v/>
      </c>
      <c r="V3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Row],[s5]]))),U377=""), "cmb. const", "")</f>
        <v/>
      </c>
      <c r="Y377">
        <f>IF(Table6[[#This Row],[pipeline]]="fma",Table6[[#This Row],[delay]],0)</f>
        <v>4</v>
      </c>
      <c r="Z377">
        <f>IF(AND(Table6[[#This Row],[pipeline]]="fma",W377="new"),290,0)</f>
        <v>0</v>
      </c>
      <c r="AK377" s="34"/>
    </row>
    <row r="378" spans="1:37" ht="17" x14ac:dyDescent="0.2">
      <c r="A378" s="31">
        <f>IF(Table6[[#This Row],[instruction]]&lt;&gt;"",MAX($A$6:A377)+1," ")</f>
        <v>373</v>
      </c>
      <c r="B378" s="32" t="s">
        <v>485</v>
      </c>
      <c r="C378" t="s">
        <v>70</v>
      </c>
      <c r="D378" s="31" t="s">
        <v>682</v>
      </c>
      <c r="E378" s="31" t="s">
        <v>682</v>
      </c>
      <c r="F378" s="31" t="s">
        <v>689</v>
      </c>
      <c r="G378" s="31" t="s">
        <v>691</v>
      </c>
      <c r="K378" s="2" t="str">
        <f t="shared" si="5"/>
        <v>fma</v>
      </c>
      <c r="L378" cm="1">
        <f t="array" ref="L3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8" t="str">
        <f>IF(OR(ISNUMBER(SEARCH("imad", Table6[[#This Row],[instruction]])), ISNUMBER(SEARCH("ffma", Table6[[#This Row],[instruction]])), ISNUMBER(SEARCH("fmul", Table6[[#This Row],[instruction]]))), "fma", "")</f>
        <v>fma</v>
      </c>
      <c r="P3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8" t="str">
        <f>IF(OR(ISNUMBER(SEARCH("s2r", Table6[[#This Row],[instruction]])),ISNUMBER(SEARCH("s2ur", Table6[[#This Row],[instruction]]))), "special", "")</f>
        <v/>
      </c>
      <c r="S378" t="str">
        <f>IF(OR(ISNUMBER(SEARCH("stg", Table6[[#This Row],[instruction]])),ISNUMBER(SEARCH("ldg", Table6[[#This Row],[instruction]]))), "global", "")</f>
        <v/>
      </c>
      <c r="T378" t="str">
        <f>IF(OR(ISNUMBER(SEARCH("sts", Table6[[#This Row],[instruction]])),ISNUMBER(SEARCH("lds", Table6[[#This Row],[instruction]]))), "shared", "")</f>
        <v/>
      </c>
      <c r="U378" t="str">
        <f>IF(OR(ISNUMBER(SEARCH("LDC", Table6[[#This Row],[instruction]]))), "ind. const", "")</f>
        <v/>
      </c>
      <c r="V3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Row],[s5]]))),U378=""), "cmb. const", "")</f>
        <v/>
      </c>
      <c r="Y378">
        <f>IF(Table6[[#This Row],[pipeline]]="fma",Table6[[#This Row],[delay]],0)</f>
        <v>4</v>
      </c>
      <c r="Z378">
        <f>IF(AND(Table6[[#This Row],[pipeline]]="fma",W378="new"),290,0)</f>
        <v>0</v>
      </c>
      <c r="AK378" s="34"/>
    </row>
    <row r="379" spans="1:37" ht="17" x14ac:dyDescent="0.2">
      <c r="A379" s="31">
        <f>IF(Table6[[#This Row],[instruction]]&lt;&gt;"",MAX($A$6:A378)+1," ")</f>
        <v>374</v>
      </c>
      <c r="B379" s="32" t="s">
        <v>485</v>
      </c>
      <c r="C379" t="s">
        <v>70</v>
      </c>
      <c r="D379" s="31" t="s">
        <v>627</v>
      </c>
      <c r="E379" s="31" t="s">
        <v>640</v>
      </c>
      <c r="F379" s="31" t="s">
        <v>627</v>
      </c>
      <c r="G379" s="31" t="s">
        <v>545</v>
      </c>
      <c r="K379" s="2" t="str">
        <f t="shared" si="5"/>
        <v>fma</v>
      </c>
      <c r="L379" cm="1">
        <f t="array" ref="L3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79" t="str">
        <f>IF(OR(ISNUMBER(SEARCH("imad", Table6[[#This Row],[instruction]])), ISNUMBER(SEARCH("ffma", Table6[[#This Row],[instruction]])), ISNUMBER(SEARCH("fmul", Table6[[#This Row],[instruction]]))), "fma", "")</f>
        <v>fma</v>
      </c>
      <c r="P3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79" t="str">
        <f>IF(OR(ISNUMBER(SEARCH("s2r", Table6[[#This Row],[instruction]])),ISNUMBER(SEARCH("s2ur", Table6[[#This Row],[instruction]]))), "special", "")</f>
        <v/>
      </c>
      <c r="S379" t="str">
        <f>IF(OR(ISNUMBER(SEARCH("stg", Table6[[#This Row],[instruction]])),ISNUMBER(SEARCH("ldg", Table6[[#This Row],[instruction]]))), "global", "")</f>
        <v/>
      </c>
      <c r="T379" t="str">
        <f>IF(OR(ISNUMBER(SEARCH("sts", Table6[[#This Row],[instruction]])),ISNUMBER(SEARCH("lds", Table6[[#This Row],[instruction]]))), "shared", "")</f>
        <v/>
      </c>
      <c r="U379" t="str">
        <f>IF(OR(ISNUMBER(SEARCH("LDC", Table6[[#This Row],[instruction]]))), "ind. const", "")</f>
        <v/>
      </c>
      <c r="V3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Row],[s5]]))),U379=""), "cmb. const", "")</f>
        <v/>
      </c>
      <c r="Y379">
        <f>IF(Table6[[#This Row],[pipeline]]="fma",Table6[[#This Row],[delay]],0)</f>
        <v>4</v>
      </c>
      <c r="Z379">
        <f>IF(AND(Table6[[#This Row],[pipeline]]="fma",W379="new"),290,0)</f>
        <v>0</v>
      </c>
      <c r="AK379" s="34"/>
    </row>
    <row r="380" spans="1:37" ht="17" x14ac:dyDescent="0.2">
      <c r="A380" s="31">
        <f>IF(Table6[[#This Row],[instruction]]&lt;&gt;"",MAX($A$6:A379)+1," ")</f>
        <v>375</v>
      </c>
      <c r="B380" s="32" t="s">
        <v>485</v>
      </c>
      <c r="C380" t="s">
        <v>626</v>
      </c>
      <c r="D380" s="31" t="s">
        <v>440</v>
      </c>
      <c r="E380" s="31" t="s">
        <v>692</v>
      </c>
      <c r="K380" s="2" t="str">
        <f t="shared" si="5"/>
        <v>shared</v>
      </c>
      <c r="L380" cm="1">
        <f t="array" ref="L3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80" t="str">
        <f>IF(OR(ISNUMBER(SEARCH("imad", Table6[[#This Row],[instruction]])), ISNUMBER(SEARCH("ffma", Table6[[#This Row],[instruction]])), ISNUMBER(SEARCH("fmul", Table6[[#This Row],[instruction]]))), "fma", "")</f>
        <v/>
      </c>
      <c r="P3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0" t="str">
        <f>IF(OR(ISNUMBER(SEARCH("s2r", Table6[[#This Row],[instruction]])),ISNUMBER(SEARCH("s2ur", Table6[[#This Row],[instruction]]))), "special", "")</f>
        <v/>
      </c>
      <c r="S380" t="str">
        <f>IF(OR(ISNUMBER(SEARCH("stg", Table6[[#This Row],[instruction]])),ISNUMBER(SEARCH("ldg", Table6[[#This Row],[instruction]]))), "global", "")</f>
        <v/>
      </c>
      <c r="T380" t="str">
        <f>IF(OR(ISNUMBER(SEARCH("sts", Table6[[#This Row],[instruction]])),ISNUMBER(SEARCH("lds", Table6[[#This Row],[instruction]]))), "shared", "")</f>
        <v>shared</v>
      </c>
      <c r="U380" t="str">
        <f>IF(OR(ISNUMBER(SEARCH("LDC", Table6[[#This Row],[instruction]]))), "ind. const", "")</f>
        <v/>
      </c>
      <c r="V3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Row],[s5]]))),U380=""), "cmb. const", "")</f>
        <v/>
      </c>
      <c r="Y380">
        <f>IF(Table6[[#This Row],[pipeline]]="fma",Table6[[#This Row],[delay]],0)</f>
        <v>0</v>
      </c>
      <c r="Z380">
        <f>IF(AND(Table6[[#This Row],[pipeline]]="fma",W380="new"),290,0)</f>
        <v>0</v>
      </c>
      <c r="AK380" s="34"/>
    </row>
    <row r="381" spans="1:37" ht="17" x14ac:dyDescent="0.2">
      <c r="A381" s="31">
        <f>IF(Table6[[#This Row],[instruction]]&lt;&gt;"",MAX($A$6:A380)+1," ")</f>
        <v>376</v>
      </c>
      <c r="B381" s="32" t="s">
        <v>485</v>
      </c>
      <c r="C381" t="s">
        <v>626</v>
      </c>
      <c r="D381" s="31" t="s">
        <v>84</v>
      </c>
      <c r="E381" s="31" t="s">
        <v>693</v>
      </c>
      <c r="K381" s="2" t="str">
        <f t="shared" si="5"/>
        <v>shared</v>
      </c>
      <c r="L381" cm="1">
        <f t="array" ref="L3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81" t="str">
        <f>IF(OR(ISNUMBER(SEARCH("imad", Table6[[#This Row],[instruction]])), ISNUMBER(SEARCH("ffma", Table6[[#This Row],[instruction]])), ISNUMBER(SEARCH("fmul", Table6[[#This Row],[instruction]]))), "fma", "")</f>
        <v/>
      </c>
      <c r="P3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1" t="str">
        <f>IF(OR(ISNUMBER(SEARCH("s2r", Table6[[#This Row],[instruction]])),ISNUMBER(SEARCH("s2ur", Table6[[#This Row],[instruction]]))), "special", "")</f>
        <v/>
      </c>
      <c r="S381" t="str">
        <f>IF(OR(ISNUMBER(SEARCH("stg", Table6[[#This Row],[instruction]])),ISNUMBER(SEARCH("ldg", Table6[[#This Row],[instruction]]))), "global", "")</f>
        <v/>
      </c>
      <c r="T381" t="str">
        <f>IF(OR(ISNUMBER(SEARCH("sts", Table6[[#This Row],[instruction]])),ISNUMBER(SEARCH("lds", Table6[[#This Row],[instruction]]))), "shared", "")</f>
        <v>shared</v>
      </c>
      <c r="U381" t="str">
        <f>IF(OR(ISNUMBER(SEARCH("LDC", Table6[[#This Row],[instruction]]))), "ind. const", "")</f>
        <v/>
      </c>
      <c r="V3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Row],[s5]]))),U381=""), "cmb. const", "")</f>
        <v/>
      </c>
      <c r="Y381">
        <f>IF(Table6[[#This Row],[pipeline]]="fma",Table6[[#This Row],[delay]],0)</f>
        <v>0</v>
      </c>
      <c r="Z381">
        <f>IF(AND(Table6[[#This Row],[pipeline]]="fma",W381="new"),290,0)</f>
        <v>0</v>
      </c>
      <c r="AK381" s="34"/>
    </row>
    <row r="382" spans="1:37" ht="17" x14ac:dyDescent="0.2">
      <c r="A382" s="31">
        <f>IF(Table6[[#This Row],[instruction]]&lt;&gt;"",MAX($A$6:A381)+1," ")</f>
        <v>377</v>
      </c>
      <c r="B382" s="32" t="s">
        <v>485</v>
      </c>
      <c r="C382" t="s">
        <v>70</v>
      </c>
      <c r="D382" s="31" t="s">
        <v>608</v>
      </c>
      <c r="E382" s="31" t="s">
        <v>633</v>
      </c>
      <c r="F382" s="31" t="s">
        <v>678</v>
      </c>
      <c r="G382" s="31" t="s">
        <v>683</v>
      </c>
      <c r="K382" s="2" t="str">
        <f t="shared" si="5"/>
        <v>fma</v>
      </c>
      <c r="L382" cm="1">
        <f t="array" ref="L3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2" t="str">
        <f>IF(OR(ISNUMBER(SEARCH("imad", Table6[[#This Row],[instruction]])), ISNUMBER(SEARCH("ffma", Table6[[#This Row],[instruction]])), ISNUMBER(SEARCH("fmul", Table6[[#This Row],[instruction]]))), "fma", "")</f>
        <v>fma</v>
      </c>
      <c r="P3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2" t="str">
        <f>IF(OR(ISNUMBER(SEARCH("s2r", Table6[[#This Row],[instruction]])),ISNUMBER(SEARCH("s2ur", Table6[[#This Row],[instruction]]))), "special", "")</f>
        <v/>
      </c>
      <c r="S382" t="str">
        <f>IF(OR(ISNUMBER(SEARCH("stg", Table6[[#This Row],[instruction]])),ISNUMBER(SEARCH("ldg", Table6[[#This Row],[instruction]]))), "global", "")</f>
        <v/>
      </c>
      <c r="T382" t="str">
        <f>IF(OR(ISNUMBER(SEARCH("sts", Table6[[#This Row],[instruction]])),ISNUMBER(SEARCH("lds", Table6[[#This Row],[instruction]]))), "shared", "")</f>
        <v/>
      </c>
      <c r="U382" t="str">
        <f>IF(OR(ISNUMBER(SEARCH("LDC", Table6[[#This Row],[instruction]]))), "ind. const", "")</f>
        <v/>
      </c>
      <c r="V3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Row],[s5]]))),U382=""), "cmb. const", "")</f>
        <v/>
      </c>
      <c r="Y382">
        <f>IF(Table6[[#This Row],[pipeline]]="fma",Table6[[#This Row],[delay]],0)</f>
        <v>4</v>
      </c>
      <c r="Z382">
        <f>IF(AND(Table6[[#This Row],[pipeline]]="fma",W382="new"),290,0)</f>
        <v>0</v>
      </c>
      <c r="AK382" s="34"/>
    </row>
    <row r="383" spans="1:37" ht="17" x14ac:dyDescent="0.2">
      <c r="A383" s="31">
        <f>IF(Table6[[#This Row],[instruction]]&lt;&gt;"",MAX($A$6:A382)+1," ")</f>
        <v>378</v>
      </c>
      <c r="B383" s="32" t="s">
        <v>485</v>
      </c>
      <c r="C383" t="s">
        <v>70</v>
      </c>
      <c r="D383" s="31" t="s">
        <v>665</v>
      </c>
      <c r="E383" s="31" t="s">
        <v>80</v>
      </c>
      <c r="F383" s="31" t="s">
        <v>654</v>
      </c>
      <c r="G383" s="31" t="s">
        <v>677</v>
      </c>
      <c r="K383" s="2" t="str">
        <f t="shared" si="5"/>
        <v>fma</v>
      </c>
      <c r="L383" cm="1">
        <f t="array" ref="L3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3" t="str">
        <f>IF(OR(ISNUMBER(SEARCH("imad", Table6[[#This Row],[instruction]])), ISNUMBER(SEARCH("ffma", Table6[[#This Row],[instruction]])), ISNUMBER(SEARCH("fmul", Table6[[#This Row],[instruction]]))), "fma", "")</f>
        <v>fma</v>
      </c>
      <c r="P3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3" t="str">
        <f>IF(OR(ISNUMBER(SEARCH("s2r", Table6[[#This Row],[instruction]])),ISNUMBER(SEARCH("s2ur", Table6[[#This Row],[instruction]]))), "special", "")</f>
        <v/>
      </c>
      <c r="S383" t="str">
        <f>IF(OR(ISNUMBER(SEARCH("stg", Table6[[#This Row],[instruction]])),ISNUMBER(SEARCH("ldg", Table6[[#This Row],[instruction]]))), "global", "")</f>
        <v/>
      </c>
      <c r="T383" t="str">
        <f>IF(OR(ISNUMBER(SEARCH("sts", Table6[[#This Row],[instruction]])),ISNUMBER(SEARCH("lds", Table6[[#This Row],[instruction]]))), "shared", "")</f>
        <v/>
      </c>
      <c r="U383" t="str">
        <f>IF(OR(ISNUMBER(SEARCH("LDC", Table6[[#This Row],[instruction]]))), "ind. const", "")</f>
        <v/>
      </c>
      <c r="V3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Row],[s5]]))),U383=""), "cmb. const", "")</f>
        <v/>
      </c>
      <c r="Y383">
        <f>IF(Table6[[#This Row],[pipeline]]="fma",Table6[[#This Row],[delay]],0)</f>
        <v>4</v>
      </c>
      <c r="Z383">
        <f>IF(AND(Table6[[#This Row],[pipeline]]="fma",W383="new"),290,0)</f>
        <v>0</v>
      </c>
      <c r="AK383" s="34"/>
    </row>
    <row r="384" spans="1:37" ht="17" x14ac:dyDescent="0.2">
      <c r="A384" s="31">
        <f>IF(Table6[[#This Row],[instruction]]&lt;&gt;"",MAX($A$6:A383)+1," ")</f>
        <v>379</v>
      </c>
      <c r="B384" s="32" t="s">
        <v>485</v>
      </c>
      <c r="C384" t="s">
        <v>70</v>
      </c>
      <c r="D384" s="31" t="s">
        <v>649</v>
      </c>
      <c r="E384" s="31" t="s">
        <v>80</v>
      </c>
      <c r="F384" s="31" t="s">
        <v>567</v>
      </c>
      <c r="G384" s="31" t="s">
        <v>679</v>
      </c>
      <c r="K384" s="2" t="str">
        <f t="shared" si="5"/>
        <v>fma</v>
      </c>
      <c r="L384" cm="1">
        <f t="array" ref="L3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4" t="str">
        <f>IF(OR(ISNUMBER(SEARCH("imad", Table6[[#This Row],[instruction]])), ISNUMBER(SEARCH("ffma", Table6[[#This Row],[instruction]])), ISNUMBER(SEARCH("fmul", Table6[[#This Row],[instruction]]))), "fma", "")</f>
        <v>fma</v>
      </c>
      <c r="P3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4" t="str">
        <f>IF(OR(ISNUMBER(SEARCH("s2r", Table6[[#This Row],[instruction]])),ISNUMBER(SEARCH("s2ur", Table6[[#This Row],[instruction]]))), "special", "")</f>
        <v/>
      </c>
      <c r="S384" t="str">
        <f>IF(OR(ISNUMBER(SEARCH("stg", Table6[[#This Row],[instruction]])),ISNUMBER(SEARCH("ldg", Table6[[#This Row],[instruction]]))), "global", "")</f>
        <v/>
      </c>
      <c r="T384" t="str">
        <f>IF(OR(ISNUMBER(SEARCH("sts", Table6[[#This Row],[instruction]])),ISNUMBER(SEARCH("lds", Table6[[#This Row],[instruction]]))), "shared", "")</f>
        <v/>
      </c>
      <c r="U384" t="str">
        <f>IF(OR(ISNUMBER(SEARCH("LDC", Table6[[#This Row],[instruction]]))), "ind. const", "")</f>
        <v/>
      </c>
      <c r="V3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Row],[s5]]))),U384=""), "cmb. const", "")</f>
        <v/>
      </c>
      <c r="Y384">
        <f>IF(Table6[[#This Row],[pipeline]]="fma",Table6[[#This Row],[delay]],0)</f>
        <v>4</v>
      </c>
      <c r="Z384">
        <f>IF(AND(Table6[[#This Row],[pipeline]]="fma",W384="new"),290,0)</f>
        <v>0</v>
      </c>
      <c r="AK384" s="34"/>
    </row>
    <row r="385" spans="1:37" ht="17" x14ac:dyDescent="0.2">
      <c r="A385" s="31">
        <f>IF(Table6[[#This Row],[instruction]]&lt;&gt;"",MAX($A$6:A384)+1," ")</f>
        <v>380</v>
      </c>
      <c r="B385" s="32" t="s">
        <v>485</v>
      </c>
      <c r="C385" t="s">
        <v>70</v>
      </c>
      <c r="D385" s="31" t="s">
        <v>648</v>
      </c>
      <c r="E385" s="31" t="s">
        <v>80</v>
      </c>
      <c r="F385" s="31" t="s">
        <v>651</v>
      </c>
      <c r="G385" s="31" t="s">
        <v>681</v>
      </c>
      <c r="K385" s="2" t="str">
        <f t="shared" si="5"/>
        <v>fma</v>
      </c>
      <c r="L385" cm="1">
        <f t="array" ref="L3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5" t="str">
        <f>IF(OR(ISNUMBER(SEARCH("imad", Table6[[#This Row],[instruction]])), ISNUMBER(SEARCH("ffma", Table6[[#This Row],[instruction]])), ISNUMBER(SEARCH("fmul", Table6[[#This Row],[instruction]]))), "fma", "")</f>
        <v>fma</v>
      </c>
      <c r="P3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5" t="str">
        <f>IF(OR(ISNUMBER(SEARCH("s2r", Table6[[#This Row],[instruction]])),ISNUMBER(SEARCH("s2ur", Table6[[#This Row],[instruction]]))), "special", "")</f>
        <v/>
      </c>
      <c r="S385" t="str">
        <f>IF(OR(ISNUMBER(SEARCH("stg", Table6[[#This Row],[instruction]])),ISNUMBER(SEARCH("ldg", Table6[[#This Row],[instruction]]))), "global", "")</f>
        <v/>
      </c>
      <c r="T385" t="str">
        <f>IF(OR(ISNUMBER(SEARCH("sts", Table6[[#This Row],[instruction]])),ISNUMBER(SEARCH("lds", Table6[[#This Row],[instruction]]))), "shared", "")</f>
        <v/>
      </c>
      <c r="U385" t="str">
        <f>IF(OR(ISNUMBER(SEARCH("LDC", Table6[[#This Row],[instruction]]))), "ind. const", "")</f>
        <v/>
      </c>
      <c r="V3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Row],[s5]]))),U385=""), "cmb. const", "")</f>
        <v/>
      </c>
      <c r="Y385">
        <f>IF(Table6[[#This Row],[pipeline]]="fma",Table6[[#This Row],[delay]],0)</f>
        <v>4</v>
      </c>
      <c r="Z385">
        <f>IF(AND(Table6[[#This Row],[pipeline]]="fma",W385="new"),290,0)</f>
        <v>0</v>
      </c>
      <c r="AK385" s="34"/>
    </row>
    <row r="386" spans="1:37" ht="17" x14ac:dyDescent="0.2">
      <c r="A386" s="31">
        <f>IF(Table6[[#This Row],[instruction]]&lt;&gt;"",MAX($A$6:A385)+1," ")</f>
        <v>381</v>
      </c>
      <c r="B386" s="32" t="s">
        <v>485</v>
      </c>
      <c r="C386" t="s">
        <v>70</v>
      </c>
      <c r="D386" s="31" t="s">
        <v>600</v>
      </c>
      <c r="E386" s="31" t="s">
        <v>588</v>
      </c>
      <c r="F386" s="31" t="s">
        <v>654</v>
      </c>
      <c r="G386" s="31" t="s">
        <v>668</v>
      </c>
      <c r="K386" s="2" t="str">
        <f t="shared" si="5"/>
        <v>fma</v>
      </c>
      <c r="L386" cm="1">
        <f t="array" ref="L3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6" t="str">
        <f>IF(OR(ISNUMBER(SEARCH("imad", Table6[[#This Row],[instruction]])), ISNUMBER(SEARCH("ffma", Table6[[#This Row],[instruction]])), ISNUMBER(SEARCH("fmul", Table6[[#This Row],[instruction]]))), "fma", "")</f>
        <v>fma</v>
      </c>
      <c r="P3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6" t="str">
        <f>IF(OR(ISNUMBER(SEARCH("s2r", Table6[[#This Row],[instruction]])),ISNUMBER(SEARCH("s2ur", Table6[[#This Row],[instruction]]))), "special", "")</f>
        <v/>
      </c>
      <c r="S386" t="str">
        <f>IF(OR(ISNUMBER(SEARCH("stg", Table6[[#This Row],[instruction]])),ISNUMBER(SEARCH("ldg", Table6[[#This Row],[instruction]]))), "global", "")</f>
        <v/>
      </c>
      <c r="T386" t="str">
        <f>IF(OR(ISNUMBER(SEARCH("sts", Table6[[#This Row],[instruction]])),ISNUMBER(SEARCH("lds", Table6[[#This Row],[instruction]]))), "shared", "")</f>
        <v/>
      </c>
      <c r="U386" t="str">
        <f>IF(OR(ISNUMBER(SEARCH("LDC", Table6[[#This Row],[instruction]]))), "ind. const", "")</f>
        <v/>
      </c>
      <c r="V3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Row],[s5]]))),U386=""), "cmb. const", "")</f>
        <v/>
      </c>
      <c r="Y386">
        <f>IF(Table6[[#This Row],[pipeline]]="fma",Table6[[#This Row],[delay]],0)</f>
        <v>4</v>
      </c>
      <c r="Z386">
        <f>IF(AND(Table6[[#This Row],[pipeline]]="fma",W386="new"),290,0)</f>
        <v>0</v>
      </c>
      <c r="AK386" s="34"/>
    </row>
    <row r="387" spans="1:37" ht="17" x14ac:dyDescent="0.2">
      <c r="A387" s="31">
        <f>IF(Table6[[#This Row],[instruction]]&lt;&gt;"",MAX($A$6:A386)+1," ")</f>
        <v>382</v>
      </c>
      <c r="B387" s="32" t="s">
        <v>485</v>
      </c>
      <c r="C387" t="s">
        <v>70</v>
      </c>
      <c r="D387" s="31" t="s">
        <v>612</v>
      </c>
      <c r="E387" s="31" t="s">
        <v>614</v>
      </c>
      <c r="F387" s="31" t="s">
        <v>654</v>
      </c>
      <c r="G387" s="31" t="s">
        <v>669</v>
      </c>
      <c r="K387" s="2" t="str">
        <f t="shared" si="5"/>
        <v>fma</v>
      </c>
      <c r="L387" cm="1">
        <f t="array" ref="L3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7" t="str">
        <f>IF(OR(ISNUMBER(SEARCH("imad", Table6[[#This Row],[instruction]])), ISNUMBER(SEARCH("ffma", Table6[[#This Row],[instruction]])), ISNUMBER(SEARCH("fmul", Table6[[#This Row],[instruction]]))), "fma", "")</f>
        <v>fma</v>
      </c>
      <c r="P3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7" t="str">
        <f>IF(OR(ISNUMBER(SEARCH("s2r", Table6[[#This Row],[instruction]])),ISNUMBER(SEARCH("s2ur", Table6[[#This Row],[instruction]]))), "special", "")</f>
        <v/>
      </c>
      <c r="S387" t="str">
        <f>IF(OR(ISNUMBER(SEARCH("stg", Table6[[#This Row],[instruction]])),ISNUMBER(SEARCH("ldg", Table6[[#This Row],[instruction]]))), "global", "")</f>
        <v/>
      </c>
      <c r="T387" t="str">
        <f>IF(OR(ISNUMBER(SEARCH("sts", Table6[[#This Row],[instruction]])),ISNUMBER(SEARCH("lds", Table6[[#This Row],[instruction]]))), "shared", "")</f>
        <v/>
      </c>
      <c r="U387" t="str">
        <f>IF(OR(ISNUMBER(SEARCH("LDC", Table6[[#This Row],[instruction]]))), "ind. const", "")</f>
        <v/>
      </c>
      <c r="V3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Row],[s5]]))),U387=""), "cmb. const", "")</f>
        <v/>
      </c>
      <c r="Y387">
        <f>IF(Table6[[#This Row],[pipeline]]="fma",Table6[[#This Row],[delay]],0)</f>
        <v>4</v>
      </c>
      <c r="Z387">
        <f>IF(AND(Table6[[#This Row],[pipeline]]="fma",W387="new"),290,0)</f>
        <v>0</v>
      </c>
      <c r="AK387" s="34"/>
    </row>
    <row r="388" spans="1:37" ht="17" x14ac:dyDescent="0.2">
      <c r="A388" s="31">
        <f>IF(Table6[[#This Row],[instruction]]&lt;&gt;"",MAX($A$6:A387)+1," ")</f>
        <v>383</v>
      </c>
      <c r="B388" s="32" t="s">
        <v>485</v>
      </c>
      <c r="C388" t="s">
        <v>70</v>
      </c>
      <c r="D388" s="31" t="s">
        <v>609</v>
      </c>
      <c r="E388" s="31" t="s">
        <v>614</v>
      </c>
      <c r="F388" s="31" t="s">
        <v>567</v>
      </c>
      <c r="G388" s="31" t="s">
        <v>670</v>
      </c>
      <c r="K388" s="2" t="str">
        <f t="shared" si="5"/>
        <v>fma</v>
      </c>
      <c r="L388" cm="1">
        <f t="array" ref="L3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8" t="str">
        <f>IF(OR(ISNUMBER(SEARCH("imad", Table6[[#This Row],[instruction]])), ISNUMBER(SEARCH("ffma", Table6[[#This Row],[instruction]])), ISNUMBER(SEARCH("fmul", Table6[[#This Row],[instruction]]))), "fma", "")</f>
        <v>fma</v>
      </c>
      <c r="P3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8" t="str">
        <f>IF(OR(ISNUMBER(SEARCH("s2r", Table6[[#This Row],[instruction]])),ISNUMBER(SEARCH("s2ur", Table6[[#This Row],[instruction]]))), "special", "")</f>
        <v/>
      </c>
      <c r="S388" t="str">
        <f>IF(OR(ISNUMBER(SEARCH("stg", Table6[[#This Row],[instruction]])),ISNUMBER(SEARCH("ldg", Table6[[#This Row],[instruction]]))), "global", "")</f>
        <v/>
      </c>
      <c r="T388" t="str">
        <f>IF(OR(ISNUMBER(SEARCH("sts", Table6[[#This Row],[instruction]])),ISNUMBER(SEARCH("lds", Table6[[#This Row],[instruction]]))), "shared", "")</f>
        <v/>
      </c>
      <c r="U388" t="str">
        <f>IF(OR(ISNUMBER(SEARCH("LDC", Table6[[#This Row],[instruction]]))), "ind. const", "")</f>
        <v/>
      </c>
      <c r="V3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Row],[s5]]))),U388=""), "cmb. const", "")</f>
        <v/>
      </c>
      <c r="Y388">
        <f>IF(Table6[[#This Row],[pipeline]]="fma",Table6[[#This Row],[delay]],0)</f>
        <v>4</v>
      </c>
      <c r="Z388">
        <f>IF(AND(Table6[[#This Row],[pipeline]]="fma",W388="new"),290,0)</f>
        <v>0</v>
      </c>
      <c r="AK388" s="34"/>
    </row>
    <row r="389" spans="1:37" ht="17" x14ac:dyDescent="0.2">
      <c r="A389" s="31">
        <f>IF(Table6[[#This Row],[instruction]]&lt;&gt;"",MAX($A$6:A388)+1," ")</f>
        <v>384</v>
      </c>
      <c r="B389" s="32" t="s">
        <v>485</v>
      </c>
      <c r="C389" t="s">
        <v>70</v>
      </c>
      <c r="D389" s="31" t="s">
        <v>671</v>
      </c>
      <c r="E389" s="31" t="s">
        <v>614</v>
      </c>
      <c r="F389" s="31" t="s">
        <v>651</v>
      </c>
      <c r="G389" s="31" t="s">
        <v>672</v>
      </c>
      <c r="K389" s="2" t="str">
        <f t="shared" si="5"/>
        <v>fma</v>
      </c>
      <c r="L389" cm="1">
        <f t="array" ref="L3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89" t="str">
        <f>IF(OR(ISNUMBER(SEARCH("imad", Table6[[#This Row],[instruction]])), ISNUMBER(SEARCH("ffma", Table6[[#This Row],[instruction]])), ISNUMBER(SEARCH("fmul", Table6[[#This Row],[instruction]]))), "fma", "")</f>
        <v>fma</v>
      </c>
      <c r="P3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89" t="str">
        <f>IF(OR(ISNUMBER(SEARCH("s2r", Table6[[#This Row],[instruction]])),ISNUMBER(SEARCH("s2ur", Table6[[#This Row],[instruction]]))), "special", "")</f>
        <v/>
      </c>
      <c r="S389" t="str">
        <f>IF(OR(ISNUMBER(SEARCH("stg", Table6[[#This Row],[instruction]])),ISNUMBER(SEARCH("ldg", Table6[[#This Row],[instruction]]))), "global", "")</f>
        <v/>
      </c>
      <c r="T389" t="str">
        <f>IF(OR(ISNUMBER(SEARCH("sts", Table6[[#This Row],[instruction]])),ISNUMBER(SEARCH("lds", Table6[[#This Row],[instruction]]))), "shared", "")</f>
        <v/>
      </c>
      <c r="U389" t="str">
        <f>IF(OR(ISNUMBER(SEARCH("LDC", Table6[[#This Row],[instruction]]))), "ind. const", "")</f>
        <v/>
      </c>
      <c r="V3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Row],[s5]]))),U389=""), "cmb. const", "")</f>
        <v/>
      </c>
      <c r="Y389">
        <f>IF(Table6[[#This Row],[pipeline]]="fma",Table6[[#This Row],[delay]],0)</f>
        <v>4</v>
      </c>
      <c r="Z389">
        <f>IF(AND(Table6[[#This Row],[pipeline]]="fma",W389="new"),290,0)</f>
        <v>0</v>
      </c>
      <c r="AK389" s="34"/>
    </row>
    <row r="390" spans="1:37" ht="17" x14ac:dyDescent="0.2">
      <c r="A390" s="31">
        <f>IF(Table6[[#This Row],[instruction]]&lt;&gt;"",MAX($A$6:A389)+1," ")</f>
        <v>385</v>
      </c>
      <c r="B390" s="32" t="s">
        <v>485</v>
      </c>
      <c r="C390" t="s">
        <v>70</v>
      </c>
      <c r="D390" s="31" t="s">
        <v>613</v>
      </c>
      <c r="E390" s="31" t="s">
        <v>633</v>
      </c>
      <c r="F390" s="31" t="s">
        <v>680</v>
      </c>
      <c r="G390" s="31" t="s">
        <v>684</v>
      </c>
      <c r="K390" s="2" t="str">
        <f t="shared" ref="K390:K453" si="6">IF(O390&lt;&gt;"", O390, IF(P390&lt;&gt;"", P390, IF(R390&lt;&gt;"", R390, IF(S390&lt;&gt;"", S390, IF(T390&lt;&gt;"", T390, IF(U390&lt;&gt;"", U390, IF(Q390&lt;&gt;"", Q390, "")))))))</f>
        <v>fma</v>
      </c>
      <c r="L390" cm="1">
        <f t="array" ref="L3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0" t="str">
        <f>IF(OR(ISNUMBER(SEARCH("imad", Table6[[#This Row],[instruction]])), ISNUMBER(SEARCH("ffma", Table6[[#This Row],[instruction]])), ISNUMBER(SEARCH("fmul", Table6[[#This Row],[instruction]]))), "fma", "")</f>
        <v>fma</v>
      </c>
      <c r="P3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0" t="str">
        <f>IF(OR(ISNUMBER(SEARCH("s2r", Table6[[#This Row],[instruction]])),ISNUMBER(SEARCH("s2ur", Table6[[#This Row],[instruction]]))), "special", "")</f>
        <v/>
      </c>
      <c r="S390" t="str">
        <f>IF(OR(ISNUMBER(SEARCH("stg", Table6[[#This Row],[instruction]])),ISNUMBER(SEARCH("ldg", Table6[[#This Row],[instruction]]))), "global", "")</f>
        <v/>
      </c>
      <c r="T390" t="str">
        <f>IF(OR(ISNUMBER(SEARCH("sts", Table6[[#This Row],[instruction]])),ISNUMBER(SEARCH("lds", Table6[[#This Row],[instruction]]))), "shared", "")</f>
        <v/>
      </c>
      <c r="U390" t="str">
        <f>IF(OR(ISNUMBER(SEARCH("LDC", Table6[[#This Row],[instruction]]))), "ind. const", "")</f>
        <v/>
      </c>
      <c r="V3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Row],[s5]]))),U390=""), "cmb. const", "")</f>
        <v/>
      </c>
      <c r="Y390">
        <f>IF(Table6[[#This Row],[pipeline]]="fma",Table6[[#This Row],[delay]],0)</f>
        <v>4</v>
      </c>
      <c r="Z390">
        <f>IF(AND(Table6[[#This Row],[pipeline]]="fma",W390="new"),290,0)</f>
        <v>0</v>
      </c>
      <c r="AK390" s="34"/>
    </row>
    <row r="391" spans="1:37" ht="17" x14ac:dyDescent="0.2">
      <c r="A391" s="31">
        <f>IF(Table6[[#This Row],[instruction]]&lt;&gt;"",MAX($A$6:A390)+1," ")</f>
        <v>386</v>
      </c>
      <c r="B391" s="32" t="s">
        <v>485</v>
      </c>
      <c r="C391" t="s">
        <v>70</v>
      </c>
      <c r="D391" s="31" t="s">
        <v>605</v>
      </c>
      <c r="E391" s="31" t="s">
        <v>633</v>
      </c>
      <c r="F391" s="31" t="s">
        <v>689</v>
      </c>
      <c r="G391" s="31" t="s">
        <v>685</v>
      </c>
      <c r="K391" s="2" t="str">
        <f t="shared" si="6"/>
        <v>fma</v>
      </c>
      <c r="L391" cm="1">
        <f t="array" ref="L3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1" t="str">
        <f>IF(OR(ISNUMBER(SEARCH("imad", Table6[[#This Row],[instruction]])), ISNUMBER(SEARCH("ffma", Table6[[#This Row],[instruction]])), ISNUMBER(SEARCH("fmul", Table6[[#This Row],[instruction]]))), "fma", "")</f>
        <v>fma</v>
      </c>
      <c r="P3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1" t="str">
        <f>IF(OR(ISNUMBER(SEARCH("s2r", Table6[[#This Row],[instruction]])),ISNUMBER(SEARCH("s2ur", Table6[[#This Row],[instruction]]))), "special", "")</f>
        <v/>
      </c>
      <c r="S391" t="str">
        <f>IF(OR(ISNUMBER(SEARCH("stg", Table6[[#This Row],[instruction]])),ISNUMBER(SEARCH("ldg", Table6[[#This Row],[instruction]]))), "global", "")</f>
        <v/>
      </c>
      <c r="T391" t="str">
        <f>IF(OR(ISNUMBER(SEARCH("sts", Table6[[#This Row],[instruction]])),ISNUMBER(SEARCH("lds", Table6[[#This Row],[instruction]]))), "shared", "")</f>
        <v/>
      </c>
      <c r="U391" t="str">
        <f>IF(OR(ISNUMBER(SEARCH("LDC", Table6[[#This Row],[instruction]]))), "ind. const", "")</f>
        <v/>
      </c>
      <c r="V3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Row],[s5]]))),U391=""), "cmb. const", "")</f>
        <v/>
      </c>
      <c r="Y391">
        <f>IF(Table6[[#This Row],[pipeline]]="fma",Table6[[#This Row],[delay]],0)</f>
        <v>4</v>
      </c>
      <c r="Z391">
        <f>IF(AND(Table6[[#This Row],[pipeline]]="fma",W391="new"),290,0)</f>
        <v>0</v>
      </c>
      <c r="AK391" s="34"/>
    </row>
    <row r="392" spans="1:37" ht="17" x14ac:dyDescent="0.2">
      <c r="A392" s="31">
        <f>IF(Table6[[#This Row],[instruction]]&lt;&gt;"",MAX($A$6:A391)+1," ")</f>
        <v>387</v>
      </c>
      <c r="B392" s="32" t="s">
        <v>485</v>
      </c>
      <c r="C392" t="s">
        <v>70</v>
      </c>
      <c r="D392" s="31" t="s">
        <v>597</v>
      </c>
      <c r="E392" s="31" t="s">
        <v>640</v>
      </c>
      <c r="F392" s="31" t="s">
        <v>678</v>
      </c>
      <c r="G392" s="31" t="s">
        <v>686</v>
      </c>
      <c r="K392" s="2" t="str">
        <f t="shared" si="6"/>
        <v>fma</v>
      </c>
      <c r="L392" cm="1">
        <f t="array" ref="L3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2" t="str">
        <f>IF(OR(ISNUMBER(SEARCH("imad", Table6[[#This Row],[instruction]])), ISNUMBER(SEARCH("ffma", Table6[[#This Row],[instruction]])), ISNUMBER(SEARCH("fmul", Table6[[#This Row],[instruction]]))), "fma", "")</f>
        <v>fma</v>
      </c>
      <c r="P3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2" t="str">
        <f>IF(OR(ISNUMBER(SEARCH("s2r", Table6[[#This Row],[instruction]])),ISNUMBER(SEARCH("s2ur", Table6[[#This Row],[instruction]]))), "special", "")</f>
        <v/>
      </c>
      <c r="S392" t="str">
        <f>IF(OR(ISNUMBER(SEARCH("stg", Table6[[#This Row],[instruction]])),ISNUMBER(SEARCH("ldg", Table6[[#This Row],[instruction]]))), "global", "")</f>
        <v/>
      </c>
      <c r="T392" t="str">
        <f>IF(OR(ISNUMBER(SEARCH("sts", Table6[[#This Row],[instruction]])),ISNUMBER(SEARCH("lds", Table6[[#This Row],[instruction]]))), "shared", "")</f>
        <v/>
      </c>
      <c r="U392" t="str">
        <f>IF(OR(ISNUMBER(SEARCH("LDC", Table6[[#This Row],[instruction]]))), "ind. const", "")</f>
        <v/>
      </c>
      <c r="V3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Row],[s5]]))),U392=""), "cmb. const", "")</f>
        <v/>
      </c>
      <c r="Y392">
        <f>IF(Table6[[#This Row],[pipeline]]="fma",Table6[[#This Row],[delay]],0)</f>
        <v>4</v>
      </c>
      <c r="Z392">
        <f>IF(AND(Table6[[#This Row],[pipeline]]="fma",W392="new"),290,0)</f>
        <v>0</v>
      </c>
      <c r="AK392" s="34"/>
    </row>
    <row r="393" spans="1:37" ht="17" x14ac:dyDescent="0.2">
      <c r="A393" s="31">
        <f>IF(Table6[[#This Row],[instruction]]&lt;&gt;"",MAX($A$6:A392)+1," ")</f>
        <v>388</v>
      </c>
      <c r="B393" s="32" t="s">
        <v>485</v>
      </c>
      <c r="C393" t="s">
        <v>70</v>
      </c>
      <c r="D393" s="31" t="s">
        <v>604</v>
      </c>
      <c r="E393" s="31" t="s">
        <v>640</v>
      </c>
      <c r="F393" s="31" t="s">
        <v>680</v>
      </c>
      <c r="G393" s="31" t="s">
        <v>687</v>
      </c>
      <c r="K393" s="2" t="str">
        <f t="shared" si="6"/>
        <v>fma</v>
      </c>
      <c r="L393" cm="1">
        <f t="array" ref="L3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3" t="str">
        <f>IF(OR(ISNUMBER(SEARCH("imad", Table6[[#This Row],[instruction]])), ISNUMBER(SEARCH("ffma", Table6[[#This Row],[instruction]])), ISNUMBER(SEARCH("fmul", Table6[[#This Row],[instruction]]))), "fma", "")</f>
        <v>fma</v>
      </c>
      <c r="P3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3" t="str">
        <f>IF(OR(ISNUMBER(SEARCH("s2r", Table6[[#This Row],[instruction]])),ISNUMBER(SEARCH("s2ur", Table6[[#This Row],[instruction]]))), "special", "")</f>
        <v/>
      </c>
      <c r="S393" t="str">
        <f>IF(OR(ISNUMBER(SEARCH("stg", Table6[[#This Row],[instruction]])),ISNUMBER(SEARCH("ldg", Table6[[#This Row],[instruction]]))), "global", "")</f>
        <v/>
      </c>
      <c r="T393" t="str">
        <f>IF(OR(ISNUMBER(SEARCH("sts", Table6[[#This Row],[instruction]])),ISNUMBER(SEARCH("lds", Table6[[#This Row],[instruction]]))), "shared", "")</f>
        <v/>
      </c>
      <c r="U393" t="str">
        <f>IF(OR(ISNUMBER(SEARCH("LDC", Table6[[#This Row],[instruction]]))), "ind. const", "")</f>
        <v/>
      </c>
      <c r="V3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Row],[s5]]))),U393=""), "cmb. const", "")</f>
        <v/>
      </c>
      <c r="Y393">
        <f>IF(Table6[[#This Row],[pipeline]]="fma",Table6[[#This Row],[delay]],0)</f>
        <v>4</v>
      </c>
      <c r="Z393">
        <f>IF(AND(Table6[[#This Row],[pipeline]]="fma",W393="new"),290,0)</f>
        <v>0</v>
      </c>
      <c r="AK393" s="34"/>
    </row>
    <row r="394" spans="1:37" ht="17" x14ac:dyDescent="0.2">
      <c r="A394" s="31">
        <f>IF(Table6[[#This Row],[instruction]]&lt;&gt;"",MAX($A$6:A393)+1," ")</f>
        <v>389</v>
      </c>
      <c r="B394" s="32" t="s">
        <v>485</v>
      </c>
      <c r="C394" t="s">
        <v>70</v>
      </c>
      <c r="D394" s="31" t="s">
        <v>598</v>
      </c>
      <c r="E394" s="31" t="s">
        <v>640</v>
      </c>
      <c r="F394" s="31" t="s">
        <v>689</v>
      </c>
      <c r="G394" s="31" t="s">
        <v>688</v>
      </c>
      <c r="K394" s="2" t="str">
        <f t="shared" si="6"/>
        <v>fma</v>
      </c>
      <c r="L394" cm="1">
        <f t="array" ref="L3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4" t="str">
        <f>IF(OR(ISNUMBER(SEARCH("imad", Table6[[#This Row],[instruction]])), ISNUMBER(SEARCH("ffma", Table6[[#This Row],[instruction]])), ISNUMBER(SEARCH("fmul", Table6[[#This Row],[instruction]]))), "fma", "")</f>
        <v>fma</v>
      </c>
      <c r="P3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4" t="str">
        <f>IF(OR(ISNUMBER(SEARCH("s2r", Table6[[#This Row],[instruction]])),ISNUMBER(SEARCH("s2ur", Table6[[#This Row],[instruction]]))), "special", "")</f>
        <v/>
      </c>
      <c r="S394" t="str">
        <f>IF(OR(ISNUMBER(SEARCH("stg", Table6[[#This Row],[instruction]])),ISNUMBER(SEARCH("ldg", Table6[[#This Row],[instruction]]))), "global", "")</f>
        <v/>
      </c>
      <c r="T394" t="str">
        <f>IF(OR(ISNUMBER(SEARCH("sts", Table6[[#This Row],[instruction]])),ISNUMBER(SEARCH("lds", Table6[[#This Row],[instruction]]))), "shared", "")</f>
        <v/>
      </c>
      <c r="U394" t="str">
        <f>IF(OR(ISNUMBER(SEARCH("LDC", Table6[[#This Row],[instruction]]))), "ind. const", "")</f>
        <v/>
      </c>
      <c r="V3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Row],[s5]]))),U394=""), "cmb. const", "")</f>
        <v/>
      </c>
      <c r="Y394">
        <f>IF(Table6[[#This Row],[pipeline]]="fma",Table6[[#This Row],[delay]],0)</f>
        <v>4</v>
      </c>
      <c r="Z394">
        <f>IF(AND(Table6[[#This Row],[pipeline]]="fma",W394="new"),290,0)</f>
        <v>0</v>
      </c>
      <c r="AK394" s="34"/>
    </row>
    <row r="395" spans="1:37" ht="17" x14ac:dyDescent="0.2">
      <c r="A395" s="31">
        <f>IF(Table6[[#This Row],[instruction]]&lt;&gt;"",MAX($A$6:A394)+1," ")</f>
        <v>390</v>
      </c>
      <c r="B395" s="32" t="s">
        <v>485</v>
      </c>
      <c r="C395" t="s">
        <v>70</v>
      </c>
      <c r="D395" s="31" t="s">
        <v>80</v>
      </c>
      <c r="E395" s="31" t="s">
        <v>80</v>
      </c>
      <c r="F395" s="31" t="s">
        <v>637</v>
      </c>
      <c r="G395" s="31" t="s">
        <v>694</v>
      </c>
      <c r="K395" s="2" t="str">
        <f t="shared" si="6"/>
        <v>fma</v>
      </c>
      <c r="L395" cm="1">
        <f t="array" ref="L3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5" t="str">
        <f>IF(OR(ISNUMBER(SEARCH("imad", Table6[[#This Row],[instruction]])), ISNUMBER(SEARCH("ffma", Table6[[#This Row],[instruction]])), ISNUMBER(SEARCH("fmul", Table6[[#This Row],[instruction]]))), "fma", "")</f>
        <v>fma</v>
      </c>
      <c r="P3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5" t="str">
        <f>IF(OR(ISNUMBER(SEARCH("s2r", Table6[[#This Row],[instruction]])),ISNUMBER(SEARCH("s2ur", Table6[[#This Row],[instruction]]))), "special", "")</f>
        <v/>
      </c>
      <c r="S395" t="str">
        <f>IF(OR(ISNUMBER(SEARCH("stg", Table6[[#This Row],[instruction]])),ISNUMBER(SEARCH("ldg", Table6[[#This Row],[instruction]]))), "global", "")</f>
        <v/>
      </c>
      <c r="T395" t="str">
        <f>IF(OR(ISNUMBER(SEARCH("sts", Table6[[#This Row],[instruction]])),ISNUMBER(SEARCH("lds", Table6[[#This Row],[instruction]]))), "shared", "")</f>
        <v/>
      </c>
      <c r="U395" t="str">
        <f>IF(OR(ISNUMBER(SEARCH("LDC", Table6[[#This Row],[instruction]]))), "ind. const", "")</f>
        <v/>
      </c>
      <c r="V3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Row],[s5]]))),U395=""), "cmb. const", "")</f>
        <v/>
      </c>
      <c r="Y395">
        <f>IF(Table6[[#This Row],[pipeline]]="fma",Table6[[#This Row],[delay]],0)</f>
        <v>4</v>
      </c>
      <c r="Z395">
        <f>IF(AND(Table6[[#This Row],[pipeline]]="fma",W395="new"),290,0)</f>
        <v>0</v>
      </c>
      <c r="AK395" s="34"/>
    </row>
    <row r="396" spans="1:37" ht="17" x14ac:dyDescent="0.2">
      <c r="A396" s="31">
        <f>IF(Table6[[#This Row],[instruction]]&lt;&gt;"",MAX($A$6:A395)+1," ")</f>
        <v>391</v>
      </c>
      <c r="B396" s="32" t="s">
        <v>485</v>
      </c>
      <c r="C396" t="s">
        <v>70</v>
      </c>
      <c r="D396" s="31" t="s">
        <v>614</v>
      </c>
      <c r="E396" s="31" t="s">
        <v>614</v>
      </c>
      <c r="F396" s="31" t="s">
        <v>637</v>
      </c>
      <c r="G396" s="31" t="s">
        <v>695</v>
      </c>
      <c r="K396" s="2" t="str">
        <f t="shared" si="6"/>
        <v>fma</v>
      </c>
      <c r="L396" cm="1">
        <f t="array" ref="L3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6" t="str">
        <f>IF(OR(ISNUMBER(SEARCH("imad", Table6[[#This Row],[instruction]])), ISNUMBER(SEARCH("ffma", Table6[[#This Row],[instruction]])), ISNUMBER(SEARCH("fmul", Table6[[#This Row],[instruction]]))), "fma", "")</f>
        <v>fma</v>
      </c>
      <c r="P3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6" t="str">
        <f>IF(OR(ISNUMBER(SEARCH("s2r", Table6[[#This Row],[instruction]])),ISNUMBER(SEARCH("s2ur", Table6[[#This Row],[instruction]]))), "special", "")</f>
        <v/>
      </c>
      <c r="S396" t="str">
        <f>IF(OR(ISNUMBER(SEARCH("stg", Table6[[#This Row],[instruction]])),ISNUMBER(SEARCH("ldg", Table6[[#This Row],[instruction]]))), "global", "")</f>
        <v/>
      </c>
      <c r="T396" t="str">
        <f>IF(OR(ISNUMBER(SEARCH("sts", Table6[[#This Row],[instruction]])),ISNUMBER(SEARCH("lds", Table6[[#This Row],[instruction]]))), "shared", "")</f>
        <v/>
      </c>
      <c r="U396" t="str">
        <f>IF(OR(ISNUMBER(SEARCH("LDC", Table6[[#This Row],[instruction]]))), "ind. const", "")</f>
        <v/>
      </c>
      <c r="V3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Row],[s5]]))),U396=""), "cmb. const", "")</f>
        <v/>
      </c>
      <c r="Y396">
        <f>IF(Table6[[#This Row],[pipeline]]="fma",Table6[[#This Row],[delay]],0)</f>
        <v>4</v>
      </c>
      <c r="Z396">
        <f>IF(AND(Table6[[#This Row],[pipeline]]="fma",W396="new"),290,0)</f>
        <v>0</v>
      </c>
      <c r="AK396" s="34"/>
    </row>
    <row r="397" spans="1:37" ht="17" x14ac:dyDescent="0.2">
      <c r="A397" s="31">
        <f>IF(Table6[[#This Row],[instruction]]&lt;&gt;"",MAX($A$6:A396)+1," ")</f>
        <v>392</v>
      </c>
      <c r="B397" s="32" t="s">
        <v>485</v>
      </c>
      <c r="C397" t="s">
        <v>70</v>
      </c>
      <c r="D397" s="31" t="s">
        <v>654</v>
      </c>
      <c r="E397" s="31" t="s">
        <v>577</v>
      </c>
      <c r="F397" s="31" t="s">
        <v>654</v>
      </c>
      <c r="G397" s="31" t="s">
        <v>696</v>
      </c>
      <c r="K397" s="2" t="str">
        <f t="shared" si="6"/>
        <v>fma</v>
      </c>
      <c r="L397" cm="1">
        <f t="array" ref="L3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397" t="str">
        <f>IF(OR(ISNUMBER(SEARCH("imad", Table6[[#This Row],[instruction]])), ISNUMBER(SEARCH("ffma", Table6[[#This Row],[instruction]])), ISNUMBER(SEARCH("fmul", Table6[[#This Row],[instruction]]))), "fma", "")</f>
        <v>fma</v>
      </c>
      <c r="P3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7" t="str">
        <f>IF(OR(ISNUMBER(SEARCH("s2r", Table6[[#This Row],[instruction]])),ISNUMBER(SEARCH("s2ur", Table6[[#This Row],[instruction]]))), "special", "")</f>
        <v/>
      </c>
      <c r="S397" t="str">
        <f>IF(OR(ISNUMBER(SEARCH("stg", Table6[[#This Row],[instruction]])),ISNUMBER(SEARCH("ldg", Table6[[#This Row],[instruction]]))), "global", "")</f>
        <v/>
      </c>
      <c r="T397" t="str">
        <f>IF(OR(ISNUMBER(SEARCH("sts", Table6[[#This Row],[instruction]])),ISNUMBER(SEARCH("lds", Table6[[#This Row],[instruction]]))), "shared", "")</f>
        <v/>
      </c>
      <c r="U397" t="str">
        <f>IF(OR(ISNUMBER(SEARCH("LDC", Table6[[#This Row],[instruction]]))), "ind. const", "")</f>
        <v/>
      </c>
      <c r="V3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Row],[s5]]))),U397=""), "cmb. const", "")</f>
        <v/>
      </c>
      <c r="Y397">
        <f>IF(Table6[[#This Row],[pipeline]]="fma",Table6[[#This Row],[delay]],0)</f>
        <v>4</v>
      </c>
      <c r="Z397">
        <f>IF(AND(Table6[[#This Row],[pipeline]]="fma",W397="new"),290,0)</f>
        <v>0</v>
      </c>
      <c r="AK397" s="34"/>
    </row>
    <row r="398" spans="1:37" ht="17" x14ac:dyDescent="0.2">
      <c r="A398" s="31">
        <f>IF(Table6[[#This Row],[instruction]]&lt;&gt;"",MAX($A$6:A397)+1," ")</f>
        <v>393</v>
      </c>
      <c r="B398" s="32" t="s">
        <v>485</v>
      </c>
      <c r="C398" t="s">
        <v>626</v>
      </c>
      <c r="D398" s="31" t="s">
        <v>652</v>
      </c>
      <c r="E398" s="31" t="s">
        <v>697</v>
      </c>
      <c r="K398" s="2" t="str">
        <f t="shared" si="6"/>
        <v>shared</v>
      </c>
      <c r="L398" cm="1">
        <f t="array" ref="L3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98" t="str">
        <f>IF(OR(ISNUMBER(SEARCH("imad", Table6[[#This Row],[instruction]])), ISNUMBER(SEARCH("ffma", Table6[[#This Row],[instruction]])), ISNUMBER(SEARCH("fmul", Table6[[#This Row],[instruction]]))), "fma", "")</f>
        <v/>
      </c>
      <c r="P3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8" t="str">
        <f>IF(OR(ISNUMBER(SEARCH("s2r", Table6[[#This Row],[instruction]])),ISNUMBER(SEARCH("s2ur", Table6[[#This Row],[instruction]]))), "special", "")</f>
        <v/>
      </c>
      <c r="S398" t="str">
        <f>IF(OR(ISNUMBER(SEARCH("stg", Table6[[#This Row],[instruction]])),ISNUMBER(SEARCH("ldg", Table6[[#This Row],[instruction]]))), "global", "")</f>
        <v/>
      </c>
      <c r="T398" t="str">
        <f>IF(OR(ISNUMBER(SEARCH("sts", Table6[[#This Row],[instruction]])),ISNUMBER(SEARCH("lds", Table6[[#This Row],[instruction]]))), "shared", "")</f>
        <v>shared</v>
      </c>
      <c r="U398" t="str">
        <f>IF(OR(ISNUMBER(SEARCH("LDC", Table6[[#This Row],[instruction]]))), "ind. const", "")</f>
        <v/>
      </c>
      <c r="V3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Row],[s5]]))),U398=""), "cmb. const", "")</f>
        <v/>
      </c>
      <c r="Y398">
        <f>IF(Table6[[#This Row],[pipeline]]="fma",Table6[[#This Row],[delay]],0)</f>
        <v>0</v>
      </c>
      <c r="Z398">
        <f>IF(AND(Table6[[#This Row],[pipeline]]="fma",W398="new"),290,0)</f>
        <v>0</v>
      </c>
      <c r="AK398" s="34"/>
    </row>
    <row r="399" spans="1:37" ht="17" x14ac:dyDescent="0.2">
      <c r="A399" s="31">
        <f>IF(Table6[[#This Row],[instruction]]&lt;&gt;"",MAX($A$6:A398)+1," ")</f>
        <v>394</v>
      </c>
      <c r="B399" s="32" t="s">
        <v>485</v>
      </c>
      <c r="C399" t="s">
        <v>626</v>
      </c>
      <c r="D399" s="31" t="s">
        <v>627</v>
      </c>
      <c r="E399" s="31" t="s">
        <v>698</v>
      </c>
      <c r="K399" s="2" t="str">
        <f t="shared" si="6"/>
        <v>shared</v>
      </c>
      <c r="L399" cm="1">
        <f t="array" ref="L3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399" t="str">
        <f>IF(OR(ISNUMBER(SEARCH("imad", Table6[[#This Row],[instruction]])), ISNUMBER(SEARCH("ffma", Table6[[#This Row],[instruction]])), ISNUMBER(SEARCH("fmul", Table6[[#This Row],[instruction]]))), "fma", "")</f>
        <v/>
      </c>
      <c r="P3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3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399" t="str">
        <f>IF(OR(ISNUMBER(SEARCH("s2r", Table6[[#This Row],[instruction]])),ISNUMBER(SEARCH("s2ur", Table6[[#This Row],[instruction]]))), "special", "")</f>
        <v/>
      </c>
      <c r="S399" t="str">
        <f>IF(OR(ISNUMBER(SEARCH("stg", Table6[[#This Row],[instruction]])),ISNUMBER(SEARCH("ldg", Table6[[#This Row],[instruction]]))), "global", "")</f>
        <v/>
      </c>
      <c r="T399" t="str">
        <f>IF(OR(ISNUMBER(SEARCH("sts", Table6[[#This Row],[instruction]])),ISNUMBER(SEARCH("lds", Table6[[#This Row],[instruction]]))), "shared", "")</f>
        <v>shared</v>
      </c>
      <c r="U399" t="str">
        <f>IF(OR(ISNUMBER(SEARCH("LDC", Table6[[#This Row],[instruction]]))), "ind. const", "")</f>
        <v/>
      </c>
      <c r="V3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Row],[s5]]))),U399=""), "cmb. const", "")</f>
        <v/>
      </c>
      <c r="Y399">
        <f>IF(Table6[[#This Row],[pipeline]]="fma",Table6[[#This Row],[delay]],0)</f>
        <v>0</v>
      </c>
      <c r="Z399">
        <f>IF(AND(Table6[[#This Row],[pipeline]]="fma",W399="new"),290,0)</f>
        <v>0</v>
      </c>
      <c r="AK399" s="34"/>
    </row>
    <row r="400" spans="1:37" ht="17" x14ac:dyDescent="0.2">
      <c r="A400" s="31">
        <f>IF(Table6[[#This Row],[instruction]]&lt;&gt;"",MAX($A$6:A399)+1," ")</f>
        <v>395</v>
      </c>
      <c r="B400" s="32" t="s">
        <v>485</v>
      </c>
      <c r="C400" t="s">
        <v>70</v>
      </c>
      <c r="D400" s="31" t="s">
        <v>608</v>
      </c>
      <c r="E400" s="31" t="s">
        <v>588</v>
      </c>
      <c r="F400" s="31" t="s">
        <v>567</v>
      </c>
      <c r="G400" s="31" t="s">
        <v>683</v>
      </c>
      <c r="K400" s="2" t="str">
        <f t="shared" si="6"/>
        <v>fma</v>
      </c>
      <c r="L400" cm="1">
        <f t="array" ref="L4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0" t="str">
        <f>IF(OR(ISNUMBER(SEARCH("imad", Table6[[#This Row],[instruction]])), ISNUMBER(SEARCH("ffma", Table6[[#This Row],[instruction]])), ISNUMBER(SEARCH("fmul", Table6[[#This Row],[instruction]]))), "fma", "")</f>
        <v>fma</v>
      </c>
      <c r="P4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0" t="str">
        <f>IF(OR(ISNUMBER(SEARCH("s2r", Table6[[#This Row],[instruction]])),ISNUMBER(SEARCH("s2ur", Table6[[#This Row],[instruction]]))), "special", "")</f>
        <v/>
      </c>
      <c r="S400" t="str">
        <f>IF(OR(ISNUMBER(SEARCH("stg", Table6[[#This Row],[instruction]])),ISNUMBER(SEARCH("ldg", Table6[[#This Row],[instruction]]))), "global", "")</f>
        <v/>
      </c>
      <c r="T400" t="str">
        <f>IF(OR(ISNUMBER(SEARCH("sts", Table6[[#This Row],[instruction]])),ISNUMBER(SEARCH("lds", Table6[[#This Row],[instruction]]))), "shared", "")</f>
        <v/>
      </c>
      <c r="U400" t="str">
        <f>IF(OR(ISNUMBER(SEARCH("LDC", Table6[[#This Row],[instruction]]))), "ind. const", "")</f>
        <v/>
      </c>
      <c r="V4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Row],[s5]]))),U400=""), "cmb. const", "")</f>
        <v/>
      </c>
      <c r="Y400">
        <f>IF(Table6[[#This Row],[pipeline]]="fma",Table6[[#This Row],[delay]],0)</f>
        <v>4</v>
      </c>
      <c r="Z400">
        <f>IF(AND(Table6[[#This Row],[pipeline]]="fma",W400="new"),290,0)</f>
        <v>0</v>
      </c>
      <c r="AK400" s="34"/>
    </row>
    <row r="401" spans="1:37" ht="17" x14ac:dyDescent="0.2">
      <c r="A401" s="31">
        <f>IF(Table6[[#This Row],[instruction]]&lt;&gt;"",MAX($A$6:A400)+1," ")</f>
        <v>396</v>
      </c>
      <c r="B401" s="32" t="s">
        <v>485</v>
      </c>
      <c r="C401" t="s">
        <v>70</v>
      </c>
      <c r="D401" s="31" t="s">
        <v>613</v>
      </c>
      <c r="E401" s="31" t="s">
        <v>588</v>
      </c>
      <c r="F401" s="31" t="s">
        <v>651</v>
      </c>
      <c r="G401" s="31" t="s">
        <v>684</v>
      </c>
      <c r="K401" s="2" t="str">
        <f t="shared" si="6"/>
        <v>fma</v>
      </c>
      <c r="L401" cm="1">
        <f t="array" ref="L4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1" t="str">
        <f>IF(OR(ISNUMBER(SEARCH("imad", Table6[[#This Row],[instruction]])), ISNUMBER(SEARCH("ffma", Table6[[#This Row],[instruction]])), ISNUMBER(SEARCH("fmul", Table6[[#This Row],[instruction]]))), "fma", "")</f>
        <v>fma</v>
      </c>
      <c r="P4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1" t="str">
        <f>IF(OR(ISNUMBER(SEARCH("s2r", Table6[[#This Row],[instruction]])),ISNUMBER(SEARCH("s2ur", Table6[[#This Row],[instruction]]))), "special", "")</f>
        <v/>
      </c>
      <c r="S401" t="str">
        <f>IF(OR(ISNUMBER(SEARCH("stg", Table6[[#This Row],[instruction]])),ISNUMBER(SEARCH("ldg", Table6[[#This Row],[instruction]]))), "global", "")</f>
        <v/>
      </c>
      <c r="T401" t="str">
        <f>IF(OR(ISNUMBER(SEARCH("sts", Table6[[#This Row],[instruction]])),ISNUMBER(SEARCH("lds", Table6[[#This Row],[instruction]]))), "shared", "")</f>
        <v/>
      </c>
      <c r="U401" t="str">
        <f>IF(OR(ISNUMBER(SEARCH("LDC", Table6[[#This Row],[instruction]]))), "ind. const", "")</f>
        <v/>
      </c>
      <c r="V4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Row],[s5]]))),U401=""), "cmb. const", "")</f>
        <v/>
      </c>
      <c r="Y401">
        <f>IF(Table6[[#This Row],[pipeline]]="fma",Table6[[#This Row],[delay]],0)</f>
        <v>4</v>
      </c>
      <c r="Z401">
        <f>IF(AND(Table6[[#This Row],[pipeline]]="fma",W401="new"),290,0)</f>
        <v>0</v>
      </c>
      <c r="AK401" s="34"/>
    </row>
    <row r="402" spans="1:37" ht="17" x14ac:dyDescent="0.2">
      <c r="A402" s="31">
        <f>IF(Table6[[#This Row],[instruction]]&lt;&gt;"",MAX($A$6:A401)+1," ")</f>
        <v>397</v>
      </c>
      <c r="B402" s="32" t="s">
        <v>485</v>
      </c>
      <c r="C402" t="s">
        <v>70</v>
      </c>
      <c r="D402" s="31" t="s">
        <v>665</v>
      </c>
      <c r="E402" s="31" t="s">
        <v>84</v>
      </c>
      <c r="F402" s="31" t="s">
        <v>440</v>
      </c>
      <c r="G402" s="31" t="s">
        <v>677</v>
      </c>
      <c r="K402" s="2" t="str">
        <f t="shared" si="6"/>
        <v>fma</v>
      </c>
      <c r="L402" cm="1">
        <f t="array" ref="L4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2" t="str">
        <f>IF(OR(ISNUMBER(SEARCH("imad", Table6[[#This Row],[instruction]])), ISNUMBER(SEARCH("ffma", Table6[[#This Row],[instruction]])), ISNUMBER(SEARCH("fmul", Table6[[#This Row],[instruction]]))), "fma", "")</f>
        <v>fma</v>
      </c>
      <c r="P4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2" t="str">
        <f>IF(OR(ISNUMBER(SEARCH("s2r", Table6[[#This Row],[instruction]])),ISNUMBER(SEARCH("s2ur", Table6[[#This Row],[instruction]]))), "special", "")</f>
        <v/>
      </c>
      <c r="S402" t="str">
        <f>IF(OR(ISNUMBER(SEARCH("stg", Table6[[#This Row],[instruction]])),ISNUMBER(SEARCH("ldg", Table6[[#This Row],[instruction]]))), "global", "")</f>
        <v/>
      </c>
      <c r="T402" t="str">
        <f>IF(OR(ISNUMBER(SEARCH("sts", Table6[[#This Row],[instruction]])),ISNUMBER(SEARCH("lds", Table6[[#This Row],[instruction]]))), "shared", "")</f>
        <v/>
      </c>
      <c r="U402" t="str">
        <f>IF(OR(ISNUMBER(SEARCH("LDC", Table6[[#This Row],[instruction]]))), "ind. const", "")</f>
        <v/>
      </c>
      <c r="V4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Row],[s5]]))),U402=""), "cmb. const", "")</f>
        <v/>
      </c>
      <c r="Y402">
        <f>IF(Table6[[#This Row],[pipeline]]="fma",Table6[[#This Row],[delay]],0)</f>
        <v>4</v>
      </c>
      <c r="Z402">
        <f>IF(AND(Table6[[#This Row],[pipeline]]="fma",W402="new"),290,0)</f>
        <v>0</v>
      </c>
      <c r="AK402" s="34"/>
    </row>
    <row r="403" spans="1:37" ht="17" x14ac:dyDescent="0.2">
      <c r="A403" s="31">
        <f>IF(Table6[[#This Row],[instruction]]&lt;&gt;"",MAX($A$6:A402)+1," ")</f>
        <v>398</v>
      </c>
      <c r="B403" s="32" t="s">
        <v>485</v>
      </c>
      <c r="C403" t="s">
        <v>70</v>
      </c>
      <c r="D403" s="31" t="s">
        <v>649</v>
      </c>
      <c r="E403" s="31" t="s">
        <v>84</v>
      </c>
      <c r="F403" s="31" t="s">
        <v>436</v>
      </c>
      <c r="G403" s="31" t="s">
        <v>679</v>
      </c>
      <c r="K403" s="2" t="str">
        <f t="shared" si="6"/>
        <v>fma</v>
      </c>
      <c r="L403" cm="1">
        <f t="array" ref="L4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3" t="str">
        <f>IF(OR(ISNUMBER(SEARCH("imad", Table6[[#This Row],[instruction]])), ISNUMBER(SEARCH("ffma", Table6[[#This Row],[instruction]])), ISNUMBER(SEARCH("fmul", Table6[[#This Row],[instruction]]))), "fma", "")</f>
        <v>fma</v>
      </c>
      <c r="P4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3" t="str">
        <f>IF(OR(ISNUMBER(SEARCH("s2r", Table6[[#This Row],[instruction]])),ISNUMBER(SEARCH("s2ur", Table6[[#This Row],[instruction]]))), "special", "")</f>
        <v/>
      </c>
      <c r="S403" t="str">
        <f>IF(OR(ISNUMBER(SEARCH("stg", Table6[[#This Row],[instruction]])),ISNUMBER(SEARCH("ldg", Table6[[#This Row],[instruction]]))), "global", "")</f>
        <v/>
      </c>
      <c r="T403" t="str">
        <f>IF(OR(ISNUMBER(SEARCH("sts", Table6[[#This Row],[instruction]])),ISNUMBER(SEARCH("lds", Table6[[#This Row],[instruction]]))), "shared", "")</f>
        <v/>
      </c>
      <c r="U403" t="str">
        <f>IF(OR(ISNUMBER(SEARCH("LDC", Table6[[#This Row],[instruction]]))), "ind. const", "")</f>
        <v/>
      </c>
      <c r="V4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Row],[s5]]))),U403=""), "cmb. const", "")</f>
        <v/>
      </c>
      <c r="Y403">
        <f>IF(Table6[[#This Row],[pipeline]]="fma",Table6[[#This Row],[delay]],0)</f>
        <v>4</v>
      </c>
      <c r="Z403">
        <f>IF(AND(Table6[[#This Row],[pipeline]]="fma",W403="new"),290,0)</f>
        <v>0</v>
      </c>
      <c r="AK403" s="34"/>
    </row>
    <row r="404" spans="1:37" ht="17" x14ac:dyDescent="0.2">
      <c r="A404" s="31">
        <f>IF(Table6[[#This Row],[instruction]]&lt;&gt;"",MAX($A$6:A403)+1," ")</f>
        <v>399</v>
      </c>
      <c r="B404" s="32" t="s">
        <v>485</v>
      </c>
      <c r="C404" t="s">
        <v>70</v>
      </c>
      <c r="D404" s="31" t="s">
        <v>648</v>
      </c>
      <c r="E404" s="31" t="s">
        <v>84</v>
      </c>
      <c r="F404" s="31" t="s">
        <v>439</v>
      </c>
      <c r="G404" s="31" t="s">
        <v>681</v>
      </c>
      <c r="K404" s="2" t="str">
        <f t="shared" si="6"/>
        <v>fma</v>
      </c>
      <c r="L404" cm="1">
        <f t="array" ref="L4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4" t="str">
        <f>IF(OR(ISNUMBER(SEARCH("imad", Table6[[#This Row],[instruction]])), ISNUMBER(SEARCH("ffma", Table6[[#This Row],[instruction]])), ISNUMBER(SEARCH("fmul", Table6[[#This Row],[instruction]]))), "fma", "")</f>
        <v>fma</v>
      </c>
      <c r="P4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4" t="str">
        <f>IF(OR(ISNUMBER(SEARCH("s2r", Table6[[#This Row],[instruction]])),ISNUMBER(SEARCH("s2ur", Table6[[#This Row],[instruction]]))), "special", "")</f>
        <v/>
      </c>
      <c r="S404" t="str">
        <f>IF(OR(ISNUMBER(SEARCH("stg", Table6[[#This Row],[instruction]])),ISNUMBER(SEARCH("ldg", Table6[[#This Row],[instruction]]))), "global", "")</f>
        <v/>
      </c>
      <c r="T404" t="str">
        <f>IF(OR(ISNUMBER(SEARCH("sts", Table6[[#This Row],[instruction]])),ISNUMBER(SEARCH("lds", Table6[[#This Row],[instruction]]))), "shared", "")</f>
        <v/>
      </c>
      <c r="U404" t="str">
        <f>IF(OR(ISNUMBER(SEARCH("LDC", Table6[[#This Row],[instruction]]))), "ind. const", "")</f>
        <v/>
      </c>
      <c r="V4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Row],[s5]]))),U404=""), "cmb. const", "")</f>
        <v/>
      </c>
      <c r="Y404">
        <f>IF(Table6[[#This Row],[pipeline]]="fma",Table6[[#This Row],[delay]],0)</f>
        <v>4</v>
      </c>
      <c r="Z404">
        <f>IF(AND(Table6[[#This Row],[pipeline]]="fma",W404="new"),290,0)</f>
        <v>0</v>
      </c>
      <c r="AK404" s="34"/>
    </row>
    <row r="405" spans="1:37" ht="17" x14ac:dyDescent="0.2">
      <c r="A405" s="31">
        <f>IF(Table6[[#This Row],[instruction]]&lt;&gt;"",MAX($A$6:A404)+1," ")</f>
        <v>400</v>
      </c>
      <c r="B405" s="32" t="s">
        <v>485</v>
      </c>
      <c r="C405" t="s">
        <v>70</v>
      </c>
      <c r="D405" s="31" t="s">
        <v>600</v>
      </c>
      <c r="E405" s="31" t="s">
        <v>82</v>
      </c>
      <c r="F405" s="31" t="s">
        <v>440</v>
      </c>
      <c r="G405" s="31" t="s">
        <v>668</v>
      </c>
      <c r="K405" s="2" t="str">
        <f t="shared" si="6"/>
        <v>fma</v>
      </c>
      <c r="L405" cm="1">
        <f t="array" ref="L4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5" t="str">
        <f>IF(OR(ISNUMBER(SEARCH("imad", Table6[[#This Row],[instruction]])), ISNUMBER(SEARCH("ffma", Table6[[#This Row],[instruction]])), ISNUMBER(SEARCH("fmul", Table6[[#This Row],[instruction]]))), "fma", "")</f>
        <v>fma</v>
      </c>
      <c r="P4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5" t="str">
        <f>IF(OR(ISNUMBER(SEARCH("s2r", Table6[[#This Row],[instruction]])),ISNUMBER(SEARCH("s2ur", Table6[[#This Row],[instruction]]))), "special", "")</f>
        <v/>
      </c>
      <c r="S405" t="str">
        <f>IF(OR(ISNUMBER(SEARCH("stg", Table6[[#This Row],[instruction]])),ISNUMBER(SEARCH("ldg", Table6[[#This Row],[instruction]]))), "global", "")</f>
        <v/>
      </c>
      <c r="T405" t="str">
        <f>IF(OR(ISNUMBER(SEARCH("sts", Table6[[#This Row],[instruction]])),ISNUMBER(SEARCH("lds", Table6[[#This Row],[instruction]]))), "shared", "")</f>
        <v/>
      </c>
      <c r="U405" t="str">
        <f>IF(OR(ISNUMBER(SEARCH("LDC", Table6[[#This Row],[instruction]]))), "ind. const", "")</f>
        <v/>
      </c>
      <c r="V4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Row],[s5]]))),U405=""), "cmb. const", "")</f>
        <v/>
      </c>
      <c r="Y405">
        <f>IF(Table6[[#This Row],[pipeline]]="fma",Table6[[#This Row],[delay]],0)</f>
        <v>4</v>
      </c>
      <c r="Z405">
        <f>IF(AND(Table6[[#This Row],[pipeline]]="fma",W405="new"),290,0)</f>
        <v>0</v>
      </c>
      <c r="AK405" s="34"/>
    </row>
    <row r="406" spans="1:37" ht="17" x14ac:dyDescent="0.2">
      <c r="A406" s="31">
        <f>IF(Table6[[#This Row],[instruction]]&lt;&gt;"",MAX($A$6:A405)+1," ")</f>
        <v>401</v>
      </c>
      <c r="B406" s="32" t="s">
        <v>485</v>
      </c>
      <c r="C406" t="s">
        <v>70</v>
      </c>
      <c r="D406" s="31" t="s">
        <v>612</v>
      </c>
      <c r="E406" s="31" t="s">
        <v>430</v>
      </c>
      <c r="F406" s="31" t="s">
        <v>440</v>
      </c>
      <c r="G406" s="31" t="s">
        <v>669</v>
      </c>
      <c r="K406" s="2" t="str">
        <f t="shared" si="6"/>
        <v>fma</v>
      </c>
      <c r="L406" cm="1">
        <f t="array" ref="L4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6" t="str">
        <f>IF(OR(ISNUMBER(SEARCH("imad", Table6[[#This Row],[instruction]])), ISNUMBER(SEARCH("ffma", Table6[[#This Row],[instruction]])), ISNUMBER(SEARCH("fmul", Table6[[#This Row],[instruction]]))), "fma", "")</f>
        <v>fma</v>
      </c>
      <c r="P4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6" t="str">
        <f>IF(OR(ISNUMBER(SEARCH("s2r", Table6[[#This Row],[instruction]])),ISNUMBER(SEARCH("s2ur", Table6[[#This Row],[instruction]]))), "special", "")</f>
        <v/>
      </c>
      <c r="S406" t="str">
        <f>IF(OR(ISNUMBER(SEARCH("stg", Table6[[#This Row],[instruction]])),ISNUMBER(SEARCH("ldg", Table6[[#This Row],[instruction]]))), "global", "")</f>
        <v/>
      </c>
      <c r="T406" t="str">
        <f>IF(OR(ISNUMBER(SEARCH("sts", Table6[[#This Row],[instruction]])),ISNUMBER(SEARCH("lds", Table6[[#This Row],[instruction]]))), "shared", "")</f>
        <v/>
      </c>
      <c r="U406" t="str">
        <f>IF(OR(ISNUMBER(SEARCH("LDC", Table6[[#This Row],[instruction]]))), "ind. const", "")</f>
        <v/>
      </c>
      <c r="V4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Row],[s5]]))),U406=""), "cmb. const", "")</f>
        <v/>
      </c>
      <c r="Y406">
        <f>IF(Table6[[#This Row],[pipeline]]="fma",Table6[[#This Row],[delay]],0)</f>
        <v>4</v>
      </c>
      <c r="Z406">
        <f>IF(AND(Table6[[#This Row],[pipeline]]="fma",W406="new"),290,0)</f>
        <v>0</v>
      </c>
      <c r="AK406" s="34"/>
    </row>
    <row r="407" spans="1:37" ht="17" x14ac:dyDescent="0.2">
      <c r="A407" s="31">
        <f>IF(Table6[[#This Row],[instruction]]&lt;&gt;"",MAX($A$6:A406)+1," ")</f>
        <v>402</v>
      </c>
      <c r="B407" s="32" t="s">
        <v>485</v>
      </c>
      <c r="C407" t="s">
        <v>70</v>
      </c>
      <c r="D407" s="31" t="s">
        <v>609</v>
      </c>
      <c r="E407" s="31" t="s">
        <v>430</v>
      </c>
      <c r="F407" s="31" t="s">
        <v>436</v>
      </c>
      <c r="G407" s="31" t="s">
        <v>670</v>
      </c>
      <c r="K407" s="2" t="str">
        <f t="shared" si="6"/>
        <v>fma</v>
      </c>
      <c r="L407" cm="1">
        <f t="array" ref="L4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7" t="str">
        <f>IF(OR(ISNUMBER(SEARCH("imad", Table6[[#This Row],[instruction]])), ISNUMBER(SEARCH("ffma", Table6[[#This Row],[instruction]])), ISNUMBER(SEARCH("fmul", Table6[[#This Row],[instruction]]))), "fma", "")</f>
        <v>fma</v>
      </c>
      <c r="P4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7" t="str">
        <f>IF(OR(ISNUMBER(SEARCH("s2r", Table6[[#This Row],[instruction]])),ISNUMBER(SEARCH("s2ur", Table6[[#This Row],[instruction]]))), "special", "")</f>
        <v/>
      </c>
      <c r="S407" t="str">
        <f>IF(OR(ISNUMBER(SEARCH("stg", Table6[[#This Row],[instruction]])),ISNUMBER(SEARCH("ldg", Table6[[#This Row],[instruction]]))), "global", "")</f>
        <v/>
      </c>
      <c r="T407" t="str">
        <f>IF(OR(ISNUMBER(SEARCH("sts", Table6[[#This Row],[instruction]])),ISNUMBER(SEARCH("lds", Table6[[#This Row],[instruction]]))), "shared", "")</f>
        <v/>
      </c>
      <c r="U407" t="str">
        <f>IF(OR(ISNUMBER(SEARCH("LDC", Table6[[#This Row],[instruction]]))), "ind. const", "")</f>
        <v/>
      </c>
      <c r="V4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Row],[s5]]))),U407=""), "cmb. const", "")</f>
        <v/>
      </c>
      <c r="Y407">
        <f>IF(Table6[[#This Row],[pipeline]]="fma",Table6[[#This Row],[delay]],0)</f>
        <v>4</v>
      </c>
      <c r="Z407">
        <f>IF(AND(Table6[[#This Row],[pipeline]]="fma",W407="new"),290,0)</f>
        <v>0</v>
      </c>
      <c r="AK407" s="34"/>
    </row>
    <row r="408" spans="1:37" ht="17" x14ac:dyDescent="0.2">
      <c r="A408" s="31">
        <f>IF(Table6[[#This Row],[instruction]]&lt;&gt;"",MAX($A$6:A407)+1," ")</f>
        <v>403</v>
      </c>
      <c r="B408" s="32" t="s">
        <v>485</v>
      </c>
      <c r="C408" t="s">
        <v>70</v>
      </c>
      <c r="D408" s="31" t="s">
        <v>671</v>
      </c>
      <c r="E408" s="31" t="s">
        <v>430</v>
      </c>
      <c r="F408" s="31" t="s">
        <v>439</v>
      </c>
      <c r="G408" s="31" t="s">
        <v>672</v>
      </c>
      <c r="K408" s="2" t="str">
        <f t="shared" si="6"/>
        <v>fma</v>
      </c>
      <c r="L408" cm="1">
        <f t="array" ref="L4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8" t="str">
        <f>IF(OR(ISNUMBER(SEARCH("imad", Table6[[#This Row],[instruction]])), ISNUMBER(SEARCH("ffma", Table6[[#This Row],[instruction]])), ISNUMBER(SEARCH("fmul", Table6[[#This Row],[instruction]]))), "fma", "")</f>
        <v>fma</v>
      </c>
      <c r="P4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8" t="str">
        <f>IF(OR(ISNUMBER(SEARCH("s2r", Table6[[#This Row],[instruction]])),ISNUMBER(SEARCH("s2ur", Table6[[#This Row],[instruction]]))), "special", "")</f>
        <v/>
      </c>
      <c r="S408" t="str">
        <f>IF(OR(ISNUMBER(SEARCH("stg", Table6[[#This Row],[instruction]])),ISNUMBER(SEARCH("ldg", Table6[[#This Row],[instruction]]))), "global", "")</f>
        <v/>
      </c>
      <c r="T408" t="str">
        <f>IF(OR(ISNUMBER(SEARCH("sts", Table6[[#This Row],[instruction]])),ISNUMBER(SEARCH("lds", Table6[[#This Row],[instruction]]))), "shared", "")</f>
        <v/>
      </c>
      <c r="U408" t="str">
        <f>IF(OR(ISNUMBER(SEARCH("LDC", Table6[[#This Row],[instruction]]))), "ind. const", "")</f>
        <v/>
      </c>
      <c r="V4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Row],[s5]]))),U408=""), "cmb. const", "")</f>
        <v/>
      </c>
      <c r="Y408">
        <f>IF(Table6[[#This Row],[pipeline]]="fma",Table6[[#This Row],[delay]],0)</f>
        <v>4</v>
      </c>
      <c r="Z408">
        <f>IF(AND(Table6[[#This Row],[pipeline]]="fma",W408="new"),290,0)</f>
        <v>0</v>
      </c>
      <c r="AK408" s="34"/>
    </row>
    <row r="409" spans="1:37" ht="17" x14ac:dyDescent="0.2">
      <c r="A409" s="31">
        <f>IF(Table6[[#This Row],[instruction]]&lt;&gt;"",MAX($A$6:A408)+1," ")</f>
        <v>404</v>
      </c>
      <c r="B409" s="32" t="s">
        <v>485</v>
      </c>
      <c r="C409" t="s">
        <v>70</v>
      </c>
      <c r="D409" s="31" t="s">
        <v>605</v>
      </c>
      <c r="E409" s="31" t="s">
        <v>588</v>
      </c>
      <c r="F409" s="31" t="s">
        <v>637</v>
      </c>
      <c r="G409" s="31" t="s">
        <v>685</v>
      </c>
      <c r="K409" s="2" t="str">
        <f t="shared" si="6"/>
        <v>fma</v>
      </c>
      <c r="L409" cm="1">
        <f t="array" ref="L4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09" t="str">
        <f>IF(OR(ISNUMBER(SEARCH("imad", Table6[[#This Row],[instruction]])), ISNUMBER(SEARCH("ffma", Table6[[#This Row],[instruction]])), ISNUMBER(SEARCH("fmul", Table6[[#This Row],[instruction]]))), "fma", "")</f>
        <v>fma</v>
      </c>
      <c r="P4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09" t="str">
        <f>IF(OR(ISNUMBER(SEARCH("s2r", Table6[[#This Row],[instruction]])),ISNUMBER(SEARCH("s2ur", Table6[[#This Row],[instruction]]))), "special", "")</f>
        <v/>
      </c>
      <c r="S409" t="str">
        <f>IF(OR(ISNUMBER(SEARCH("stg", Table6[[#This Row],[instruction]])),ISNUMBER(SEARCH("ldg", Table6[[#This Row],[instruction]]))), "global", "")</f>
        <v/>
      </c>
      <c r="T409" t="str">
        <f>IF(OR(ISNUMBER(SEARCH("sts", Table6[[#This Row],[instruction]])),ISNUMBER(SEARCH("lds", Table6[[#This Row],[instruction]]))), "shared", "")</f>
        <v/>
      </c>
      <c r="U409" t="str">
        <f>IF(OR(ISNUMBER(SEARCH("LDC", Table6[[#This Row],[instruction]]))), "ind. const", "")</f>
        <v/>
      </c>
      <c r="V4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Row],[s5]]))),U409=""), "cmb. const", "")</f>
        <v/>
      </c>
      <c r="Y409">
        <f>IF(Table6[[#This Row],[pipeline]]="fma",Table6[[#This Row],[delay]],0)</f>
        <v>4</v>
      </c>
      <c r="Z409">
        <f>IF(AND(Table6[[#This Row],[pipeline]]="fma",W409="new"),290,0)</f>
        <v>0</v>
      </c>
      <c r="AK409" s="34"/>
    </row>
    <row r="410" spans="1:37" ht="17" x14ac:dyDescent="0.2">
      <c r="A410" s="31">
        <f>IF(Table6[[#This Row],[instruction]]&lt;&gt;"",MAX($A$6:A409)+1," ")</f>
        <v>405</v>
      </c>
      <c r="B410" s="32" t="s">
        <v>485</v>
      </c>
      <c r="C410" t="s">
        <v>70</v>
      </c>
      <c r="D410" s="31" t="s">
        <v>597</v>
      </c>
      <c r="E410" s="31" t="s">
        <v>577</v>
      </c>
      <c r="F410" s="31" t="s">
        <v>567</v>
      </c>
      <c r="G410" s="31" t="s">
        <v>686</v>
      </c>
      <c r="K410" s="2" t="str">
        <f t="shared" si="6"/>
        <v>fma</v>
      </c>
      <c r="L410" cm="1">
        <f t="array" ref="L4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0" t="str">
        <f>IF(OR(ISNUMBER(SEARCH("imad", Table6[[#This Row],[instruction]])), ISNUMBER(SEARCH("ffma", Table6[[#This Row],[instruction]])), ISNUMBER(SEARCH("fmul", Table6[[#This Row],[instruction]]))), "fma", "")</f>
        <v>fma</v>
      </c>
      <c r="P4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0" t="str">
        <f>IF(OR(ISNUMBER(SEARCH("s2r", Table6[[#This Row],[instruction]])),ISNUMBER(SEARCH("s2ur", Table6[[#This Row],[instruction]]))), "special", "")</f>
        <v/>
      </c>
      <c r="S410" t="str">
        <f>IF(OR(ISNUMBER(SEARCH("stg", Table6[[#This Row],[instruction]])),ISNUMBER(SEARCH("ldg", Table6[[#This Row],[instruction]]))), "global", "")</f>
        <v/>
      </c>
      <c r="T410" t="str">
        <f>IF(OR(ISNUMBER(SEARCH("sts", Table6[[#This Row],[instruction]])),ISNUMBER(SEARCH("lds", Table6[[#This Row],[instruction]]))), "shared", "")</f>
        <v/>
      </c>
      <c r="U410" t="str">
        <f>IF(OR(ISNUMBER(SEARCH("LDC", Table6[[#This Row],[instruction]]))), "ind. const", "")</f>
        <v/>
      </c>
      <c r="V4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Row],[s5]]))),U410=""), "cmb. const", "")</f>
        <v/>
      </c>
      <c r="Y410">
        <f>IF(Table6[[#This Row],[pipeline]]="fma",Table6[[#This Row],[delay]],0)</f>
        <v>4</v>
      </c>
      <c r="Z410">
        <f>IF(AND(Table6[[#This Row],[pipeline]]="fma",W410="new"),290,0)</f>
        <v>0</v>
      </c>
      <c r="AK410" s="34"/>
    </row>
    <row r="411" spans="1:37" ht="17" x14ac:dyDescent="0.2">
      <c r="A411" s="31">
        <f>IF(Table6[[#This Row],[instruction]]&lt;&gt;"",MAX($A$6:A410)+1," ")</f>
        <v>406</v>
      </c>
      <c r="B411" s="32" t="s">
        <v>485</v>
      </c>
      <c r="C411" t="s">
        <v>70</v>
      </c>
      <c r="D411" s="31" t="s">
        <v>604</v>
      </c>
      <c r="E411" s="31" t="s">
        <v>577</v>
      </c>
      <c r="F411" s="31" t="s">
        <v>651</v>
      </c>
      <c r="G411" s="31" t="s">
        <v>687</v>
      </c>
      <c r="K411" s="2" t="str">
        <f t="shared" si="6"/>
        <v>fma</v>
      </c>
      <c r="L411" cm="1">
        <f t="array" ref="L4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1" t="str">
        <f>IF(OR(ISNUMBER(SEARCH("imad", Table6[[#This Row],[instruction]])), ISNUMBER(SEARCH("ffma", Table6[[#This Row],[instruction]])), ISNUMBER(SEARCH("fmul", Table6[[#This Row],[instruction]]))), "fma", "")</f>
        <v>fma</v>
      </c>
      <c r="P4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1" t="str">
        <f>IF(OR(ISNUMBER(SEARCH("s2r", Table6[[#This Row],[instruction]])),ISNUMBER(SEARCH("s2ur", Table6[[#This Row],[instruction]]))), "special", "")</f>
        <v/>
      </c>
      <c r="S411" t="str">
        <f>IF(OR(ISNUMBER(SEARCH("stg", Table6[[#This Row],[instruction]])),ISNUMBER(SEARCH("ldg", Table6[[#This Row],[instruction]]))), "global", "")</f>
        <v/>
      </c>
      <c r="T411" t="str">
        <f>IF(OR(ISNUMBER(SEARCH("sts", Table6[[#This Row],[instruction]])),ISNUMBER(SEARCH("lds", Table6[[#This Row],[instruction]]))), "shared", "")</f>
        <v/>
      </c>
      <c r="U411" t="str">
        <f>IF(OR(ISNUMBER(SEARCH("LDC", Table6[[#This Row],[instruction]]))), "ind. const", "")</f>
        <v/>
      </c>
      <c r="V4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Row],[s5]]))),U411=""), "cmb. const", "")</f>
        <v/>
      </c>
      <c r="Y411">
        <f>IF(Table6[[#This Row],[pipeline]]="fma",Table6[[#This Row],[delay]],0)</f>
        <v>4</v>
      </c>
      <c r="Z411">
        <f>IF(AND(Table6[[#This Row],[pipeline]]="fma",W411="new"),290,0)</f>
        <v>0</v>
      </c>
      <c r="AK411" s="34"/>
    </row>
    <row r="412" spans="1:37" ht="17" x14ac:dyDescent="0.2">
      <c r="A412" s="31">
        <f>IF(Table6[[#This Row],[instruction]]&lt;&gt;"",MAX($A$6:A411)+1," ")</f>
        <v>407</v>
      </c>
      <c r="B412" s="32" t="s">
        <v>485</v>
      </c>
      <c r="C412" t="s">
        <v>70</v>
      </c>
      <c r="D412" s="31" t="s">
        <v>598</v>
      </c>
      <c r="E412" s="31" t="s">
        <v>577</v>
      </c>
      <c r="F412" s="31" t="s">
        <v>637</v>
      </c>
      <c r="G412" s="31" t="s">
        <v>688</v>
      </c>
      <c r="K412" s="2" t="str">
        <f t="shared" si="6"/>
        <v>fma</v>
      </c>
      <c r="L412" cm="1">
        <f t="array" ref="L4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2" t="str">
        <f>IF(OR(ISNUMBER(SEARCH("imad", Table6[[#This Row],[instruction]])), ISNUMBER(SEARCH("ffma", Table6[[#This Row],[instruction]])), ISNUMBER(SEARCH("fmul", Table6[[#This Row],[instruction]]))), "fma", "")</f>
        <v>fma</v>
      </c>
      <c r="P4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2" t="str">
        <f>IF(OR(ISNUMBER(SEARCH("s2r", Table6[[#This Row],[instruction]])),ISNUMBER(SEARCH("s2ur", Table6[[#This Row],[instruction]]))), "special", "")</f>
        <v/>
      </c>
      <c r="S412" t="str">
        <f>IF(OR(ISNUMBER(SEARCH("stg", Table6[[#This Row],[instruction]])),ISNUMBER(SEARCH("ldg", Table6[[#This Row],[instruction]]))), "global", "")</f>
        <v/>
      </c>
      <c r="T412" t="str">
        <f>IF(OR(ISNUMBER(SEARCH("sts", Table6[[#This Row],[instruction]])),ISNUMBER(SEARCH("lds", Table6[[#This Row],[instruction]]))), "shared", "")</f>
        <v/>
      </c>
      <c r="U412" t="str">
        <f>IF(OR(ISNUMBER(SEARCH("LDC", Table6[[#This Row],[instruction]]))), "ind. const", "")</f>
        <v/>
      </c>
      <c r="V4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Row],[s5]]))),U412=""), "cmb. const", "")</f>
        <v/>
      </c>
      <c r="Y412">
        <f>IF(Table6[[#This Row],[pipeline]]="fma",Table6[[#This Row],[delay]],0)</f>
        <v>4</v>
      </c>
      <c r="Z412">
        <f>IF(AND(Table6[[#This Row],[pipeline]]="fma",W412="new"),290,0)</f>
        <v>0</v>
      </c>
      <c r="AK412" s="34"/>
    </row>
    <row r="413" spans="1:37" ht="17" x14ac:dyDescent="0.2">
      <c r="A413" s="31">
        <f>IF(Table6[[#This Row],[instruction]]&lt;&gt;"",MAX($A$6:A412)+1," ")</f>
        <v>408</v>
      </c>
      <c r="B413" s="32" t="s">
        <v>485</v>
      </c>
      <c r="C413" t="s">
        <v>70</v>
      </c>
      <c r="D413" s="31" t="s">
        <v>84</v>
      </c>
      <c r="E413" s="31" t="s">
        <v>84</v>
      </c>
      <c r="F413" s="31" t="s">
        <v>447</v>
      </c>
      <c r="G413" s="31" t="s">
        <v>666</v>
      </c>
      <c r="K413" s="2" t="str">
        <f t="shared" si="6"/>
        <v>fma</v>
      </c>
      <c r="L413" cm="1">
        <f t="array" ref="L4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3" t="str">
        <f>IF(OR(ISNUMBER(SEARCH("imad", Table6[[#This Row],[instruction]])), ISNUMBER(SEARCH("ffma", Table6[[#This Row],[instruction]])), ISNUMBER(SEARCH("fmul", Table6[[#This Row],[instruction]]))), "fma", "")</f>
        <v>fma</v>
      </c>
      <c r="P4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3" t="str">
        <f>IF(OR(ISNUMBER(SEARCH("s2r", Table6[[#This Row],[instruction]])),ISNUMBER(SEARCH("s2ur", Table6[[#This Row],[instruction]]))), "special", "")</f>
        <v/>
      </c>
      <c r="S413" t="str">
        <f>IF(OR(ISNUMBER(SEARCH("stg", Table6[[#This Row],[instruction]])),ISNUMBER(SEARCH("ldg", Table6[[#This Row],[instruction]]))), "global", "")</f>
        <v/>
      </c>
      <c r="T413" t="str">
        <f>IF(OR(ISNUMBER(SEARCH("sts", Table6[[#This Row],[instruction]])),ISNUMBER(SEARCH("lds", Table6[[#This Row],[instruction]]))), "shared", "")</f>
        <v/>
      </c>
      <c r="U413" t="str">
        <f>IF(OR(ISNUMBER(SEARCH("LDC", Table6[[#This Row],[instruction]]))), "ind. const", "")</f>
        <v/>
      </c>
      <c r="V4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Row],[s5]]))),U413=""), "cmb. const", "")</f>
        <v/>
      </c>
      <c r="Y413">
        <f>IF(Table6[[#This Row],[pipeline]]="fma",Table6[[#This Row],[delay]],0)</f>
        <v>4</v>
      </c>
      <c r="Z413">
        <f>IF(AND(Table6[[#This Row],[pipeline]]="fma",W413="new"),290,0)</f>
        <v>0</v>
      </c>
      <c r="AK413" s="34"/>
    </row>
    <row r="414" spans="1:37" ht="17" x14ac:dyDescent="0.2">
      <c r="A414" s="31">
        <f>IF(Table6[[#This Row],[instruction]]&lt;&gt;"",MAX($A$6:A413)+1," ")</f>
        <v>409</v>
      </c>
      <c r="B414" s="32" t="s">
        <v>485</v>
      </c>
      <c r="C414" t="s">
        <v>70</v>
      </c>
      <c r="D414" s="31" t="s">
        <v>430</v>
      </c>
      <c r="E414" s="31" t="s">
        <v>430</v>
      </c>
      <c r="F414" s="31" t="s">
        <v>447</v>
      </c>
      <c r="G414" s="31" t="s">
        <v>673</v>
      </c>
      <c r="K414" s="2" t="str">
        <f t="shared" si="6"/>
        <v>fma</v>
      </c>
      <c r="L414" cm="1">
        <f t="array" ref="L4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4" t="str">
        <f>IF(OR(ISNUMBER(SEARCH("imad", Table6[[#This Row],[instruction]])), ISNUMBER(SEARCH("ffma", Table6[[#This Row],[instruction]])), ISNUMBER(SEARCH("fmul", Table6[[#This Row],[instruction]]))), "fma", "")</f>
        <v>fma</v>
      </c>
      <c r="P4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4" t="str">
        <f>IF(OR(ISNUMBER(SEARCH("s2r", Table6[[#This Row],[instruction]])),ISNUMBER(SEARCH("s2ur", Table6[[#This Row],[instruction]]))), "special", "")</f>
        <v/>
      </c>
      <c r="S414" t="str">
        <f>IF(OR(ISNUMBER(SEARCH("stg", Table6[[#This Row],[instruction]])),ISNUMBER(SEARCH("ldg", Table6[[#This Row],[instruction]]))), "global", "")</f>
        <v/>
      </c>
      <c r="T414" t="str">
        <f>IF(OR(ISNUMBER(SEARCH("sts", Table6[[#This Row],[instruction]])),ISNUMBER(SEARCH("lds", Table6[[#This Row],[instruction]]))), "shared", "")</f>
        <v/>
      </c>
      <c r="U414" t="str">
        <f>IF(OR(ISNUMBER(SEARCH("LDC", Table6[[#This Row],[instruction]]))), "ind. const", "")</f>
        <v/>
      </c>
      <c r="V4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Row],[s5]]))),U414=""), "cmb. const", "")</f>
        <v/>
      </c>
      <c r="Y414">
        <f>IF(Table6[[#This Row],[pipeline]]="fma",Table6[[#This Row],[delay]],0)</f>
        <v>4</v>
      </c>
      <c r="Z414">
        <f>IF(AND(Table6[[#This Row],[pipeline]]="fma",W414="new"),290,0)</f>
        <v>0</v>
      </c>
      <c r="AK414" s="34"/>
    </row>
    <row r="415" spans="1:37" ht="17" x14ac:dyDescent="0.2">
      <c r="A415" s="31">
        <f>IF(Table6[[#This Row],[instruction]]&lt;&gt;"",MAX($A$6:A414)+1," ")</f>
        <v>410</v>
      </c>
      <c r="B415" s="32" t="s">
        <v>485</v>
      </c>
      <c r="C415" t="s">
        <v>70</v>
      </c>
      <c r="D415" s="31" t="s">
        <v>440</v>
      </c>
      <c r="E415" s="31" t="s">
        <v>71</v>
      </c>
      <c r="F415" s="31" t="s">
        <v>440</v>
      </c>
      <c r="G415" s="31" t="s">
        <v>699</v>
      </c>
      <c r="K415" s="2" t="str">
        <f t="shared" si="6"/>
        <v>fma</v>
      </c>
      <c r="L415" cm="1">
        <f t="array" ref="L4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5" t="str">
        <f>IF(OR(ISNUMBER(SEARCH("imad", Table6[[#This Row],[instruction]])), ISNUMBER(SEARCH("ffma", Table6[[#This Row],[instruction]])), ISNUMBER(SEARCH("fmul", Table6[[#This Row],[instruction]]))), "fma", "")</f>
        <v>fma</v>
      </c>
      <c r="P4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5" t="str">
        <f>IF(OR(ISNUMBER(SEARCH("s2r", Table6[[#This Row],[instruction]])),ISNUMBER(SEARCH("s2ur", Table6[[#This Row],[instruction]]))), "special", "")</f>
        <v/>
      </c>
      <c r="S415" t="str">
        <f>IF(OR(ISNUMBER(SEARCH("stg", Table6[[#This Row],[instruction]])),ISNUMBER(SEARCH("ldg", Table6[[#This Row],[instruction]]))), "global", "")</f>
        <v/>
      </c>
      <c r="T415" t="str">
        <f>IF(OR(ISNUMBER(SEARCH("sts", Table6[[#This Row],[instruction]])),ISNUMBER(SEARCH("lds", Table6[[#This Row],[instruction]]))), "shared", "")</f>
        <v/>
      </c>
      <c r="U415" t="str">
        <f>IF(OR(ISNUMBER(SEARCH("LDC", Table6[[#This Row],[instruction]]))), "ind. const", "")</f>
        <v/>
      </c>
      <c r="V4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Row],[s5]]))),U415=""), "cmb. const", "")</f>
        <v/>
      </c>
      <c r="Y415">
        <f>IF(Table6[[#This Row],[pipeline]]="fma",Table6[[#This Row],[delay]],0)</f>
        <v>4</v>
      </c>
      <c r="Z415">
        <f>IF(AND(Table6[[#This Row],[pipeline]]="fma",W415="new"),290,0)</f>
        <v>0</v>
      </c>
      <c r="AK415" s="34"/>
    </row>
    <row r="416" spans="1:37" ht="17" x14ac:dyDescent="0.2">
      <c r="A416" s="31">
        <f>IF(Table6[[#This Row],[instruction]]&lt;&gt;"",MAX($A$6:A415)+1," ")</f>
        <v>411</v>
      </c>
      <c r="B416" s="32" t="s">
        <v>485</v>
      </c>
      <c r="C416" t="s">
        <v>626</v>
      </c>
      <c r="D416" s="31" t="s">
        <v>80</v>
      </c>
      <c r="E416" s="31" t="s">
        <v>700</v>
      </c>
      <c r="K416" s="2" t="str">
        <f t="shared" si="6"/>
        <v>shared</v>
      </c>
      <c r="L416" cm="1">
        <f t="array" ref="L4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16" t="str">
        <f>IF(OR(ISNUMBER(SEARCH("imad", Table6[[#This Row],[instruction]])), ISNUMBER(SEARCH("ffma", Table6[[#This Row],[instruction]])), ISNUMBER(SEARCH("fmul", Table6[[#This Row],[instruction]]))), "fma", "")</f>
        <v/>
      </c>
      <c r="P4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6" t="str">
        <f>IF(OR(ISNUMBER(SEARCH("s2r", Table6[[#This Row],[instruction]])),ISNUMBER(SEARCH("s2ur", Table6[[#This Row],[instruction]]))), "special", "")</f>
        <v/>
      </c>
      <c r="S416" t="str">
        <f>IF(OR(ISNUMBER(SEARCH("stg", Table6[[#This Row],[instruction]])),ISNUMBER(SEARCH("ldg", Table6[[#This Row],[instruction]]))), "global", "")</f>
        <v/>
      </c>
      <c r="T416" t="str">
        <f>IF(OR(ISNUMBER(SEARCH("sts", Table6[[#This Row],[instruction]])),ISNUMBER(SEARCH("lds", Table6[[#This Row],[instruction]]))), "shared", "")</f>
        <v>shared</v>
      </c>
      <c r="U416" t="str">
        <f>IF(OR(ISNUMBER(SEARCH("LDC", Table6[[#This Row],[instruction]]))), "ind. const", "")</f>
        <v/>
      </c>
      <c r="V4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Row],[s5]]))),U416=""), "cmb. const", "")</f>
        <v/>
      </c>
      <c r="Y416">
        <f>IF(Table6[[#This Row],[pipeline]]="fma",Table6[[#This Row],[delay]],0)</f>
        <v>0</v>
      </c>
      <c r="Z416">
        <f>IF(AND(Table6[[#This Row],[pipeline]]="fma",W416="new"),290,0)</f>
        <v>0</v>
      </c>
      <c r="AK416" s="34"/>
    </row>
    <row r="417" spans="1:37" ht="17" x14ac:dyDescent="0.2">
      <c r="A417" s="31">
        <f>IF(Table6[[#This Row],[instruction]]&lt;&gt;"",MAX($A$6:A416)+1," ")</f>
        <v>412</v>
      </c>
      <c r="B417" s="32" t="s">
        <v>485</v>
      </c>
      <c r="C417" t="s">
        <v>626</v>
      </c>
      <c r="D417" s="31" t="s">
        <v>654</v>
      </c>
      <c r="E417" s="31" t="s">
        <v>701</v>
      </c>
      <c r="K417" s="2" t="str">
        <f t="shared" si="6"/>
        <v>shared</v>
      </c>
      <c r="L417" cm="1">
        <f t="array" ref="L4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17" t="str">
        <f>IF(OR(ISNUMBER(SEARCH("imad", Table6[[#This Row],[instruction]])), ISNUMBER(SEARCH("ffma", Table6[[#This Row],[instruction]])), ISNUMBER(SEARCH("fmul", Table6[[#This Row],[instruction]]))), "fma", "")</f>
        <v/>
      </c>
      <c r="P4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7" t="str">
        <f>IF(OR(ISNUMBER(SEARCH("s2r", Table6[[#This Row],[instruction]])),ISNUMBER(SEARCH("s2ur", Table6[[#This Row],[instruction]]))), "special", "")</f>
        <v/>
      </c>
      <c r="S417" t="str">
        <f>IF(OR(ISNUMBER(SEARCH("stg", Table6[[#This Row],[instruction]])),ISNUMBER(SEARCH("ldg", Table6[[#This Row],[instruction]]))), "global", "")</f>
        <v/>
      </c>
      <c r="T417" t="str">
        <f>IF(OR(ISNUMBER(SEARCH("sts", Table6[[#This Row],[instruction]])),ISNUMBER(SEARCH("lds", Table6[[#This Row],[instruction]]))), "shared", "")</f>
        <v>shared</v>
      </c>
      <c r="U417" t="str">
        <f>IF(OR(ISNUMBER(SEARCH("LDC", Table6[[#This Row],[instruction]]))), "ind. const", "")</f>
        <v/>
      </c>
      <c r="V4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Row],[s5]]))),U417=""), "cmb. const", "")</f>
        <v/>
      </c>
      <c r="Y417">
        <f>IF(Table6[[#This Row],[pipeline]]="fma",Table6[[#This Row],[delay]],0)</f>
        <v>0</v>
      </c>
      <c r="Z417">
        <f>IF(AND(Table6[[#This Row],[pipeline]]="fma",W417="new"),290,0)</f>
        <v>0</v>
      </c>
      <c r="AK417" s="34"/>
    </row>
    <row r="418" spans="1:37" ht="17" x14ac:dyDescent="0.2">
      <c r="A418" s="31">
        <f>IF(Table6[[#This Row],[instruction]]&lt;&gt;"",MAX($A$6:A417)+1," ")</f>
        <v>413</v>
      </c>
      <c r="B418" s="32" t="s">
        <v>485</v>
      </c>
      <c r="C418" t="s">
        <v>70</v>
      </c>
      <c r="D418" s="31" t="s">
        <v>608</v>
      </c>
      <c r="E418" s="31" t="s">
        <v>82</v>
      </c>
      <c r="F418" s="31" t="s">
        <v>436</v>
      </c>
      <c r="G418" s="31" t="s">
        <v>683</v>
      </c>
      <c r="K418" s="2" t="str">
        <f t="shared" si="6"/>
        <v>fma</v>
      </c>
      <c r="L418" cm="1">
        <f t="array" ref="L4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8" t="str">
        <f>IF(OR(ISNUMBER(SEARCH("imad", Table6[[#This Row],[instruction]])), ISNUMBER(SEARCH("ffma", Table6[[#This Row],[instruction]])), ISNUMBER(SEARCH("fmul", Table6[[#This Row],[instruction]]))), "fma", "")</f>
        <v>fma</v>
      </c>
      <c r="P4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8" t="str">
        <f>IF(OR(ISNUMBER(SEARCH("s2r", Table6[[#This Row],[instruction]])),ISNUMBER(SEARCH("s2ur", Table6[[#This Row],[instruction]]))), "special", "")</f>
        <v/>
      </c>
      <c r="S418" t="str">
        <f>IF(OR(ISNUMBER(SEARCH("stg", Table6[[#This Row],[instruction]])),ISNUMBER(SEARCH("ldg", Table6[[#This Row],[instruction]]))), "global", "")</f>
        <v/>
      </c>
      <c r="T418" t="str">
        <f>IF(OR(ISNUMBER(SEARCH("sts", Table6[[#This Row],[instruction]])),ISNUMBER(SEARCH("lds", Table6[[#This Row],[instruction]]))), "shared", "")</f>
        <v/>
      </c>
      <c r="U418" t="str">
        <f>IF(OR(ISNUMBER(SEARCH("LDC", Table6[[#This Row],[instruction]]))), "ind. const", "")</f>
        <v/>
      </c>
      <c r="V4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Row],[s5]]))),U418=""), "cmb. const", "")</f>
        <v/>
      </c>
      <c r="Y418">
        <f>IF(Table6[[#This Row],[pipeline]]="fma",Table6[[#This Row],[delay]],0)</f>
        <v>4</v>
      </c>
      <c r="Z418">
        <f>IF(AND(Table6[[#This Row],[pipeline]]="fma",W418="new"),290,0)</f>
        <v>0</v>
      </c>
      <c r="AK418" s="34"/>
    </row>
    <row r="419" spans="1:37" ht="17" x14ac:dyDescent="0.2">
      <c r="A419" s="31">
        <f>IF(Table6[[#This Row],[instruction]]&lt;&gt;"",MAX($A$6:A418)+1," ")</f>
        <v>414</v>
      </c>
      <c r="B419" s="32" t="s">
        <v>485</v>
      </c>
      <c r="C419" t="s">
        <v>70</v>
      </c>
      <c r="D419" s="31" t="s">
        <v>613</v>
      </c>
      <c r="E419" s="31" t="s">
        <v>82</v>
      </c>
      <c r="F419" s="31" t="s">
        <v>439</v>
      </c>
      <c r="G419" s="31" t="s">
        <v>684</v>
      </c>
      <c r="K419" s="2" t="str">
        <f t="shared" si="6"/>
        <v>fma</v>
      </c>
      <c r="L419" cm="1">
        <f t="array" ref="L4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19" t="str">
        <f>IF(OR(ISNUMBER(SEARCH("imad", Table6[[#This Row],[instruction]])), ISNUMBER(SEARCH("ffma", Table6[[#This Row],[instruction]])), ISNUMBER(SEARCH("fmul", Table6[[#This Row],[instruction]]))), "fma", "")</f>
        <v>fma</v>
      </c>
      <c r="P4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19" t="str">
        <f>IF(OR(ISNUMBER(SEARCH("s2r", Table6[[#This Row],[instruction]])),ISNUMBER(SEARCH("s2ur", Table6[[#This Row],[instruction]]))), "special", "")</f>
        <v/>
      </c>
      <c r="S419" t="str">
        <f>IF(OR(ISNUMBER(SEARCH("stg", Table6[[#This Row],[instruction]])),ISNUMBER(SEARCH("ldg", Table6[[#This Row],[instruction]]))), "global", "")</f>
        <v/>
      </c>
      <c r="T419" t="str">
        <f>IF(OR(ISNUMBER(SEARCH("sts", Table6[[#This Row],[instruction]])),ISNUMBER(SEARCH("lds", Table6[[#This Row],[instruction]]))), "shared", "")</f>
        <v/>
      </c>
      <c r="U419" t="str">
        <f>IF(OR(ISNUMBER(SEARCH("LDC", Table6[[#This Row],[instruction]]))), "ind. const", "")</f>
        <v/>
      </c>
      <c r="V4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Row],[s5]]))),U419=""), "cmb. const", "")</f>
        <v/>
      </c>
      <c r="Y419">
        <f>IF(Table6[[#This Row],[pipeline]]="fma",Table6[[#This Row],[delay]],0)</f>
        <v>4</v>
      </c>
      <c r="Z419">
        <f>IF(AND(Table6[[#This Row],[pipeline]]="fma",W419="new"),290,0)</f>
        <v>0</v>
      </c>
      <c r="AK419" s="34"/>
    </row>
    <row r="420" spans="1:37" ht="17" x14ac:dyDescent="0.2">
      <c r="A420" s="31">
        <f>IF(Table6[[#This Row],[instruction]]&lt;&gt;"",MAX($A$6:A419)+1," ")</f>
        <v>415</v>
      </c>
      <c r="B420" s="32" t="s">
        <v>485</v>
      </c>
      <c r="C420" t="s">
        <v>70</v>
      </c>
      <c r="D420" s="31" t="s">
        <v>665</v>
      </c>
      <c r="E420" s="31" t="s">
        <v>627</v>
      </c>
      <c r="F420" s="31" t="s">
        <v>652</v>
      </c>
      <c r="G420" s="31" t="s">
        <v>677</v>
      </c>
      <c r="K420" s="2" t="str">
        <f t="shared" si="6"/>
        <v>fma</v>
      </c>
      <c r="L420" cm="1">
        <f t="array" ref="L4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0" t="str">
        <f>IF(OR(ISNUMBER(SEARCH("imad", Table6[[#This Row],[instruction]])), ISNUMBER(SEARCH("ffma", Table6[[#This Row],[instruction]])), ISNUMBER(SEARCH("fmul", Table6[[#This Row],[instruction]]))), "fma", "")</f>
        <v>fma</v>
      </c>
      <c r="P4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0" t="str">
        <f>IF(OR(ISNUMBER(SEARCH("s2r", Table6[[#This Row],[instruction]])),ISNUMBER(SEARCH("s2ur", Table6[[#This Row],[instruction]]))), "special", "")</f>
        <v/>
      </c>
      <c r="S420" t="str">
        <f>IF(OR(ISNUMBER(SEARCH("stg", Table6[[#This Row],[instruction]])),ISNUMBER(SEARCH("ldg", Table6[[#This Row],[instruction]]))), "global", "")</f>
        <v/>
      </c>
      <c r="T420" t="str">
        <f>IF(OR(ISNUMBER(SEARCH("sts", Table6[[#This Row],[instruction]])),ISNUMBER(SEARCH("lds", Table6[[#This Row],[instruction]]))), "shared", "")</f>
        <v/>
      </c>
      <c r="U420" t="str">
        <f>IF(OR(ISNUMBER(SEARCH("LDC", Table6[[#This Row],[instruction]]))), "ind. const", "")</f>
        <v/>
      </c>
      <c r="V4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Row],[s5]]))),U420=""), "cmb. const", "")</f>
        <v/>
      </c>
      <c r="Y420">
        <f>IF(Table6[[#This Row],[pipeline]]="fma",Table6[[#This Row],[delay]],0)</f>
        <v>4</v>
      </c>
      <c r="Z420">
        <f>IF(AND(Table6[[#This Row],[pipeline]]="fma",W420="new"),290,0)</f>
        <v>0</v>
      </c>
      <c r="AK420" s="34"/>
    </row>
    <row r="421" spans="1:37" ht="17" x14ac:dyDescent="0.2">
      <c r="A421" s="31">
        <f>IF(Table6[[#This Row],[instruction]]&lt;&gt;"",MAX($A$6:A420)+1," ")</f>
        <v>416</v>
      </c>
      <c r="B421" s="32" t="s">
        <v>485</v>
      </c>
      <c r="C421" t="s">
        <v>70</v>
      </c>
      <c r="D421" s="31" t="s">
        <v>649</v>
      </c>
      <c r="E421" s="31" t="s">
        <v>627</v>
      </c>
      <c r="F421" s="31" t="s">
        <v>633</v>
      </c>
      <c r="G421" s="31" t="s">
        <v>679</v>
      </c>
      <c r="K421" s="2" t="str">
        <f t="shared" si="6"/>
        <v>fma</v>
      </c>
      <c r="L421" cm="1">
        <f t="array" ref="L4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1" t="str">
        <f>IF(OR(ISNUMBER(SEARCH("imad", Table6[[#This Row],[instruction]])), ISNUMBER(SEARCH("ffma", Table6[[#This Row],[instruction]])), ISNUMBER(SEARCH("fmul", Table6[[#This Row],[instruction]]))), "fma", "")</f>
        <v>fma</v>
      </c>
      <c r="P4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1" t="str">
        <f>IF(OR(ISNUMBER(SEARCH("s2r", Table6[[#This Row],[instruction]])),ISNUMBER(SEARCH("s2ur", Table6[[#This Row],[instruction]]))), "special", "")</f>
        <v/>
      </c>
      <c r="S421" t="str">
        <f>IF(OR(ISNUMBER(SEARCH("stg", Table6[[#This Row],[instruction]])),ISNUMBER(SEARCH("ldg", Table6[[#This Row],[instruction]]))), "global", "")</f>
        <v/>
      </c>
      <c r="T421" t="str">
        <f>IF(OR(ISNUMBER(SEARCH("sts", Table6[[#This Row],[instruction]])),ISNUMBER(SEARCH("lds", Table6[[#This Row],[instruction]]))), "shared", "")</f>
        <v/>
      </c>
      <c r="U421" t="str">
        <f>IF(OR(ISNUMBER(SEARCH("LDC", Table6[[#This Row],[instruction]]))), "ind. const", "")</f>
        <v/>
      </c>
      <c r="V4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Row],[s5]]))),U421=""), "cmb. const", "")</f>
        <v/>
      </c>
      <c r="Y421">
        <f>IF(Table6[[#This Row],[pipeline]]="fma",Table6[[#This Row],[delay]],0)</f>
        <v>4</v>
      </c>
      <c r="Z421">
        <f>IF(AND(Table6[[#This Row],[pipeline]]="fma",W421="new"),290,0)</f>
        <v>0</v>
      </c>
      <c r="AK421" s="34"/>
    </row>
    <row r="422" spans="1:37" ht="17" x14ac:dyDescent="0.2">
      <c r="A422" s="31">
        <f>IF(Table6[[#This Row],[instruction]]&lt;&gt;"",MAX($A$6:A421)+1," ")</f>
        <v>417</v>
      </c>
      <c r="B422" s="32" t="s">
        <v>485</v>
      </c>
      <c r="C422" t="s">
        <v>70</v>
      </c>
      <c r="D422" s="31" t="s">
        <v>648</v>
      </c>
      <c r="E422" s="31" t="s">
        <v>627</v>
      </c>
      <c r="F422" s="31" t="s">
        <v>682</v>
      </c>
      <c r="G422" s="31" t="s">
        <v>681</v>
      </c>
      <c r="K422" s="2" t="str">
        <f t="shared" si="6"/>
        <v>fma</v>
      </c>
      <c r="L422" cm="1">
        <f t="array" ref="L4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2" t="str">
        <f>IF(OR(ISNUMBER(SEARCH("imad", Table6[[#This Row],[instruction]])), ISNUMBER(SEARCH("ffma", Table6[[#This Row],[instruction]])), ISNUMBER(SEARCH("fmul", Table6[[#This Row],[instruction]]))), "fma", "")</f>
        <v>fma</v>
      </c>
      <c r="P4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2" t="str">
        <f>IF(OR(ISNUMBER(SEARCH("s2r", Table6[[#This Row],[instruction]])),ISNUMBER(SEARCH("s2ur", Table6[[#This Row],[instruction]]))), "special", "")</f>
        <v/>
      </c>
      <c r="S422" t="str">
        <f>IF(OR(ISNUMBER(SEARCH("stg", Table6[[#This Row],[instruction]])),ISNUMBER(SEARCH("ldg", Table6[[#This Row],[instruction]]))), "global", "")</f>
        <v/>
      </c>
      <c r="T422" t="str">
        <f>IF(OR(ISNUMBER(SEARCH("sts", Table6[[#This Row],[instruction]])),ISNUMBER(SEARCH("lds", Table6[[#This Row],[instruction]]))), "shared", "")</f>
        <v/>
      </c>
      <c r="U422" t="str">
        <f>IF(OR(ISNUMBER(SEARCH("LDC", Table6[[#This Row],[instruction]]))), "ind. const", "")</f>
        <v/>
      </c>
      <c r="V4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Row],[s5]]))),U422=""), "cmb. const", "")</f>
        <v/>
      </c>
      <c r="Y422">
        <f>IF(Table6[[#This Row],[pipeline]]="fma",Table6[[#This Row],[delay]],0)</f>
        <v>4</v>
      </c>
      <c r="Z422">
        <f>IF(AND(Table6[[#This Row],[pipeline]]="fma",W422="new"),290,0)</f>
        <v>0</v>
      </c>
      <c r="AK422" s="34"/>
    </row>
    <row r="423" spans="1:37" ht="17" x14ac:dyDescent="0.2">
      <c r="A423" s="31">
        <f>IF(Table6[[#This Row],[instruction]]&lt;&gt;"",MAX($A$6:A422)+1," ")</f>
        <v>418</v>
      </c>
      <c r="B423" s="32" t="s">
        <v>485</v>
      </c>
      <c r="C423" t="s">
        <v>70</v>
      </c>
      <c r="D423" s="31" t="s">
        <v>600</v>
      </c>
      <c r="E423" s="31" t="s">
        <v>678</v>
      </c>
      <c r="F423" s="31" t="s">
        <v>652</v>
      </c>
      <c r="G423" s="31" t="s">
        <v>668</v>
      </c>
      <c r="K423" s="2" t="str">
        <f t="shared" si="6"/>
        <v>fma</v>
      </c>
      <c r="L423" cm="1">
        <f t="array" ref="L4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3" t="str">
        <f>IF(OR(ISNUMBER(SEARCH("imad", Table6[[#This Row],[instruction]])), ISNUMBER(SEARCH("ffma", Table6[[#This Row],[instruction]])), ISNUMBER(SEARCH("fmul", Table6[[#This Row],[instruction]]))), "fma", "")</f>
        <v>fma</v>
      </c>
      <c r="P4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3" t="str">
        <f>IF(OR(ISNUMBER(SEARCH("s2r", Table6[[#This Row],[instruction]])),ISNUMBER(SEARCH("s2ur", Table6[[#This Row],[instruction]]))), "special", "")</f>
        <v/>
      </c>
      <c r="S423" t="str">
        <f>IF(OR(ISNUMBER(SEARCH("stg", Table6[[#This Row],[instruction]])),ISNUMBER(SEARCH("ldg", Table6[[#This Row],[instruction]]))), "global", "")</f>
        <v/>
      </c>
      <c r="T423" t="str">
        <f>IF(OR(ISNUMBER(SEARCH("sts", Table6[[#This Row],[instruction]])),ISNUMBER(SEARCH("lds", Table6[[#This Row],[instruction]]))), "shared", "")</f>
        <v/>
      </c>
      <c r="U423" t="str">
        <f>IF(OR(ISNUMBER(SEARCH("LDC", Table6[[#This Row],[instruction]]))), "ind. const", "")</f>
        <v/>
      </c>
      <c r="V4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Row],[s5]]))),U423=""), "cmb. const", "")</f>
        <v/>
      </c>
      <c r="Y423">
        <f>IF(Table6[[#This Row],[pipeline]]="fma",Table6[[#This Row],[delay]],0)</f>
        <v>4</v>
      </c>
      <c r="Z423">
        <f>IF(AND(Table6[[#This Row],[pipeline]]="fma",W423="new"),290,0)</f>
        <v>0</v>
      </c>
      <c r="AK423" s="34"/>
    </row>
    <row r="424" spans="1:37" ht="17" x14ac:dyDescent="0.2">
      <c r="A424" s="31">
        <f>IF(Table6[[#This Row],[instruction]]&lt;&gt;"",MAX($A$6:A423)+1," ")</f>
        <v>419</v>
      </c>
      <c r="B424" s="32" t="s">
        <v>485</v>
      </c>
      <c r="C424" t="s">
        <v>70</v>
      </c>
      <c r="D424" s="31" t="s">
        <v>612</v>
      </c>
      <c r="E424" s="31" t="s">
        <v>680</v>
      </c>
      <c r="F424" s="31" t="s">
        <v>652</v>
      </c>
      <c r="G424" s="31" t="s">
        <v>669</v>
      </c>
      <c r="K424" s="2" t="str">
        <f t="shared" si="6"/>
        <v>fma</v>
      </c>
      <c r="L424" cm="1">
        <f t="array" ref="L4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4" t="str">
        <f>IF(OR(ISNUMBER(SEARCH("imad", Table6[[#This Row],[instruction]])), ISNUMBER(SEARCH("ffma", Table6[[#This Row],[instruction]])), ISNUMBER(SEARCH("fmul", Table6[[#This Row],[instruction]]))), "fma", "")</f>
        <v>fma</v>
      </c>
      <c r="P4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4" t="str">
        <f>IF(OR(ISNUMBER(SEARCH("s2r", Table6[[#This Row],[instruction]])),ISNUMBER(SEARCH("s2ur", Table6[[#This Row],[instruction]]))), "special", "")</f>
        <v/>
      </c>
      <c r="S424" t="str">
        <f>IF(OR(ISNUMBER(SEARCH("stg", Table6[[#This Row],[instruction]])),ISNUMBER(SEARCH("ldg", Table6[[#This Row],[instruction]]))), "global", "")</f>
        <v/>
      </c>
      <c r="T424" t="str">
        <f>IF(OR(ISNUMBER(SEARCH("sts", Table6[[#This Row],[instruction]])),ISNUMBER(SEARCH("lds", Table6[[#This Row],[instruction]]))), "shared", "")</f>
        <v/>
      </c>
      <c r="U424" t="str">
        <f>IF(OR(ISNUMBER(SEARCH("LDC", Table6[[#This Row],[instruction]]))), "ind. const", "")</f>
        <v/>
      </c>
      <c r="V4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Row],[s5]]))),U424=""), "cmb. const", "")</f>
        <v/>
      </c>
      <c r="Y424">
        <f>IF(Table6[[#This Row],[pipeline]]="fma",Table6[[#This Row],[delay]],0)</f>
        <v>4</v>
      </c>
      <c r="Z424">
        <f>IF(AND(Table6[[#This Row],[pipeline]]="fma",W424="new"),290,0)</f>
        <v>0</v>
      </c>
      <c r="AK424" s="34"/>
    </row>
    <row r="425" spans="1:37" ht="17" x14ac:dyDescent="0.2">
      <c r="A425" s="31">
        <f>IF(Table6[[#This Row],[instruction]]&lt;&gt;"",MAX($A$6:A424)+1," ")</f>
        <v>420</v>
      </c>
      <c r="B425" s="32" t="s">
        <v>485</v>
      </c>
      <c r="C425" t="s">
        <v>70</v>
      </c>
      <c r="D425" s="31" t="s">
        <v>609</v>
      </c>
      <c r="E425" s="31" t="s">
        <v>680</v>
      </c>
      <c r="F425" s="31" t="s">
        <v>633</v>
      </c>
      <c r="G425" s="31" t="s">
        <v>670</v>
      </c>
      <c r="K425" s="2" t="str">
        <f t="shared" si="6"/>
        <v>fma</v>
      </c>
      <c r="L425" cm="1">
        <f t="array" ref="L4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5" t="str">
        <f>IF(OR(ISNUMBER(SEARCH("imad", Table6[[#This Row],[instruction]])), ISNUMBER(SEARCH("ffma", Table6[[#This Row],[instruction]])), ISNUMBER(SEARCH("fmul", Table6[[#This Row],[instruction]]))), "fma", "")</f>
        <v>fma</v>
      </c>
      <c r="P4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5" t="str">
        <f>IF(OR(ISNUMBER(SEARCH("s2r", Table6[[#This Row],[instruction]])),ISNUMBER(SEARCH("s2ur", Table6[[#This Row],[instruction]]))), "special", "")</f>
        <v/>
      </c>
      <c r="S425" t="str">
        <f>IF(OR(ISNUMBER(SEARCH("stg", Table6[[#This Row],[instruction]])),ISNUMBER(SEARCH("ldg", Table6[[#This Row],[instruction]]))), "global", "")</f>
        <v/>
      </c>
      <c r="T425" t="str">
        <f>IF(OR(ISNUMBER(SEARCH("sts", Table6[[#This Row],[instruction]])),ISNUMBER(SEARCH("lds", Table6[[#This Row],[instruction]]))), "shared", "")</f>
        <v/>
      </c>
      <c r="U425" t="str">
        <f>IF(OR(ISNUMBER(SEARCH("LDC", Table6[[#This Row],[instruction]]))), "ind. const", "")</f>
        <v/>
      </c>
      <c r="V4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Row],[s5]]))),U425=""), "cmb. const", "")</f>
        <v/>
      </c>
      <c r="Y425">
        <f>IF(Table6[[#This Row],[pipeline]]="fma",Table6[[#This Row],[delay]],0)</f>
        <v>4</v>
      </c>
      <c r="Z425">
        <f>IF(AND(Table6[[#This Row],[pipeline]]="fma",W425="new"),290,0)</f>
        <v>0</v>
      </c>
      <c r="AK425" s="34"/>
    </row>
    <row r="426" spans="1:37" ht="17" x14ac:dyDescent="0.2">
      <c r="A426" s="31">
        <f>IF(Table6[[#This Row],[instruction]]&lt;&gt;"",MAX($A$6:A425)+1," ")</f>
        <v>421</v>
      </c>
      <c r="B426" s="32" t="s">
        <v>485</v>
      </c>
      <c r="C426" t="s">
        <v>70</v>
      </c>
      <c r="D426" s="31" t="s">
        <v>671</v>
      </c>
      <c r="E426" s="31" t="s">
        <v>680</v>
      </c>
      <c r="F426" s="31" t="s">
        <v>682</v>
      </c>
      <c r="G426" s="31" t="s">
        <v>672</v>
      </c>
      <c r="K426" s="2" t="str">
        <f t="shared" si="6"/>
        <v>fma</v>
      </c>
      <c r="L426" cm="1">
        <f t="array" ref="L4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6" t="str">
        <f>IF(OR(ISNUMBER(SEARCH("imad", Table6[[#This Row],[instruction]])), ISNUMBER(SEARCH("ffma", Table6[[#This Row],[instruction]])), ISNUMBER(SEARCH("fmul", Table6[[#This Row],[instruction]]))), "fma", "")</f>
        <v>fma</v>
      </c>
      <c r="P4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6" t="str">
        <f>IF(OR(ISNUMBER(SEARCH("s2r", Table6[[#This Row],[instruction]])),ISNUMBER(SEARCH("s2ur", Table6[[#This Row],[instruction]]))), "special", "")</f>
        <v/>
      </c>
      <c r="S426" t="str">
        <f>IF(OR(ISNUMBER(SEARCH("stg", Table6[[#This Row],[instruction]])),ISNUMBER(SEARCH("ldg", Table6[[#This Row],[instruction]]))), "global", "")</f>
        <v/>
      </c>
      <c r="T426" t="str">
        <f>IF(OR(ISNUMBER(SEARCH("sts", Table6[[#This Row],[instruction]])),ISNUMBER(SEARCH("lds", Table6[[#This Row],[instruction]]))), "shared", "")</f>
        <v/>
      </c>
      <c r="U426" t="str">
        <f>IF(OR(ISNUMBER(SEARCH("LDC", Table6[[#This Row],[instruction]]))), "ind. const", "")</f>
        <v/>
      </c>
      <c r="V4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Row],[s5]]))),U426=""), "cmb. const", "")</f>
        <v/>
      </c>
      <c r="Y426">
        <f>IF(Table6[[#This Row],[pipeline]]="fma",Table6[[#This Row],[delay]],0)</f>
        <v>4</v>
      </c>
      <c r="Z426">
        <f>IF(AND(Table6[[#This Row],[pipeline]]="fma",W426="new"),290,0)</f>
        <v>0</v>
      </c>
      <c r="AK426" s="34"/>
    </row>
    <row r="427" spans="1:37" ht="17" x14ac:dyDescent="0.2">
      <c r="A427" s="31">
        <f>IF(Table6[[#This Row],[instruction]]&lt;&gt;"",MAX($A$6:A426)+1," ")</f>
        <v>422</v>
      </c>
      <c r="B427" s="32" t="s">
        <v>485</v>
      </c>
      <c r="C427" t="s">
        <v>70</v>
      </c>
      <c r="D427" s="31" t="s">
        <v>605</v>
      </c>
      <c r="E427" s="31" t="s">
        <v>82</v>
      </c>
      <c r="F427" s="31" t="s">
        <v>447</v>
      </c>
      <c r="G427" s="31" t="s">
        <v>685</v>
      </c>
      <c r="K427" s="2" t="str">
        <f t="shared" si="6"/>
        <v>fma</v>
      </c>
      <c r="L427" cm="1">
        <f t="array" ref="L4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7" t="str">
        <f>IF(OR(ISNUMBER(SEARCH("imad", Table6[[#This Row],[instruction]])), ISNUMBER(SEARCH("ffma", Table6[[#This Row],[instruction]])), ISNUMBER(SEARCH("fmul", Table6[[#This Row],[instruction]]))), "fma", "")</f>
        <v>fma</v>
      </c>
      <c r="P4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7" t="str">
        <f>IF(OR(ISNUMBER(SEARCH("s2r", Table6[[#This Row],[instruction]])),ISNUMBER(SEARCH("s2ur", Table6[[#This Row],[instruction]]))), "special", "")</f>
        <v/>
      </c>
      <c r="S427" t="str">
        <f>IF(OR(ISNUMBER(SEARCH("stg", Table6[[#This Row],[instruction]])),ISNUMBER(SEARCH("ldg", Table6[[#This Row],[instruction]]))), "global", "")</f>
        <v/>
      </c>
      <c r="T427" t="str">
        <f>IF(OR(ISNUMBER(SEARCH("sts", Table6[[#This Row],[instruction]])),ISNUMBER(SEARCH("lds", Table6[[#This Row],[instruction]]))), "shared", "")</f>
        <v/>
      </c>
      <c r="U427" t="str">
        <f>IF(OR(ISNUMBER(SEARCH("LDC", Table6[[#This Row],[instruction]]))), "ind. const", "")</f>
        <v/>
      </c>
      <c r="V4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Row],[s5]]))),U427=""), "cmb. const", "")</f>
        <v/>
      </c>
      <c r="Y427">
        <f>IF(Table6[[#This Row],[pipeline]]="fma",Table6[[#This Row],[delay]],0)</f>
        <v>4</v>
      </c>
      <c r="Z427">
        <f>IF(AND(Table6[[#This Row],[pipeline]]="fma",W427="new"),290,0)</f>
        <v>0</v>
      </c>
      <c r="AK427" s="34"/>
    </row>
    <row r="428" spans="1:37" ht="17" x14ac:dyDescent="0.2">
      <c r="A428" s="31">
        <f>IF(Table6[[#This Row],[instruction]]&lt;&gt;"",MAX($A$6:A427)+1," ")</f>
        <v>423</v>
      </c>
      <c r="B428" s="32" t="s">
        <v>485</v>
      </c>
      <c r="C428" t="s">
        <v>70</v>
      </c>
      <c r="D428" s="31" t="s">
        <v>597</v>
      </c>
      <c r="E428" s="31" t="s">
        <v>71</v>
      </c>
      <c r="F428" s="31" t="s">
        <v>436</v>
      </c>
      <c r="G428" s="31" t="s">
        <v>686</v>
      </c>
      <c r="K428" s="2" t="str">
        <f t="shared" si="6"/>
        <v>fma</v>
      </c>
      <c r="L428" cm="1">
        <f t="array" ref="L4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8" t="str">
        <f>IF(OR(ISNUMBER(SEARCH("imad", Table6[[#This Row],[instruction]])), ISNUMBER(SEARCH("ffma", Table6[[#This Row],[instruction]])), ISNUMBER(SEARCH("fmul", Table6[[#This Row],[instruction]]))), "fma", "")</f>
        <v>fma</v>
      </c>
      <c r="P4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8" t="str">
        <f>IF(OR(ISNUMBER(SEARCH("s2r", Table6[[#This Row],[instruction]])),ISNUMBER(SEARCH("s2ur", Table6[[#This Row],[instruction]]))), "special", "")</f>
        <v/>
      </c>
      <c r="S428" t="str">
        <f>IF(OR(ISNUMBER(SEARCH("stg", Table6[[#This Row],[instruction]])),ISNUMBER(SEARCH("ldg", Table6[[#This Row],[instruction]]))), "global", "")</f>
        <v/>
      </c>
      <c r="T428" t="str">
        <f>IF(OR(ISNUMBER(SEARCH("sts", Table6[[#This Row],[instruction]])),ISNUMBER(SEARCH("lds", Table6[[#This Row],[instruction]]))), "shared", "")</f>
        <v/>
      </c>
      <c r="U428" t="str">
        <f>IF(OR(ISNUMBER(SEARCH("LDC", Table6[[#This Row],[instruction]]))), "ind. const", "")</f>
        <v/>
      </c>
      <c r="V4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Row],[s5]]))),U428=""), "cmb. const", "")</f>
        <v/>
      </c>
      <c r="Y428">
        <f>IF(Table6[[#This Row],[pipeline]]="fma",Table6[[#This Row],[delay]],0)</f>
        <v>4</v>
      </c>
      <c r="Z428">
        <f>IF(AND(Table6[[#This Row],[pipeline]]="fma",W428="new"),290,0)</f>
        <v>0</v>
      </c>
      <c r="AK428" s="34"/>
    </row>
    <row r="429" spans="1:37" ht="17" x14ac:dyDescent="0.2">
      <c r="A429" s="31">
        <f>IF(Table6[[#This Row],[instruction]]&lt;&gt;"",MAX($A$6:A428)+1," ")</f>
        <v>424</v>
      </c>
      <c r="B429" s="32" t="s">
        <v>485</v>
      </c>
      <c r="C429" t="s">
        <v>70</v>
      </c>
      <c r="D429" s="31" t="s">
        <v>604</v>
      </c>
      <c r="E429" s="31" t="s">
        <v>71</v>
      </c>
      <c r="F429" s="31" t="s">
        <v>439</v>
      </c>
      <c r="G429" s="31" t="s">
        <v>687</v>
      </c>
      <c r="K429" s="2" t="str">
        <f t="shared" si="6"/>
        <v>fma</v>
      </c>
      <c r="L429" cm="1">
        <f t="array" ref="L4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29" t="str">
        <f>IF(OR(ISNUMBER(SEARCH("imad", Table6[[#This Row],[instruction]])), ISNUMBER(SEARCH("ffma", Table6[[#This Row],[instruction]])), ISNUMBER(SEARCH("fmul", Table6[[#This Row],[instruction]]))), "fma", "")</f>
        <v>fma</v>
      </c>
      <c r="P4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29" t="str">
        <f>IF(OR(ISNUMBER(SEARCH("s2r", Table6[[#This Row],[instruction]])),ISNUMBER(SEARCH("s2ur", Table6[[#This Row],[instruction]]))), "special", "")</f>
        <v/>
      </c>
      <c r="S429" t="str">
        <f>IF(OR(ISNUMBER(SEARCH("stg", Table6[[#This Row],[instruction]])),ISNUMBER(SEARCH("ldg", Table6[[#This Row],[instruction]]))), "global", "")</f>
        <v/>
      </c>
      <c r="T429" t="str">
        <f>IF(OR(ISNUMBER(SEARCH("sts", Table6[[#This Row],[instruction]])),ISNUMBER(SEARCH("lds", Table6[[#This Row],[instruction]]))), "shared", "")</f>
        <v/>
      </c>
      <c r="U429" t="str">
        <f>IF(OR(ISNUMBER(SEARCH("LDC", Table6[[#This Row],[instruction]]))), "ind. const", "")</f>
        <v/>
      </c>
      <c r="V4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Row],[s5]]))),U429=""), "cmb. const", "")</f>
        <v/>
      </c>
      <c r="Y429">
        <f>IF(Table6[[#This Row],[pipeline]]="fma",Table6[[#This Row],[delay]],0)</f>
        <v>4</v>
      </c>
      <c r="Z429">
        <f>IF(AND(Table6[[#This Row],[pipeline]]="fma",W429="new"),290,0)</f>
        <v>0</v>
      </c>
      <c r="AK429" s="34"/>
    </row>
    <row r="430" spans="1:37" ht="17" x14ac:dyDescent="0.2">
      <c r="A430" s="31">
        <f>IF(Table6[[#This Row],[instruction]]&lt;&gt;"",MAX($A$6:A429)+1," ")</f>
        <v>425</v>
      </c>
      <c r="B430" s="32" t="s">
        <v>485</v>
      </c>
      <c r="C430" t="s">
        <v>70</v>
      </c>
      <c r="D430" s="31" t="s">
        <v>598</v>
      </c>
      <c r="E430" s="31" t="s">
        <v>71</v>
      </c>
      <c r="F430" s="31" t="s">
        <v>447</v>
      </c>
      <c r="G430" s="31" t="s">
        <v>688</v>
      </c>
      <c r="K430" s="2" t="str">
        <f t="shared" si="6"/>
        <v>fma</v>
      </c>
      <c r="L430" cm="1">
        <f t="array" ref="L4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0" t="str">
        <f>IF(OR(ISNUMBER(SEARCH("imad", Table6[[#This Row],[instruction]])), ISNUMBER(SEARCH("ffma", Table6[[#This Row],[instruction]])), ISNUMBER(SEARCH("fmul", Table6[[#This Row],[instruction]]))), "fma", "")</f>
        <v>fma</v>
      </c>
      <c r="P4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0" t="str">
        <f>IF(OR(ISNUMBER(SEARCH("s2r", Table6[[#This Row],[instruction]])),ISNUMBER(SEARCH("s2ur", Table6[[#This Row],[instruction]]))), "special", "")</f>
        <v/>
      </c>
      <c r="S430" t="str">
        <f>IF(OR(ISNUMBER(SEARCH("stg", Table6[[#This Row],[instruction]])),ISNUMBER(SEARCH("ldg", Table6[[#This Row],[instruction]]))), "global", "")</f>
        <v/>
      </c>
      <c r="T430" t="str">
        <f>IF(OR(ISNUMBER(SEARCH("sts", Table6[[#This Row],[instruction]])),ISNUMBER(SEARCH("lds", Table6[[#This Row],[instruction]]))), "shared", "")</f>
        <v/>
      </c>
      <c r="U430" t="str">
        <f>IF(OR(ISNUMBER(SEARCH("LDC", Table6[[#This Row],[instruction]]))), "ind. const", "")</f>
        <v/>
      </c>
      <c r="V4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Row],[s5]]))),U430=""), "cmb. const", "")</f>
        <v/>
      </c>
      <c r="Y430">
        <f>IF(Table6[[#This Row],[pipeline]]="fma",Table6[[#This Row],[delay]],0)</f>
        <v>4</v>
      </c>
      <c r="Z430">
        <f>IF(AND(Table6[[#This Row],[pipeline]]="fma",W430="new"),290,0)</f>
        <v>0</v>
      </c>
      <c r="AK430" s="34"/>
    </row>
    <row r="431" spans="1:37" ht="17" x14ac:dyDescent="0.2">
      <c r="A431" s="31">
        <f>IF(Table6[[#This Row],[instruction]]&lt;&gt;"",MAX($A$6:A430)+1," ")</f>
        <v>426</v>
      </c>
      <c r="B431" s="32" t="s">
        <v>485</v>
      </c>
      <c r="C431" t="s">
        <v>70</v>
      </c>
      <c r="D431" s="31" t="s">
        <v>627</v>
      </c>
      <c r="E431" s="31" t="s">
        <v>627</v>
      </c>
      <c r="F431" s="31" t="s">
        <v>640</v>
      </c>
      <c r="G431" s="31" t="s">
        <v>545</v>
      </c>
      <c r="K431" s="2" t="str">
        <f t="shared" si="6"/>
        <v>fma</v>
      </c>
      <c r="L431" cm="1">
        <f t="array" ref="L4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1" t="str">
        <f>IF(OR(ISNUMBER(SEARCH("imad", Table6[[#This Row],[instruction]])), ISNUMBER(SEARCH("ffma", Table6[[#This Row],[instruction]])), ISNUMBER(SEARCH("fmul", Table6[[#This Row],[instruction]]))), "fma", "")</f>
        <v>fma</v>
      </c>
      <c r="P4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1" t="str">
        <f>IF(OR(ISNUMBER(SEARCH("s2r", Table6[[#This Row],[instruction]])),ISNUMBER(SEARCH("s2ur", Table6[[#This Row],[instruction]]))), "special", "")</f>
        <v/>
      </c>
      <c r="S431" t="str">
        <f>IF(OR(ISNUMBER(SEARCH("stg", Table6[[#This Row],[instruction]])),ISNUMBER(SEARCH("ldg", Table6[[#This Row],[instruction]]))), "global", "")</f>
        <v/>
      </c>
      <c r="T431" t="str">
        <f>IF(OR(ISNUMBER(SEARCH("sts", Table6[[#This Row],[instruction]])),ISNUMBER(SEARCH("lds", Table6[[#This Row],[instruction]]))), "shared", "")</f>
        <v/>
      </c>
      <c r="U431" t="str">
        <f>IF(OR(ISNUMBER(SEARCH("LDC", Table6[[#This Row],[instruction]]))), "ind. const", "")</f>
        <v/>
      </c>
      <c r="V4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Row],[s5]]))),U431=""), "cmb. const", "")</f>
        <v/>
      </c>
      <c r="Y431">
        <f>IF(Table6[[#This Row],[pipeline]]="fma",Table6[[#This Row],[delay]],0)</f>
        <v>4</v>
      </c>
      <c r="Z431">
        <f>IF(AND(Table6[[#This Row],[pipeline]]="fma",W431="new"),290,0)</f>
        <v>0</v>
      </c>
      <c r="AK431" s="34"/>
    </row>
    <row r="432" spans="1:37" ht="17" x14ac:dyDescent="0.2">
      <c r="A432" s="31">
        <f>IF(Table6[[#This Row],[instruction]]&lt;&gt;"",MAX($A$6:A431)+1," ")</f>
        <v>427</v>
      </c>
      <c r="B432" s="32" t="s">
        <v>485</v>
      </c>
      <c r="C432" t="s">
        <v>70</v>
      </c>
      <c r="D432" s="31" t="s">
        <v>680</v>
      </c>
      <c r="E432" s="31" t="s">
        <v>680</v>
      </c>
      <c r="F432" s="31" t="s">
        <v>640</v>
      </c>
      <c r="G432" s="31" t="s">
        <v>636</v>
      </c>
      <c r="K432" s="2" t="str">
        <f t="shared" si="6"/>
        <v>fma</v>
      </c>
      <c r="L432" cm="1">
        <f t="array" ref="L4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2" t="str">
        <f>IF(OR(ISNUMBER(SEARCH("imad", Table6[[#This Row],[instruction]])), ISNUMBER(SEARCH("ffma", Table6[[#This Row],[instruction]])), ISNUMBER(SEARCH("fmul", Table6[[#This Row],[instruction]]))), "fma", "")</f>
        <v>fma</v>
      </c>
      <c r="P4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2" t="str">
        <f>IF(OR(ISNUMBER(SEARCH("s2r", Table6[[#This Row],[instruction]])),ISNUMBER(SEARCH("s2ur", Table6[[#This Row],[instruction]]))), "special", "")</f>
        <v/>
      </c>
      <c r="S432" t="str">
        <f>IF(OR(ISNUMBER(SEARCH("stg", Table6[[#This Row],[instruction]])),ISNUMBER(SEARCH("ldg", Table6[[#This Row],[instruction]]))), "global", "")</f>
        <v/>
      </c>
      <c r="T432" t="str">
        <f>IF(OR(ISNUMBER(SEARCH("sts", Table6[[#This Row],[instruction]])),ISNUMBER(SEARCH("lds", Table6[[#This Row],[instruction]]))), "shared", "")</f>
        <v/>
      </c>
      <c r="U432" t="str">
        <f>IF(OR(ISNUMBER(SEARCH("LDC", Table6[[#This Row],[instruction]]))), "ind. const", "")</f>
        <v/>
      </c>
      <c r="V4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Row],[s5]]))),U432=""), "cmb. const", "")</f>
        <v/>
      </c>
      <c r="Y432">
        <f>IF(Table6[[#This Row],[pipeline]]="fma",Table6[[#This Row],[delay]],0)</f>
        <v>4</v>
      </c>
      <c r="Z432">
        <f>IF(AND(Table6[[#This Row],[pipeline]]="fma",W432="new"),290,0)</f>
        <v>0</v>
      </c>
      <c r="AK432" s="34"/>
    </row>
    <row r="433" spans="1:37" ht="17" x14ac:dyDescent="0.2">
      <c r="A433" s="31">
        <f>IF(Table6[[#This Row],[instruction]]&lt;&gt;"",MAX($A$6:A432)+1," ")</f>
        <v>428</v>
      </c>
      <c r="B433" s="32" t="s">
        <v>485</v>
      </c>
      <c r="C433" t="s">
        <v>70</v>
      </c>
      <c r="D433" s="31" t="s">
        <v>652</v>
      </c>
      <c r="E433" s="31" t="s">
        <v>689</v>
      </c>
      <c r="F433" s="31" t="s">
        <v>652</v>
      </c>
      <c r="G433" s="31" t="s">
        <v>690</v>
      </c>
      <c r="K433" s="2" t="str">
        <f t="shared" si="6"/>
        <v>fma</v>
      </c>
      <c r="L433" cm="1">
        <f t="array" ref="L4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3" t="str">
        <f>IF(OR(ISNUMBER(SEARCH("imad", Table6[[#This Row],[instruction]])), ISNUMBER(SEARCH("ffma", Table6[[#This Row],[instruction]])), ISNUMBER(SEARCH("fmul", Table6[[#This Row],[instruction]]))), "fma", "")</f>
        <v>fma</v>
      </c>
      <c r="P4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3" t="str">
        <f>IF(OR(ISNUMBER(SEARCH("s2r", Table6[[#This Row],[instruction]])),ISNUMBER(SEARCH("s2ur", Table6[[#This Row],[instruction]]))), "special", "")</f>
        <v/>
      </c>
      <c r="S433" t="str">
        <f>IF(OR(ISNUMBER(SEARCH("stg", Table6[[#This Row],[instruction]])),ISNUMBER(SEARCH("ldg", Table6[[#This Row],[instruction]]))), "global", "")</f>
        <v/>
      </c>
      <c r="T433" t="str">
        <f>IF(OR(ISNUMBER(SEARCH("sts", Table6[[#This Row],[instruction]])),ISNUMBER(SEARCH("lds", Table6[[#This Row],[instruction]]))), "shared", "")</f>
        <v/>
      </c>
      <c r="U433" t="str">
        <f>IF(OR(ISNUMBER(SEARCH("LDC", Table6[[#This Row],[instruction]]))), "ind. const", "")</f>
        <v/>
      </c>
      <c r="V4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Row],[s5]]))),U433=""), "cmb. const", "")</f>
        <v/>
      </c>
      <c r="Y433">
        <f>IF(Table6[[#This Row],[pipeline]]="fma",Table6[[#This Row],[delay]],0)</f>
        <v>4</v>
      </c>
      <c r="Z433">
        <f>IF(AND(Table6[[#This Row],[pipeline]]="fma",W433="new"),290,0)</f>
        <v>0</v>
      </c>
      <c r="AK433" s="34"/>
    </row>
    <row r="434" spans="1:37" ht="17" x14ac:dyDescent="0.2">
      <c r="A434" s="31">
        <f>IF(Table6[[#This Row],[instruction]]&lt;&gt;"",MAX($A$6:A433)+1," ")</f>
        <v>429</v>
      </c>
      <c r="B434" s="32" t="s">
        <v>485</v>
      </c>
      <c r="C434" t="s">
        <v>626</v>
      </c>
      <c r="D434" s="31" t="s">
        <v>84</v>
      </c>
      <c r="E434" s="31" t="s">
        <v>702</v>
      </c>
      <c r="K434" s="2" t="str">
        <f t="shared" si="6"/>
        <v>shared</v>
      </c>
      <c r="L434" cm="1">
        <f t="array" ref="L4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34" t="str">
        <f>IF(OR(ISNUMBER(SEARCH("imad", Table6[[#This Row],[instruction]])), ISNUMBER(SEARCH("ffma", Table6[[#This Row],[instruction]])), ISNUMBER(SEARCH("fmul", Table6[[#This Row],[instruction]]))), "fma", "")</f>
        <v/>
      </c>
      <c r="P4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4" t="str">
        <f>IF(OR(ISNUMBER(SEARCH("s2r", Table6[[#This Row],[instruction]])),ISNUMBER(SEARCH("s2ur", Table6[[#This Row],[instruction]]))), "special", "")</f>
        <v/>
      </c>
      <c r="S434" t="str">
        <f>IF(OR(ISNUMBER(SEARCH("stg", Table6[[#This Row],[instruction]])),ISNUMBER(SEARCH("ldg", Table6[[#This Row],[instruction]]))), "global", "")</f>
        <v/>
      </c>
      <c r="T434" t="str">
        <f>IF(OR(ISNUMBER(SEARCH("sts", Table6[[#This Row],[instruction]])),ISNUMBER(SEARCH("lds", Table6[[#This Row],[instruction]]))), "shared", "")</f>
        <v>shared</v>
      </c>
      <c r="U434" t="str">
        <f>IF(OR(ISNUMBER(SEARCH("LDC", Table6[[#This Row],[instruction]]))), "ind. const", "")</f>
        <v/>
      </c>
      <c r="V4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Row],[s5]]))),U434=""), "cmb. const", "")</f>
        <v/>
      </c>
      <c r="Y434">
        <f>IF(Table6[[#This Row],[pipeline]]="fma",Table6[[#This Row],[delay]],0)</f>
        <v>0</v>
      </c>
      <c r="Z434">
        <f>IF(AND(Table6[[#This Row],[pipeline]]="fma",W434="new"),290,0)</f>
        <v>0</v>
      </c>
      <c r="AK434" s="34"/>
    </row>
    <row r="435" spans="1:37" ht="17" x14ac:dyDescent="0.2">
      <c r="A435" s="31">
        <f>IF(Table6[[#This Row],[instruction]]&lt;&gt;"",MAX($A$6:A434)+1," ")</f>
        <v>430</v>
      </c>
      <c r="B435" s="32" t="s">
        <v>485</v>
      </c>
      <c r="C435" t="s">
        <v>626</v>
      </c>
      <c r="D435" s="31" t="s">
        <v>440</v>
      </c>
      <c r="E435" s="31" t="s">
        <v>703</v>
      </c>
      <c r="K435" s="2" t="str">
        <f t="shared" si="6"/>
        <v>shared</v>
      </c>
      <c r="L435" cm="1">
        <f t="array" ref="L4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35" t="str">
        <f>IF(OR(ISNUMBER(SEARCH("imad", Table6[[#This Row],[instruction]])), ISNUMBER(SEARCH("ffma", Table6[[#This Row],[instruction]])), ISNUMBER(SEARCH("fmul", Table6[[#This Row],[instruction]]))), "fma", "")</f>
        <v/>
      </c>
      <c r="P4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5" t="str">
        <f>IF(OR(ISNUMBER(SEARCH("s2r", Table6[[#This Row],[instruction]])),ISNUMBER(SEARCH("s2ur", Table6[[#This Row],[instruction]]))), "special", "")</f>
        <v/>
      </c>
      <c r="S435" t="str">
        <f>IF(OR(ISNUMBER(SEARCH("stg", Table6[[#This Row],[instruction]])),ISNUMBER(SEARCH("ldg", Table6[[#This Row],[instruction]]))), "global", "")</f>
        <v/>
      </c>
      <c r="T435" t="str">
        <f>IF(OR(ISNUMBER(SEARCH("sts", Table6[[#This Row],[instruction]])),ISNUMBER(SEARCH("lds", Table6[[#This Row],[instruction]]))), "shared", "")</f>
        <v>shared</v>
      </c>
      <c r="U435" t="str">
        <f>IF(OR(ISNUMBER(SEARCH("LDC", Table6[[#This Row],[instruction]]))), "ind. const", "")</f>
        <v/>
      </c>
      <c r="V4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Row],[s5]]))),U435=""), "cmb. const", "")</f>
        <v/>
      </c>
      <c r="Y435">
        <f>IF(Table6[[#This Row],[pipeline]]="fma",Table6[[#This Row],[delay]],0)</f>
        <v>0</v>
      </c>
      <c r="Z435">
        <f>IF(AND(Table6[[#This Row],[pipeline]]="fma",W435="new"),290,0)</f>
        <v>0</v>
      </c>
      <c r="AK435" s="34"/>
    </row>
    <row r="436" spans="1:37" ht="17" x14ac:dyDescent="0.2">
      <c r="A436" s="31">
        <f>IF(Table6[[#This Row],[instruction]]&lt;&gt;"",MAX($A$6:A435)+1," ")</f>
        <v>431</v>
      </c>
      <c r="B436" s="32" t="s">
        <v>485</v>
      </c>
      <c r="C436" t="s">
        <v>70</v>
      </c>
      <c r="D436" s="31" t="s">
        <v>608</v>
      </c>
      <c r="E436" s="31" t="s">
        <v>678</v>
      </c>
      <c r="F436" s="31" t="s">
        <v>633</v>
      </c>
      <c r="G436" s="31" t="s">
        <v>683</v>
      </c>
      <c r="K436" s="2" t="str">
        <f t="shared" si="6"/>
        <v>fma</v>
      </c>
      <c r="L436" cm="1">
        <f t="array" ref="L4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6" t="str">
        <f>IF(OR(ISNUMBER(SEARCH("imad", Table6[[#This Row],[instruction]])), ISNUMBER(SEARCH("ffma", Table6[[#This Row],[instruction]])), ISNUMBER(SEARCH("fmul", Table6[[#This Row],[instruction]]))), "fma", "")</f>
        <v>fma</v>
      </c>
      <c r="P4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6" t="str">
        <f>IF(OR(ISNUMBER(SEARCH("s2r", Table6[[#This Row],[instruction]])),ISNUMBER(SEARCH("s2ur", Table6[[#This Row],[instruction]]))), "special", "")</f>
        <v/>
      </c>
      <c r="S436" t="str">
        <f>IF(OR(ISNUMBER(SEARCH("stg", Table6[[#This Row],[instruction]])),ISNUMBER(SEARCH("ldg", Table6[[#This Row],[instruction]]))), "global", "")</f>
        <v/>
      </c>
      <c r="T436" t="str">
        <f>IF(OR(ISNUMBER(SEARCH("sts", Table6[[#This Row],[instruction]])),ISNUMBER(SEARCH("lds", Table6[[#This Row],[instruction]]))), "shared", "")</f>
        <v/>
      </c>
      <c r="U436" t="str">
        <f>IF(OR(ISNUMBER(SEARCH("LDC", Table6[[#This Row],[instruction]]))), "ind. const", "")</f>
        <v/>
      </c>
      <c r="V4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Row],[s5]]))),U436=""), "cmb. const", "")</f>
        <v/>
      </c>
      <c r="Y436">
        <f>IF(Table6[[#This Row],[pipeline]]="fma",Table6[[#This Row],[delay]],0)</f>
        <v>4</v>
      </c>
      <c r="Z436">
        <f>IF(AND(Table6[[#This Row],[pipeline]]="fma",W436="new"),290,0)</f>
        <v>0</v>
      </c>
      <c r="AK436" s="34"/>
    </row>
    <row r="437" spans="1:37" ht="17" x14ac:dyDescent="0.2">
      <c r="A437" s="31">
        <f>IF(Table6[[#This Row],[instruction]]&lt;&gt;"",MAX($A$6:A436)+1," ")</f>
        <v>432</v>
      </c>
      <c r="B437" s="32" t="s">
        <v>485</v>
      </c>
      <c r="C437" t="s">
        <v>70</v>
      </c>
      <c r="D437" s="31" t="s">
        <v>613</v>
      </c>
      <c r="E437" s="31" t="s">
        <v>678</v>
      </c>
      <c r="F437" s="31" t="s">
        <v>682</v>
      </c>
      <c r="G437" s="31" t="s">
        <v>684</v>
      </c>
      <c r="K437" s="2" t="str">
        <f t="shared" si="6"/>
        <v>fma</v>
      </c>
      <c r="L437" cm="1">
        <f t="array" ref="L4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7" t="str">
        <f>IF(OR(ISNUMBER(SEARCH("imad", Table6[[#This Row],[instruction]])), ISNUMBER(SEARCH("ffma", Table6[[#This Row],[instruction]])), ISNUMBER(SEARCH("fmul", Table6[[#This Row],[instruction]]))), "fma", "")</f>
        <v>fma</v>
      </c>
      <c r="P4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7" t="str">
        <f>IF(OR(ISNUMBER(SEARCH("s2r", Table6[[#This Row],[instruction]])),ISNUMBER(SEARCH("s2ur", Table6[[#This Row],[instruction]]))), "special", "")</f>
        <v/>
      </c>
      <c r="S437" t="str">
        <f>IF(OR(ISNUMBER(SEARCH("stg", Table6[[#This Row],[instruction]])),ISNUMBER(SEARCH("ldg", Table6[[#This Row],[instruction]]))), "global", "")</f>
        <v/>
      </c>
      <c r="T437" t="str">
        <f>IF(OR(ISNUMBER(SEARCH("sts", Table6[[#This Row],[instruction]])),ISNUMBER(SEARCH("lds", Table6[[#This Row],[instruction]]))), "shared", "")</f>
        <v/>
      </c>
      <c r="U437" t="str">
        <f>IF(OR(ISNUMBER(SEARCH("LDC", Table6[[#This Row],[instruction]]))), "ind. const", "")</f>
        <v/>
      </c>
      <c r="V4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Row],[s5]]))),U437=""), "cmb. const", "")</f>
        <v/>
      </c>
      <c r="Y437">
        <f>IF(Table6[[#This Row],[pipeline]]="fma",Table6[[#This Row],[delay]],0)</f>
        <v>4</v>
      </c>
      <c r="Z437">
        <f>IF(AND(Table6[[#This Row],[pipeline]]="fma",W437="new"),290,0)</f>
        <v>0</v>
      </c>
      <c r="AK437" s="34"/>
    </row>
    <row r="438" spans="1:37" ht="17" x14ac:dyDescent="0.2">
      <c r="A438" s="31">
        <f>IF(Table6[[#This Row],[instruction]]&lt;&gt;"",MAX($A$6:A437)+1," ")</f>
        <v>433</v>
      </c>
      <c r="B438" s="32" t="s">
        <v>485</v>
      </c>
      <c r="C438" t="s">
        <v>70</v>
      </c>
      <c r="D438" s="31" t="s">
        <v>665</v>
      </c>
      <c r="E438" s="31" t="s">
        <v>80</v>
      </c>
      <c r="F438" s="31" t="s">
        <v>654</v>
      </c>
      <c r="G438" s="31" t="s">
        <v>677</v>
      </c>
      <c r="K438" s="2" t="str">
        <f t="shared" si="6"/>
        <v>fma</v>
      </c>
      <c r="L438" cm="1">
        <f t="array" ref="L4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8" t="str">
        <f>IF(OR(ISNUMBER(SEARCH("imad", Table6[[#This Row],[instruction]])), ISNUMBER(SEARCH("ffma", Table6[[#This Row],[instruction]])), ISNUMBER(SEARCH("fmul", Table6[[#This Row],[instruction]]))), "fma", "")</f>
        <v>fma</v>
      </c>
      <c r="P4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8" t="str">
        <f>IF(OR(ISNUMBER(SEARCH("s2r", Table6[[#This Row],[instruction]])),ISNUMBER(SEARCH("s2ur", Table6[[#This Row],[instruction]]))), "special", "")</f>
        <v/>
      </c>
      <c r="S438" t="str">
        <f>IF(OR(ISNUMBER(SEARCH("stg", Table6[[#This Row],[instruction]])),ISNUMBER(SEARCH("ldg", Table6[[#This Row],[instruction]]))), "global", "")</f>
        <v/>
      </c>
      <c r="T438" t="str">
        <f>IF(OR(ISNUMBER(SEARCH("sts", Table6[[#This Row],[instruction]])),ISNUMBER(SEARCH("lds", Table6[[#This Row],[instruction]]))), "shared", "")</f>
        <v/>
      </c>
      <c r="U438" t="str">
        <f>IF(OR(ISNUMBER(SEARCH("LDC", Table6[[#This Row],[instruction]]))), "ind. const", "")</f>
        <v/>
      </c>
      <c r="V4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Row],[s5]]))),U438=""), "cmb. const", "")</f>
        <v/>
      </c>
      <c r="Y438">
        <f>IF(Table6[[#This Row],[pipeline]]="fma",Table6[[#This Row],[delay]],0)</f>
        <v>4</v>
      </c>
      <c r="Z438">
        <f>IF(AND(Table6[[#This Row],[pipeline]]="fma",W438="new"),290,0)</f>
        <v>0</v>
      </c>
      <c r="AK438" s="34"/>
    </row>
    <row r="439" spans="1:37" ht="17" x14ac:dyDescent="0.2">
      <c r="A439" s="31">
        <f>IF(Table6[[#This Row],[instruction]]&lt;&gt;"",MAX($A$6:A438)+1," ")</f>
        <v>434</v>
      </c>
      <c r="B439" s="32" t="s">
        <v>485</v>
      </c>
      <c r="C439" t="s">
        <v>70</v>
      </c>
      <c r="D439" s="31" t="s">
        <v>649</v>
      </c>
      <c r="E439" s="31" t="s">
        <v>80</v>
      </c>
      <c r="F439" s="31" t="s">
        <v>567</v>
      </c>
      <c r="G439" s="31" t="s">
        <v>679</v>
      </c>
      <c r="K439" s="2" t="str">
        <f t="shared" si="6"/>
        <v>fma</v>
      </c>
      <c r="L439" cm="1">
        <f t="array" ref="L4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39" t="str">
        <f>IF(OR(ISNUMBER(SEARCH("imad", Table6[[#This Row],[instruction]])), ISNUMBER(SEARCH("ffma", Table6[[#This Row],[instruction]])), ISNUMBER(SEARCH("fmul", Table6[[#This Row],[instruction]]))), "fma", "")</f>
        <v>fma</v>
      </c>
      <c r="P4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39" t="str">
        <f>IF(OR(ISNUMBER(SEARCH("s2r", Table6[[#This Row],[instruction]])),ISNUMBER(SEARCH("s2ur", Table6[[#This Row],[instruction]]))), "special", "")</f>
        <v/>
      </c>
      <c r="S439" t="str">
        <f>IF(OR(ISNUMBER(SEARCH("stg", Table6[[#This Row],[instruction]])),ISNUMBER(SEARCH("ldg", Table6[[#This Row],[instruction]]))), "global", "")</f>
        <v/>
      </c>
      <c r="T439" t="str">
        <f>IF(OR(ISNUMBER(SEARCH("sts", Table6[[#This Row],[instruction]])),ISNUMBER(SEARCH("lds", Table6[[#This Row],[instruction]]))), "shared", "")</f>
        <v/>
      </c>
      <c r="U439" t="str">
        <f>IF(OR(ISNUMBER(SEARCH("LDC", Table6[[#This Row],[instruction]]))), "ind. const", "")</f>
        <v/>
      </c>
      <c r="V4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Row],[s5]]))),U439=""), "cmb. const", "")</f>
        <v/>
      </c>
      <c r="Y439">
        <f>IF(Table6[[#This Row],[pipeline]]="fma",Table6[[#This Row],[delay]],0)</f>
        <v>4</v>
      </c>
      <c r="Z439">
        <f>IF(AND(Table6[[#This Row],[pipeline]]="fma",W439="new"),290,0)</f>
        <v>0</v>
      </c>
      <c r="AK439" s="34"/>
    </row>
    <row r="440" spans="1:37" ht="17" x14ac:dyDescent="0.2">
      <c r="A440" s="31">
        <f>IF(Table6[[#This Row],[instruction]]&lt;&gt;"",MAX($A$6:A439)+1," ")</f>
        <v>435</v>
      </c>
      <c r="B440" s="32" t="s">
        <v>485</v>
      </c>
      <c r="C440" t="s">
        <v>70</v>
      </c>
      <c r="D440" s="31" t="s">
        <v>648</v>
      </c>
      <c r="E440" s="31" t="s">
        <v>80</v>
      </c>
      <c r="F440" s="31" t="s">
        <v>651</v>
      </c>
      <c r="G440" s="31" t="s">
        <v>681</v>
      </c>
      <c r="K440" s="2" t="str">
        <f t="shared" si="6"/>
        <v>fma</v>
      </c>
      <c r="L440" cm="1">
        <f t="array" ref="L4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0" t="str">
        <f>IF(OR(ISNUMBER(SEARCH("imad", Table6[[#This Row],[instruction]])), ISNUMBER(SEARCH("ffma", Table6[[#This Row],[instruction]])), ISNUMBER(SEARCH("fmul", Table6[[#This Row],[instruction]]))), "fma", "")</f>
        <v>fma</v>
      </c>
      <c r="P4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0" t="str">
        <f>IF(OR(ISNUMBER(SEARCH("s2r", Table6[[#This Row],[instruction]])),ISNUMBER(SEARCH("s2ur", Table6[[#This Row],[instruction]]))), "special", "")</f>
        <v/>
      </c>
      <c r="S440" t="str">
        <f>IF(OR(ISNUMBER(SEARCH("stg", Table6[[#This Row],[instruction]])),ISNUMBER(SEARCH("ldg", Table6[[#This Row],[instruction]]))), "global", "")</f>
        <v/>
      </c>
      <c r="T440" t="str">
        <f>IF(OR(ISNUMBER(SEARCH("sts", Table6[[#This Row],[instruction]])),ISNUMBER(SEARCH("lds", Table6[[#This Row],[instruction]]))), "shared", "")</f>
        <v/>
      </c>
      <c r="U440" t="str">
        <f>IF(OR(ISNUMBER(SEARCH("LDC", Table6[[#This Row],[instruction]]))), "ind. const", "")</f>
        <v/>
      </c>
      <c r="V4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Row],[s5]]))),U440=""), "cmb. const", "")</f>
        <v/>
      </c>
      <c r="Y440">
        <f>IF(Table6[[#This Row],[pipeline]]="fma",Table6[[#This Row],[delay]],0)</f>
        <v>4</v>
      </c>
      <c r="Z440">
        <f>IF(AND(Table6[[#This Row],[pipeline]]="fma",W440="new"),290,0)</f>
        <v>0</v>
      </c>
      <c r="AK440" s="34"/>
    </row>
    <row r="441" spans="1:37" ht="17" x14ac:dyDescent="0.2">
      <c r="A441" s="31">
        <f>IF(Table6[[#This Row],[instruction]]&lt;&gt;"",MAX($A$6:A440)+1," ")</f>
        <v>436</v>
      </c>
      <c r="B441" s="32" t="s">
        <v>485</v>
      </c>
      <c r="C441" t="s">
        <v>70</v>
      </c>
      <c r="D441" s="31" t="s">
        <v>600</v>
      </c>
      <c r="E441" s="31" t="s">
        <v>588</v>
      </c>
      <c r="F441" s="31" t="s">
        <v>654</v>
      </c>
      <c r="G441" s="31" t="s">
        <v>668</v>
      </c>
      <c r="K441" s="2" t="str">
        <f t="shared" si="6"/>
        <v>fma</v>
      </c>
      <c r="L441" cm="1">
        <f t="array" ref="L4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1" t="str">
        <f>IF(OR(ISNUMBER(SEARCH("imad", Table6[[#This Row],[instruction]])), ISNUMBER(SEARCH("ffma", Table6[[#This Row],[instruction]])), ISNUMBER(SEARCH("fmul", Table6[[#This Row],[instruction]]))), "fma", "")</f>
        <v>fma</v>
      </c>
      <c r="P4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1" t="str">
        <f>IF(OR(ISNUMBER(SEARCH("s2r", Table6[[#This Row],[instruction]])),ISNUMBER(SEARCH("s2ur", Table6[[#This Row],[instruction]]))), "special", "")</f>
        <v/>
      </c>
      <c r="S441" t="str">
        <f>IF(OR(ISNUMBER(SEARCH("stg", Table6[[#This Row],[instruction]])),ISNUMBER(SEARCH("ldg", Table6[[#This Row],[instruction]]))), "global", "")</f>
        <v/>
      </c>
      <c r="T441" t="str">
        <f>IF(OR(ISNUMBER(SEARCH("sts", Table6[[#This Row],[instruction]])),ISNUMBER(SEARCH("lds", Table6[[#This Row],[instruction]]))), "shared", "")</f>
        <v/>
      </c>
      <c r="U441" t="str">
        <f>IF(OR(ISNUMBER(SEARCH("LDC", Table6[[#This Row],[instruction]]))), "ind. const", "")</f>
        <v/>
      </c>
      <c r="V4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Row],[s5]]))),U441=""), "cmb. const", "")</f>
        <v/>
      </c>
      <c r="Y441">
        <f>IF(Table6[[#This Row],[pipeline]]="fma",Table6[[#This Row],[delay]],0)</f>
        <v>4</v>
      </c>
      <c r="Z441">
        <f>IF(AND(Table6[[#This Row],[pipeline]]="fma",W441="new"),290,0)</f>
        <v>0</v>
      </c>
      <c r="AK441" s="34"/>
    </row>
    <row r="442" spans="1:37" ht="17" x14ac:dyDescent="0.2">
      <c r="A442" s="31">
        <f>IF(Table6[[#This Row],[instruction]]&lt;&gt;"",MAX($A$6:A441)+1," ")</f>
        <v>437</v>
      </c>
      <c r="B442" s="32" t="s">
        <v>485</v>
      </c>
      <c r="C442" t="s">
        <v>70</v>
      </c>
      <c r="D442" s="31" t="s">
        <v>612</v>
      </c>
      <c r="E442" s="31" t="s">
        <v>614</v>
      </c>
      <c r="F442" s="31" t="s">
        <v>654</v>
      </c>
      <c r="G442" s="31" t="s">
        <v>669</v>
      </c>
      <c r="K442" s="2" t="str">
        <f t="shared" si="6"/>
        <v>fma</v>
      </c>
      <c r="L442" cm="1">
        <f t="array" ref="L4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2" t="str">
        <f>IF(OR(ISNUMBER(SEARCH("imad", Table6[[#This Row],[instruction]])), ISNUMBER(SEARCH("ffma", Table6[[#This Row],[instruction]])), ISNUMBER(SEARCH("fmul", Table6[[#This Row],[instruction]]))), "fma", "")</f>
        <v>fma</v>
      </c>
      <c r="P4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2" t="str">
        <f>IF(OR(ISNUMBER(SEARCH("s2r", Table6[[#This Row],[instruction]])),ISNUMBER(SEARCH("s2ur", Table6[[#This Row],[instruction]]))), "special", "")</f>
        <v/>
      </c>
      <c r="S442" t="str">
        <f>IF(OR(ISNUMBER(SEARCH("stg", Table6[[#This Row],[instruction]])),ISNUMBER(SEARCH("ldg", Table6[[#This Row],[instruction]]))), "global", "")</f>
        <v/>
      </c>
      <c r="T442" t="str">
        <f>IF(OR(ISNUMBER(SEARCH("sts", Table6[[#This Row],[instruction]])),ISNUMBER(SEARCH("lds", Table6[[#This Row],[instruction]]))), "shared", "")</f>
        <v/>
      </c>
      <c r="U442" t="str">
        <f>IF(OR(ISNUMBER(SEARCH("LDC", Table6[[#This Row],[instruction]]))), "ind. const", "")</f>
        <v/>
      </c>
      <c r="V4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Row],[s5]]))),U442=""), "cmb. const", "")</f>
        <v/>
      </c>
      <c r="Y442">
        <f>IF(Table6[[#This Row],[pipeline]]="fma",Table6[[#This Row],[delay]],0)</f>
        <v>4</v>
      </c>
      <c r="Z442">
        <f>IF(AND(Table6[[#This Row],[pipeline]]="fma",W442="new"),290,0)</f>
        <v>0</v>
      </c>
      <c r="AK442" s="34"/>
    </row>
    <row r="443" spans="1:37" ht="17" x14ac:dyDescent="0.2">
      <c r="A443" s="31">
        <f>IF(Table6[[#This Row],[instruction]]&lt;&gt;"",MAX($A$6:A442)+1," ")</f>
        <v>438</v>
      </c>
      <c r="B443" s="32" t="s">
        <v>485</v>
      </c>
      <c r="C443" t="s">
        <v>70</v>
      </c>
      <c r="D443" s="31" t="s">
        <v>609</v>
      </c>
      <c r="E443" s="31" t="s">
        <v>614</v>
      </c>
      <c r="F443" s="31" t="s">
        <v>567</v>
      </c>
      <c r="G443" s="31" t="s">
        <v>670</v>
      </c>
      <c r="K443" s="2" t="str">
        <f t="shared" si="6"/>
        <v>fma</v>
      </c>
      <c r="L443" cm="1">
        <f t="array" ref="L4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3" t="str">
        <f>IF(OR(ISNUMBER(SEARCH("imad", Table6[[#This Row],[instruction]])), ISNUMBER(SEARCH("ffma", Table6[[#This Row],[instruction]])), ISNUMBER(SEARCH("fmul", Table6[[#This Row],[instruction]]))), "fma", "")</f>
        <v>fma</v>
      </c>
      <c r="P4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3" t="str">
        <f>IF(OR(ISNUMBER(SEARCH("s2r", Table6[[#This Row],[instruction]])),ISNUMBER(SEARCH("s2ur", Table6[[#This Row],[instruction]]))), "special", "")</f>
        <v/>
      </c>
      <c r="S443" t="str">
        <f>IF(OR(ISNUMBER(SEARCH("stg", Table6[[#This Row],[instruction]])),ISNUMBER(SEARCH("ldg", Table6[[#This Row],[instruction]]))), "global", "")</f>
        <v/>
      </c>
      <c r="T443" t="str">
        <f>IF(OR(ISNUMBER(SEARCH("sts", Table6[[#This Row],[instruction]])),ISNUMBER(SEARCH("lds", Table6[[#This Row],[instruction]]))), "shared", "")</f>
        <v/>
      </c>
      <c r="U443" t="str">
        <f>IF(OR(ISNUMBER(SEARCH("LDC", Table6[[#This Row],[instruction]]))), "ind. const", "")</f>
        <v/>
      </c>
      <c r="V4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Row],[s5]]))),U443=""), "cmb. const", "")</f>
        <v/>
      </c>
      <c r="Y443">
        <f>IF(Table6[[#This Row],[pipeline]]="fma",Table6[[#This Row],[delay]],0)</f>
        <v>4</v>
      </c>
      <c r="Z443">
        <f>IF(AND(Table6[[#This Row],[pipeline]]="fma",W443="new"),290,0)</f>
        <v>0</v>
      </c>
      <c r="AK443" s="34"/>
    </row>
    <row r="444" spans="1:37" ht="17" x14ac:dyDescent="0.2">
      <c r="A444" s="31">
        <f>IF(Table6[[#This Row],[instruction]]&lt;&gt;"",MAX($A$6:A443)+1," ")</f>
        <v>439</v>
      </c>
      <c r="B444" s="32" t="s">
        <v>485</v>
      </c>
      <c r="C444" t="s">
        <v>70</v>
      </c>
      <c r="D444" s="31" t="s">
        <v>671</v>
      </c>
      <c r="E444" s="31" t="s">
        <v>614</v>
      </c>
      <c r="F444" s="31" t="s">
        <v>651</v>
      </c>
      <c r="G444" s="31" t="s">
        <v>672</v>
      </c>
      <c r="K444" s="2" t="str">
        <f t="shared" si="6"/>
        <v>fma</v>
      </c>
      <c r="L444" cm="1">
        <f t="array" ref="L4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4" t="str">
        <f>IF(OR(ISNUMBER(SEARCH("imad", Table6[[#This Row],[instruction]])), ISNUMBER(SEARCH("ffma", Table6[[#This Row],[instruction]])), ISNUMBER(SEARCH("fmul", Table6[[#This Row],[instruction]]))), "fma", "")</f>
        <v>fma</v>
      </c>
      <c r="P4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4" t="str">
        <f>IF(OR(ISNUMBER(SEARCH("s2r", Table6[[#This Row],[instruction]])),ISNUMBER(SEARCH("s2ur", Table6[[#This Row],[instruction]]))), "special", "")</f>
        <v/>
      </c>
      <c r="S444" t="str">
        <f>IF(OR(ISNUMBER(SEARCH("stg", Table6[[#This Row],[instruction]])),ISNUMBER(SEARCH("ldg", Table6[[#This Row],[instruction]]))), "global", "")</f>
        <v/>
      </c>
      <c r="T444" t="str">
        <f>IF(OR(ISNUMBER(SEARCH("sts", Table6[[#This Row],[instruction]])),ISNUMBER(SEARCH("lds", Table6[[#This Row],[instruction]]))), "shared", "")</f>
        <v/>
      </c>
      <c r="U444" t="str">
        <f>IF(OR(ISNUMBER(SEARCH("LDC", Table6[[#This Row],[instruction]]))), "ind. const", "")</f>
        <v/>
      </c>
      <c r="V4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Row],[s5]]))),U444=""), "cmb. const", "")</f>
        <v/>
      </c>
      <c r="Y444">
        <f>IF(Table6[[#This Row],[pipeline]]="fma",Table6[[#This Row],[delay]],0)</f>
        <v>4</v>
      </c>
      <c r="Z444">
        <f>IF(AND(Table6[[#This Row],[pipeline]]="fma",W444="new"),290,0)</f>
        <v>0</v>
      </c>
      <c r="AK444" s="34"/>
    </row>
    <row r="445" spans="1:37" ht="17" x14ac:dyDescent="0.2">
      <c r="A445" s="31">
        <f>IF(Table6[[#This Row],[instruction]]&lt;&gt;"",MAX($A$6:A444)+1," ")</f>
        <v>440</v>
      </c>
      <c r="B445" s="32" t="s">
        <v>485</v>
      </c>
      <c r="C445" t="s">
        <v>70</v>
      </c>
      <c r="D445" s="31" t="s">
        <v>605</v>
      </c>
      <c r="E445" s="31" t="s">
        <v>678</v>
      </c>
      <c r="F445" s="31" t="s">
        <v>640</v>
      </c>
      <c r="G445" s="31" t="s">
        <v>685</v>
      </c>
      <c r="K445" s="2" t="str">
        <f t="shared" si="6"/>
        <v>fma</v>
      </c>
      <c r="L445" cm="1">
        <f t="array" ref="L4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5" t="str">
        <f>IF(OR(ISNUMBER(SEARCH("imad", Table6[[#This Row],[instruction]])), ISNUMBER(SEARCH("ffma", Table6[[#This Row],[instruction]])), ISNUMBER(SEARCH("fmul", Table6[[#This Row],[instruction]]))), "fma", "")</f>
        <v>fma</v>
      </c>
      <c r="P4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5" t="str">
        <f>IF(OR(ISNUMBER(SEARCH("s2r", Table6[[#This Row],[instruction]])),ISNUMBER(SEARCH("s2ur", Table6[[#This Row],[instruction]]))), "special", "")</f>
        <v/>
      </c>
      <c r="S445" t="str">
        <f>IF(OR(ISNUMBER(SEARCH("stg", Table6[[#This Row],[instruction]])),ISNUMBER(SEARCH("ldg", Table6[[#This Row],[instruction]]))), "global", "")</f>
        <v/>
      </c>
      <c r="T445" t="str">
        <f>IF(OR(ISNUMBER(SEARCH("sts", Table6[[#This Row],[instruction]])),ISNUMBER(SEARCH("lds", Table6[[#This Row],[instruction]]))), "shared", "")</f>
        <v/>
      </c>
      <c r="U445" t="str">
        <f>IF(OR(ISNUMBER(SEARCH("LDC", Table6[[#This Row],[instruction]]))), "ind. const", "")</f>
        <v/>
      </c>
      <c r="V4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Row],[s5]]))),U445=""), "cmb. const", "")</f>
        <v/>
      </c>
      <c r="Y445">
        <f>IF(Table6[[#This Row],[pipeline]]="fma",Table6[[#This Row],[delay]],0)</f>
        <v>4</v>
      </c>
      <c r="Z445">
        <f>IF(AND(Table6[[#This Row],[pipeline]]="fma",W445="new"),290,0)</f>
        <v>0</v>
      </c>
      <c r="AK445" s="34"/>
    </row>
    <row r="446" spans="1:37" ht="17" x14ac:dyDescent="0.2">
      <c r="A446" s="31">
        <f>IF(Table6[[#This Row],[instruction]]&lt;&gt;"",MAX($A$6:A445)+1," ")</f>
        <v>441</v>
      </c>
      <c r="B446" s="32" t="s">
        <v>485</v>
      </c>
      <c r="C446" t="s">
        <v>70</v>
      </c>
      <c r="D446" s="31" t="s">
        <v>597</v>
      </c>
      <c r="E446" s="31" t="s">
        <v>689</v>
      </c>
      <c r="F446" s="31" t="s">
        <v>633</v>
      </c>
      <c r="G446" s="31" t="s">
        <v>686</v>
      </c>
      <c r="K446" s="2" t="str">
        <f t="shared" si="6"/>
        <v>fma</v>
      </c>
      <c r="L446" cm="1">
        <f t="array" ref="L4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6" t="str">
        <f>IF(OR(ISNUMBER(SEARCH("imad", Table6[[#This Row],[instruction]])), ISNUMBER(SEARCH("ffma", Table6[[#This Row],[instruction]])), ISNUMBER(SEARCH("fmul", Table6[[#This Row],[instruction]]))), "fma", "")</f>
        <v>fma</v>
      </c>
      <c r="P4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6" t="str">
        <f>IF(OR(ISNUMBER(SEARCH("s2r", Table6[[#This Row],[instruction]])),ISNUMBER(SEARCH("s2ur", Table6[[#This Row],[instruction]]))), "special", "")</f>
        <v/>
      </c>
      <c r="S446" t="str">
        <f>IF(OR(ISNUMBER(SEARCH("stg", Table6[[#This Row],[instruction]])),ISNUMBER(SEARCH("ldg", Table6[[#This Row],[instruction]]))), "global", "")</f>
        <v/>
      </c>
      <c r="T446" t="str">
        <f>IF(OR(ISNUMBER(SEARCH("sts", Table6[[#This Row],[instruction]])),ISNUMBER(SEARCH("lds", Table6[[#This Row],[instruction]]))), "shared", "")</f>
        <v/>
      </c>
      <c r="U446" t="str">
        <f>IF(OR(ISNUMBER(SEARCH("LDC", Table6[[#This Row],[instruction]]))), "ind. const", "")</f>
        <v/>
      </c>
      <c r="V4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Row],[s5]]))),U446=""), "cmb. const", "")</f>
        <v/>
      </c>
      <c r="Y446">
        <f>IF(Table6[[#This Row],[pipeline]]="fma",Table6[[#This Row],[delay]],0)</f>
        <v>4</v>
      </c>
      <c r="Z446">
        <f>IF(AND(Table6[[#This Row],[pipeline]]="fma",W446="new"),290,0)</f>
        <v>0</v>
      </c>
      <c r="AK446" s="34"/>
    </row>
    <row r="447" spans="1:37" ht="17" x14ac:dyDescent="0.2">
      <c r="A447" s="31">
        <f>IF(Table6[[#This Row],[instruction]]&lt;&gt;"",MAX($A$6:A446)+1," ")</f>
        <v>442</v>
      </c>
      <c r="B447" s="32" t="s">
        <v>485</v>
      </c>
      <c r="C447" t="s">
        <v>70</v>
      </c>
      <c r="D447" s="31" t="s">
        <v>604</v>
      </c>
      <c r="E447" s="31" t="s">
        <v>689</v>
      </c>
      <c r="F447" s="31" t="s">
        <v>682</v>
      </c>
      <c r="G447" s="31" t="s">
        <v>687</v>
      </c>
      <c r="K447" s="2" t="str">
        <f t="shared" si="6"/>
        <v>fma</v>
      </c>
      <c r="L447" cm="1">
        <f t="array" ref="L4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7" t="str">
        <f>IF(OR(ISNUMBER(SEARCH("imad", Table6[[#This Row],[instruction]])), ISNUMBER(SEARCH("ffma", Table6[[#This Row],[instruction]])), ISNUMBER(SEARCH("fmul", Table6[[#This Row],[instruction]]))), "fma", "")</f>
        <v>fma</v>
      </c>
      <c r="P4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7" t="str">
        <f>IF(OR(ISNUMBER(SEARCH("s2r", Table6[[#This Row],[instruction]])),ISNUMBER(SEARCH("s2ur", Table6[[#This Row],[instruction]]))), "special", "")</f>
        <v/>
      </c>
      <c r="S447" t="str">
        <f>IF(OR(ISNUMBER(SEARCH("stg", Table6[[#This Row],[instruction]])),ISNUMBER(SEARCH("ldg", Table6[[#This Row],[instruction]]))), "global", "")</f>
        <v/>
      </c>
      <c r="T447" t="str">
        <f>IF(OR(ISNUMBER(SEARCH("sts", Table6[[#This Row],[instruction]])),ISNUMBER(SEARCH("lds", Table6[[#This Row],[instruction]]))), "shared", "")</f>
        <v/>
      </c>
      <c r="U447" t="str">
        <f>IF(OR(ISNUMBER(SEARCH("LDC", Table6[[#This Row],[instruction]]))), "ind. const", "")</f>
        <v/>
      </c>
      <c r="V4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Row],[s5]]))),U447=""), "cmb. const", "")</f>
        <v/>
      </c>
      <c r="Y447">
        <f>IF(Table6[[#This Row],[pipeline]]="fma",Table6[[#This Row],[delay]],0)</f>
        <v>4</v>
      </c>
      <c r="Z447">
        <f>IF(AND(Table6[[#This Row],[pipeline]]="fma",W447="new"),290,0)</f>
        <v>0</v>
      </c>
      <c r="AK447" s="34"/>
    </row>
    <row r="448" spans="1:37" ht="17" x14ac:dyDescent="0.2">
      <c r="A448" s="31">
        <f>IF(Table6[[#This Row],[instruction]]&lt;&gt;"",MAX($A$6:A447)+1," ")</f>
        <v>443</v>
      </c>
      <c r="B448" s="32" t="s">
        <v>485</v>
      </c>
      <c r="C448" t="s">
        <v>70</v>
      </c>
      <c r="D448" s="31" t="s">
        <v>598</v>
      </c>
      <c r="E448" s="31" t="s">
        <v>689</v>
      </c>
      <c r="F448" s="31" t="s">
        <v>640</v>
      </c>
      <c r="G448" s="31" t="s">
        <v>688</v>
      </c>
      <c r="K448" s="2" t="str">
        <f t="shared" si="6"/>
        <v>fma</v>
      </c>
      <c r="L448" cm="1">
        <f t="array" ref="L4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8" t="str">
        <f>IF(OR(ISNUMBER(SEARCH("imad", Table6[[#This Row],[instruction]])), ISNUMBER(SEARCH("ffma", Table6[[#This Row],[instruction]])), ISNUMBER(SEARCH("fmul", Table6[[#This Row],[instruction]]))), "fma", "")</f>
        <v>fma</v>
      </c>
      <c r="P4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8" t="str">
        <f>IF(OR(ISNUMBER(SEARCH("s2r", Table6[[#This Row],[instruction]])),ISNUMBER(SEARCH("s2ur", Table6[[#This Row],[instruction]]))), "special", "")</f>
        <v/>
      </c>
      <c r="S448" t="str">
        <f>IF(OR(ISNUMBER(SEARCH("stg", Table6[[#This Row],[instruction]])),ISNUMBER(SEARCH("ldg", Table6[[#This Row],[instruction]]))), "global", "")</f>
        <v/>
      </c>
      <c r="T448" t="str">
        <f>IF(OR(ISNUMBER(SEARCH("sts", Table6[[#This Row],[instruction]])),ISNUMBER(SEARCH("lds", Table6[[#This Row],[instruction]]))), "shared", "")</f>
        <v/>
      </c>
      <c r="U448" t="str">
        <f>IF(OR(ISNUMBER(SEARCH("LDC", Table6[[#This Row],[instruction]]))), "ind. const", "")</f>
        <v/>
      </c>
      <c r="V4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Row],[s5]]))),U448=""), "cmb. const", "")</f>
        <v/>
      </c>
      <c r="Y448">
        <f>IF(Table6[[#This Row],[pipeline]]="fma",Table6[[#This Row],[delay]],0)</f>
        <v>4</v>
      </c>
      <c r="Z448">
        <f>IF(AND(Table6[[#This Row],[pipeline]]="fma",W448="new"),290,0)</f>
        <v>0</v>
      </c>
      <c r="AK448" s="34"/>
    </row>
    <row r="449" spans="1:37" ht="17" x14ac:dyDescent="0.2">
      <c r="A449" s="31">
        <f>IF(Table6[[#This Row],[instruction]]&lt;&gt;"",MAX($A$6:A448)+1," ")</f>
        <v>444</v>
      </c>
      <c r="B449" s="32" t="s">
        <v>485</v>
      </c>
      <c r="C449" t="s">
        <v>70</v>
      </c>
      <c r="D449" s="31" t="s">
        <v>80</v>
      </c>
      <c r="E449" s="31" t="s">
        <v>80</v>
      </c>
      <c r="F449" s="31" t="s">
        <v>637</v>
      </c>
      <c r="G449" s="31" t="s">
        <v>696</v>
      </c>
      <c r="K449" s="2" t="str">
        <f t="shared" si="6"/>
        <v>fma</v>
      </c>
      <c r="L449" cm="1">
        <f t="array" ref="L4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49" t="str">
        <f>IF(OR(ISNUMBER(SEARCH("imad", Table6[[#This Row],[instruction]])), ISNUMBER(SEARCH("ffma", Table6[[#This Row],[instruction]])), ISNUMBER(SEARCH("fmul", Table6[[#This Row],[instruction]]))), "fma", "")</f>
        <v>fma</v>
      </c>
      <c r="P4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49" t="str">
        <f>IF(OR(ISNUMBER(SEARCH("s2r", Table6[[#This Row],[instruction]])),ISNUMBER(SEARCH("s2ur", Table6[[#This Row],[instruction]]))), "special", "")</f>
        <v/>
      </c>
      <c r="S449" t="str">
        <f>IF(OR(ISNUMBER(SEARCH("stg", Table6[[#This Row],[instruction]])),ISNUMBER(SEARCH("ldg", Table6[[#This Row],[instruction]]))), "global", "")</f>
        <v/>
      </c>
      <c r="T449" t="str">
        <f>IF(OR(ISNUMBER(SEARCH("sts", Table6[[#This Row],[instruction]])),ISNUMBER(SEARCH("lds", Table6[[#This Row],[instruction]]))), "shared", "")</f>
        <v/>
      </c>
      <c r="U449" t="str">
        <f>IF(OR(ISNUMBER(SEARCH("LDC", Table6[[#This Row],[instruction]]))), "ind. const", "")</f>
        <v/>
      </c>
      <c r="V4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Row],[s5]]))),U449=""), "cmb. const", "")</f>
        <v/>
      </c>
      <c r="Y449">
        <f>IF(Table6[[#This Row],[pipeline]]="fma",Table6[[#This Row],[delay]],0)</f>
        <v>4</v>
      </c>
      <c r="Z449">
        <f>IF(AND(Table6[[#This Row],[pipeline]]="fma",W449="new"),290,0)</f>
        <v>0</v>
      </c>
      <c r="AK449" s="34"/>
    </row>
    <row r="450" spans="1:37" ht="17" x14ac:dyDescent="0.2">
      <c r="A450" s="31">
        <f>IF(Table6[[#This Row],[instruction]]&lt;&gt;"",MAX($A$6:A449)+1," ")</f>
        <v>445</v>
      </c>
      <c r="B450" s="32" t="s">
        <v>485</v>
      </c>
      <c r="C450" t="s">
        <v>70</v>
      </c>
      <c r="D450" s="31" t="s">
        <v>614</v>
      </c>
      <c r="E450" s="31" t="s">
        <v>614</v>
      </c>
      <c r="F450" s="31" t="s">
        <v>637</v>
      </c>
      <c r="G450" s="31" t="s">
        <v>704</v>
      </c>
      <c r="K450" s="2" t="str">
        <f t="shared" si="6"/>
        <v>fma</v>
      </c>
      <c r="L450" cm="1">
        <f t="array" ref="L4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0" t="str">
        <f>IF(OR(ISNUMBER(SEARCH("imad", Table6[[#This Row],[instruction]])), ISNUMBER(SEARCH("ffma", Table6[[#This Row],[instruction]])), ISNUMBER(SEARCH("fmul", Table6[[#This Row],[instruction]]))), "fma", "")</f>
        <v>fma</v>
      </c>
      <c r="P4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0" t="str">
        <f>IF(OR(ISNUMBER(SEARCH("s2r", Table6[[#This Row],[instruction]])),ISNUMBER(SEARCH("s2ur", Table6[[#This Row],[instruction]]))), "special", "")</f>
        <v/>
      </c>
      <c r="S450" t="str">
        <f>IF(OR(ISNUMBER(SEARCH("stg", Table6[[#This Row],[instruction]])),ISNUMBER(SEARCH("ldg", Table6[[#This Row],[instruction]]))), "global", "")</f>
        <v/>
      </c>
      <c r="T450" t="str">
        <f>IF(OR(ISNUMBER(SEARCH("sts", Table6[[#This Row],[instruction]])),ISNUMBER(SEARCH("lds", Table6[[#This Row],[instruction]]))), "shared", "")</f>
        <v/>
      </c>
      <c r="U450" t="str">
        <f>IF(OR(ISNUMBER(SEARCH("LDC", Table6[[#This Row],[instruction]]))), "ind. const", "")</f>
        <v/>
      </c>
      <c r="V4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Row],[s5]]))),U450=""), "cmb. const", "")</f>
        <v/>
      </c>
      <c r="Y450">
        <f>IF(Table6[[#This Row],[pipeline]]="fma",Table6[[#This Row],[delay]],0)</f>
        <v>4</v>
      </c>
      <c r="Z450">
        <f>IF(AND(Table6[[#This Row],[pipeline]]="fma",W450="new"),290,0)</f>
        <v>0</v>
      </c>
      <c r="AK450" s="34"/>
    </row>
    <row r="451" spans="1:37" ht="17" x14ac:dyDescent="0.2">
      <c r="A451" s="31">
        <f>IF(Table6[[#This Row],[instruction]]&lt;&gt;"",MAX($A$6:A450)+1," ")</f>
        <v>446</v>
      </c>
      <c r="B451" s="32" t="s">
        <v>485</v>
      </c>
      <c r="C451" t="s">
        <v>70</v>
      </c>
      <c r="D451" s="31" t="s">
        <v>654</v>
      </c>
      <c r="E451" s="31" t="s">
        <v>577</v>
      </c>
      <c r="F451" s="31" t="s">
        <v>654</v>
      </c>
      <c r="G451" s="31" t="s">
        <v>694</v>
      </c>
      <c r="K451" s="2" t="str">
        <f t="shared" si="6"/>
        <v>fma</v>
      </c>
      <c r="L451" cm="1">
        <f t="array" ref="L4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1" t="str">
        <f>IF(OR(ISNUMBER(SEARCH("imad", Table6[[#This Row],[instruction]])), ISNUMBER(SEARCH("ffma", Table6[[#This Row],[instruction]])), ISNUMBER(SEARCH("fmul", Table6[[#This Row],[instruction]]))), "fma", "")</f>
        <v>fma</v>
      </c>
      <c r="P4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1" t="str">
        <f>IF(OR(ISNUMBER(SEARCH("s2r", Table6[[#This Row],[instruction]])),ISNUMBER(SEARCH("s2ur", Table6[[#This Row],[instruction]]))), "special", "")</f>
        <v/>
      </c>
      <c r="S451" t="str">
        <f>IF(OR(ISNUMBER(SEARCH("stg", Table6[[#This Row],[instruction]])),ISNUMBER(SEARCH("ldg", Table6[[#This Row],[instruction]]))), "global", "")</f>
        <v/>
      </c>
      <c r="T451" t="str">
        <f>IF(OR(ISNUMBER(SEARCH("sts", Table6[[#This Row],[instruction]])),ISNUMBER(SEARCH("lds", Table6[[#This Row],[instruction]]))), "shared", "")</f>
        <v/>
      </c>
      <c r="U451" t="str">
        <f>IF(OR(ISNUMBER(SEARCH("LDC", Table6[[#This Row],[instruction]]))), "ind. const", "")</f>
        <v/>
      </c>
      <c r="V4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Row],[s5]]))),U451=""), "cmb. const", "")</f>
        <v/>
      </c>
      <c r="Y451">
        <f>IF(Table6[[#This Row],[pipeline]]="fma",Table6[[#This Row],[delay]],0)</f>
        <v>4</v>
      </c>
      <c r="Z451">
        <f>IF(AND(Table6[[#This Row],[pipeline]]="fma",W451="new"),290,0)</f>
        <v>0</v>
      </c>
      <c r="AK451" s="34"/>
    </row>
    <row r="452" spans="1:37" ht="17" x14ac:dyDescent="0.2">
      <c r="A452" s="31">
        <f>IF(Table6[[#This Row],[instruction]]&lt;&gt;"",MAX($A$6:A451)+1," ")</f>
        <v>447</v>
      </c>
      <c r="B452" s="32" t="s">
        <v>485</v>
      </c>
      <c r="C452" t="s">
        <v>626</v>
      </c>
      <c r="D452" s="31" t="s">
        <v>627</v>
      </c>
      <c r="E452" s="31" t="s">
        <v>705</v>
      </c>
      <c r="K452" s="2" t="str">
        <f t="shared" si="6"/>
        <v>shared</v>
      </c>
      <c r="L452" cm="1">
        <f t="array" ref="L4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52" t="str">
        <f>IF(OR(ISNUMBER(SEARCH("imad", Table6[[#This Row],[instruction]])), ISNUMBER(SEARCH("ffma", Table6[[#This Row],[instruction]])), ISNUMBER(SEARCH("fmul", Table6[[#This Row],[instruction]]))), "fma", "")</f>
        <v/>
      </c>
      <c r="P4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2" t="str">
        <f>IF(OR(ISNUMBER(SEARCH("s2r", Table6[[#This Row],[instruction]])),ISNUMBER(SEARCH("s2ur", Table6[[#This Row],[instruction]]))), "special", "")</f>
        <v/>
      </c>
      <c r="S452" t="str">
        <f>IF(OR(ISNUMBER(SEARCH("stg", Table6[[#This Row],[instruction]])),ISNUMBER(SEARCH("ldg", Table6[[#This Row],[instruction]]))), "global", "")</f>
        <v/>
      </c>
      <c r="T452" t="str">
        <f>IF(OR(ISNUMBER(SEARCH("sts", Table6[[#This Row],[instruction]])),ISNUMBER(SEARCH("lds", Table6[[#This Row],[instruction]]))), "shared", "")</f>
        <v>shared</v>
      </c>
      <c r="U452" t="str">
        <f>IF(OR(ISNUMBER(SEARCH("LDC", Table6[[#This Row],[instruction]]))), "ind. const", "")</f>
        <v/>
      </c>
      <c r="V4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Row],[s5]]))),U452=""), "cmb. const", "")</f>
        <v/>
      </c>
      <c r="Y452">
        <f>IF(Table6[[#This Row],[pipeline]]="fma",Table6[[#This Row],[delay]],0)</f>
        <v>0</v>
      </c>
      <c r="Z452">
        <f>IF(AND(Table6[[#This Row],[pipeline]]="fma",W452="new"),290,0)</f>
        <v>0</v>
      </c>
      <c r="AK452" s="34"/>
    </row>
    <row r="453" spans="1:37" ht="17" x14ac:dyDescent="0.2">
      <c r="A453" s="31">
        <f>IF(Table6[[#This Row],[instruction]]&lt;&gt;"",MAX($A$6:A452)+1," ")</f>
        <v>448</v>
      </c>
      <c r="B453" s="32" t="s">
        <v>485</v>
      </c>
      <c r="C453" t="s">
        <v>626</v>
      </c>
      <c r="D453" s="31" t="s">
        <v>652</v>
      </c>
      <c r="E453" s="31" t="s">
        <v>706</v>
      </c>
      <c r="K453" s="2" t="str">
        <f t="shared" si="6"/>
        <v>shared</v>
      </c>
      <c r="L453" cm="1">
        <f t="array" ref="L4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453" t="str">
        <f>IF(OR(ISNUMBER(SEARCH("imad", Table6[[#This Row],[instruction]])), ISNUMBER(SEARCH("ffma", Table6[[#This Row],[instruction]])), ISNUMBER(SEARCH("fmul", Table6[[#This Row],[instruction]]))), "fma", "")</f>
        <v/>
      </c>
      <c r="P4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3" t="str">
        <f>IF(OR(ISNUMBER(SEARCH("s2r", Table6[[#This Row],[instruction]])),ISNUMBER(SEARCH("s2ur", Table6[[#This Row],[instruction]]))), "special", "")</f>
        <v/>
      </c>
      <c r="S453" t="str">
        <f>IF(OR(ISNUMBER(SEARCH("stg", Table6[[#This Row],[instruction]])),ISNUMBER(SEARCH("ldg", Table6[[#This Row],[instruction]]))), "global", "")</f>
        <v/>
      </c>
      <c r="T453" t="str">
        <f>IF(OR(ISNUMBER(SEARCH("sts", Table6[[#This Row],[instruction]])),ISNUMBER(SEARCH("lds", Table6[[#This Row],[instruction]]))), "shared", "")</f>
        <v>shared</v>
      </c>
      <c r="U453" t="str">
        <f>IF(OR(ISNUMBER(SEARCH("LDC", Table6[[#This Row],[instruction]]))), "ind. const", "")</f>
        <v/>
      </c>
      <c r="V4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Row],[s5]]))),U453=""), "cmb. const", "")</f>
        <v/>
      </c>
      <c r="Y453">
        <f>IF(Table6[[#This Row],[pipeline]]="fma",Table6[[#This Row],[delay]],0)</f>
        <v>0</v>
      </c>
      <c r="Z453">
        <f>IF(AND(Table6[[#This Row],[pipeline]]="fma",W453="new"),290,0)</f>
        <v>0</v>
      </c>
      <c r="AK453" s="34"/>
    </row>
    <row r="454" spans="1:37" ht="17" x14ac:dyDescent="0.2">
      <c r="A454" s="31">
        <f>IF(Table6[[#This Row],[instruction]]&lt;&gt;"",MAX($A$6:A453)+1," ")</f>
        <v>449</v>
      </c>
      <c r="B454" s="32" t="s">
        <v>485</v>
      </c>
      <c r="C454" t="s">
        <v>449</v>
      </c>
      <c r="D454" s="31" t="s">
        <v>50</v>
      </c>
      <c r="E454" s="31" t="s">
        <v>51</v>
      </c>
      <c r="F454" s="31" t="s">
        <v>606</v>
      </c>
      <c r="G454" s="31" t="s">
        <v>526</v>
      </c>
      <c r="H454" s="31" t="s">
        <v>494</v>
      </c>
      <c r="K454" s="2" t="str">
        <f t="shared" ref="K454:K517" si="7">IF(O454&lt;&gt;"", O454, IF(P454&lt;&gt;"", P454, IF(R454&lt;&gt;"", R454, IF(S454&lt;&gt;"", S454, IF(T454&lt;&gt;"", T454, IF(U454&lt;&gt;"", U454, IF(Q454&lt;&gt;"", Q454, "")))))))</f>
        <v>alu</v>
      </c>
      <c r="L454" cm="1">
        <f t="array" ref="L4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4" t="str">
        <f>IF(OR(ISNUMBER(SEARCH("imad", Table6[[#This Row],[instruction]])), ISNUMBER(SEARCH("ffma", Table6[[#This Row],[instruction]])), ISNUMBER(SEARCH("fmul", Table6[[#This Row],[instruction]]))), "fma", "")</f>
        <v/>
      </c>
      <c r="P4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4" t="str">
        <f>IF(OR(ISNUMBER(SEARCH("s2r", Table6[[#This Row],[instruction]])),ISNUMBER(SEARCH("s2ur", Table6[[#This Row],[instruction]]))), "special", "")</f>
        <v/>
      </c>
      <c r="S454" t="str">
        <f>IF(OR(ISNUMBER(SEARCH("stg", Table6[[#This Row],[instruction]])),ISNUMBER(SEARCH("ldg", Table6[[#This Row],[instruction]]))), "global", "")</f>
        <v/>
      </c>
      <c r="T454" t="str">
        <f>IF(OR(ISNUMBER(SEARCH("sts", Table6[[#This Row],[instruction]])),ISNUMBER(SEARCH("lds", Table6[[#This Row],[instruction]]))), "shared", "")</f>
        <v/>
      </c>
      <c r="U454" t="str">
        <f>IF(OR(ISNUMBER(SEARCH("LDC", Table6[[#This Row],[instruction]]))), "ind. const", "")</f>
        <v/>
      </c>
      <c r="V4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Row],[s5]]))),U454=""), "cmb. const", "")</f>
        <v/>
      </c>
      <c r="Y454">
        <f>IF(Table6[[#This Row],[pipeline]]="fma",Table6[[#This Row],[delay]],0)</f>
        <v>0</v>
      </c>
      <c r="Z454">
        <f>IF(AND(Table6[[#This Row],[pipeline]]="fma",W454="new"),290,0)</f>
        <v>0</v>
      </c>
      <c r="AK454" s="34"/>
    </row>
    <row r="455" spans="1:37" ht="17" x14ac:dyDescent="0.2">
      <c r="A455" s="31">
        <f>IF(Table6[[#This Row],[instruction]]&lt;&gt;"",MAX($A$6:A454)+1," ")</f>
        <v>450</v>
      </c>
      <c r="B455" s="32" t="s">
        <v>485</v>
      </c>
      <c r="C455" t="s">
        <v>70</v>
      </c>
      <c r="D455" s="31" t="s">
        <v>608</v>
      </c>
      <c r="E455" s="31" t="s">
        <v>588</v>
      </c>
      <c r="F455" s="31" t="s">
        <v>567</v>
      </c>
      <c r="G455" s="31" t="s">
        <v>683</v>
      </c>
      <c r="K455" s="2" t="str">
        <f t="shared" si="7"/>
        <v>fma</v>
      </c>
      <c r="L455" cm="1">
        <f t="array" ref="L4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5" t="str">
        <f>IF(OR(ISNUMBER(SEARCH("imad", Table6[[#This Row],[instruction]])), ISNUMBER(SEARCH("ffma", Table6[[#This Row],[instruction]])), ISNUMBER(SEARCH("fmul", Table6[[#This Row],[instruction]]))), "fma", "")</f>
        <v>fma</v>
      </c>
      <c r="P4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5" t="str">
        <f>IF(OR(ISNUMBER(SEARCH("s2r", Table6[[#This Row],[instruction]])),ISNUMBER(SEARCH("s2ur", Table6[[#This Row],[instruction]]))), "special", "")</f>
        <v/>
      </c>
      <c r="S455" t="str">
        <f>IF(OR(ISNUMBER(SEARCH("stg", Table6[[#This Row],[instruction]])),ISNUMBER(SEARCH("ldg", Table6[[#This Row],[instruction]]))), "global", "")</f>
        <v/>
      </c>
      <c r="T455" t="str">
        <f>IF(OR(ISNUMBER(SEARCH("sts", Table6[[#This Row],[instruction]])),ISNUMBER(SEARCH("lds", Table6[[#This Row],[instruction]]))), "shared", "")</f>
        <v/>
      </c>
      <c r="U455" t="str">
        <f>IF(OR(ISNUMBER(SEARCH("LDC", Table6[[#This Row],[instruction]]))), "ind. const", "")</f>
        <v/>
      </c>
      <c r="V4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Row],[s5]]))),U455=""), "cmb. const", "")</f>
        <v/>
      </c>
      <c r="Y455">
        <f>IF(Table6[[#This Row],[pipeline]]="fma",Table6[[#This Row],[delay]],0)</f>
        <v>4</v>
      </c>
      <c r="Z455">
        <f>IF(AND(Table6[[#This Row],[pipeline]]="fma",W455="new"),290,0)</f>
        <v>0</v>
      </c>
      <c r="AK455" s="34"/>
    </row>
    <row r="456" spans="1:37" ht="17" x14ac:dyDescent="0.2">
      <c r="A456" s="31">
        <f>IF(Table6[[#This Row],[instruction]]&lt;&gt;"",MAX($A$6:A455)+1," ")</f>
        <v>451</v>
      </c>
      <c r="B456" s="32" t="s">
        <v>485</v>
      </c>
      <c r="C456" t="s">
        <v>70</v>
      </c>
      <c r="D456" s="31" t="s">
        <v>613</v>
      </c>
      <c r="E456" s="31" t="s">
        <v>588</v>
      </c>
      <c r="F456" s="31" t="s">
        <v>651</v>
      </c>
      <c r="G456" s="31" t="s">
        <v>684</v>
      </c>
      <c r="K456" s="2" t="str">
        <f t="shared" si="7"/>
        <v>fma</v>
      </c>
      <c r="L456" cm="1">
        <f t="array" ref="L4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6" t="str">
        <f>IF(OR(ISNUMBER(SEARCH("imad", Table6[[#This Row],[instruction]])), ISNUMBER(SEARCH("ffma", Table6[[#This Row],[instruction]])), ISNUMBER(SEARCH("fmul", Table6[[#This Row],[instruction]]))), "fma", "")</f>
        <v>fma</v>
      </c>
      <c r="P4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6" t="str">
        <f>IF(OR(ISNUMBER(SEARCH("s2r", Table6[[#This Row],[instruction]])),ISNUMBER(SEARCH("s2ur", Table6[[#This Row],[instruction]]))), "special", "")</f>
        <v/>
      </c>
      <c r="S456" t="str">
        <f>IF(OR(ISNUMBER(SEARCH("stg", Table6[[#This Row],[instruction]])),ISNUMBER(SEARCH("ldg", Table6[[#This Row],[instruction]]))), "global", "")</f>
        <v/>
      </c>
      <c r="T456" t="str">
        <f>IF(OR(ISNUMBER(SEARCH("sts", Table6[[#This Row],[instruction]])),ISNUMBER(SEARCH("lds", Table6[[#This Row],[instruction]]))), "shared", "")</f>
        <v/>
      </c>
      <c r="U456" t="str">
        <f>IF(OR(ISNUMBER(SEARCH("LDC", Table6[[#This Row],[instruction]]))), "ind. const", "")</f>
        <v/>
      </c>
      <c r="V4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Row],[s5]]))),U456=""), "cmb. const", "")</f>
        <v/>
      </c>
      <c r="Y456">
        <f>IF(Table6[[#This Row],[pipeline]]="fma",Table6[[#This Row],[delay]],0)</f>
        <v>4</v>
      </c>
      <c r="Z456">
        <f>IF(AND(Table6[[#This Row],[pipeline]]="fma",W456="new"),290,0)</f>
        <v>0</v>
      </c>
      <c r="AK456" s="34"/>
    </row>
    <row r="457" spans="1:37" ht="17" x14ac:dyDescent="0.2">
      <c r="A457" s="31">
        <f>IF(Table6[[#This Row],[instruction]]&lt;&gt;"",MAX($A$6:A456)+1," ")</f>
        <v>452</v>
      </c>
      <c r="B457" s="32" t="s">
        <v>485</v>
      </c>
      <c r="C457" t="s">
        <v>452</v>
      </c>
      <c r="D457" s="31" t="s">
        <v>623</v>
      </c>
      <c r="K457" s="2" t="str">
        <f t="shared" si="7"/>
        <v>cba</v>
      </c>
      <c r="L457" cm="1">
        <f t="array" ref="L4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457" t="str">
        <f>IF(OR(ISNUMBER(SEARCH("imad", Table6[[#This Row],[instruction]])), ISNUMBER(SEARCH("ffma", Table6[[#This Row],[instruction]])), ISNUMBER(SEARCH("fmul", Table6[[#This Row],[instruction]]))), "fma", "")</f>
        <v/>
      </c>
      <c r="P4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457" t="str">
        <f>IF(OR(ISNUMBER(SEARCH("s2r", Table6[[#This Row],[instruction]])),ISNUMBER(SEARCH("s2ur", Table6[[#This Row],[instruction]]))), "special", "")</f>
        <v/>
      </c>
      <c r="S457" t="str">
        <f>IF(OR(ISNUMBER(SEARCH("stg", Table6[[#This Row],[instruction]])),ISNUMBER(SEARCH("ldg", Table6[[#This Row],[instruction]]))), "global", "")</f>
        <v/>
      </c>
      <c r="T457" t="str">
        <f>IF(OR(ISNUMBER(SEARCH("sts", Table6[[#This Row],[instruction]])),ISNUMBER(SEARCH("lds", Table6[[#This Row],[instruction]]))), "shared", "")</f>
        <v/>
      </c>
      <c r="U457" t="str">
        <f>IF(OR(ISNUMBER(SEARCH("LDC", Table6[[#This Row],[instruction]]))), "ind. const", "")</f>
        <v/>
      </c>
      <c r="V4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Row],[s5]]))),U457=""), "cmb. const", "")</f>
        <v/>
      </c>
      <c r="Y457">
        <f>IF(Table6[[#This Row],[pipeline]]="fma",Table6[[#This Row],[delay]],0)</f>
        <v>0</v>
      </c>
      <c r="Z457">
        <f>IF(AND(Table6[[#This Row],[pipeline]]="fma",W457="new"),290,0)</f>
        <v>0</v>
      </c>
      <c r="AK457" s="35"/>
    </row>
    <row r="458" spans="1:37" ht="17" x14ac:dyDescent="0.2">
      <c r="A458" s="31">
        <f>IF(Table6[[#This Row],[instruction]]&lt;&gt;"",MAX($A$6:A457)+1," ")</f>
        <v>453</v>
      </c>
      <c r="B458" s="32" t="s">
        <v>485</v>
      </c>
      <c r="C458" t="s">
        <v>70</v>
      </c>
      <c r="D458" s="31" t="s">
        <v>605</v>
      </c>
      <c r="E458" s="31" t="s">
        <v>588</v>
      </c>
      <c r="F458" s="31" t="s">
        <v>637</v>
      </c>
      <c r="G458" s="31" t="s">
        <v>685</v>
      </c>
      <c r="K458" s="2" t="str">
        <f t="shared" si="7"/>
        <v>fma</v>
      </c>
      <c r="L458" cm="1">
        <f t="array" ref="L4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8" t="str">
        <f>IF(OR(ISNUMBER(SEARCH("imad", Table6[[#This Row],[instruction]])), ISNUMBER(SEARCH("ffma", Table6[[#This Row],[instruction]])), ISNUMBER(SEARCH("fmul", Table6[[#This Row],[instruction]]))), "fma", "")</f>
        <v>fma</v>
      </c>
      <c r="P4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8" t="str">
        <f>IF(OR(ISNUMBER(SEARCH("s2r", Table6[[#This Row],[instruction]])),ISNUMBER(SEARCH("s2ur", Table6[[#This Row],[instruction]]))), "special", "")</f>
        <v/>
      </c>
      <c r="S458" t="str">
        <f>IF(OR(ISNUMBER(SEARCH("stg", Table6[[#This Row],[instruction]])),ISNUMBER(SEARCH("ldg", Table6[[#This Row],[instruction]]))), "global", "")</f>
        <v/>
      </c>
      <c r="T458" t="str">
        <f>IF(OR(ISNUMBER(SEARCH("sts", Table6[[#This Row],[instruction]])),ISNUMBER(SEARCH("lds", Table6[[#This Row],[instruction]]))), "shared", "")</f>
        <v/>
      </c>
      <c r="U458" t="str">
        <f>IF(OR(ISNUMBER(SEARCH("LDC", Table6[[#This Row],[instruction]]))), "ind. const", "")</f>
        <v/>
      </c>
      <c r="V4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Row],[s5]]))),U458=""), "cmb. const", "")</f>
        <v/>
      </c>
      <c r="Y458">
        <f>IF(Table6[[#This Row],[pipeline]]="fma",Table6[[#This Row],[delay]],0)</f>
        <v>4</v>
      </c>
      <c r="Z458">
        <f>IF(AND(Table6[[#This Row],[pipeline]]="fma",W458="new"),290,0)</f>
        <v>0</v>
      </c>
      <c r="AK458" s="34"/>
    </row>
    <row r="459" spans="1:37" ht="17" x14ac:dyDescent="0.2">
      <c r="A459" s="31">
        <f>IF(Table6[[#This Row],[instruction]]&lt;&gt;"",MAX($A$6:A458)+1," ")</f>
        <v>454</v>
      </c>
      <c r="B459" s="32" t="s">
        <v>485</v>
      </c>
      <c r="C459" t="s">
        <v>70</v>
      </c>
      <c r="D459" s="31" t="s">
        <v>597</v>
      </c>
      <c r="E459" s="31" t="s">
        <v>577</v>
      </c>
      <c r="F459" s="31" t="s">
        <v>567</v>
      </c>
      <c r="G459" s="31" t="s">
        <v>686</v>
      </c>
      <c r="K459" s="2" t="str">
        <f t="shared" si="7"/>
        <v>fma</v>
      </c>
      <c r="L459" cm="1">
        <f t="array" ref="L4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59" t="str">
        <f>IF(OR(ISNUMBER(SEARCH("imad", Table6[[#This Row],[instruction]])), ISNUMBER(SEARCH("ffma", Table6[[#This Row],[instruction]])), ISNUMBER(SEARCH("fmul", Table6[[#This Row],[instruction]]))), "fma", "")</f>
        <v>fma</v>
      </c>
      <c r="P4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59" t="str">
        <f>IF(OR(ISNUMBER(SEARCH("s2r", Table6[[#This Row],[instruction]])),ISNUMBER(SEARCH("s2ur", Table6[[#This Row],[instruction]]))), "special", "")</f>
        <v/>
      </c>
      <c r="S459" t="str">
        <f>IF(OR(ISNUMBER(SEARCH("stg", Table6[[#This Row],[instruction]])),ISNUMBER(SEARCH("ldg", Table6[[#This Row],[instruction]]))), "global", "")</f>
        <v/>
      </c>
      <c r="T459" t="str">
        <f>IF(OR(ISNUMBER(SEARCH("sts", Table6[[#This Row],[instruction]])),ISNUMBER(SEARCH("lds", Table6[[#This Row],[instruction]]))), "shared", "")</f>
        <v/>
      </c>
      <c r="U459" t="str">
        <f>IF(OR(ISNUMBER(SEARCH("LDC", Table6[[#This Row],[instruction]]))), "ind. const", "")</f>
        <v/>
      </c>
      <c r="V4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Row],[s5]]))),U459=""), "cmb. const", "")</f>
        <v/>
      </c>
      <c r="Y459">
        <f>IF(Table6[[#This Row],[pipeline]]="fma",Table6[[#This Row],[delay]],0)</f>
        <v>4</v>
      </c>
      <c r="Z459">
        <f>IF(AND(Table6[[#This Row],[pipeline]]="fma",W459="new"),290,0)</f>
        <v>0</v>
      </c>
      <c r="AK459" s="34"/>
    </row>
    <row r="460" spans="1:37" ht="17" x14ac:dyDescent="0.2">
      <c r="A460" s="31">
        <f>IF(Table6[[#This Row],[instruction]]&lt;&gt;"",MAX($A$6:A459)+1," ")</f>
        <v>455</v>
      </c>
      <c r="B460" s="32" t="s">
        <v>485</v>
      </c>
      <c r="C460" t="s">
        <v>70</v>
      </c>
      <c r="D460" s="31" t="s">
        <v>604</v>
      </c>
      <c r="E460" s="31" t="s">
        <v>577</v>
      </c>
      <c r="F460" s="31" t="s">
        <v>651</v>
      </c>
      <c r="G460" s="31" t="s">
        <v>687</v>
      </c>
      <c r="K460" s="2" t="str">
        <f t="shared" si="7"/>
        <v>fma</v>
      </c>
      <c r="L460" cm="1">
        <f t="array" ref="L4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0" t="str">
        <f>IF(OR(ISNUMBER(SEARCH("imad", Table6[[#This Row],[instruction]])), ISNUMBER(SEARCH("ffma", Table6[[#This Row],[instruction]])), ISNUMBER(SEARCH("fmul", Table6[[#This Row],[instruction]]))), "fma", "")</f>
        <v>fma</v>
      </c>
      <c r="P4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0" t="str">
        <f>IF(OR(ISNUMBER(SEARCH("s2r", Table6[[#This Row],[instruction]])),ISNUMBER(SEARCH("s2ur", Table6[[#This Row],[instruction]]))), "special", "")</f>
        <v/>
      </c>
      <c r="S460" t="str">
        <f>IF(OR(ISNUMBER(SEARCH("stg", Table6[[#This Row],[instruction]])),ISNUMBER(SEARCH("ldg", Table6[[#This Row],[instruction]]))), "global", "")</f>
        <v/>
      </c>
      <c r="T460" t="str">
        <f>IF(OR(ISNUMBER(SEARCH("sts", Table6[[#This Row],[instruction]])),ISNUMBER(SEARCH("lds", Table6[[#This Row],[instruction]]))), "shared", "")</f>
        <v/>
      </c>
      <c r="U460" t="str">
        <f>IF(OR(ISNUMBER(SEARCH("LDC", Table6[[#This Row],[instruction]]))), "ind. const", "")</f>
        <v/>
      </c>
      <c r="V4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Row],[s5]]))),U460=""), "cmb. const", "")</f>
        <v/>
      </c>
      <c r="Y460">
        <f>IF(Table6[[#This Row],[pipeline]]="fma",Table6[[#This Row],[delay]],0)</f>
        <v>4</v>
      </c>
      <c r="Z460">
        <f>IF(AND(Table6[[#This Row],[pipeline]]="fma",W460="new"),290,0)</f>
        <v>0</v>
      </c>
      <c r="AK460" s="34"/>
    </row>
    <row r="461" spans="1:37" ht="17" x14ac:dyDescent="0.2">
      <c r="A461" s="31">
        <f>IF(Table6[[#This Row],[instruction]]&lt;&gt;"",MAX($A$6:A460)+1," ")</f>
        <v>456</v>
      </c>
      <c r="B461" s="32" t="s">
        <v>485</v>
      </c>
      <c r="C461" t="s">
        <v>70</v>
      </c>
      <c r="D461" s="31" t="s">
        <v>598</v>
      </c>
      <c r="E461" s="31" t="s">
        <v>577</v>
      </c>
      <c r="F461" s="31" t="s">
        <v>637</v>
      </c>
      <c r="G461" s="31" t="s">
        <v>688</v>
      </c>
      <c r="K461" s="2" t="str">
        <f t="shared" si="7"/>
        <v>fma</v>
      </c>
      <c r="L461" cm="1">
        <f t="array" ref="L4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1" t="str">
        <f>IF(OR(ISNUMBER(SEARCH("imad", Table6[[#This Row],[instruction]])), ISNUMBER(SEARCH("ffma", Table6[[#This Row],[instruction]])), ISNUMBER(SEARCH("fmul", Table6[[#This Row],[instruction]]))), "fma", "")</f>
        <v>fma</v>
      </c>
      <c r="P4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1" t="str">
        <f>IF(OR(ISNUMBER(SEARCH("s2r", Table6[[#This Row],[instruction]])),ISNUMBER(SEARCH("s2ur", Table6[[#This Row],[instruction]]))), "special", "")</f>
        <v/>
      </c>
      <c r="S461" t="str">
        <f>IF(OR(ISNUMBER(SEARCH("stg", Table6[[#This Row],[instruction]])),ISNUMBER(SEARCH("ldg", Table6[[#This Row],[instruction]]))), "global", "")</f>
        <v/>
      </c>
      <c r="T461" t="str">
        <f>IF(OR(ISNUMBER(SEARCH("sts", Table6[[#This Row],[instruction]])),ISNUMBER(SEARCH("lds", Table6[[#This Row],[instruction]]))), "shared", "")</f>
        <v/>
      </c>
      <c r="U461" t="str">
        <f>IF(OR(ISNUMBER(SEARCH("LDC", Table6[[#This Row],[instruction]]))), "ind. const", "")</f>
        <v/>
      </c>
      <c r="V4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Row],[s5]]))),U461=""), "cmb. const", "")</f>
        <v/>
      </c>
      <c r="Y461">
        <f>IF(Table6[[#This Row],[pipeline]]="fma",Table6[[#This Row],[delay]],0)</f>
        <v>4</v>
      </c>
      <c r="Z461">
        <f>IF(AND(Table6[[#This Row],[pipeline]]="fma",W461="new"),290,0)</f>
        <v>0</v>
      </c>
      <c r="AK461" s="34"/>
    </row>
    <row r="462" spans="1:37" ht="17" x14ac:dyDescent="0.2">
      <c r="A462" s="31">
        <f>IF(Table6[[#This Row],[instruction]]&lt;&gt;"",MAX($A$6:A461)+1," ")</f>
        <v>457</v>
      </c>
      <c r="B462" s="32" t="s">
        <v>485</v>
      </c>
      <c r="C462" t="s">
        <v>277</v>
      </c>
      <c r="D462" s="31" t="s">
        <v>596</v>
      </c>
      <c r="E462" s="31" t="s">
        <v>540</v>
      </c>
      <c r="K462" s="2" t="str">
        <f t="shared" si="7"/>
        <v>shared</v>
      </c>
      <c r="L462" cm="1">
        <f t="array" ref="L4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62" t="str">
        <f>IF(OR(ISNUMBER(SEARCH("imad", Table6[[#This Row],[instruction]])), ISNUMBER(SEARCH("ffma", Table6[[#This Row],[instruction]])), ISNUMBER(SEARCH("fmul", Table6[[#This Row],[instruction]]))), "fma", "")</f>
        <v/>
      </c>
      <c r="P4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2" t="str">
        <f>IF(OR(ISNUMBER(SEARCH("s2r", Table6[[#This Row],[instruction]])),ISNUMBER(SEARCH("s2ur", Table6[[#This Row],[instruction]]))), "special", "")</f>
        <v/>
      </c>
      <c r="S462" t="str">
        <f>IF(OR(ISNUMBER(SEARCH("stg", Table6[[#This Row],[instruction]])),ISNUMBER(SEARCH("ldg", Table6[[#This Row],[instruction]]))), "global", "")</f>
        <v/>
      </c>
      <c r="T462" t="str">
        <f>IF(OR(ISNUMBER(SEARCH("sts", Table6[[#This Row],[instruction]])),ISNUMBER(SEARCH("lds", Table6[[#This Row],[instruction]]))), "shared", "")</f>
        <v>shared</v>
      </c>
      <c r="U462" t="str">
        <f>IF(OR(ISNUMBER(SEARCH("LDC", Table6[[#This Row],[instruction]]))), "ind. const", "")</f>
        <v/>
      </c>
      <c r="V4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Row],[s5]]))),U462=""), "cmb. const", "")</f>
        <v/>
      </c>
      <c r="Y462">
        <f>IF(Table6[[#This Row],[pipeline]]="fma",Table6[[#This Row],[delay]],0)</f>
        <v>0</v>
      </c>
      <c r="Z462">
        <f>IF(AND(Table6[[#This Row],[pipeline]]="fma",W462="new"),290,0)</f>
        <v>0</v>
      </c>
      <c r="AK462" s="34"/>
    </row>
    <row r="463" spans="1:37" ht="17" x14ac:dyDescent="0.2">
      <c r="A463" s="31">
        <f>IF(Table6[[#This Row],[instruction]]&lt;&gt;"",MAX($A$6:A462)+1," ")</f>
        <v>458</v>
      </c>
      <c r="B463" s="32" t="s">
        <v>485</v>
      </c>
      <c r="C463" t="s">
        <v>70</v>
      </c>
      <c r="D463" s="31" t="s">
        <v>665</v>
      </c>
      <c r="E463" s="31" t="s">
        <v>84</v>
      </c>
      <c r="F463" s="31" t="s">
        <v>440</v>
      </c>
      <c r="G463" s="31" t="s">
        <v>677</v>
      </c>
      <c r="K463" s="2" t="str">
        <f t="shared" si="7"/>
        <v>fma</v>
      </c>
      <c r="L463" cm="1">
        <f t="array" ref="L4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3" t="str">
        <f>IF(OR(ISNUMBER(SEARCH("imad", Table6[[#This Row],[instruction]])), ISNUMBER(SEARCH("ffma", Table6[[#This Row],[instruction]])), ISNUMBER(SEARCH("fmul", Table6[[#This Row],[instruction]]))), "fma", "")</f>
        <v>fma</v>
      </c>
      <c r="P4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3" t="str">
        <f>IF(OR(ISNUMBER(SEARCH("s2r", Table6[[#This Row],[instruction]])),ISNUMBER(SEARCH("s2ur", Table6[[#This Row],[instruction]]))), "special", "")</f>
        <v/>
      </c>
      <c r="S463" t="str">
        <f>IF(OR(ISNUMBER(SEARCH("stg", Table6[[#This Row],[instruction]])),ISNUMBER(SEARCH("ldg", Table6[[#This Row],[instruction]]))), "global", "")</f>
        <v/>
      </c>
      <c r="T463" t="str">
        <f>IF(OR(ISNUMBER(SEARCH("sts", Table6[[#This Row],[instruction]])),ISNUMBER(SEARCH("lds", Table6[[#This Row],[instruction]]))), "shared", "")</f>
        <v/>
      </c>
      <c r="U463" t="str">
        <f>IF(OR(ISNUMBER(SEARCH("LDC", Table6[[#This Row],[instruction]]))), "ind. const", "")</f>
        <v/>
      </c>
      <c r="V4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Row],[s5]]))),U463=""), "cmb. const", "")</f>
        <v/>
      </c>
      <c r="Y463">
        <f>IF(Table6[[#This Row],[pipeline]]="fma",Table6[[#This Row],[delay]],0)</f>
        <v>4</v>
      </c>
      <c r="Z463">
        <f>IF(AND(Table6[[#This Row],[pipeline]]="fma",W463="new"),290,0)</f>
        <v>0</v>
      </c>
      <c r="AK463" s="34"/>
    </row>
    <row r="464" spans="1:37" ht="17" x14ac:dyDescent="0.2">
      <c r="A464" s="31">
        <f>IF(Table6[[#This Row],[instruction]]&lt;&gt;"",MAX($A$6:A463)+1," ")</f>
        <v>459</v>
      </c>
      <c r="B464" s="32" t="s">
        <v>485</v>
      </c>
      <c r="C464" t="s">
        <v>70</v>
      </c>
      <c r="D464" s="31" t="s">
        <v>649</v>
      </c>
      <c r="E464" s="31" t="s">
        <v>84</v>
      </c>
      <c r="F464" s="31" t="s">
        <v>436</v>
      </c>
      <c r="G464" s="31" t="s">
        <v>679</v>
      </c>
      <c r="K464" s="2" t="str">
        <f t="shared" si="7"/>
        <v>fma</v>
      </c>
      <c r="L464" cm="1">
        <f t="array" ref="L4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4" t="str">
        <f>IF(OR(ISNUMBER(SEARCH("imad", Table6[[#This Row],[instruction]])), ISNUMBER(SEARCH("ffma", Table6[[#This Row],[instruction]])), ISNUMBER(SEARCH("fmul", Table6[[#This Row],[instruction]]))), "fma", "")</f>
        <v>fma</v>
      </c>
      <c r="P4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4" t="str">
        <f>IF(OR(ISNUMBER(SEARCH("s2r", Table6[[#This Row],[instruction]])),ISNUMBER(SEARCH("s2ur", Table6[[#This Row],[instruction]]))), "special", "")</f>
        <v/>
      </c>
      <c r="S464" t="str">
        <f>IF(OR(ISNUMBER(SEARCH("stg", Table6[[#This Row],[instruction]])),ISNUMBER(SEARCH("ldg", Table6[[#This Row],[instruction]]))), "global", "")</f>
        <v/>
      </c>
      <c r="T464" t="str">
        <f>IF(OR(ISNUMBER(SEARCH("sts", Table6[[#This Row],[instruction]])),ISNUMBER(SEARCH("lds", Table6[[#This Row],[instruction]]))), "shared", "")</f>
        <v/>
      </c>
      <c r="U464" t="str">
        <f>IF(OR(ISNUMBER(SEARCH("LDC", Table6[[#This Row],[instruction]]))), "ind. const", "")</f>
        <v/>
      </c>
      <c r="V4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Row],[s5]]))),U464=""), "cmb. const", "")</f>
        <v/>
      </c>
      <c r="Y464">
        <f>IF(Table6[[#This Row],[pipeline]]="fma",Table6[[#This Row],[delay]],0)</f>
        <v>4</v>
      </c>
      <c r="Z464">
        <f>IF(AND(Table6[[#This Row],[pipeline]]="fma",W464="new"),290,0)</f>
        <v>0</v>
      </c>
      <c r="AK464" s="34"/>
    </row>
    <row r="465" spans="1:37" ht="17" x14ac:dyDescent="0.2">
      <c r="A465" s="31">
        <f>IF(Table6[[#This Row],[instruction]]&lt;&gt;"",MAX($A$6:A464)+1," ")</f>
        <v>460</v>
      </c>
      <c r="B465" s="32" t="s">
        <v>485</v>
      </c>
      <c r="C465" t="s">
        <v>277</v>
      </c>
      <c r="D465" s="31" t="s">
        <v>603</v>
      </c>
      <c r="E465" s="31" t="s">
        <v>503</v>
      </c>
      <c r="K465" s="2" t="str">
        <f t="shared" si="7"/>
        <v>shared</v>
      </c>
      <c r="L465" cm="1">
        <f t="array" ref="L4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65" t="str">
        <f>IF(OR(ISNUMBER(SEARCH("imad", Table6[[#This Row],[instruction]])), ISNUMBER(SEARCH("ffma", Table6[[#This Row],[instruction]])), ISNUMBER(SEARCH("fmul", Table6[[#This Row],[instruction]]))), "fma", "")</f>
        <v/>
      </c>
      <c r="P4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5" t="str">
        <f>IF(OR(ISNUMBER(SEARCH("s2r", Table6[[#This Row],[instruction]])),ISNUMBER(SEARCH("s2ur", Table6[[#This Row],[instruction]]))), "special", "")</f>
        <v/>
      </c>
      <c r="S465" t="str">
        <f>IF(OR(ISNUMBER(SEARCH("stg", Table6[[#This Row],[instruction]])),ISNUMBER(SEARCH("ldg", Table6[[#This Row],[instruction]]))), "global", "")</f>
        <v/>
      </c>
      <c r="T465" t="str">
        <f>IF(OR(ISNUMBER(SEARCH("sts", Table6[[#This Row],[instruction]])),ISNUMBER(SEARCH("lds", Table6[[#This Row],[instruction]]))), "shared", "")</f>
        <v>shared</v>
      </c>
      <c r="U465" t="str">
        <f>IF(OR(ISNUMBER(SEARCH("LDC", Table6[[#This Row],[instruction]]))), "ind. const", "")</f>
        <v/>
      </c>
      <c r="V4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Row],[s5]]))),U465=""), "cmb. const", "")</f>
        <v/>
      </c>
      <c r="Y465">
        <f>IF(Table6[[#This Row],[pipeline]]="fma",Table6[[#This Row],[delay]],0)</f>
        <v>0</v>
      </c>
      <c r="Z465">
        <f>IF(AND(Table6[[#This Row],[pipeline]]="fma",W465="new"),290,0)</f>
        <v>0</v>
      </c>
      <c r="AK465" s="34"/>
    </row>
    <row r="466" spans="1:37" ht="17" x14ac:dyDescent="0.2">
      <c r="A466" s="31">
        <f>IF(Table6[[#This Row],[instruction]]&lt;&gt;"",MAX($A$6:A465)+1," ")</f>
        <v>461</v>
      </c>
      <c r="B466" s="32" t="s">
        <v>485</v>
      </c>
      <c r="C466" t="s">
        <v>70</v>
      </c>
      <c r="D466" s="31" t="s">
        <v>648</v>
      </c>
      <c r="E466" s="31" t="s">
        <v>84</v>
      </c>
      <c r="F466" s="31" t="s">
        <v>439</v>
      </c>
      <c r="G466" s="31" t="s">
        <v>681</v>
      </c>
      <c r="K466" s="2" t="str">
        <f t="shared" si="7"/>
        <v>fma</v>
      </c>
      <c r="L466" cm="1">
        <f t="array" ref="L4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6" t="str">
        <f>IF(OR(ISNUMBER(SEARCH("imad", Table6[[#This Row],[instruction]])), ISNUMBER(SEARCH("ffma", Table6[[#This Row],[instruction]])), ISNUMBER(SEARCH("fmul", Table6[[#This Row],[instruction]]))), "fma", "")</f>
        <v>fma</v>
      </c>
      <c r="P4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6" t="str">
        <f>IF(OR(ISNUMBER(SEARCH("s2r", Table6[[#This Row],[instruction]])),ISNUMBER(SEARCH("s2ur", Table6[[#This Row],[instruction]]))), "special", "")</f>
        <v/>
      </c>
      <c r="S466" t="str">
        <f>IF(OR(ISNUMBER(SEARCH("stg", Table6[[#This Row],[instruction]])),ISNUMBER(SEARCH("ldg", Table6[[#This Row],[instruction]]))), "global", "")</f>
        <v/>
      </c>
      <c r="T466" t="str">
        <f>IF(OR(ISNUMBER(SEARCH("sts", Table6[[#This Row],[instruction]])),ISNUMBER(SEARCH("lds", Table6[[#This Row],[instruction]]))), "shared", "")</f>
        <v/>
      </c>
      <c r="U466" t="str">
        <f>IF(OR(ISNUMBER(SEARCH("LDC", Table6[[#This Row],[instruction]]))), "ind. const", "")</f>
        <v/>
      </c>
      <c r="V4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Row],[s5]]))),U466=""), "cmb. const", "")</f>
        <v/>
      </c>
      <c r="Y466">
        <f>IF(Table6[[#This Row],[pipeline]]="fma",Table6[[#This Row],[delay]],0)</f>
        <v>4</v>
      </c>
      <c r="Z466">
        <f>IF(AND(Table6[[#This Row],[pipeline]]="fma",W466="new"),290,0)</f>
        <v>0</v>
      </c>
      <c r="AK466" s="34"/>
    </row>
    <row r="467" spans="1:37" ht="17" x14ac:dyDescent="0.2">
      <c r="A467" s="31">
        <f>IF(Table6[[#This Row],[instruction]]&lt;&gt;"",MAX($A$6:A466)+1," ")</f>
        <v>462</v>
      </c>
      <c r="B467" s="32" t="s">
        <v>485</v>
      </c>
      <c r="C467" t="s">
        <v>70</v>
      </c>
      <c r="D467" s="31" t="s">
        <v>612</v>
      </c>
      <c r="E467" s="31" t="s">
        <v>430</v>
      </c>
      <c r="F467" s="31" t="s">
        <v>440</v>
      </c>
      <c r="G467" s="31" t="s">
        <v>669</v>
      </c>
      <c r="K467" s="2" t="str">
        <f t="shared" si="7"/>
        <v>fma</v>
      </c>
      <c r="L467" cm="1">
        <f t="array" ref="L4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7" t="str">
        <f>IF(OR(ISNUMBER(SEARCH("imad", Table6[[#This Row],[instruction]])), ISNUMBER(SEARCH("ffma", Table6[[#This Row],[instruction]])), ISNUMBER(SEARCH("fmul", Table6[[#This Row],[instruction]]))), "fma", "")</f>
        <v>fma</v>
      </c>
      <c r="P4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7" t="str">
        <f>IF(OR(ISNUMBER(SEARCH("s2r", Table6[[#This Row],[instruction]])),ISNUMBER(SEARCH("s2ur", Table6[[#This Row],[instruction]]))), "special", "")</f>
        <v/>
      </c>
      <c r="S467" t="str">
        <f>IF(OR(ISNUMBER(SEARCH("stg", Table6[[#This Row],[instruction]])),ISNUMBER(SEARCH("ldg", Table6[[#This Row],[instruction]]))), "global", "")</f>
        <v/>
      </c>
      <c r="T467" t="str">
        <f>IF(OR(ISNUMBER(SEARCH("sts", Table6[[#This Row],[instruction]])),ISNUMBER(SEARCH("lds", Table6[[#This Row],[instruction]]))), "shared", "")</f>
        <v/>
      </c>
      <c r="U467" t="str">
        <f>IF(OR(ISNUMBER(SEARCH("LDC", Table6[[#This Row],[instruction]]))), "ind. const", "")</f>
        <v/>
      </c>
      <c r="V4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Row],[s5]]))),U467=""), "cmb. const", "")</f>
        <v/>
      </c>
      <c r="Y467">
        <f>IF(Table6[[#This Row],[pipeline]]="fma",Table6[[#This Row],[delay]],0)</f>
        <v>4</v>
      </c>
      <c r="Z467">
        <f>IF(AND(Table6[[#This Row],[pipeline]]="fma",W467="new"),290,0)</f>
        <v>0</v>
      </c>
      <c r="AK467" s="34"/>
    </row>
    <row r="468" spans="1:37" ht="17" x14ac:dyDescent="0.2">
      <c r="A468" s="31">
        <f>IF(Table6[[#This Row],[instruction]]&lt;&gt;"",MAX($A$6:A467)+1," ")</f>
        <v>463</v>
      </c>
      <c r="B468" s="32" t="s">
        <v>485</v>
      </c>
      <c r="C468" t="s">
        <v>70</v>
      </c>
      <c r="D468" s="31" t="s">
        <v>609</v>
      </c>
      <c r="E468" s="31" t="s">
        <v>430</v>
      </c>
      <c r="F468" s="31" t="s">
        <v>436</v>
      </c>
      <c r="G468" s="31" t="s">
        <v>670</v>
      </c>
      <c r="K468" s="2" t="str">
        <f t="shared" si="7"/>
        <v>fma</v>
      </c>
      <c r="L468" cm="1">
        <f t="array" ref="L4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8" t="str">
        <f>IF(OR(ISNUMBER(SEARCH("imad", Table6[[#This Row],[instruction]])), ISNUMBER(SEARCH("ffma", Table6[[#This Row],[instruction]])), ISNUMBER(SEARCH("fmul", Table6[[#This Row],[instruction]]))), "fma", "")</f>
        <v>fma</v>
      </c>
      <c r="P4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8" t="str">
        <f>IF(OR(ISNUMBER(SEARCH("s2r", Table6[[#This Row],[instruction]])),ISNUMBER(SEARCH("s2ur", Table6[[#This Row],[instruction]]))), "special", "")</f>
        <v/>
      </c>
      <c r="S468" t="str">
        <f>IF(OR(ISNUMBER(SEARCH("stg", Table6[[#This Row],[instruction]])),ISNUMBER(SEARCH("ldg", Table6[[#This Row],[instruction]]))), "global", "")</f>
        <v/>
      </c>
      <c r="T468" t="str">
        <f>IF(OR(ISNUMBER(SEARCH("sts", Table6[[#This Row],[instruction]])),ISNUMBER(SEARCH("lds", Table6[[#This Row],[instruction]]))), "shared", "")</f>
        <v/>
      </c>
      <c r="U468" t="str">
        <f>IF(OR(ISNUMBER(SEARCH("LDC", Table6[[#This Row],[instruction]]))), "ind. const", "")</f>
        <v/>
      </c>
      <c r="V4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Row],[s5]]))),U468=""), "cmb. const", "")</f>
        <v/>
      </c>
      <c r="Y468">
        <f>IF(Table6[[#This Row],[pipeline]]="fma",Table6[[#This Row],[delay]],0)</f>
        <v>4</v>
      </c>
      <c r="Z468">
        <f>IF(AND(Table6[[#This Row],[pipeline]]="fma",W468="new"),290,0)</f>
        <v>0</v>
      </c>
      <c r="AK468" s="34"/>
    </row>
    <row r="469" spans="1:37" ht="17" x14ac:dyDescent="0.2">
      <c r="A469" s="31">
        <f>IF(Table6[[#This Row],[instruction]]&lt;&gt;"",MAX($A$6:A468)+1," ")</f>
        <v>464</v>
      </c>
      <c r="B469" s="32" t="s">
        <v>485</v>
      </c>
      <c r="C469" t="s">
        <v>70</v>
      </c>
      <c r="D469" s="31" t="s">
        <v>671</v>
      </c>
      <c r="E469" s="31" t="s">
        <v>430</v>
      </c>
      <c r="F469" s="31" t="s">
        <v>439</v>
      </c>
      <c r="G469" s="31" t="s">
        <v>672</v>
      </c>
      <c r="K469" s="2" t="str">
        <f t="shared" si="7"/>
        <v>fma</v>
      </c>
      <c r="L469" cm="1">
        <f t="array" ref="L4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69" t="str">
        <f>IF(OR(ISNUMBER(SEARCH("imad", Table6[[#This Row],[instruction]])), ISNUMBER(SEARCH("ffma", Table6[[#This Row],[instruction]])), ISNUMBER(SEARCH("fmul", Table6[[#This Row],[instruction]]))), "fma", "")</f>
        <v>fma</v>
      </c>
      <c r="P4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69" t="str">
        <f>IF(OR(ISNUMBER(SEARCH("s2r", Table6[[#This Row],[instruction]])),ISNUMBER(SEARCH("s2ur", Table6[[#This Row],[instruction]]))), "special", "")</f>
        <v/>
      </c>
      <c r="S469" t="str">
        <f>IF(OR(ISNUMBER(SEARCH("stg", Table6[[#This Row],[instruction]])),ISNUMBER(SEARCH("ldg", Table6[[#This Row],[instruction]]))), "global", "")</f>
        <v/>
      </c>
      <c r="T469" t="str">
        <f>IF(OR(ISNUMBER(SEARCH("sts", Table6[[#This Row],[instruction]])),ISNUMBER(SEARCH("lds", Table6[[#This Row],[instruction]]))), "shared", "")</f>
        <v/>
      </c>
      <c r="U469" t="str">
        <f>IF(OR(ISNUMBER(SEARCH("LDC", Table6[[#This Row],[instruction]]))), "ind. const", "")</f>
        <v/>
      </c>
      <c r="V4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Row],[s5]]))),U469=""), "cmb. const", "")</f>
        <v/>
      </c>
      <c r="Y469">
        <f>IF(Table6[[#This Row],[pipeline]]="fma",Table6[[#This Row],[delay]],0)</f>
        <v>4</v>
      </c>
      <c r="Z469">
        <f>IF(AND(Table6[[#This Row],[pipeline]]="fma",W469="new"),290,0)</f>
        <v>0</v>
      </c>
      <c r="AK469" s="34"/>
    </row>
    <row r="470" spans="1:37" ht="17" x14ac:dyDescent="0.2">
      <c r="A470" s="31">
        <f>IF(Table6[[#This Row],[instruction]]&lt;&gt;"",MAX($A$6:A469)+1," ")</f>
        <v>465</v>
      </c>
      <c r="B470" s="32" t="s">
        <v>485</v>
      </c>
      <c r="C470" t="s">
        <v>277</v>
      </c>
      <c r="D470" s="31" t="s">
        <v>607</v>
      </c>
      <c r="E470" s="31" t="s">
        <v>537</v>
      </c>
      <c r="K470" s="2" t="str">
        <f t="shared" si="7"/>
        <v>shared</v>
      </c>
      <c r="L470" cm="1">
        <f t="array" ref="L4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70" t="str">
        <f>IF(OR(ISNUMBER(SEARCH("imad", Table6[[#This Row],[instruction]])), ISNUMBER(SEARCH("ffma", Table6[[#This Row],[instruction]])), ISNUMBER(SEARCH("fmul", Table6[[#This Row],[instruction]]))), "fma", "")</f>
        <v/>
      </c>
      <c r="P4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0" t="str">
        <f>IF(OR(ISNUMBER(SEARCH("s2r", Table6[[#This Row],[instruction]])),ISNUMBER(SEARCH("s2ur", Table6[[#This Row],[instruction]]))), "special", "")</f>
        <v/>
      </c>
      <c r="S470" t="str">
        <f>IF(OR(ISNUMBER(SEARCH("stg", Table6[[#This Row],[instruction]])),ISNUMBER(SEARCH("ldg", Table6[[#This Row],[instruction]]))), "global", "")</f>
        <v/>
      </c>
      <c r="T470" t="str">
        <f>IF(OR(ISNUMBER(SEARCH("sts", Table6[[#This Row],[instruction]])),ISNUMBER(SEARCH("lds", Table6[[#This Row],[instruction]]))), "shared", "")</f>
        <v>shared</v>
      </c>
      <c r="U470" t="str">
        <f>IF(OR(ISNUMBER(SEARCH("LDC", Table6[[#This Row],[instruction]]))), "ind. const", "")</f>
        <v/>
      </c>
      <c r="V4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Row],[s5]]))),U470=""), "cmb. const", "")</f>
        <v/>
      </c>
      <c r="Y470">
        <f>IF(Table6[[#This Row],[pipeline]]="fma",Table6[[#This Row],[delay]],0)</f>
        <v>0</v>
      </c>
      <c r="Z470">
        <f>IF(AND(Table6[[#This Row],[pipeline]]="fma",W470="new"),290,0)</f>
        <v>0</v>
      </c>
      <c r="AK470" s="34"/>
    </row>
    <row r="471" spans="1:37" ht="17" x14ac:dyDescent="0.2">
      <c r="A471" s="31">
        <f>IF(Table6[[#This Row],[instruction]]&lt;&gt;"",MAX($A$6:A470)+1," ")</f>
        <v>466</v>
      </c>
      <c r="B471" s="32" t="s">
        <v>485</v>
      </c>
      <c r="C471" t="s">
        <v>70</v>
      </c>
      <c r="D471" s="31" t="s">
        <v>84</v>
      </c>
      <c r="E471" s="31" t="s">
        <v>84</v>
      </c>
      <c r="F471" s="31" t="s">
        <v>447</v>
      </c>
      <c r="G471" s="31" t="s">
        <v>666</v>
      </c>
      <c r="K471" s="2" t="str">
        <f t="shared" si="7"/>
        <v>fma</v>
      </c>
      <c r="L471" cm="1">
        <f t="array" ref="L4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1" t="str">
        <f>IF(OR(ISNUMBER(SEARCH("imad", Table6[[#This Row],[instruction]])), ISNUMBER(SEARCH("ffma", Table6[[#This Row],[instruction]])), ISNUMBER(SEARCH("fmul", Table6[[#This Row],[instruction]]))), "fma", "")</f>
        <v>fma</v>
      </c>
      <c r="P4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1" t="str">
        <f>IF(OR(ISNUMBER(SEARCH("s2r", Table6[[#This Row],[instruction]])),ISNUMBER(SEARCH("s2ur", Table6[[#This Row],[instruction]]))), "special", "")</f>
        <v/>
      </c>
      <c r="S471" t="str">
        <f>IF(OR(ISNUMBER(SEARCH("stg", Table6[[#This Row],[instruction]])),ISNUMBER(SEARCH("ldg", Table6[[#This Row],[instruction]]))), "global", "")</f>
        <v/>
      </c>
      <c r="T471" t="str">
        <f>IF(OR(ISNUMBER(SEARCH("sts", Table6[[#This Row],[instruction]])),ISNUMBER(SEARCH("lds", Table6[[#This Row],[instruction]]))), "shared", "")</f>
        <v/>
      </c>
      <c r="U471" t="str">
        <f>IF(OR(ISNUMBER(SEARCH("LDC", Table6[[#This Row],[instruction]]))), "ind. const", "")</f>
        <v/>
      </c>
      <c r="V4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Row],[s5]]))),U471=""), "cmb. const", "")</f>
        <v/>
      </c>
      <c r="Y471">
        <f>IF(Table6[[#This Row],[pipeline]]="fma",Table6[[#This Row],[delay]],0)</f>
        <v>4</v>
      </c>
      <c r="Z471">
        <f>IF(AND(Table6[[#This Row],[pipeline]]="fma",W471="new"),290,0)</f>
        <v>0</v>
      </c>
      <c r="AK471" s="34"/>
    </row>
    <row r="472" spans="1:37" ht="17" x14ac:dyDescent="0.2">
      <c r="A472" s="31">
        <f>IF(Table6[[#This Row],[instruction]]&lt;&gt;"",MAX($A$6:A471)+1," ")</f>
        <v>467</v>
      </c>
      <c r="B472" s="32" t="s">
        <v>485</v>
      </c>
      <c r="C472" t="s">
        <v>70</v>
      </c>
      <c r="D472" s="31" t="s">
        <v>600</v>
      </c>
      <c r="E472" s="31" t="s">
        <v>82</v>
      </c>
      <c r="F472" s="31" t="s">
        <v>440</v>
      </c>
      <c r="G472" s="31" t="s">
        <v>668</v>
      </c>
      <c r="K472" s="2" t="str">
        <f t="shared" si="7"/>
        <v>fma</v>
      </c>
      <c r="L472" cm="1">
        <f t="array" ref="L4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2" t="str">
        <f>IF(OR(ISNUMBER(SEARCH("imad", Table6[[#This Row],[instruction]])), ISNUMBER(SEARCH("ffma", Table6[[#This Row],[instruction]])), ISNUMBER(SEARCH("fmul", Table6[[#This Row],[instruction]]))), "fma", "")</f>
        <v>fma</v>
      </c>
      <c r="P4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2" t="str">
        <f>IF(OR(ISNUMBER(SEARCH("s2r", Table6[[#This Row],[instruction]])),ISNUMBER(SEARCH("s2ur", Table6[[#This Row],[instruction]]))), "special", "")</f>
        <v/>
      </c>
      <c r="S472" t="str">
        <f>IF(OR(ISNUMBER(SEARCH("stg", Table6[[#This Row],[instruction]])),ISNUMBER(SEARCH("ldg", Table6[[#This Row],[instruction]]))), "global", "")</f>
        <v/>
      </c>
      <c r="T472" t="str">
        <f>IF(OR(ISNUMBER(SEARCH("sts", Table6[[#This Row],[instruction]])),ISNUMBER(SEARCH("lds", Table6[[#This Row],[instruction]]))), "shared", "")</f>
        <v/>
      </c>
      <c r="U472" t="str">
        <f>IF(OR(ISNUMBER(SEARCH("LDC", Table6[[#This Row],[instruction]]))), "ind. const", "")</f>
        <v/>
      </c>
      <c r="V4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Row],[s5]]))),U472=""), "cmb. const", "")</f>
        <v/>
      </c>
      <c r="Y472">
        <f>IF(Table6[[#This Row],[pipeline]]="fma",Table6[[#This Row],[delay]],0)</f>
        <v>4</v>
      </c>
      <c r="Z472">
        <f>IF(AND(Table6[[#This Row],[pipeline]]="fma",W472="new"),290,0)</f>
        <v>0</v>
      </c>
      <c r="AK472" s="34"/>
    </row>
    <row r="473" spans="1:37" ht="17" x14ac:dyDescent="0.2">
      <c r="A473" s="31">
        <f>IF(Table6[[#This Row],[instruction]]&lt;&gt;"",MAX($A$6:A472)+1," ")</f>
        <v>468</v>
      </c>
      <c r="B473" s="32" t="s">
        <v>485</v>
      </c>
      <c r="C473" t="s">
        <v>70</v>
      </c>
      <c r="D473" s="31" t="s">
        <v>608</v>
      </c>
      <c r="E473" s="31" t="s">
        <v>82</v>
      </c>
      <c r="F473" s="31" t="s">
        <v>436</v>
      </c>
      <c r="G473" s="31" t="s">
        <v>683</v>
      </c>
      <c r="K473" s="2" t="str">
        <f t="shared" si="7"/>
        <v>fma</v>
      </c>
      <c r="L473" cm="1">
        <f t="array" ref="L4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3" t="str">
        <f>IF(OR(ISNUMBER(SEARCH("imad", Table6[[#This Row],[instruction]])), ISNUMBER(SEARCH("ffma", Table6[[#This Row],[instruction]])), ISNUMBER(SEARCH("fmul", Table6[[#This Row],[instruction]]))), "fma", "")</f>
        <v>fma</v>
      </c>
      <c r="P4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3" t="str">
        <f>IF(OR(ISNUMBER(SEARCH("s2r", Table6[[#This Row],[instruction]])),ISNUMBER(SEARCH("s2ur", Table6[[#This Row],[instruction]]))), "special", "")</f>
        <v/>
      </c>
      <c r="S473" t="str">
        <f>IF(OR(ISNUMBER(SEARCH("stg", Table6[[#This Row],[instruction]])),ISNUMBER(SEARCH("ldg", Table6[[#This Row],[instruction]]))), "global", "")</f>
        <v/>
      </c>
      <c r="T473" t="str">
        <f>IF(OR(ISNUMBER(SEARCH("sts", Table6[[#This Row],[instruction]])),ISNUMBER(SEARCH("lds", Table6[[#This Row],[instruction]]))), "shared", "")</f>
        <v/>
      </c>
      <c r="U473" t="str">
        <f>IF(OR(ISNUMBER(SEARCH("LDC", Table6[[#This Row],[instruction]]))), "ind. const", "")</f>
        <v/>
      </c>
      <c r="V4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Row],[s5]]))),U473=""), "cmb. const", "")</f>
        <v/>
      </c>
      <c r="Y473">
        <f>IF(Table6[[#This Row],[pipeline]]="fma",Table6[[#This Row],[delay]],0)</f>
        <v>4</v>
      </c>
      <c r="Z473">
        <f>IF(AND(Table6[[#This Row],[pipeline]]="fma",W473="new"),290,0)</f>
        <v>0</v>
      </c>
      <c r="AK473" s="34"/>
    </row>
    <row r="474" spans="1:37" ht="17" x14ac:dyDescent="0.2">
      <c r="A474" s="31">
        <f>IF(Table6[[#This Row],[instruction]]&lt;&gt;"",MAX($A$6:A473)+1," ")</f>
        <v>469</v>
      </c>
      <c r="B474" s="32" t="s">
        <v>485</v>
      </c>
      <c r="C474" t="s">
        <v>70</v>
      </c>
      <c r="D474" s="31" t="s">
        <v>613</v>
      </c>
      <c r="E474" s="31" t="s">
        <v>82</v>
      </c>
      <c r="F474" s="31" t="s">
        <v>439</v>
      </c>
      <c r="G474" s="31" t="s">
        <v>684</v>
      </c>
      <c r="K474" s="2" t="str">
        <f t="shared" si="7"/>
        <v>fma</v>
      </c>
      <c r="L474" cm="1">
        <f t="array" ref="L4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4" t="str">
        <f>IF(OR(ISNUMBER(SEARCH("imad", Table6[[#This Row],[instruction]])), ISNUMBER(SEARCH("ffma", Table6[[#This Row],[instruction]])), ISNUMBER(SEARCH("fmul", Table6[[#This Row],[instruction]]))), "fma", "")</f>
        <v>fma</v>
      </c>
      <c r="P4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4" t="str">
        <f>IF(OR(ISNUMBER(SEARCH("s2r", Table6[[#This Row],[instruction]])),ISNUMBER(SEARCH("s2ur", Table6[[#This Row],[instruction]]))), "special", "")</f>
        <v/>
      </c>
      <c r="S474" t="str">
        <f>IF(OR(ISNUMBER(SEARCH("stg", Table6[[#This Row],[instruction]])),ISNUMBER(SEARCH("ldg", Table6[[#This Row],[instruction]]))), "global", "")</f>
        <v/>
      </c>
      <c r="T474" t="str">
        <f>IF(OR(ISNUMBER(SEARCH("sts", Table6[[#This Row],[instruction]])),ISNUMBER(SEARCH("lds", Table6[[#This Row],[instruction]]))), "shared", "")</f>
        <v/>
      </c>
      <c r="U474" t="str">
        <f>IF(OR(ISNUMBER(SEARCH("LDC", Table6[[#This Row],[instruction]]))), "ind. const", "")</f>
        <v/>
      </c>
      <c r="V4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Row],[s5]]))),U474=""), "cmb. const", "")</f>
        <v/>
      </c>
      <c r="Y474">
        <f>IF(Table6[[#This Row],[pipeline]]="fma",Table6[[#This Row],[delay]],0)</f>
        <v>4</v>
      </c>
      <c r="Z474">
        <f>IF(AND(Table6[[#This Row],[pipeline]]="fma",W474="new"),290,0)</f>
        <v>0</v>
      </c>
      <c r="AK474" s="34"/>
    </row>
    <row r="475" spans="1:37" ht="17" x14ac:dyDescent="0.2">
      <c r="A475" s="31">
        <f>IF(Table6[[#This Row],[instruction]]&lt;&gt;"",MAX($A$6:A474)+1," ")</f>
        <v>470</v>
      </c>
      <c r="B475" s="32" t="s">
        <v>485</v>
      </c>
      <c r="C475" t="s">
        <v>70</v>
      </c>
      <c r="D475" s="31" t="s">
        <v>605</v>
      </c>
      <c r="E475" s="31" t="s">
        <v>82</v>
      </c>
      <c r="F475" s="31" t="s">
        <v>447</v>
      </c>
      <c r="G475" s="31" t="s">
        <v>685</v>
      </c>
      <c r="K475" s="2" t="str">
        <f t="shared" si="7"/>
        <v>fma</v>
      </c>
      <c r="L475" cm="1">
        <f t="array" ref="L4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5" t="str">
        <f>IF(OR(ISNUMBER(SEARCH("imad", Table6[[#This Row],[instruction]])), ISNUMBER(SEARCH("ffma", Table6[[#This Row],[instruction]])), ISNUMBER(SEARCH("fmul", Table6[[#This Row],[instruction]]))), "fma", "")</f>
        <v>fma</v>
      </c>
      <c r="P4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5" t="str">
        <f>IF(OR(ISNUMBER(SEARCH("s2r", Table6[[#This Row],[instruction]])),ISNUMBER(SEARCH("s2ur", Table6[[#This Row],[instruction]]))), "special", "")</f>
        <v/>
      </c>
      <c r="S475" t="str">
        <f>IF(OR(ISNUMBER(SEARCH("stg", Table6[[#This Row],[instruction]])),ISNUMBER(SEARCH("ldg", Table6[[#This Row],[instruction]]))), "global", "")</f>
        <v/>
      </c>
      <c r="T475" t="str">
        <f>IF(OR(ISNUMBER(SEARCH("sts", Table6[[#This Row],[instruction]])),ISNUMBER(SEARCH("lds", Table6[[#This Row],[instruction]]))), "shared", "")</f>
        <v/>
      </c>
      <c r="U475" t="str">
        <f>IF(OR(ISNUMBER(SEARCH("LDC", Table6[[#This Row],[instruction]]))), "ind. const", "")</f>
        <v/>
      </c>
      <c r="V4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Row],[s5]]))),U475=""), "cmb. const", "")</f>
        <v/>
      </c>
      <c r="Y475">
        <f>IF(Table6[[#This Row],[pipeline]]="fma",Table6[[#This Row],[delay]],0)</f>
        <v>4</v>
      </c>
      <c r="Z475">
        <f>IF(AND(Table6[[#This Row],[pipeline]]="fma",W475="new"),290,0)</f>
        <v>0</v>
      </c>
      <c r="AK475" s="34"/>
    </row>
    <row r="476" spans="1:37" ht="17" x14ac:dyDescent="0.2">
      <c r="A476" s="31">
        <f>IF(Table6[[#This Row],[instruction]]&lt;&gt;"",MAX($A$6:A475)+1," ")</f>
        <v>471</v>
      </c>
      <c r="B476" s="32" t="s">
        <v>485</v>
      </c>
      <c r="C476" t="s">
        <v>70</v>
      </c>
      <c r="D476" s="31" t="s">
        <v>430</v>
      </c>
      <c r="E476" s="31" t="s">
        <v>430</v>
      </c>
      <c r="F476" s="31" t="s">
        <v>447</v>
      </c>
      <c r="G476" s="31" t="s">
        <v>673</v>
      </c>
      <c r="K476" s="2" t="str">
        <f t="shared" si="7"/>
        <v>fma</v>
      </c>
      <c r="L476" cm="1">
        <f t="array" ref="L4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6" t="str">
        <f>IF(OR(ISNUMBER(SEARCH("imad", Table6[[#This Row],[instruction]])), ISNUMBER(SEARCH("ffma", Table6[[#This Row],[instruction]])), ISNUMBER(SEARCH("fmul", Table6[[#This Row],[instruction]]))), "fma", "")</f>
        <v>fma</v>
      </c>
      <c r="P4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6" t="str">
        <f>IF(OR(ISNUMBER(SEARCH("s2r", Table6[[#This Row],[instruction]])),ISNUMBER(SEARCH("s2ur", Table6[[#This Row],[instruction]]))), "special", "")</f>
        <v/>
      </c>
      <c r="S476" t="str">
        <f>IF(OR(ISNUMBER(SEARCH("stg", Table6[[#This Row],[instruction]])),ISNUMBER(SEARCH("ldg", Table6[[#This Row],[instruction]]))), "global", "")</f>
        <v/>
      </c>
      <c r="T476" t="str">
        <f>IF(OR(ISNUMBER(SEARCH("sts", Table6[[#This Row],[instruction]])),ISNUMBER(SEARCH("lds", Table6[[#This Row],[instruction]]))), "shared", "")</f>
        <v/>
      </c>
      <c r="U476" t="str">
        <f>IF(OR(ISNUMBER(SEARCH("LDC", Table6[[#This Row],[instruction]]))), "ind. const", "")</f>
        <v/>
      </c>
      <c r="V4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Row],[s5]]))),U476=""), "cmb. const", "")</f>
        <v/>
      </c>
      <c r="Y476">
        <f>IF(Table6[[#This Row],[pipeline]]="fma",Table6[[#This Row],[delay]],0)</f>
        <v>4</v>
      </c>
      <c r="Z476">
        <f>IF(AND(Table6[[#This Row],[pipeline]]="fma",W476="new"),290,0)</f>
        <v>0</v>
      </c>
      <c r="AK476" s="34"/>
    </row>
    <row r="477" spans="1:37" ht="17" x14ac:dyDescent="0.2">
      <c r="A477" s="31">
        <f>IF(Table6[[#This Row],[instruction]]&lt;&gt;"",MAX($A$6:A476)+1," ")</f>
        <v>472</v>
      </c>
      <c r="B477" s="32" t="s">
        <v>485</v>
      </c>
      <c r="C477" t="s">
        <v>70</v>
      </c>
      <c r="D477" s="31" t="s">
        <v>654</v>
      </c>
      <c r="E477" s="31" t="s">
        <v>71</v>
      </c>
      <c r="F477" s="31" t="s">
        <v>440</v>
      </c>
      <c r="G477" s="31" t="s">
        <v>699</v>
      </c>
      <c r="K477" s="2" t="str">
        <f t="shared" si="7"/>
        <v>fma</v>
      </c>
      <c r="L477" cm="1">
        <f t="array" ref="L4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7" t="str">
        <f>IF(OR(ISNUMBER(SEARCH("imad", Table6[[#This Row],[instruction]])), ISNUMBER(SEARCH("ffma", Table6[[#This Row],[instruction]])), ISNUMBER(SEARCH("fmul", Table6[[#This Row],[instruction]]))), "fma", "")</f>
        <v>fma</v>
      </c>
      <c r="P4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7" t="str">
        <f>IF(OR(ISNUMBER(SEARCH("s2r", Table6[[#This Row],[instruction]])),ISNUMBER(SEARCH("s2ur", Table6[[#This Row],[instruction]]))), "special", "")</f>
        <v/>
      </c>
      <c r="S477" t="str">
        <f>IF(OR(ISNUMBER(SEARCH("stg", Table6[[#This Row],[instruction]])),ISNUMBER(SEARCH("ldg", Table6[[#This Row],[instruction]]))), "global", "")</f>
        <v/>
      </c>
      <c r="T477" t="str">
        <f>IF(OR(ISNUMBER(SEARCH("sts", Table6[[#This Row],[instruction]])),ISNUMBER(SEARCH("lds", Table6[[#This Row],[instruction]]))), "shared", "")</f>
        <v/>
      </c>
      <c r="U477" t="str">
        <f>IF(OR(ISNUMBER(SEARCH("LDC", Table6[[#This Row],[instruction]]))), "ind. const", "")</f>
        <v/>
      </c>
      <c r="V4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Row],[s5]]))),U477=""), "cmb. const", "")</f>
        <v/>
      </c>
      <c r="Y477">
        <f>IF(Table6[[#This Row],[pipeline]]="fma",Table6[[#This Row],[delay]],0)</f>
        <v>4</v>
      </c>
      <c r="Z477">
        <f>IF(AND(Table6[[#This Row],[pipeline]]="fma",W477="new"),290,0)</f>
        <v>0</v>
      </c>
      <c r="AK477" s="34"/>
    </row>
    <row r="478" spans="1:37" ht="17" x14ac:dyDescent="0.2">
      <c r="A478" s="31">
        <f>IF(Table6[[#This Row],[instruction]]&lt;&gt;"",MAX($A$6:A477)+1," ")</f>
        <v>473</v>
      </c>
      <c r="B478" s="32" t="s">
        <v>485</v>
      </c>
      <c r="C478" t="s">
        <v>277</v>
      </c>
      <c r="D478" s="31" t="s">
        <v>610</v>
      </c>
      <c r="E478" s="31" t="s">
        <v>593</v>
      </c>
      <c r="K478" s="2" t="str">
        <f t="shared" si="7"/>
        <v>shared</v>
      </c>
      <c r="L478" cm="1">
        <f t="array" ref="L4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78" t="str">
        <f>IF(OR(ISNUMBER(SEARCH("imad", Table6[[#This Row],[instruction]])), ISNUMBER(SEARCH("ffma", Table6[[#This Row],[instruction]])), ISNUMBER(SEARCH("fmul", Table6[[#This Row],[instruction]]))), "fma", "")</f>
        <v/>
      </c>
      <c r="P4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8" t="str">
        <f>IF(OR(ISNUMBER(SEARCH("s2r", Table6[[#This Row],[instruction]])),ISNUMBER(SEARCH("s2ur", Table6[[#This Row],[instruction]]))), "special", "")</f>
        <v/>
      </c>
      <c r="S478" t="str">
        <f>IF(OR(ISNUMBER(SEARCH("stg", Table6[[#This Row],[instruction]])),ISNUMBER(SEARCH("ldg", Table6[[#This Row],[instruction]]))), "global", "")</f>
        <v/>
      </c>
      <c r="T478" t="str">
        <f>IF(OR(ISNUMBER(SEARCH("sts", Table6[[#This Row],[instruction]])),ISNUMBER(SEARCH("lds", Table6[[#This Row],[instruction]]))), "shared", "")</f>
        <v>shared</v>
      </c>
      <c r="U478" t="str">
        <f>IF(OR(ISNUMBER(SEARCH("LDC", Table6[[#This Row],[instruction]]))), "ind. const", "")</f>
        <v/>
      </c>
      <c r="V4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Row],[s5]]))),U478=""), "cmb. const", "")</f>
        <v/>
      </c>
      <c r="Y478">
        <f>IF(Table6[[#This Row],[pipeline]]="fma",Table6[[#This Row],[delay]],0)</f>
        <v>0</v>
      </c>
      <c r="Z478">
        <f>IF(AND(Table6[[#This Row],[pipeline]]="fma",W478="new"),290,0)</f>
        <v>0</v>
      </c>
      <c r="AK478" s="34"/>
    </row>
    <row r="479" spans="1:37" ht="17" x14ac:dyDescent="0.2">
      <c r="A479" s="31">
        <f>IF(Table6[[#This Row],[instruction]]&lt;&gt;"",MAX($A$6:A478)+1," ")</f>
        <v>474</v>
      </c>
      <c r="B479" s="32" t="s">
        <v>485</v>
      </c>
      <c r="C479" t="s">
        <v>70</v>
      </c>
      <c r="D479" s="31" t="s">
        <v>597</v>
      </c>
      <c r="E479" s="31" t="s">
        <v>71</v>
      </c>
      <c r="F479" s="31" t="s">
        <v>436</v>
      </c>
      <c r="G479" s="31" t="s">
        <v>686</v>
      </c>
      <c r="K479" s="2" t="str">
        <f t="shared" si="7"/>
        <v>fma</v>
      </c>
      <c r="L479" cm="1">
        <f t="array" ref="L4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79" t="str">
        <f>IF(OR(ISNUMBER(SEARCH("imad", Table6[[#This Row],[instruction]])), ISNUMBER(SEARCH("ffma", Table6[[#This Row],[instruction]])), ISNUMBER(SEARCH("fmul", Table6[[#This Row],[instruction]]))), "fma", "")</f>
        <v>fma</v>
      </c>
      <c r="P4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79" t="str">
        <f>IF(OR(ISNUMBER(SEARCH("s2r", Table6[[#This Row],[instruction]])),ISNUMBER(SEARCH("s2ur", Table6[[#This Row],[instruction]]))), "special", "")</f>
        <v/>
      </c>
      <c r="S479" t="str">
        <f>IF(OR(ISNUMBER(SEARCH("stg", Table6[[#This Row],[instruction]])),ISNUMBER(SEARCH("ldg", Table6[[#This Row],[instruction]]))), "global", "")</f>
        <v/>
      </c>
      <c r="T479" t="str">
        <f>IF(OR(ISNUMBER(SEARCH("sts", Table6[[#This Row],[instruction]])),ISNUMBER(SEARCH("lds", Table6[[#This Row],[instruction]]))), "shared", "")</f>
        <v/>
      </c>
      <c r="U479" t="str">
        <f>IF(OR(ISNUMBER(SEARCH("LDC", Table6[[#This Row],[instruction]]))), "ind. const", "")</f>
        <v/>
      </c>
      <c r="V4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Row],[s5]]))),U479=""), "cmb. const", "")</f>
        <v/>
      </c>
      <c r="Y479">
        <f>IF(Table6[[#This Row],[pipeline]]="fma",Table6[[#This Row],[delay]],0)</f>
        <v>4</v>
      </c>
      <c r="Z479">
        <f>IF(AND(Table6[[#This Row],[pipeline]]="fma",W479="new"),290,0)</f>
        <v>0</v>
      </c>
      <c r="AK479" s="34"/>
    </row>
    <row r="480" spans="1:37" ht="17" x14ac:dyDescent="0.2">
      <c r="A480" s="31">
        <f>IF(Table6[[#This Row],[instruction]]&lt;&gt;"",MAX($A$6:A479)+1," ")</f>
        <v>475</v>
      </c>
      <c r="B480" s="32" t="s">
        <v>485</v>
      </c>
      <c r="C480" t="s">
        <v>70</v>
      </c>
      <c r="D480" s="31" t="s">
        <v>604</v>
      </c>
      <c r="E480" s="31" t="s">
        <v>71</v>
      </c>
      <c r="F480" s="31" t="s">
        <v>439</v>
      </c>
      <c r="G480" s="31" t="s">
        <v>687</v>
      </c>
      <c r="K480" s="2" t="str">
        <f t="shared" si="7"/>
        <v>fma</v>
      </c>
      <c r="L480" cm="1">
        <f t="array" ref="L4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80" t="str">
        <f>IF(OR(ISNUMBER(SEARCH("imad", Table6[[#This Row],[instruction]])), ISNUMBER(SEARCH("ffma", Table6[[#This Row],[instruction]])), ISNUMBER(SEARCH("fmul", Table6[[#This Row],[instruction]]))), "fma", "")</f>
        <v>fma</v>
      </c>
      <c r="P4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0" t="str">
        <f>IF(OR(ISNUMBER(SEARCH("s2r", Table6[[#This Row],[instruction]])),ISNUMBER(SEARCH("s2ur", Table6[[#This Row],[instruction]]))), "special", "")</f>
        <v/>
      </c>
      <c r="S480" t="str">
        <f>IF(OR(ISNUMBER(SEARCH("stg", Table6[[#This Row],[instruction]])),ISNUMBER(SEARCH("ldg", Table6[[#This Row],[instruction]]))), "global", "")</f>
        <v/>
      </c>
      <c r="T480" t="str">
        <f>IF(OR(ISNUMBER(SEARCH("sts", Table6[[#This Row],[instruction]])),ISNUMBER(SEARCH("lds", Table6[[#This Row],[instruction]]))), "shared", "")</f>
        <v/>
      </c>
      <c r="U480" t="str">
        <f>IF(OR(ISNUMBER(SEARCH("LDC", Table6[[#This Row],[instruction]]))), "ind. const", "")</f>
        <v/>
      </c>
      <c r="V4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Row],[s5]]))),U480=""), "cmb. const", "")</f>
        <v/>
      </c>
      <c r="Y480">
        <f>IF(Table6[[#This Row],[pipeline]]="fma",Table6[[#This Row],[delay]],0)</f>
        <v>4</v>
      </c>
      <c r="Z480">
        <f>IF(AND(Table6[[#This Row],[pipeline]]="fma",W480="new"),290,0)</f>
        <v>0</v>
      </c>
      <c r="AK480" s="34"/>
    </row>
    <row r="481" spans="1:37" ht="17" x14ac:dyDescent="0.2">
      <c r="A481" s="31">
        <f>IF(Table6[[#This Row],[instruction]]&lt;&gt;"",MAX($A$6:A480)+1," ")</f>
        <v>476</v>
      </c>
      <c r="B481" s="32" t="s">
        <v>485</v>
      </c>
      <c r="C481" t="s">
        <v>277</v>
      </c>
      <c r="D481" s="31" t="s">
        <v>617</v>
      </c>
      <c r="E481" s="31" t="s">
        <v>618</v>
      </c>
      <c r="K481" s="2" t="str">
        <f t="shared" si="7"/>
        <v>shared</v>
      </c>
      <c r="L481" cm="1">
        <f t="array" ref="L4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81" t="str">
        <f>IF(OR(ISNUMBER(SEARCH("imad", Table6[[#This Row],[instruction]])), ISNUMBER(SEARCH("ffma", Table6[[#This Row],[instruction]])), ISNUMBER(SEARCH("fmul", Table6[[#This Row],[instruction]]))), "fma", "")</f>
        <v/>
      </c>
      <c r="P4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1" t="str">
        <f>IF(OR(ISNUMBER(SEARCH("s2r", Table6[[#This Row],[instruction]])),ISNUMBER(SEARCH("s2ur", Table6[[#This Row],[instruction]]))), "special", "")</f>
        <v/>
      </c>
      <c r="S481" t="str">
        <f>IF(OR(ISNUMBER(SEARCH("stg", Table6[[#This Row],[instruction]])),ISNUMBER(SEARCH("ldg", Table6[[#This Row],[instruction]]))), "global", "")</f>
        <v/>
      </c>
      <c r="T481" t="str">
        <f>IF(OR(ISNUMBER(SEARCH("sts", Table6[[#This Row],[instruction]])),ISNUMBER(SEARCH("lds", Table6[[#This Row],[instruction]]))), "shared", "")</f>
        <v>shared</v>
      </c>
      <c r="U481" t="str">
        <f>IF(OR(ISNUMBER(SEARCH("LDC", Table6[[#This Row],[instruction]]))), "ind. const", "")</f>
        <v/>
      </c>
      <c r="V4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Row],[s5]]))),U481=""), "cmb. const", "")</f>
        <v/>
      </c>
      <c r="Y481">
        <f>IF(Table6[[#This Row],[pipeline]]="fma",Table6[[#This Row],[delay]],0)</f>
        <v>0</v>
      </c>
      <c r="Z481">
        <f>IF(AND(Table6[[#This Row],[pipeline]]="fma",W481="new"),290,0)</f>
        <v>0</v>
      </c>
      <c r="AK481" s="34"/>
    </row>
    <row r="482" spans="1:37" ht="17" x14ac:dyDescent="0.2">
      <c r="A482" s="31">
        <f>IF(Table6[[#This Row],[instruction]]&lt;&gt;"",MAX($A$6:A481)+1," ")</f>
        <v>477</v>
      </c>
      <c r="B482" s="32" t="s">
        <v>485</v>
      </c>
      <c r="C482" t="s">
        <v>70</v>
      </c>
      <c r="D482" s="31" t="s">
        <v>598</v>
      </c>
      <c r="E482" s="31" t="s">
        <v>71</v>
      </c>
      <c r="F482" s="31" t="s">
        <v>447</v>
      </c>
      <c r="G482" s="31" t="s">
        <v>688</v>
      </c>
      <c r="K482" s="2" t="str">
        <f t="shared" si="7"/>
        <v>fma</v>
      </c>
      <c r="L482" cm="1">
        <f t="array" ref="L4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82" t="str">
        <f>IF(OR(ISNUMBER(SEARCH("imad", Table6[[#This Row],[instruction]])), ISNUMBER(SEARCH("ffma", Table6[[#This Row],[instruction]])), ISNUMBER(SEARCH("fmul", Table6[[#This Row],[instruction]]))), "fma", "")</f>
        <v>fma</v>
      </c>
      <c r="P4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2" t="str">
        <f>IF(OR(ISNUMBER(SEARCH("s2r", Table6[[#This Row],[instruction]])),ISNUMBER(SEARCH("s2ur", Table6[[#This Row],[instruction]]))), "special", "")</f>
        <v/>
      </c>
      <c r="S482" t="str">
        <f>IF(OR(ISNUMBER(SEARCH("stg", Table6[[#This Row],[instruction]])),ISNUMBER(SEARCH("ldg", Table6[[#This Row],[instruction]]))), "global", "")</f>
        <v/>
      </c>
      <c r="T482" t="str">
        <f>IF(OR(ISNUMBER(SEARCH("sts", Table6[[#This Row],[instruction]])),ISNUMBER(SEARCH("lds", Table6[[#This Row],[instruction]]))), "shared", "")</f>
        <v/>
      </c>
      <c r="U482" t="str">
        <f>IF(OR(ISNUMBER(SEARCH("LDC", Table6[[#This Row],[instruction]]))), "ind. const", "")</f>
        <v/>
      </c>
      <c r="V4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Row],[s5]]))),U482=""), "cmb. const", "")</f>
        <v/>
      </c>
      <c r="Y482">
        <f>IF(Table6[[#This Row],[pipeline]]="fma",Table6[[#This Row],[delay]],0)</f>
        <v>4</v>
      </c>
      <c r="Z482">
        <f>IF(AND(Table6[[#This Row],[pipeline]]="fma",W482="new"),290,0)</f>
        <v>0</v>
      </c>
      <c r="AK482" s="34"/>
    </row>
    <row r="483" spans="1:37" ht="17" x14ac:dyDescent="0.2">
      <c r="A483" s="31">
        <f>IF(Table6[[#This Row],[instruction]]&lt;&gt;"",MAX($A$6:A482)+1," ")</f>
        <v>478</v>
      </c>
      <c r="B483" s="32" t="s">
        <v>485</v>
      </c>
      <c r="C483" t="s">
        <v>277</v>
      </c>
      <c r="D483" s="31" t="s">
        <v>619</v>
      </c>
      <c r="E483" s="31" t="s">
        <v>620</v>
      </c>
      <c r="K483" s="2" t="str">
        <f t="shared" si="7"/>
        <v>shared</v>
      </c>
      <c r="L483" cm="1">
        <f t="array" ref="L4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83" t="str">
        <f>IF(OR(ISNUMBER(SEARCH("imad", Table6[[#This Row],[instruction]])), ISNUMBER(SEARCH("ffma", Table6[[#This Row],[instruction]])), ISNUMBER(SEARCH("fmul", Table6[[#This Row],[instruction]]))), "fma", "")</f>
        <v/>
      </c>
      <c r="P4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3" t="str">
        <f>IF(OR(ISNUMBER(SEARCH("s2r", Table6[[#This Row],[instruction]])),ISNUMBER(SEARCH("s2ur", Table6[[#This Row],[instruction]]))), "special", "")</f>
        <v/>
      </c>
      <c r="S483" t="str">
        <f>IF(OR(ISNUMBER(SEARCH("stg", Table6[[#This Row],[instruction]])),ISNUMBER(SEARCH("ldg", Table6[[#This Row],[instruction]]))), "global", "")</f>
        <v/>
      </c>
      <c r="T483" t="str">
        <f>IF(OR(ISNUMBER(SEARCH("sts", Table6[[#This Row],[instruction]])),ISNUMBER(SEARCH("lds", Table6[[#This Row],[instruction]]))), "shared", "")</f>
        <v>shared</v>
      </c>
      <c r="U483" t="str">
        <f>IF(OR(ISNUMBER(SEARCH("LDC", Table6[[#This Row],[instruction]]))), "ind. const", "")</f>
        <v/>
      </c>
      <c r="V4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Row],[s5]]))),U483=""), "cmb. const", "")</f>
        <v/>
      </c>
      <c r="Y483">
        <f>IF(Table6[[#This Row],[pipeline]]="fma",Table6[[#This Row],[delay]],0)</f>
        <v>0</v>
      </c>
      <c r="Z483">
        <f>IF(AND(Table6[[#This Row],[pipeline]]="fma",W483="new"),290,0)</f>
        <v>0</v>
      </c>
      <c r="AK483" s="34"/>
    </row>
    <row r="484" spans="1:37" ht="17" x14ac:dyDescent="0.2">
      <c r="A484" s="31">
        <f>IF(Table6[[#This Row],[instruction]]&lt;&gt;"",MAX($A$6:A483)+1," ")</f>
        <v>479</v>
      </c>
      <c r="B484" s="32" t="s">
        <v>485</v>
      </c>
      <c r="C484" t="s">
        <v>277</v>
      </c>
      <c r="D484" s="31" t="s">
        <v>621</v>
      </c>
      <c r="E484" s="31" t="s">
        <v>622</v>
      </c>
      <c r="K484" s="2" t="str">
        <f t="shared" si="7"/>
        <v>shared</v>
      </c>
      <c r="L484" cm="1">
        <f t="array" ref="L4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84" t="str">
        <f>IF(OR(ISNUMBER(SEARCH("imad", Table6[[#This Row],[instruction]])), ISNUMBER(SEARCH("ffma", Table6[[#This Row],[instruction]])), ISNUMBER(SEARCH("fmul", Table6[[#This Row],[instruction]]))), "fma", "")</f>
        <v/>
      </c>
      <c r="P4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4" t="str">
        <f>IF(OR(ISNUMBER(SEARCH("s2r", Table6[[#This Row],[instruction]])),ISNUMBER(SEARCH("s2ur", Table6[[#This Row],[instruction]]))), "special", "")</f>
        <v/>
      </c>
      <c r="S484" t="str">
        <f>IF(OR(ISNUMBER(SEARCH("stg", Table6[[#This Row],[instruction]])),ISNUMBER(SEARCH("ldg", Table6[[#This Row],[instruction]]))), "global", "")</f>
        <v/>
      </c>
      <c r="T484" t="str">
        <f>IF(OR(ISNUMBER(SEARCH("sts", Table6[[#This Row],[instruction]])),ISNUMBER(SEARCH("lds", Table6[[#This Row],[instruction]]))), "shared", "")</f>
        <v>shared</v>
      </c>
      <c r="U484" t="str">
        <f>IF(OR(ISNUMBER(SEARCH("LDC", Table6[[#This Row],[instruction]]))), "ind. const", "")</f>
        <v/>
      </c>
      <c r="V4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Row],[s5]]))),U484=""), "cmb. const", "")</f>
        <v/>
      </c>
      <c r="Y484">
        <f>IF(Table6[[#This Row],[pipeline]]="fma",Table6[[#This Row],[delay]],0)</f>
        <v>0</v>
      </c>
      <c r="Z484">
        <f>IF(AND(Table6[[#This Row],[pipeline]]="fma",W484="new"),290,0)</f>
        <v>0</v>
      </c>
      <c r="AK484" s="34"/>
    </row>
    <row r="485" spans="1:37" ht="17" x14ac:dyDescent="0.2">
      <c r="A485" s="31">
        <f>IF(Table6[[#This Row],[instruction]]&lt;&gt;"",MAX($A$6:A484)+1," ")</f>
        <v>480</v>
      </c>
      <c r="B485" s="32" t="s">
        <v>485</v>
      </c>
      <c r="C485" t="s">
        <v>277</v>
      </c>
      <c r="D485" s="31" t="s">
        <v>615</v>
      </c>
      <c r="E485" s="31" t="s">
        <v>616</v>
      </c>
      <c r="K485" s="2" t="str">
        <f t="shared" si="7"/>
        <v>shared</v>
      </c>
      <c r="L485" cm="1">
        <f t="array" ref="L4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19</v>
      </c>
      <c r="O485" t="str">
        <f>IF(OR(ISNUMBER(SEARCH("imad", Table6[[#This Row],[instruction]])), ISNUMBER(SEARCH("ffma", Table6[[#This Row],[instruction]])), ISNUMBER(SEARCH("fmul", Table6[[#This Row],[instruction]]))), "fma", "")</f>
        <v/>
      </c>
      <c r="P4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5" t="str">
        <f>IF(OR(ISNUMBER(SEARCH("s2r", Table6[[#This Row],[instruction]])),ISNUMBER(SEARCH("s2ur", Table6[[#This Row],[instruction]]))), "special", "")</f>
        <v/>
      </c>
      <c r="S485" t="str">
        <f>IF(OR(ISNUMBER(SEARCH("stg", Table6[[#This Row],[instruction]])),ISNUMBER(SEARCH("ldg", Table6[[#This Row],[instruction]]))), "global", "")</f>
        <v/>
      </c>
      <c r="T485" t="str">
        <f>IF(OR(ISNUMBER(SEARCH("sts", Table6[[#This Row],[instruction]])),ISNUMBER(SEARCH("lds", Table6[[#This Row],[instruction]]))), "shared", "")</f>
        <v>shared</v>
      </c>
      <c r="U485" t="str">
        <f>IF(OR(ISNUMBER(SEARCH("LDC", Table6[[#This Row],[instruction]]))), "ind. const", "")</f>
        <v/>
      </c>
      <c r="V4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Row],[s5]]))),U485=""), "cmb. const", "")</f>
        <v/>
      </c>
      <c r="Y485">
        <f>IF(Table6[[#This Row],[pipeline]]="fma",Table6[[#This Row],[delay]],0)</f>
        <v>0</v>
      </c>
      <c r="Z485">
        <f>IF(AND(Table6[[#This Row],[pipeline]]="fma",W485="new"),290,0)</f>
        <v>0</v>
      </c>
      <c r="AK485" s="34"/>
    </row>
    <row r="486" spans="1:37" ht="17" x14ac:dyDescent="0.2">
      <c r="A486" s="31">
        <f>IF(Table6[[#This Row],[instruction]]&lt;&gt;"",MAX($A$6:A485)+1," ")</f>
        <v>481</v>
      </c>
      <c r="B486" s="32" t="s">
        <v>485</v>
      </c>
      <c r="C486" t="s">
        <v>70</v>
      </c>
      <c r="D486" s="31" t="s">
        <v>577</v>
      </c>
      <c r="E486" s="31" t="s">
        <v>652</v>
      </c>
      <c r="F486" s="31" t="s">
        <v>627</v>
      </c>
      <c r="G486" s="31" t="s">
        <v>677</v>
      </c>
      <c r="K486" s="2" t="str">
        <f t="shared" si="7"/>
        <v>fma</v>
      </c>
      <c r="L486" cm="1">
        <f t="array" ref="L4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86" t="str">
        <f>IF(OR(ISNUMBER(SEARCH("imad", Table6[[#This Row],[instruction]])), ISNUMBER(SEARCH("ffma", Table6[[#This Row],[instruction]])), ISNUMBER(SEARCH("fmul", Table6[[#This Row],[instruction]]))), "fma", "")</f>
        <v>fma</v>
      </c>
      <c r="P4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6" t="str">
        <f>IF(OR(ISNUMBER(SEARCH("s2r", Table6[[#This Row],[instruction]])),ISNUMBER(SEARCH("s2ur", Table6[[#This Row],[instruction]]))), "special", "")</f>
        <v/>
      </c>
      <c r="S486" t="str">
        <f>IF(OR(ISNUMBER(SEARCH("stg", Table6[[#This Row],[instruction]])),ISNUMBER(SEARCH("ldg", Table6[[#This Row],[instruction]]))), "global", "")</f>
        <v/>
      </c>
      <c r="T486" t="str">
        <f>IF(OR(ISNUMBER(SEARCH("sts", Table6[[#This Row],[instruction]])),ISNUMBER(SEARCH("lds", Table6[[#This Row],[instruction]]))), "shared", "")</f>
        <v/>
      </c>
      <c r="U486" t="str">
        <f>IF(OR(ISNUMBER(SEARCH("LDC", Table6[[#This Row],[instruction]]))), "ind. const", "")</f>
        <v/>
      </c>
      <c r="V4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Row],[s5]]))),U486=""), "cmb. const", "")</f>
        <v/>
      </c>
      <c r="Y486">
        <f>IF(Table6[[#This Row],[pipeline]]="fma",Table6[[#This Row],[delay]],0)</f>
        <v>4</v>
      </c>
      <c r="Z486">
        <f>IF(AND(Table6[[#This Row],[pipeline]]="fma",W486="new"),290,0)</f>
        <v>0</v>
      </c>
      <c r="AK486" s="34"/>
    </row>
    <row r="487" spans="1:37" ht="17" x14ac:dyDescent="0.2">
      <c r="A487" s="31">
        <f>IF(Table6[[#This Row],[instruction]]&lt;&gt;"",MAX($A$6:A486)+1," ")</f>
        <v>482</v>
      </c>
      <c r="B487" s="32" t="s">
        <v>485</v>
      </c>
      <c r="C487" t="s">
        <v>26</v>
      </c>
      <c r="D487" s="31" t="s">
        <v>606</v>
      </c>
      <c r="E487" s="31" t="s">
        <v>606</v>
      </c>
      <c r="F487" s="31" t="s">
        <v>707</v>
      </c>
      <c r="G487" s="31" t="s">
        <v>502</v>
      </c>
      <c r="K487" s="2" t="str">
        <f t="shared" si="7"/>
        <v>alu</v>
      </c>
      <c r="L487" cm="1">
        <f t="array" ref="L4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487" t="str">
        <f>IF(OR(ISNUMBER(SEARCH("imad", Table6[[#This Row],[instruction]])), ISNUMBER(SEARCH("ffma", Table6[[#This Row],[instruction]])), ISNUMBER(SEARCH("fmul", Table6[[#This Row],[instruction]]))), "fma", "")</f>
        <v/>
      </c>
      <c r="P4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7" t="str">
        <f>IF(OR(ISNUMBER(SEARCH("s2r", Table6[[#This Row],[instruction]])),ISNUMBER(SEARCH("s2ur", Table6[[#This Row],[instruction]]))), "special", "")</f>
        <v/>
      </c>
      <c r="S487" t="str">
        <f>IF(OR(ISNUMBER(SEARCH("stg", Table6[[#This Row],[instruction]])),ISNUMBER(SEARCH("ldg", Table6[[#This Row],[instruction]]))), "global", "")</f>
        <v/>
      </c>
      <c r="T487" t="str">
        <f>IF(OR(ISNUMBER(SEARCH("sts", Table6[[#This Row],[instruction]])),ISNUMBER(SEARCH("lds", Table6[[#This Row],[instruction]]))), "shared", "")</f>
        <v/>
      </c>
      <c r="U487" t="str">
        <f>IF(OR(ISNUMBER(SEARCH("LDC", Table6[[#This Row],[instruction]]))), "ind. const", "")</f>
        <v/>
      </c>
      <c r="V4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Row],[s5]]))),U487=""), "cmb. const", "")</f>
        <v/>
      </c>
      <c r="Y487">
        <f>IF(Table6[[#This Row],[pipeline]]="fma",Table6[[#This Row],[delay]],0)</f>
        <v>0</v>
      </c>
      <c r="Z487">
        <f>IF(AND(Table6[[#This Row],[pipeline]]="fma",W487="new"),290,0)</f>
        <v>0</v>
      </c>
      <c r="AK487" s="34"/>
    </row>
    <row r="488" spans="1:37" ht="17" x14ac:dyDescent="0.2">
      <c r="A488" s="31">
        <f>IF(Table6[[#This Row],[instruction]]&lt;&gt;"",MAX($A$6:A487)+1," ")</f>
        <v>483</v>
      </c>
      <c r="B488" s="32" t="s">
        <v>485</v>
      </c>
      <c r="C488" t="s">
        <v>70</v>
      </c>
      <c r="D488" s="31" t="s">
        <v>80</v>
      </c>
      <c r="E488" s="31" t="s">
        <v>652</v>
      </c>
      <c r="F488" s="31" t="s">
        <v>678</v>
      </c>
      <c r="G488" s="31" t="s">
        <v>679</v>
      </c>
      <c r="K488" s="2" t="str">
        <f t="shared" si="7"/>
        <v>fma</v>
      </c>
      <c r="L488" cm="1">
        <f t="array" ref="L4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88" t="str">
        <f>IF(OR(ISNUMBER(SEARCH("imad", Table6[[#This Row],[instruction]])), ISNUMBER(SEARCH("ffma", Table6[[#This Row],[instruction]])), ISNUMBER(SEARCH("fmul", Table6[[#This Row],[instruction]]))), "fma", "")</f>
        <v>fma</v>
      </c>
      <c r="P4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8" t="str">
        <f>IF(OR(ISNUMBER(SEARCH("s2r", Table6[[#This Row],[instruction]])),ISNUMBER(SEARCH("s2ur", Table6[[#This Row],[instruction]]))), "special", "")</f>
        <v/>
      </c>
      <c r="S488" t="str">
        <f>IF(OR(ISNUMBER(SEARCH("stg", Table6[[#This Row],[instruction]])),ISNUMBER(SEARCH("ldg", Table6[[#This Row],[instruction]]))), "global", "")</f>
        <v/>
      </c>
      <c r="T488" t="str">
        <f>IF(OR(ISNUMBER(SEARCH("sts", Table6[[#This Row],[instruction]])),ISNUMBER(SEARCH("lds", Table6[[#This Row],[instruction]]))), "shared", "")</f>
        <v/>
      </c>
      <c r="U488" t="str">
        <f>IF(OR(ISNUMBER(SEARCH("LDC", Table6[[#This Row],[instruction]]))), "ind. const", "")</f>
        <v/>
      </c>
      <c r="V4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Row],[s5]]))),U488=""), "cmb. const", "")</f>
        <v/>
      </c>
      <c r="Y488">
        <f>IF(Table6[[#This Row],[pipeline]]="fma",Table6[[#This Row],[delay]],0)</f>
        <v>4</v>
      </c>
      <c r="Z488">
        <f>IF(AND(Table6[[#This Row],[pipeline]]="fma",W488="new"),290,0)</f>
        <v>0</v>
      </c>
      <c r="AK488" s="34"/>
    </row>
    <row r="489" spans="1:37" ht="17" x14ac:dyDescent="0.2">
      <c r="A489" s="31">
        <f>IF(Table6[[#This Row],[instruction]]&lt;&gt;"",MAX($A$6:A488)+1," ")</f>
        <v>484</v>
      </c>
      <c r="B489" s="32" t="s">
        <v>485</v>
      </c>
      <c r="C489" t="s">
        <v>26</v>
      </c>
      <c r="D489" s="31" t="s">
        <v>592</v>
      </c>
      <c r="E489" s="31" t="s">
        <v>592</v>
      </c>
      <c r="F489" s="31" t="s">
        <v>526</v>
      </c>
      <c r="G489" s="31" t="s">
        <v>502</v>
      </c>
      <c r="K489" s="2" t="str">
        <f t="shared" si="7"/>
        <v>alu</v>
      </c>
      <c r="L489" cm="1">
        <f t="array" ref="L4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489" t="str">
        <f>IF(OR(ISNUMBER(SEARCH("imad", Table6[[#This Row],[instruction]])), ISNUMBER(SEARCH("ffma", Table6[[#This Row],[instruction]])), ISNUMBER(SEARCH("fmul", Table6[[#This Row],[instruction]]))), "fma", "")</f>
        <v/>
      </c>
      <c r="P4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89" t="str">
        <f>IF(OR(ISNUMBER(SEARCH("s2r", Table6[[#This Row],[instruction]])),ISNUMBER(SEARCH("s2ur", Table6[[#This Row],[instruction]]))), "special", "")</f>
        <v/>
      </c>
      <c r="S489" t="str">
        <f>IF(OR(ISNUMBER(SEARCH("stg", Table6[[#This Row],[instruction]])),ISNUMBER(SEARCH("ldg", Table6[[#This Row],[instruction]]))), "global", "")</f>
        <v/>
      </c>
      <c r="T489" t="str">
        <f>IF(OR(ISNUMBER(SEARCH("sts", Table6[[#This Row],[instruction]])),ISNUMBER(SEARCH("lds", Table6[[#This Row],[instruction]]))), "shared", "")</f>
        <v/>
      </c>
      <c r="U489" t="str">
        <f>IF(OR(ISNUMBER(SEARCH("LDC", Table6[[#This Row],[instruction]]))), "ind. const", "")</f>
        <v/>
      </c>
      <c r="V4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Row],[s5]]))),U489=""), "cmb. const", "")</f>
        <v/>
      </c>
      <c r="Y489">
        <f>IF(Table6[[#This Row],[pipeline]]="fma",Table6[[#This Row],[delay]],0)</f>
        <v>0</v>
      </c>
      <c r="Z489">
        <f>IF(AND(Table6[[#This Row],[pipeline]]="fma",W489="new"),290,0)</f>
        <v>0</v>
      </c>
      <c r="AK489" s="34"/>
    </row>
    <row r="490" spans="1:37" ht="17" x14ac:dyDescent="0.2">
      <c r="A490" s="31">
        <f>IF(Table6[[#This Row],[instruction]]&lt;&gt;"",MAX($A$6:A489)+1," ")</f>
        <v>485</v>
      </c>
      <c r="B490" s="32" t="s">
        <v>485</v>
      </c>
      <c r="C490" t="s">
        <v>70</v>
      </c>
      <c r="D490" s="31" t="s">
        <v>588</v>
      </c>
      <c r="E490" s="31" t="s">
        <v>652</v>
      </c>
      <c r="F490" s="31" t="s">
        <v>680</v>
      </c>
      <c r="G490" s="31" t="s">
        <v>681</v>
      </c>
      <c r="K490" s="2" t="str">
        <f t="shared" si="7"/>
        <v>fma</v>
      </c>
      <c r="L490" cm="1">
        <f t="array" ref="L4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0" t="str">
        <f>IF(OR(ISNUMBER(SEARCH("imad", Table6[[#This Row],[instruction]])), ISNUMBER(SEARCH("ffma", Table6[[#This Row],[instruction]])), ISNUMBER(SEARCH("fmul", Table6[[#This Row],[instruction]]))), "fma", "")</f>
        <v>fma</v>
      </c>
      <c r="P4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0" t="str">
        <f>IF(OR(ISNUMBER(SEARCH("s2r", Table6[[#This Row],[instruction]])),ISNUMBER(SEARCH("s2ur", Table6[[#This Row],[instruction]]))), "special", "")</f>
        <v/>
      </c>
      <c r="S490" t="str">
        <f>IF(OR(ISNUMBER(SEARCH("stg", Table6[[#This Row],[instruction]])),ISNUMBER(SEARCH("ldg", Table6[[#This Row],[instruction]]))), "global", "")</f>
        <v/>
      </c>
      <c r="T490" t="str">
        <f>IF(OR(ISNUMBER(SEARCH("sts", Table6[[#This Row],[instruction]])),ISNUMBER(SEARCH("lds", Table6[[#This Row],[instruction]]))), "shared", "")</f>
        <v/>
      </c>
      <c r="U490" t="str">
        <f>IF(OR(ISNUMBER(SEARCH("LDC", Table6[[#This Row],[instruction]]))), "ind. const", "")</f>
        <v/>
      </c>
      <c r="V4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Row],[s5]]))),U490=""), "cmb. const", "")</f>
        <v/>
      </c>
      <c r="Y490">
        <f>IF(Table6[[#This Row],[pipeline]]="fma",Table6[[#This Row],[delay]],0)</f>
        <v>4</v>
      </c>
      <c r="Z490">
        <f>IF(AND(Table6[[#This Row],[pipeline]]="fma",W490="new"),290,0)</f>
        <v>0</v>
      </c>
      <c r="AK490" s="34"/>
    </row>
    <row r="491" spans="1:37" ht="17" x14ac:dyDescent="0.2">
      <c r="A491" s="31">
        <f>IF(Table6[[#This Row],[instruction]]&lt;&gt;"",MAX($A$6:A490)+1," ")</f>
        <v>486</v>
      </c>
      <c r="B491" s="32" t="s">
        <v>485</v>
      </c>
      <c r="C491" t="s">
        <v>26</v>
      </c>
      <c r="D491" s="31" t="s">
        <v>594</v>
      </c>
      <c r="E491" s="31" t="s">
        <v>594</v>
      </c>
      <c r="F491" s="31" t="s">
        <v>526</v>
      </c>
      <c r="G491" s="31" t="s">
        <v>502</v>
      </c>
      <c r="K491" s="2" t="str">
        <f t="shared" si="7"/>
        <v>alu</v>
      </c>
      <c r="L491" cm="1">
        <f t="array" ref="L4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491" t="str">
        <f>IF(OR(ISNUMBER(SEARCH("imad", Table6[[#This Row],[instruction]])), ISNUMBER(SEARCH("ffma", Table6[[#This Row],[instruction]])), ISNUMBER(SEARCH("fmul", Table6[[#This Row],[instruction]]))), "fma", "")</f>
        <v/>
      </c>
      <c r="P4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4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1" t="str">
        <f>IF(OR(ISNUMBER(SEARCH("s2r", Table6[[#This Row],[instruction]])),ISNUMBER(SEARCH("s2ur", Table6[[#This Row],[instruction]]))), "special", "")</f>
        <v/>
      </c>
      <c r="S491" t="str">
        <f>IF(OR(ISNUMBER(SEARCH("stg", Table6[[#This Row],[instruction]])),ISNUMBER(SEARCH("ldg", Table6[[#This Row],[instruction]]))), "global", "")</f>
        <v/>
      </c>
      <c r="T491" t="str">
        <f>IF(OR(ISNUMBER(SEARCH("sts", Table6[[#This Row],[instruction]])),ISNUMBER(SEARCH("lds", Table6[[#This Row],[instruction]]))), "shared", "")</f>
        <v/>
      </c>
      <c r="U491" t="str">
        <f>IF(OR(ISNUMBER(SEARCH("LDC", Table6[[#This Row],[instruction]]))), "ind. const", "")</f>
        <v/>
      </c>
      <c r="V4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Row],[s5]]))),U491=""), "cmb. const", "")</f>
        <v/>
      </c>
      <c r="Y491">
        <f>IF(Table6[[#This Row],[pipeline]]="fma",Table6[[#This Row],[delay]],0)</f>
        <v>0</v>
      </c>
      <c r="Z491">
        <f>IF(AND(Table6[[#This Row],[pipeline]]="fma",W491="new"),290,0)</f>
        <v>0</v>
      </c>
      <c r="AK491" s="34"/>
    </row>
    <row r="492" spans="1:37" ht="17" x14ac:dyDescent="0.2">
      <c r="A492" s="31">
        <f>IF(Table6[[#This Row],[instruction]]&lt;&gt;"",MAX($A$6:A491)+1," ")</f>
        <v>487</v>
      </c>
      <c r="B492" s="32" t="s">
        <v>485</v>
      </c>
      <c r="C492" t="s">
        <v>70</v>
      </c>
      <c r="D492" s="31" t="s">
        <v>614</v>
      </c>
      <c r="E492" s="31" t="s">
        <v>652</v>
      </c>
      <c r="F492" s="31" t="s">
        <v>689</v>
      </c>
      <c r="G492" s="31" t="s">
        <v>545</v>
      </c>
      <c r="K492" s="2" t="str">
        <f t="shared" si="7"/>
        <v>fma</v>
      </c>
      <c r="L492" cm="1">
        <f t="array" ref="L4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2" t="str">
        <f>IF(OR(ISNUMBER(SEARCH("imad", Table6[[#This Row],[instruction]])), ISNUMBER(SEARCH("ffma", Table6[[#This Row],[instruction]])), ISNUMBER(SEARCH("fmul", Table6[[#This Row],[instruction]]))), "fma", "")</f>
        <v>fma</v>
      </c>
      <c r="P4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2" t="str">
        <f>IF(OR(ISNUMBER(SEARCH("s2r", Table6[[#This Row],[instruction]])),ISNUMBER(SEARCH("s2ur", Table6[[#This Row],[instruction]]))), "special", "")</f>
        <v/>
      </c>
      <c r="S492" t="str">
        <f>IF(OR(ISNUMBER(SEARCH("stg", Table6[[#This Row],[instruction]])),ISNUMBER(SEARCH("ldg", Table6[[#This Row],[instruction]]))), "global", "")</f>
        <v/>
      </c>
      <c r="T492" t="str">
        <f>IF(OR(ISNUMBER(SEARCH("sts", Table6[[#This Row],[instruction]])),ISNUMBER(SEARCH("lds", Table6[[#This Row],[instruction]]))), "shared", "")</f>
        <v/>
      </c>
      <c r="U492" t="str">
        <f>IF(OR(ISNUMBER(SEARCH("LDC", Table6[[#This Row],[instruction]]))), "ind. const", "")</f>
        <v/>
      </c>
      <c r="V4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Row],[s5]]))),U492=""), "cmb. const", "")</f>
        <v/>
      </c>
      <c r="Y492">
        <f>IF(Table6[[#This Row],[pipeline]]="fma",Table6[[#This Row],[delay]],0)</f>
        <v>4</v>
      </c>
      <c r="Z492">
        <f>IF(AND(Table6[[#This Row],[pipeline]]="fma",W492="new"),290,0)</f>
        <v>0</v>
      </c>
      <c r="AK492" s="34"/>
    </row>
    <row r="493" spans="1:37" ht="17" x14ac:dyDescent="0.2">
      <c r="A493" s="31">
        <f>IF(Table6[[#This Row],[instruction]]&lt;&gt;"",MAX($A$6:A492)+1," ")</f>
        <v>488</v>
      </c>
      <c r="B493" s="32" t="s">
        <v>485</v>
      </c>
      <c r="C493" t="s">
        <v>70</v>
      </c>
      <c r="D493" s="31" t="s">
        <v>600</v>
      </c>
      <c r="E493" s="31" t="s">
        <v>633</v>
      </c>
      <c r="F493" s="31" t="s">
        <v>627</v>
      </c>
      <c r="G493" s="31" t="s">
        <v>668</v>
      </c>
      <c r="K493" s="2" t="str">
        <f t="shared" si="7"/>
        <v>fma</v>
      </c>
      <c r="L493" cm="1">
        <f t="array" ref="L4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3" t="str">
        <f>IF(OR(ISNUMBER(SEARCH("imad", Table6[[#This Row],[instruction]])), ISNUMBER(SEARCH("ffma", Table6[[#This Row],[instruction]])), ISNUMBER(SEARCH("fmul", Table6[[#This Row],[instruction]]))), "fma", "")</f>
        <v>fma</v>
      </c>
      <c r="P4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3" t="str">
        <f>IF(OR(ISNUMBER(SEARCH("s2r", Table6[[#This Row],[instruction]])),ISNUMBER(SEARCH("s2ur", Table6[[#This Row],[instruction]]))), "special", "")</f>
        <v/>
      </c>
      <c r="S493" t="str">
        <f>IF(OR(ISNUMBER(SEARCH("stg", Table6[[#This Row],[instruction]])),ISNUMBER(SEARCH("ldg", Table6[[#This Row],[instruction]]))), "global", "")</f>
        <v/>
      </c>
      <c r="T493" t="str">
        <f>IF(OR(ISNUMBER(SEARCH("sts", Table6[[#This Row],[instruction]])),ISNUMBER(SEARCH("lds", Table6[[#This Row],[instruction]]))), "shared", "")</f>
        <v/>
      </c>
      <c r="U493" t="str">
        <f>IF(OR(ISNUMBER(SEARCH("LDC", Table6[[#This Row],[instruction]]))), "ind. const", "")</f>
        <v/>
      </c>
      <c r="V4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Row],[s5]]))),U493=""), "cmb. const", "")</f>
        <v/>
      </c>
      <c r="Y493">
        <f>IF(Table6[[#This Row],[pipeline]]="fma",Table6[[#This Row],[delay]],0)</f>
        <v>4</v>
      </c>
      <c r="Z493">
        <f>IF(AND(Table6[[#This Row],[pipeline]]="fma",W493="new"),290,0)</f>
        <v>0</v>
      </c>
      <c r="AK493" s="34"/>
    </row>
    <row r="494" spans="1:37" ht="17" x14ac:dyDescent="0.2">
      <c r="A494" s="31">
        <f>IF(Table6[[#This Row],[instruction]]&lt;&gt;"",MAX($A$6:A493)+1," ")</f>
        <v>489</v>
      </c>
      <c r="B494" s="32" t="s">
        <v>485</v>
      </c>
      <c r="C494" t="s">
        <v>70</v>
      </c>
      <c r="D494" s="31" t="s">
        <v>608</v>
      </c>
      <c r="E494" s="31" t="s">
        <v>633</v>
      </c>
      <c r="F494" s="31" t="s">
        <v>678</v>
      </c>
      <c r="G494" s="31" t="s">
        <v>683</v>
      </c>
      <c r="K494" s="2" t="str">
        <f t="shared" si="7"/>
        <v>fma</v>
      </c>
      <c r="L494" cm="1">
        <f t="array" ref="L4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4" t="str">
        <f>IF(OR(ISNUMBER(SEARCH("imad", Table6[[#This Row],[instruction]])), ISNUMBER(SEARCH("ffma", Table6[[#This Row],[instruction]])), ISNUMBER(SEARCH("fmul", Table6[[#This Row],[instruction]]))), "fma", "")</f>
        <v>fma</v>
      </c>
      <c r="P4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4" t="str">
        <f>IF(OR(ISNUMBER(SEARCH("s2r", Table6[[#This Row],[instruction]])),ISNUMBER(SEARCH("s2ur", Table6[[#This Row],[instruction]]))), "special", "")</f>
        <v/>
      </c>
      <c r="S494" t="str">
        <f>IF(OR(ISNUMBER(SEARCH("stg", Table6[[#This Row],[instruction]])),ISNUMBER(SEARCH("ldg", Table6[[#This Row],[instruction]]))), "global", "")</f>
        <v/>
      </c>
      <c r="T494" t="str">
        <f>IF(OR(ISNUMBER(SEARCH("sts", Table6[[#This Row],[instruction]])),ISNUMBER(SEARCH("lds", Table6[[#This Row],[instruction]]))), "shared", "")</f>
        <v/>
      </c>
      <c r="U494" t="str">
        <f>IF(OR(ISNUMBER(SEARCH("LDC", Table6[[#This Row],[instruction]]))), "ind. const", "")</f>
        <v/>
      </c>
      <c r="V4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Row],[s5]]))),U494=""), "cmb. const", "")</f>
        <v/>
      </c>
      <c r="Y494">
        <f>IF(Table6[[#This Row],[pipeline]]="fma",Table6[[#This Row],[delay]],0)</f>
        <v>4</v>
      </c>
      <c r="Z494">
        <f>IF(AND(Table6[[#This Row],[pipeline]]="fma",W494="new"),290,0)</f>
        <v>0</v>
      </c>
      <c r="AK494" s="34"/>
    </row>
    <row r="495" spans="1:37" ht="17" x14ac:dyDescent="0.2">
      <c r="A495" s="31">
        <f>IF(Table6[[#This Row],[instruction]]&lt;&gt;"",MAX($A$6:A494)+1," ")</f>
        <v>490</v>
      </c>
      <c r="B495" s="32" t="s">
        <v>485</v>
      </c>
      <c r="C495" t="s">
        <v>70</v>
      </c>
      <c r="D495" s="31" t="s">
        <v>613</v>
      </c>
      <c r="E495" s="31" t="s">
        <v>633</v>
      </c>
      <c r="F495" s="31" t="s">
        <v>680</v>
      </c>
      <c r="G495" s="31" t="s">
        <v>684</v>
      </c>
      <c r="K495" s="2" t="str">
        <f t="shared" si="7"/>
        <v>fma</v>
      </c>
      <c r="L495" cm="1">
        <f t="array" ref="L4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5" t="str">
        <f>IF(OR(ISNUMBER(SEARCH("imad", Table6[[#This Row],[instruction]])), ISNUMBER(SEARCH("ffma", Table6[[#This Row],[instruction]])), ISNUMBER(SEARCH("fmul", Table6[[#This Row],[instruction]]))), "fma", "")</f>
        <v>fma</v>
      </c>
      <c r="P4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5" t="str">
        <f>IF(OR(ISNUMBER(SEARCH("s2r", Table6[[#This Row],[instruction]])),ISNUMBER(SEARCH("s2ur", Table6[[#This Row],[instruction]]))), "special", "")</f>
        <v/>
      </c>
      <c r="S495" t="str">
        <f>IF(OR(ISNUMBER(SEARCH("stg", Table6[[#This Row],[instruction]])),ISNUMBER(SEARCH("ldg", Table6[[#This Row],[instruction]]))), "global", "")</f>
        <v/>
      </c>
      <c r="T495" t="str">
        <f>IF(OR(ISNUMBER(SEARCH("sts", Table6[[#This Row],[instruction]])),ISNUMBER(SEARCH("lds", Table6[[#This Row],[instruction]]))), "shared", "")</f>
        <v/>
      </c>
      <c r="U495" t="str">
        <f>IF(OR(ISNUMBER(SEARCH("LDC", Table6[[#This Row],[instruction]]))), "ind. const", "")</f>
        <v/>
      </c>
      <c r="V4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Row],[s5]]))),U495=""), "cmb. const", "")</f>
        <v/>
      </c>
      <c r="Y495">
        <f>IF(Table6[[#This Row],[pipeline]]="fma",Table6[[#This Row],[delay]],0)</f>
        <v>4</v>
      </c>
      <c r="Z495">
        <f>IF(AND(Table6[[#This Row],[pipeline]]="fma",W495="new"),290,0)</f>
        <v>0</v>
      </c>
      <c r="AK495" s="34"/>
    </row>
    <row r="496" spans="1:37" ht="17" x14ac:dyDescent="0.2">
      <c r="A496" s="31">
        <f>IF(Table6[[#This Row],[instruction]]&lt;&gt;"",MAX($A$6:A495)+1," ")</f>
        <v>491</v>
      </c>
      <c r="B496" s="32" t="s">
        <v>485</v>
      </c>
      <c r="C496" t="s">
        <v>70</v>
      </c>
      <c r="D496" s="31" t="s">
        <v>605</v>
      </c>
      <c r="E496" s="31" t="s">
        <v>633</v>
      </c>
      <c r="F496" s="31" t="s">
        <v>689</v>
      </c>
      <c r="G496" s="31" t="s">
        <v>685</v>
      </c>
      <c r="K496" s="2" t="str">
        <f t="shared" si="7"/>
        <v>fma</v>
      </c>
      <c r="L496" cm="1">
        <f t="array" ref="L4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6" t="str">
        <f>IF(OR(ISNUMBER(SEARCH("imad", Table6[[#This Row],[instruction]])), ISNUMBER(SEARCH("ffma", Table6[[#This Row],[instruction]])), ISNUMBER(SEARCH("fmul", Table6[[#This Row],[instruction]]))), "fma", "")</f>
        <v>fma</v>
      </c>
      <c r="P4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6" t="str">
        <f>IF(OR(ISNUMBER(SEARCH("s2r", Table6[[#This Row],[instruction]])),ISNUMBER(SEARCH("s2ur", Table6[[#This Row],[instruction]]))), "special", "")</f>
        <v/>
      </c>
      <c r="S496" t="str">
        <f>IF(OR(ISNUMBER(SEARCH("stg", Table6[[#This Row],[instruction]])),ISNUMBER(SEARCH("ldg", Table6[[#This Row],[instruction]]))), "global", "")</f>
        <v/>
      </c>
      <c r="T496" t="str">
        <f>IF(OR(ISNUMBER(SEARCH("sts", Table6[[#This Row],[instruction]])),ISNUMBER(SEARCH("lds", Table6[[#This Row],[instruction]]))), "shared", "")</f>
        <v/>
      </c>
      <c r="U496" t="str">
        <f>IF(OR(ISNUMBER(SEARCH("LDC", Table6[[#This Row],[instruction]]))), "ind. const", "")</f>
        <v/>
      </c>
      <c r="V4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Row],[s5]]))),U496=""), "cmb. const", "")</f>
        <v/>
      </c>
      <c r="Y496">
        <f>IF(Table6[[#This Row],[pipeline]]="fma",Table6[[#This Row],[delay]],0)</f>
        <v>4</v>
      </c>
      <c r="Z496">
        <f>IF(AND(Table6[[#This Row],[pipeline]]="fma",W496="new"),290,0)</f>
        <v>0</v>
      </c>
      <c r="AK496" s="34"/>
    </row>
    <row r="497" spans="1:37" ht="17" x14ac:dyDescent="0.2">
      <c r="A497" s="31">
        <f>IF(Table6[[#This Row],[instruction]]&lt;&gt;"",MAX($A$6:A496)+1," ")</f>
        <v>492</v>
      </c>
      <c r="B497" s="32" t="s">
        <v>485</v>
      </c>
      <c r="C497" t="s">
        <v>70</v>
      </c>
      <c r="D497" s="31" t="s">
        <v>612</v>
      </c>
      <c r="E497" s="31" t="s">
        <v>682</v>
      </c>
      <c r="F497" s="31" t="s">
        <v>627</v>
      </c>
      <c r="G497" s="31" t="s">
        <v>669</v>
      </c>
      <c r="K497" s="2" t="str">
        <f t="shared" si="7"/>
        <v>fma</v>
      </c>
      <c r="L497" cm="1">
        <f t="array" ref="L4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7" t="str">
        <f>IF(OR(ISNUMBER(SEARCH("imad", Table6[[#This Row],[instruction]])), ISNUMBER(SEARCH("ffma", Table6[[#This Row],[instruction]])), ISNUMBER(SEARCH("fmul", Table6[[#This Row],[instruction]]))), "fma", "")</f>
        <v>fma</v>
      </c>
      <c r="P4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7" t="str">
        <f>IF(OR(ISNUMBER(SEARCH("s2r", Table6[[#This Row],[instruction]])),ISNUMBER(SEARCH("s2ur", Table6[[#This Row],[instruction]]))), "special", "")</f>
        <v/>
      </c>
      <c r="S497" t="str">
        <f>IF(OR(ISNUMBER(SEARCH("stg", Table6[[#This Row],[instruction]])),ISNUMBER(SEARCH("ldg", Table6[[#This Row],[instruction]]))), "global", "")</f>
        <v/>
      </c>
      <c r="T497" t="str">
        <f>IF(OR(ISNUMBER(SEARCH("sts", Table6[[#This Row],[instruction]])),ISNUMBER(SEARCH("lds", Table6[[#This Row],[instruction]]))), "shared", "")</f>
        <v/>
      </c>
      <c r="U497" t="str">
        <f>IF(OR(ISNUMBER(SEARCH("LDC", Table6[[#This Row],[instruction]]))), "ind. const", "")</f>
        <v/>
      </c>
      <c r="V4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Row],[s5]]))),U497=""), "cmb. const", "")</f>
        <v/>
      </c>
      <c r="Y497">
        <f>IF(Table6[[#This Row],[pipeline]]="fma",Table6[[#This Row],[delay]],0)</f>
        <v>4</v>
      </c>
      <c r="Z497">
        <f>IF(AND(Table6[[#This Row],[pipeline]]="fma",W497="new"),290,0)</f>
        <v>0</v>
      </c>
      <c r="AK497" s="34"/>
    </row>
    <row r="498" spans="1:37" ht="17" x14ac:dyDescent="0.2">
      <c r="A498" s="31">
        <f>IF(Table6[[#This Row],[instruction]]&lt;&gt;"",MAX($A$6:A497)+1," ")</f>
        <v>493</v>
      </c>
      <c r="B498" s="32" t="s">
        <v>485</v>
      </c>
      <c r="C498" t="s">
        <v>70</v>
      </c>
      <c r="D498" s="31" t="s">
        <v>609</v>
      </c>
      <c r="E498" s="31" t="s">
        <v>682</v>
      </c>
      <c r="F498" s="31" t="s">
        <v>678</v>
      </c>
      <c r="G498" s="31" t="s">
        <v>670</v>
      </c>
      <c r="K498" s="2" t="str">
        <f t="shared" si="7"/>
        <v>fma</v>
      </c>
      <c r="L498" cm="1">
        <f t="array" ref="L4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8" t="str">
        <f>IF(OR(ISNUMBER(SEARCH("imad", Table6[[#This Row],[instruction]])), ISNUMBER(SEARCH("ffma", Table6[[#This Row],[instruction]])), ISNUMBER(SEARCH("fmul", Table6[[#This Row],[instruction]]))), "fma", "")</f>
        <v>fma</v>
      </c>
      <c r="P4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8" t="str">
        <f>IF(OR(ISNUMBER(SEARCH("s2r", Table6[[#This Row],[instruction]])),ISNUMBER(SEARCH("s2ur", Table6[[#This Row],[instruction]]))), "special", "")</f>
        <v/>
      </c>
      <c r="S498" t="str">
        <f>IF(OR(ISNUMBER(SEARCH("stg", Table6[[#This Row],[instruction]])),ISNUMBER(SEARCH("ldg", Table6[[#This Row],[instruction]]))), "global", "")</f>
        <v/>
      </c>
      <c r="T498" t="str">
        <f>IF(OR(ISNUMBER(SEARCH("sts", Table6[[#This Row],[instruction]])),ISNUMBER(SEARCH("lds", Table6[[#This Row],[instruction]]))), "shared", "")</f>
        <v/>
      </c>
      <c r="U498" t="str">
        <f>IF(OR(ISNUMBER(SEARCH("LDC", Table6[[#This Row],[instruction]]))), "ind. const", "")</f>
        <v/>
      </c>
      <c r="V4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Row],[s5]]))),U498=""), "cmb. const", "")</f>
        <v/>
      </c>
      <c r="Y498">
        <f>IF(Table6[[#This Row],[pipeline]]="fma",Table6[[#This Row],[delay]],0)</f>
        <v>4</v>
      </c>
      <c r="Z498">
        <f>IF(AND(Table6[[#This Row],[pipeline]]="fma",W498="new"),290,0)</f>
        <v>0</v>
      </c>
      <c r="AK498" s="34"/>
    </row>
    <row r="499" spans="1:37" ht="17" x14ac:dyDescent="0.2">
      <c r="A499" s="31">
        <f>IF(Table6[[#This Row],[instruction]]&lt;&gt;"",MAX($A$6:A498)+1," ")</f>
        <v>494</v>
      </c>
      <c r="B499" s="32" t="s">
        <v>485</v>
      </c>
      <c r="C499" t="s">
        <v>70</v>
      </c>
      <c r="D499" s="31" t="s">
        <v>671</v>
      </c>
      <c r="E499" s="31" t="s">
        <v>682</v>
      </c>
      <c r="F499" s="31" t="s">
        <v>680</v>
      </c>
      <c r="G499" s="31" t="s">
        <v>672</v>
      </c>
      <c r="K499" s="2" t="str">
        <f t="shared" si="7"/>
        <v>fma</v>
      </c>
      <c r="L499" cm="1">
        <f t="array" ref="L4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499" t="str">
        <f>IF(OR(ISNUMBER(SEARCH("imad", Table6[[#This Row],[instruction]])), ISNUMBER(SEARCH("ffma", Table6[[#This Row],[instruction]])), ISNUMBER(SEARCH("fmul", Table6[[#This Row],[instruction]]))), "fma", "")</f>
        <v>fma</v>
      </c>
      <c r="P4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4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499" t="str">
        <f>IF(OR(ISNUMBER(SEARCH("s2r", Table6[[#This Row],[instruction]])),ISNUMBER(SEARCH("s2ur", Table6[[#This Row],[instruction]]))), "special", "")</f>
        <v/>
      </c>
      <c r="S499" t="str">
        <f>IF(OR(ISNUMBER(SEARCH("stg", Table6[[#This Row],[instruction]])),ISNUMBER(SEARCH("ldg", Table6[[#This Row],[instruction]]))), "global", "")</f>
        <v/>
      </c>
      <c r="T499" t="str">
        <f>IF(OR(ISNUMBER(SEARCH("sts", Table6[[#This Row],[instruction]])),ISNUMBER(SEARCH("lds", Table6[[#This Row],[instruction]]))), "shared", "")</f>
        <v/>
      </c>
      <c r="U499" t="str">
        <f>IF(OR(ISNUMBER(SEARCH("LDC", Table6[[#This Row],[instruction]]))), "ind. const", "")</f>
        <v/>
      </c>
      <c r="V4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Row],[s5]]))),U499=""), "cmb. const", "")</f>
        <v/>
      </c>
      <c r="Y499">
        <f>IF(Table6[[#This Row],[pipeline]]="fma",Table6[[#This Row],[delay]],0)</f>
        <v>4</v>
      </c>
      <c r="Z499">
        <f>IF(AND(Table6[[#This Row],[pipeline]]="fma",W499="new"),290,0)</f>
        <v>0</v>
      </c>
      <c r="AK499" s="34"/>
    </row>
    <row r="500" spans="1:37" ht="17" x14ac:dyDescent="0.2">
      <c r="A500" s="31">
        <f>IF(Table6[[#This Row],[instruction]]&lt;&gt;"",MAX($A$6:A499)+1," ")</f>
        <v>495</v>
      </c>
      <c r="B500" s="32" t="s">
        <v>485</v>
      </c>
      <c r="C500" t="s">
        <v>70</v>
      </c>
      <c r="D500" s="31" t="s">
        <v>708</v>
      </c>
      <c r="E500" s="31" t="s">
        <v>682</v>
      </c>
      <c r="F500" s="31" t="s">
        <v>689</v>
      </c>
      <c r="G500" s="31" t="s">
        <v>636</v>
      </c>
      <c r="K500" s="2" t="str">
        <f t="shared" si="7"/>
        <v>fma</v>
      </c>
      <c r="L500" cm="1">
        <f t="array" ref="L5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0" t="str">
        <f>IF(OR(ISNUMBER(SEARCH("imad", Table6[[#This Row],[instruction]])), ISNUMBER(SEARCH("ffma", Table6[[#This Row],[instruction]])), ISNUMBER(SEARCH("fmul", Table6[[#This Row],[instruction]]))), "fma", "")</f>
        <v>fma</v>
      </c>
      <c r="P5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0" t="str">
        <f>IF(OR(ISNUMBER(SEARCH("s2r", Table6[[#This Row],[instruction]])),ISNUMBER(SEARCH("s2ur", Table6[[#This Row],[instruction]]))), "special", "")</f>
        <v/>
      </c>
      <c r="S500" t="str">
        <f>IF(OR(ISNUMBER(SEARCH("stg", Table6[[#This Row],[instruction]])),ISNUMBER(SEARCH("ldg", Table6[[#This Row],[instruction]]))), "global", "")</f>
        <v/>
      </c>
      <c r="T500" t="str">
        <f>IF(OR(ISNUMBER(SEARCH("sts", Table6[[#This Row],[instruction]])),ISNUMBER(SEARCH("lds", Table6[[#This Row],[instruction]]))), "shared", "")</f>
        <v/>
      </c>
      <c r="U500" t="str">
        <f>IF(OR(ISNUMBER(SEARCH("LDC", Table6[[#This Row],[instruction]]))), "ind. const", "")</f>
        <v/>
      </c>
      <c r="V5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Row],[s5]]))),U500=""), "cmb. const", "")</f>
        <v/>
      </c>
      <c r="Y500">
        <f>IF(Table6[[#This Row],[pipeline]]="fma",Table6[[#This Row],[delay]],0)</f>
        <v>4</v>
      </c>
      <c r="Z500">
        <f>IF(AND(Table6[[#This Row],[pipeline]]="fma",W500="new"),290,0)</f>
        <v>0</v>
      </c>
      <c r="AK500" s="34"/>
    </row>
    <row r="501" spans="1:37" ht="17" x14ac:dyDescent="0.2">
      <c r="A501" s="31">
        <f>IF(Table6[[#This Row],[instruction]]&lt;&gt;"",MAX($A$6:A500)+1," ")</f>
        <v>496</v>
      </c>
      <c r="B501" s="32" t="s">
        <v>485</v>
      </c>
      <c r="C501" t="s">
        <v>70</v>
      </c>
      <c r="D501" s="31" t="s">
        <v>709</v>
      </c>
      <c r="E501" s="31" t="s">
        <v>640</v>
      </c>
      <c r="F501" s="31" t="s">
        <v>627</v>
      </c>
      <c r="G501" s="31" t="s">
        <v>699</v>
      </c>
      <c r="K501" s="2" t="str">
        <f t="shared" si="7"/>
        <v>fma</v>
      </c>
      <c r="L501" cm="1">
        <f t="array" ref="L5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1" t="str">
        <f>IF(OR(ISNUMBER(SEARCH("imad", Table6[[#This Row],[instruction]])), ISNUMBER(SEARCH("ffma", Table6[[#This Row],[instruction]])), ISNUMBER(SEARCH("fmul", Table6[[#This Row],[instruction]]))), "fma", "")</f>
        <v>fma</v>
      </c>
      <c r="P5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1" t="str">
        <f>IF(OR(ISNUMBER(SEARCH("s2r", Table6[[#This Row],[instruction]])),ISNUMBER(SEARCH("s2ur", Table6[[#This Row],[instruction]]))), "special", "")</f>
        <v/>
      </c>
      <c r="S501" t="str">
        <f>IF(OR(ISNUMBER(SEARCH("stg", Table6[[#This Row],[instruction]])),ISNUMBER(SEARCH("ldg", Table6[[#This Row],[instruction]]))), "global", "")</f>
        <v/>
      </c>
      <c r="T501" t="str">
        <f>IF(OR(ISNUMBER(SEARCH("sts", Table6[[#This Row],[instruction]])),ISNUMBER(SEARCH("lds", Table6[[#This Row],[instruction]]))), "shared", "")</f>
        <v/>
      </c>
      <c r="U501" t="str">
        <f>IF(OR(ISNUMBER(SEARCH("LDC", Table6[[#This Row],[instruction]]))), "ind. const", "")</f>
        <v/>
      </c>
      <c r="V5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Row],[s5]]))),U501=""), "cmb. const", "")</f>
        <v/>
      </c>
      <c r="Y501">
        <f>IF(Table6[[#This Row],[pipeline]]="fma",Table6[[#This Row],[delay]],0)</f>
        <v>4</v>
      </c>
      <c r="Z501">
        <f>IF(AND(Table6[[#This Row],[pipeline]]="fma",W501="new"),290,0)</f>
        <v>0</v>
      </c>
      <c r="AK501" s="34"/>
    </row>
    <row r="502" spans="1:37" ht="17" x14ac:dyDescent="0.2">
      <c r="A502" s="31">
        <f>IF(Table6[[#This Row],[instruction]]&lt;&gt;"",MAX($A$6:A501)+1," ")</f>
        <v>497</v>
      </c>
      <c r="B502" s="32" t="s">
        <v>485</v>
      </c>
      <c r="C502" t="s">
        <v>70</v>
      </c>
      <c r="D502" s="31" t="s">
        <v>597</v>
      </c>
      <c r="E502" s="31" t="s">
        <v>640</v>
      </c>
      <c r="F502" s="31" t="s">
        <v>678</v>
      </c>
      <c r="G502" s="31" t="s">
        <v>686</v>
      </c>
      <c r="K502" s="2" t="str">
        <f t="shared" si="7"/>
        <v>fma</v>
      </c>
      <c r="L502" cm="1">
        <f t="array" ref="L5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2" t="str">
        <f>IF(OR(ISNUMBER(SEARCH("imad", Table6[[#This Row],[instruction]])), ISNUMBER(SEARCH("ffma", Table6[[#This Row],[instruction]])), ISNUMBER(SEARCH("fmul", Table6[[#This Row],[instruction]]))), "fma", "")</f>
        <v>fma</v>
      </c>
      <c r="P5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2" t="str">
        <f>IF(OR(ISNUMBER(SEARCH("s2r", Table6[[#This Row],[instruction]])),ISNUMBER(SEARCH("s2ur", Table6[[#This Row],[instruction]]))), "special", "")</f>
        <v/>
      </c>
      <c r="S502" t="str">
        <f>IF(OR(ISNUMBER(SEARCH("stg", Table6[[#This Row],[instruction]])),ISNUMBER(SEARCH("ldg", Table6[[#This Row],[instruction]]))), "global", "")</f>
        <v/>
      </c>
      <c r="T502" t="str">
        <f>IF(OR(ISNUMBER(SEARCH("sts", Table6[[#This Row],[instruction]])),ISNUMBER(SEARCH("lds", Table6[[#This Row],[instruction]]))), "shared", "")</f>
        <v/>
      </c>
      <c r="U502" t="str">
        <f>IF(OR(ISNUMBER(SEARCH("LDC", Table6[[#This Row],[instruction]]))), "ind. const", "")</f>
        <v/>
      </c>
      <c r="V5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Row],[s5]]))),U502=""), "cmb. const", "")</f>
        <v/>
      </c>
      <c r="Y502">
        <f>IF(Table6[[#This Row],[pipeline]]="fma",Table6[[#This Row],[delay]],0)</f>
        <v>4</v>
      </c>
      <c r="Z502">
        <f>IF(AND(Table6[[#This Row],[pipeline]]="fma",W502="new"),290,0)</f>
        <v>0</v>
      </c>
      <c r="AK502" s="34"/>
    </row>
    <row r="503" spans="1:37" ht="17" x14ac:dyDescent="0.2">
      <c r="A503" s="31">
        <f>IF(Table6[[#This Row],[instruction]]&lt;&gt;"",MAX($A$6:A502)+1," ")</f>
        <v>498</v>
      </c>
      <c r="B503" s="32" t="s">
        <v>485</v>
      </c>
      <c r="C503" t="s">
        <v>70</v>
      </c>
      <c r="D503" s="31" t="s">
        <v>604</v>
      </c>
      <c r="E503" s="31" t="s">
        <v>640</v>
      </c>
      <c r="F503" s="31" t="s">
        <v>680</v>
      </c>
      <c r="G503" s="31" t="s">
        <v>687</v>
      </c>
      <c r="K503" s="2" t="str">
        <f t="shared" si="7"/>
        <v>fma</v>
      </c>
      <c r="L503" cm="1">
        <f t="array" ref="L5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3" t="str">
        <f>IF(OR(ISNUMBER(SEARCH("imad", Table6[[#This Row],[instruction]])), ISNUMBER(SEARCH("ffma", Table6[[#This Row],[instruction]])), ISNUMBER(SEARCH("fmul", Table6[[#This Row],[instruction]]))), "fma", "")</f>
        <v>fma</v>
      </c>
      <c r="P5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3" t="str">
        <f>IF(OR(ISNUMBER(SEARCH("s2r", Table6[[#This Row],[instruction]])),ISNUMBER(SEARCH("s2ur", Table6[[#This Row],[instruction]]))), "special", "")</f>
        <v/>
      </c>
      <c r="S503" t="str">
        <f>IF(OR(ISNUMBER(SEARCH("stg", Table6[[#This Row],[instruction]])),ISNUMBER(SEARCH("ldg", Table6[[#This Row],[instruction]]))), "global", "")</f>
        <v/>
      </c>
      <c r="T503" t="str">
        <f>IF(OR(ISNUMBER(SEARCH("sts", Table6[[#This Row],[instruction]])),ISNUMBER(SEARCH("lds", Table6[[#This Row],[instruction]]))), "shared", "")</f>
        <v/>
      </c>
      <c r="U503" t="str">
        <f>IF(OR(ISNUMBER(SEARCH("LDC", Table6[[#This Row],[instruction]]))), "ind. const", "")</f>
        <v/>
      </c>
      <c r="V5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Row],[s5]]))),U503=""), "cmb. const", "")</f>
        <v/>
      </c>
      <c r="Y503">
        <f>IF(Table6[[#This Row],[pipeline]]="fma",Table6[[#This Row],[delay]],0)</f>
        <v>4</v>
      </c>
      <c r="Z503">
        <f>IF(AND(Table6[[#This Row],[pipeline]]="fma",W503="new"),290,0)</f>
        <v>0</v>
      </c>
      <c r="AK503" s="34"/>
    </row>
    <row r="504" spans="1:37" ht="17" x14ac:dyDescent="0.2">
      <c r="A504" s="31">
        <f>IF(Table6[[#This Row],[instruction]]&lt;&gt;"",MAX($A$6:A503)+1," ")</f>
        <v>499</v>
      </c>
      <c r="B504" s="32" t="s">
        <v>485</v>
      </c>
      <c r="C504" t="s">
        <v>70</v>
      </c>
      <c r="D504" s="31" t="s">
        <v>598</v>
      </c>
      <c r="E504" s="31" t="s">
        <v>640</v>
      </c>
      <c r="F504" s="31" t="s">
        <v>689</v>
      </c>
      <c r="G504" s="31" t="s">
        <v>688</v>
      </c>
      <c r="K504" s="2" t="str">
        <f t="shared" si="7"/>
        <v>fma</v>
      </c>
      <c r="L504" cm="1">
        <f t="array" ref="L5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4" t="str">
        <f>IF(OR(ISNUMBER(SEARCH("imad", Table6[[#This Row],[instruction]])), ISNUMBER(SEARCH("ffma", Table6[[#This Row],[instruction]])), ISNUMBER(SEARCH("fmul", Table6[[#This Row],[instruction]]))), "fma", "")</f>
        <v>fma</v>
      </c>
      <c r="P5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4" t="str">
        <f>IF(OR(ISNUMBER(SEARCH("s2r", Table6[[#This Row],[instruction]])),ISNUMBER(SEARCH("s2ur", Table6[[#This Row],[instruction]]))), "special", "")</f>
        <v/>
      </c>
      <c r="S504" t="str">
        <f>IF(OR(ISNUMBER(SEARCH("stg", Table6[[#This Row],[instruction]])),ISNUMBER(SEARCH("ldg", Table6[[#This Row],[instruction]]))), "global", "")</f>
        <v/>
      </c>
      <c r="T504" t="str">
        <f>IF(OR(ISNUMBER(SEARCH("sts", Table6[[#This Row],[instruction]])),ISNUMBER(SEARCH("lds", Table6[[#This Row],[instruction]]))), "shared", "")</f>
        <v/>
      </c>
      <c r="U504" t="str">
        <f>IF(OR(ISNUMBER(SEARCH("LDC", Table6[[#This Row],[instruction]]))), "ind. const", "")</f>
        <v/>
      </c>
      <c r="V5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Row],[s5]]))),U504=""), "cmb. const", "")</f>
        <v/>
      </c>
      <c r="Y504">
        <f>IF(Table6[[#This Row],[pipeline]]="fma",Table6[[#This Row],[delay]],0)</f>
        <v>4</v>
      </c>
      <c r="Z504">
        <f>IF(AND(Table6[[#This Row],[pipeline]]="fma",W504="new"),290,0)</f>
        <v>0</v>
      </c>
      <c r="AK504" s="34"/>
    </row>
    <row r="505" spans="1:37" ht="17" x14ac:dyDescent="0.2">
      <c r="A505" s="30">
        <f>IF(Table6[[#This Row],[instruction]]&lt;&gt;"",MAX($A$6:A504)+1," ")</f>
        <v>500</v>
      </c>
      <c r="B505" s="32" t="s">
        <v>485</v>
      </c>
      <c r="C505" t="s">
        <v>452</v>
      </c>
      <c r="D505" s="31" t="s">
        <v>623</v>
      </c>
      <c r="K505" s="2" t="s">
        <v>791</v>
      </c>
      <c r="L505" cm="1">
        <f t="array" ref="L5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05" t="str">
        <f>IF(OR(ISNUMBER(SEARCH("imad", Table6[[#This Row],[instruction]])), ISNUMBER(SEARCH("ffma", Table6[[#This Row],[instruction]])), ISNUMBER(SEARCH("fmul", Table6[[#This Row],[instruction]]))), "fma", "")</f>
        <v/>
      </c>
      <c r="P5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505" t="str">
        <f>IF(OR(ISNUMBER(SEARCH("s2r", Table6[[#This Row],[instruction]])),ISNUMBER(SEARCH("s2ur", Table6[[#This Row],[instruction]]))), "special", "")</f>
        <v/>
      </c>
      <c r="S505" t="str">
        <f>IF(OR(ISNUMBER(SEARCH("stg", Table6[[#This Row],[instruction]])),ISNUMBER(SEARCH("ldg", Table6[[#This Row],[instruction]]))), "global", "")</f>
        <v/>
      </c>
      <c r="T505" t="str">
        <f>IF(OR(ISNUMBER(SEARCH("sts", Table6[[#This Row],[instruction]])),ISNUMBER(SEARCH("lds", Table6[[#This Row],[instruction]]))), "shared", "")</f>
        <v/>
      </c>
      <c r="U505" t="str">
        <f>IF(OR(ISNUMBER(SEARCH("LDC", Table6[[#This Row],[instruction]]))), "ind. const", "")</f>
        <v/>
      </c>
      <c r="V5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Row],[s5]]))),U505=""), "cmb. const", "")</f>
        <v/>
      </c>
      <c r="Y505">
        <f>IF(Table6[[#This Row],[pipeline]]="fma",Table6[[#This Row],[delay]],0)</f>
        <v>0</v>
      </c>
      <c r="Z505">
        <f>IF(AND(Table6[[#This Row],[pipeline]]="fma",W505="new"),290,0)</f>
        <v>0</v>
      </c>
      <c r="AK505" s="35"/>
    </row>
    <row r="506" spans="1:37" ht="17" x14ac:dyDescent="0.2">
      <c r="A506" s="31">
        <f>IF(Table6[[#This Row],[instruction]]&lt;&gt;"",MAX($A$6:A505)+1," ")</f>
        <v>501</v>
      </c>
      <c r="B506" s="32" t="s">
        <v>580</v>
      </c>
      <c r="C506" t="s">
        <v>710</v>
      </c>
      <c r="D506" s="31" t="s">
        <v>624</v>
      </c>
      <c r="K506" s="2" t="s">
        <v>791</v>
      </c>
      <c r="L506" cm="1">
        <f t="array" ref="L5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506" t="s">
        <v>770</v>
      </c>
      <c r="O506" t="str">
        <f>IF(OR(ISNUMBER(SEARCH("imad", Table6[[#This Row],[instruction]])), ISNUMBER(SEARCH("ffma", Table6[[#This Row],[instruction]])), ISNUMBER(SEARCH("fmul", Table6[[#This Row],[instruction]]))), "fma", "")</f>
        <v/>
      </c>
      <c r="P5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6" t="str">
        <f>IF(OR(ISNUMBER(SEARCH("s2r", Table6[[#This Row],[instruction]])),ISNUMBER(SEARCH("s2ur", Table6[[#This Row],[instruction]]))), "special", "")</f>
        <v/>
      </c>
      <c r="S506" t="str">
        <f>IF(OR(ISNUMBER(SEARCH("stg", Table6[[#This Row],[instruction]])),ISNUMBER(SEARCH("ldg", Table6[[#This Row],[instruction]]))), "global", "")</f>
        <v/>
      </c>
      <c r="T506" t="str">
        <f>IF(OR(ISNUMBER(SEARCH("sts", Table6[[#This Row],[instruction]])),ISNUMBER(SEARCH("lds", Table6[[#This Row],[instruction]]))), "shared", "")</f>
        <v/>
      </c>
      <c r="U506" t="str">
        <f>IF(OR(ISNUMBER(SEARCH("LDC", Table6[[#This Row],[instruction]]))), "ind. const", "")</f>
        <v/>
      </c>
      <c r="V5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Row],[s5]]))),U506=""), "cmb. const", "")</f>
        <v/>
      </c>
      <c r="Y506">
        <f>IF(Table6[[#This Row],[pipeline]]="fma",Table6[[#This Row],[delay]],0)</f>
        <v>0</v>
      </c>
      <c r="Z506">
        <f>IF(AND(Table6[[#This Row],[pipeline]]="fma",W506="new"),290,0)</f>
        <v>0</v>
      </c>
      <c r="AK506" s="34"/>
    </row>
    <row r="507" spans="1:37" ht="17" x14ac:dyDescent="0.2">
      <c r="A507" s="31">
        <f>IF(Table6[[#This Row],[instruction]]&lt;&gt;"",MAX($A$6:A506)+1," ")</f>
        <v>502</v>
      </c>
      <c r="B507" s="32" t="s">
        <v>485</v>
      </c>
      <c r="C507" t="s">
        <v>49</v>
      </c>
      <c r="D507" s="31" t="s">
        <v>50</v>
      </c>
      <c r="E507" s="31" t="s">
        <v>51</v>
      </c>
      <c r="F507" s="31" t="s">
        <v>606</v>
      </c>
      <c r="G507" s="31" t="s">
        <v>711</v>
      </c>
      <c r="H507" s="31" t="s">
        <v>494</v>
      </c>
      <c r="K507" s="2" t="str">
        <f t="shared" si="7"/>
        <v>alu</v>
      </c>
      <c r="L507" cm="1">
        <f t="array" ref="L5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07" t="str">
        <f>IF(OR(ISNUMBER(SEARCH("imad", Table6[[#This Row],[instruction]])), ISNUMBER(SEARCH("ffma", Table6[[#This Row],[instruction]])), ISNUMBER(SEARCH("fmul", Table6[[#This Row],[instruction]]))), "fma", "")</f>
        <v/>
      </c>
      <c r="P5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7" t="str">
        <f>IF(OR(ISNUMBER(SEARCH("s2r", Table6[[#This Row],[instruction]])),ISNUMBER(SEARCH("s2ur", Table6[[#This Row],[instruction]]))), "special", "")</f>
        <v/>
      </c>
      <c r="S507" t="str">
        <f>IF(OR(ISNUMBER(SEARCH("stg", Table6[[#This Row],[instruction]])),ISNUMBER(SEARCH("ldg", Table6[[#This Row],[instruction]]))), "global", "")</f>
        <v/>
      </c>
      <c r="T507" t="str">
        <f>IF(OR(ISNUMBER(SEARCH("sts", Table6[[#This Row],[instruction]])),ISNUMBER(SEARCH("lds", Table6[[#This Row],[instruction]]))), "shared", "")</f>
        <v/>
      </c>
      <c r="U507" t="str">
        <f>IF(OR(ISNUMBER(SEARCH("LDC", Table6[[#This Row],[instruction]]))), "ind. const", "")</f>
        <v/>
      </c>
      <c r="V5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Row],[s5]]))),U507=""), "cmb. const", "")</f>
        <v/>
      </c>
      <c r="Y507">
        <f>IF(Table6[[#This Row],[pipeline]]="fma",Table6[[#This Row],[delay]],0)</f>
        <v>0</v>
      </c>
      <c r="Z507">
        <f>IF(AND(Table6[[#This Row],[pipeline]]="fma",W507="new"),290,0)</f>
        <v>0</v>
      </c>
      <c r="AK507" s="34"/>
    </row>
    <row r="508" spans="1:37" ht="17" x14ac:dyDescent="0.2">
      <c r="A508" s="31">
        <f>IF(Table6[[#This Row],[instruction]]&lt;&gt;"",MAX($A$6:A507)+1," ")</f>
        <v>503</v>
      </c>
      <c r="B508" s="32" t="s">
        <v>580</v>
      </c>
      <c r="C508" t="s">
        <v>359</v>
      </c>
      <c r="D508" s="31" t="s">
        <v>712</v>
      </c>
      <c r="K508" s="2" t="str">
        <f t="shared" si="7"/>
        <v>cba</v>
      </c>
      <c r="L508" cm="1">
        <f t="array" ref="L5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508" t="s">
        <v>770</v>
      </c>
      <c r="O508" t="str">
        <f>IF(OR(ISNUMBER(SEARCH("imad", Table6[[#This Row],[instruction]])), ISNUMBER(SEARCH("ffma", Table6[[#This Row],[instruction]])), ISNUMBER(SEARCH("fmul", Table6[[#This Row],[instruction]]))), "fma", "")</f>
        <v/>
      </c>
      <c r="P5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508" t="str">
        <f>IF(OR(ISNUMBER(SEARCH("s2r", Table6[[#This Row],[instruction]])),ISNUMBER(SEARCH("s2ur", Table6[[#This Row],[instruction]]))), "special", "")</f>
        <v/>
      </c>
      <c r="S508" t="str">
        <f>IF(OR(ISNUMBER(SEARCH("stg", Table6[[#This Row],[instruction]])),ISNUMBER(SEARCH("ldg", Table6[[#This Row],[instruction]]))), "global", "")</f>
        <v/>
      </c>
      <c r="T508" t="str">
        <f>IF(OR(ISNUMBER(SEARCH("sts", Table6[[#This Row],[instruction]])),ISNUMBER(SEARCH("lds", Table6[[#This Row],[instruction]]))), "shared", "")</f>
        <v/>
      </c>
      <c r="U508" t="str">
        <f>IF(OR(ISNUMBER(SEARCH("LDC", Table6[[#This Row],[instruction]]))), "ind. const", "")</f>
        <v/>
      </c>
      <c r="V5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Row],[s5]]))),U508=""), "cmb. const", "")</f>
        <v/>
      </c>
      <c r="Y508">
        <f>IF(Table6[[#This Row],[pipeline]]="fma",Table6[[#This Row],[delay]],0)</f>
        <v>0</v>
      </c>
      <c r="Z508">
        <f>IF(AND(Table6[[#This Row],[pipeline]]="fma",W508="new"),290,0)</f>
        <v>0</v>
      </c>
      <c r="AK508" s="34"/>
    </row>
    <row r="509" spans="1:37" ht="17" x14ac:dyDescent="0.2">
      <c r="A509" s="31">
        <f>IF(Table6[[#This Row],[instruction]]&lt;&gt;"",MAX($A$6:A508)+1," ")</f>
        <v>504</v>
      </c>
      <c r="B509" s="32" t="s">
        <v>485</v>
      </c>
      <c r="C509" t="s">
        <v>26</v>
      </c>
      <c r="D509" s="31" t="s">
        <v>17</v>
      </c>
      <c r="E509" s="31" t="e">
        <f>-S41</f>
        <v>#VALUE!</v>
      </c>
      <c r="F509" s="31" t="s">
        <v>713</v>
      </c>
      <c r="G509" s="31" t="s">
        <v>502</v>
      </c>
      <c r="K509" s="2" t="str">
        <f t="shared" si="7"/>
        <v>alu</v>
      </c>
      <c r="L509" cm="1">
        <f t="array" ref="L5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09" t="str">
        <f>IF(OR(ISNUMBER(SEARCH("imad", Table6[[#This Row],[instruction]])), ISNUMBER(SEARCH("ffma", Table6[[#This Row],[instruction]])), ISNUMBER(SEARCH("fmul", Table6[[#This Row],[instruction]]))), "fma", "")</f>
        <v/>
      </c>
      <c r="P5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09" t="str">
        <f>IF(OR(ISNUMBER(SEARCH("s2r", Table6[[#This Row],[instruction]])),ISNUMBER(SEARCH("s2ur", Table6[[#This Row],[instruction]]))), "special", "")</f>
        <v/>
      </c>
      <c r="S509" t="str">
        <f>IF(OR(ISNUMBER(SEARCH("stg", Table6[[#This Row],[instruction]])),ISNUMBER(SEARCH("ldg", Table6[[#This Row],[instruction]]))), "global", "")</f>
        <v/>
      </c>
      <c r="T509" t="str">
        <f>IF(OR(ISNUMBER(SEARCH("sts", Table6[[#This Row],[instruction]])),ISNUMBER(SEARCH("lds", Table6[[#This Row],[instruction]]))), "shared", "")</f>
        <v/>
      </c>
      <c r="U509" t="str">
        <f>IF(OR(ISNUMBER(SEARCH("LDC", Table6[[#This Row],[instruction]]))), "ind. const", "")</f>
        <v/>
      </c>
      <c r="V5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Row],[s5]]))),U509=""), "cmb. const", "")</f>
        <v/>
      </c>
      <c r="Y509">
        <f>IF(Table6[[#This Row],[pipeline]]="fma",Table6[[#This Row],[delay]],0)</f>
        <v>0</v>
      </c>
      <c r="Z509">
        <f>IF(AND(Table6[[#This Row],[pipeline]]="fma",W509="new"),290,0)</f>
        <v>0</v>
      </c>
      <c r="AK509" s="34"/>
    </row>
    <row r="510" spans="1:37" ht="17" x14ac:dyDescent="0.2">
      <c r="A510" s="31">
        <f>IF(Table6[[#This Row],[instruction]]&lt;&gt;"",MAX($A$6:A509)+1," ")</f>
        <v>505</v>
      </c>
      <c r="B510" s="32" t="s">
        <v>485</v>
      </c>
      <c r="C510" t="s">
        <v>45</v>
      </c>
      <c r="D510" s="31" t="s">
        <v>84</v>
      </c>
      <c r="E510" s="31" t="s">
        <v>8</v>
      </c>
      <c r="F510" s="31" t="s">
        <v>8</v>
      </c>
      <c r="G510" s="31" t="s">
        <v>501</v>
      </c>
      <c r="K510" s="2" t="str">
        <f t="shared" si="7"/>
        <v>fma</v>
      </c>
      <c r="L510" cm="1">
        <f t="array" ref="L5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10" t="str">
        <f>IF(OR(ISNUMBER(SEARCH("imad", Table6[[#This Row],[instruction]])), ISNUMBER(SEARCH("ffma", Table6[[#This Row],[instruction]])), ISNUMBER(SEARCH("fmul", Table6[[#This Row],[instruction]]))), "fma", "")</f>
        <v>fma</v>
      </c>
      <c r="P5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0" t="str">
        <f>IF(OR(ISNUMBER(SEARCH("s2r", Table6[[#This Row],[instruction]])),ISNUMBER(SEARCH("s2ur", Table6[[#This Row],[instruction]]))), "special", "")</f>
        <v/>
      </c>
      <c r="S510" t="str">
        <f>IF(OR(ISNUMBER(SEARCH("stg", Table6[[#This Row],[instruction]])),ISNUMBER(SEARCH("ldg", Table6[[#This Row],[instruction]]))), "global", "")</f>
        <v/>
      </c>
      <c r="T510" t="str">
        <f>IF(OR(ISNUMBER(SEARCH("sts", Table6[[#This Row],[instruction]])),ISNUMBER(SEARCH("lds", Table6[[#This Row],[instruction]]))), "shared", "")</f>
        <v/>
      </c>
      <c r="U510" t="str">
        <f>IF(OR(ISNUMBER(SEARCH("LDC", Table6[[#This Row],[instruction]]))), "ind. const", "")</f>
        <v/>
      </c>
      <c r="V5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Row],[s5]]))),U510=""), "cmb. const", "")</f>
        <v/>
      </c>
      <c r="Y510">
        <f>IF(Table6[[#This Row],[pipeline]]="fma",Table6[[#This Row],[delay]],0)</f>
        <v>4</v>
      </c>
      <c r="Z510">
        <f>IF(AND(Table6[[#This Row],[pipeline]]="fma",W510="new"),290,0)</f>
        <v>0</v>
      </c>
      <c r="AK510" s="34"/>
    </row>
    <row r="511" spans="1:37" ht="17" x14ac:dyDescent="0.2">
      <c r="A511" s="31">
        <f>IF(Table6[[#This Row],[instruction]]&lt;&gt;"",MAX($A$6:A510)+1," ")</f>
        <v>506</v>
      </c>
      <c r="B511" s="32" t="s">
        <v>485</v>
      </c>
      <c r="C511" t="s">
        <v>0</v>
      </c>
      <c r="D511" s="31" t="s">
        <v>82</v>
      </c>
      <c r="E511" s="31" t="s">
        <v>630</v>
      </c>
      <c r="K511" s="2" t="s">
        <v>95</v>
      </c>
      <c r="L511" cm="1">
        <f t="array" ref="L5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11" t="str">
        <f>IF(OR(ISNUMBER(SEARCH("imad", Table6[[#This Row],[instruction]])), ISNUMBER(SEARCH("ffma", Table6[[#This Row],[instruction]])), ISNUMBER(SEARCH("fmul", Table6[[#This Row],[instruction]]))), "fma", "")</f>
        <v/>
      </c>
      <c r="P5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1" t="str">
        <f>IF(OR(ISNUMBER(SEARCH("s2r", Table6[[#This Row],[instruction]])),ISNUMBER(SEARCH("s2ur", Table6[[#This Row],[instruction]]))), "special", "")</f>
        <v/>
      </c>
      <c r="S511" t="str">
        <f>IF(OR(ISNUMBER(SEARCH("stg", Table6[[#This Row],[instruction]])),ISNUMBER(SEARCH("ldg", Table6[[#This Row],[instruction]]))), "global", "")</f>
        <v/>
      </c>
      <c r="T511" t="str">
        <f>IF(OR(ISNUMBER(SEARCH("sts", Table6[[#This Row],[instruction]])),ISNUMBER(SEARCH("lds", Table6[[#This Row],[instruction]]))), "shared", "")</f>
        <v/>
      </c>
      <c r="U511" t="str">
        <f>IF(OR(ISNUMBER(SEARCH("LDC", Table6[[#This Row],[instruction]]))), "ind. const", "")</f>
        <v/>
      </c>
      <c r="V5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Row],[s5]]))),U511=""), "cmb. const", "")</f>
        <v/>
      </c>
      <c r="Y511">
        <f>IF(Table6[[#This Row],[pipeline]]="fma",Table6[[#This Row],[delay]],0)</f>
        <v>0</v>
      </c>
      <c r="Z511">
        <f>IF(AND(Table6[[#This Row],[pipeline]]="fma",W511="new"),290,0)</f>
        <v>0</v>
      </c>
      <c r="AK511" s="34"/>
    </row>
    <row r="512" spans="1:37" ht="17" x14ac:dyDescent="0.2">
      <c r="A512" s="31">
        <f>IF(Table6[[#This Row],[instruction]]&lt;&gt;"",MAX($A$6:A511)+1," ")</f>
        <v>507</v>
      </c>
      <c r="B512" s="32" t="s">
        <v>485</v>
      </c>
      <c r="C512" t="s">
        <v>190</v>
      </c>
      <c r="D512" s="31" t="s">
        <v>23</v>
      </c>
      <c r="E512" s="31" t="s">
        <v>17</v>
      </c>
      <c r="F512" s="31" t="s">
        <v>714</v>
      </c>
      <c r="G512" s="31" t="s">
        <v>506</v>
      </c>
      <c r="K512" s="2" t="s">
        <v>812</v>
      </c>
      <c r="L512" cm="1">
        <f t="array" ref="L5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12" t="str">
        <f>IF(OR(ISNUMBER(SEARCH("imad", Table6[[#This Row],[instruction]])), ISNUMBER(SEARCH("ffma", Table6[[#This Row],[instruction]])), ISNUMBER(SEARCH("fmul", Table6[[#This Row],[instruction]]))), "fma", "")</f>
        <v/>
      </c>
      <c r="P5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2" t="str">
        <f>IF(OR(ISNUMBER(SEARCH("s2r", Table6[[#This Row],[instruction]])),ISNUMBER(SEARCH("s2ur", Table6[[#This Row],[instruction]]))), "special", "")</f>
        <v/>
      </c>
      <c r="S512" t="str">
        <f>IF(OR(ISNUMBER(SEARCH("stg", Table6[[#This Row],[instruction]])),ISNUMBER(SEARCH("ldg", Table6[[#This Row],[instruction]]))), "global", "")</f>
        <v/>
      </c>
      <c r="T512" t="str">
        <f>IF(OR(ISNUMBER(SEARCH("sts", Table6[[#This Row],[instruction]])),ISNUMBER(SEARCH("lds", Table6[[#This Row],[instruction]]))), "shared", "")</f>
        <v/>
      </c>
      <c r="U512" t="str">
        <f>IF(OR(ISNUMBER(SEARCH("LDC", Table6[[#This Row],[instruction]]))), "ind. const", "")</f>
        <v/>
      </c>
      <c r="V5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Row],[s5]]))),U512=""), "cmb. const", "")</f>
        <v/>
      </c>
      <c r="Y512">
        <f>IF(Table6[[#This Row],[pipeline]]="fma",Table6[[#This Row],[delay]],0)</f>
        <v>0</v>
      </c>
      <c r="Z512">
        <f>IF(AND(Table6[[#This Row],[pipeline]]="fma",W512="new"),290,0)</f>
        <v>0</v>
      </c>
      <c r="AK512" s="34"/>
    </row>
    <row r="513" spans="1:37" ht="17" x14ac:dyDescent="0.2">
      <c r="A513" s="31">
        <f>IF(Table6[[#This Row],[instruction]]&lt;&gt;"",MAX($A$6:A512)+1," ")</f>
        <v>508</v>
      </c>
      <c r="B513" s="32" t="s">
        <v>485</v>
      </c>
      <c r="C513" t="s">
        <v>26</v>
      </c>
      <c r="D513" s="31" t="s">
        <v>23</v>
      </c>
      <c r="E513" s="31" t="s">
        <v>23</v>
      </c>
      <c r="F513" s="31" t="s">
        <v>606</v>
      </c>
      <c r="G513" s="31" t="s">
        <v>502</v>
      </c>
      <c r="K513" s="2" t="str">
        <f t="shared" si="7"/>
        <v>alu</v>
      </c>
      <c r="L513" cm="1">
        <f t="array" ref="L5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13" t="str">
        <f>IF(OR(ISNUMBER(SEARCH("imad", Table6[[#This Row],[instruction]])), ISNUMBER(SEARCH("ffma", Table6[[#This Row],[instruction]])), ISNUMBER(SEARCH("fmul", Table6[[#This Row],[instruction]]))), "fma", "")</f>
        <v/>
      </c>
      <c r="P5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3" t="str">
        <f>IF(OR(ISNUMBER(SEARCH("s2r", Table6[[#This Row],[instruction]])),ISNUMBER(SEARCH("s2ur", Table6[[#This Row],[instruction]]))), "special", "")</f>
        <v/>
      </c>
      <c r="S513" t="str">
        <f>IF(OR(ISNUMBER(SEARCH("stg", Table6[[#This Row],[instruction]])),ISNUMBER(SEARCH("ldg", Table6[[#This Row],[instruction]]))), "global", "")</f>
        <v/>
      </c>
      <c r="T513" t="str">
        <f>IF(OR(ISNUMBER(SEARCH("sts", Table6[[#This Row],[instruction]])),ISNUMBER(SEARCH("lds", Table6[[#This Row],[instruction]]))), "shared", "")</f>
        <v/>
      </c>
      <c r="U513" t="str">
        <f>IF(OR(ISNUMBER(SEARCH("LDC", Table6[[#This Row],[instruction]]))), "ind. const", "")</f>
        <v/>
      </c>
      <c r="V5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Row],[s5]]))),U513=""), "cmb. const", "")</f>
        <v/>
      </c>
      <c r="Y513">
        <f>IF(Table6[[#This Row],[pipeline]]="fma",Table6[[#This Row],[delay]],0)</f>
        <v>0</v>
      </c>
      <c r="Z513">
        <f>IF(AND(Table6[[#This Row],[pipeline]]="fma",W513="new"),290,0)</f>
        <v>0</v>
      </c>
      <c r="AK513" s="34"/>
    </row>
    <row r="514" spans="1:37" ht="17" x14ac:dyDescent="0.2">
      <c r="A514" s="31">
        <f>IF(Table6[[#This Row],[instruction]]&lt;&gt;"",MAX($A$6:A513)+1," ")</f>
        <v>509</v>
      </c>
      <c r="B514" s="32" t="s">
        <v>485</v>
      </c>
      <c r="C514" t="s">
        <v>26</v>
      </c>
      <c r="D514" s="31" t="s">
        <v>606</v>
      </c>
      <c r="E514" s="31" t="s">
        <v>606</v>
      </c>
      <c r="F514" s="31" t="s">
        <v>526</v>
      </c>
      <c r="G514" s="31" t="s">
        <v>502</v>
      </c>
      <c r="K514" s="2" t="str">
        <f t="shared" si="7"/>
        <v>alu</v>
      </c>
      <c r="L514" cm="1">
        <f t="array" ref="L5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14" t="str">
        <f>IF(OR(ISNUMBER(SEARCH("imad", Table6[[#This Row],[instruction]])), ISNUMBER(SEARCH("ffma", Table6[[#This Row],[instruction]])), ISNUMBER(SEARCH("fmul", Table6[[#This Row],[instruction]]))), "fma", "")</f>
        <v/>
      </c>
      <c r="P5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4" t="str">
        <f>IF(OR(ISNUMBER(SEARCH("s2r", Table6[[#This Row],[instruction]])),ISNUMBER(SEARCH("s2ur", Table6[[#This Row],[instruction]]))), "special", "")</f>
        <v/>
      </c>
      <c r="S514" t="str">
        <f>IF(OR(ISNUMBER(SEARCH("stg", Table6[[#This Row],[instruction]])),ISNUMBER(SEARCH("ldg", Table6[[#This Row],[instruction]]))), "global", "")</f>
        <v/>
      </c>
      <c r="T514" t="str">
        <f>IF(OR(ISNUMBER(SEARCH("sts", Table6[[#This Row],[instruction]])),ISNUMBER(SEARCH("lds", Table6[[#This Row],[instruction]]))), "shared", "")</f>
        <v/>
      </c>
      <c r="U514" t="str">
        <f>IF(OR(ISNUMBER(SEARCH("LDC", Table6[[#This Row],[instruction]]))), "ind. const", "")</f>
        <v/>
      </c>
      <c r="V5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Row],[s5]]))),U514=""), "cmb. const", "")</f>
        <v/>
      </c>
      <c r="Y514">
        <f>IF(Table6[[#This Row],[pipeline]]="fma",Table6[[#This Row],[delay]],0)</f>
        <v>0</v>
      </c>
      <c r="Z514">
        <f>IF(AND(Table6[[#This Row],[pipeline]]="fma",W514="new"),290,0)</f>
        <v>0</v>
      </c>
      <c r="AK514" s="34"/>
    </row>
    <row r="515" spans="1:37" ht="17" x14ac:dyDescent="0.2">
      <c r="A515" s="31">
        <f>IF(Table6[[#This Row],[instruction]]&lt;&gt;"",MAX($A$6:A514)+1," ")</f>
        <v>510</v>
      </c>
      <c r="B515" s="32" t="s">
        <v>485</v>
      </c>
      <c r="C515" t="s">
        <v>26</v>
      </c>
      <c r="D515" s="31" t="s">
        <v>17</v>
      </c>
      <c r="E515" s="31" t="s">
        <v>23</v>
      </c>
      <c r="F515" s="31" t="s">
        <v>79</v>
      </c>
      <c r="G515" s="31" t="s">
        <v>502</v>
      </c>
      <c r="K515" s="2" t="str">
        <f t="shared" si="7"/>
        <v>alu</v>
      </c>
      <c r="L515" cm="1">
        <f t="array" ref="L5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15" t="str">
        <f>IF(OR(ISNUMBER(SEARCH("imad", Table6[[#This Row],[instruction]])), ISNUMBER(SEARCH("ffma", Table6[[#This Row],[instruction]])), ISNUMBER(SEARCH("fmul", Table6[[#This Row],[instruction]]))), "fma", "")</f>
        <v/>
      </c>
      <c r="P5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5" t="str">
        <f>IF(OR(ISNUMBER(SEARCH("s2r", Table6[[#This Row],[instruction]])),ISNUMBER(SEARCH("s2ur", Table6[[#This Row],[instruction]]))), "special", "")</f>
        <v/>
      </c>
      <c r="S515" t="str">
        <f>IF(OR(ISNUMBER(SEARCH("stg", Table6[[#This Row],[instruction]])),ISNUMBER(SEARCH("ldg", Table6[[#This Row],[instruction]]))), "global", "")</f>
        <v/>
      </c>
      <c r="T515" t="str">
        <f>IF(OR(ISNUMBER(SEARCH("sts", Table6[[#This Row],[instruction]])),ISNUMBER(SEARCH("lds", Table6[[#This Row],[instruction]]))), "shared", "")</f>
        <v/>
      </c>
      <c r="U515" t="str">
        <f>IF(OR(ISNUMBER(SEARCH("LDC", Table6[[#This Row],[instruction]]))), "ind. const", "")</f>
        <v/>
      </c>
      <c r="V5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Row],[s5]]))),U515=""), "cmb. const", "")</f>
        <v/>
      </c>
      <c r="Y515">
        <f>IF(Table6[[#This Row],[pipeline]]="fma",Table6[[#This Row],[delay]],0)</f>
        <v>0</v>
      </c>
      <c r="Z515">
        <f>IF(AND(Table6[[#This Row],[pipeline]]="fma",W515="new"),290,0)</f>
        <v>0</v>
      </c>
      <c r="AK515" s="34"/>
    </row>
    <row r="516" spans="1:37" ht="17" x14ac:dyDescent="0.2">
      <c r="A516" s="31">
        <f>IF(Table6[[#This Row],[instruction]]&lt;&gt;"",MAX($A$6:A515)+1," ")</f>
        <v>511</v>
      </c>
      <c r="B516" s="32" t="s">
        <v>485</v>
      </c>
      <c r="C516" t="s">
        <v>26</v>
      </c>
      <c r="D516" s="31" t="s">
        <v>19</v>
      </c>
      <c r="E516" s="31" t="s">
        <v>23</v>
      </c>
      <c r="F516" s="31" t="s">
        <v>48</v>
      </c>
      <c r="G516" s="31" t="s">
        <v>502</v>
      </c>
      <c r="K516" s="2" t="str">
        <f t="shared" si="7"/>
        <v>alu</v>
      </c>
      <c r="L516" cm="1">
        <f t="array" ref="L5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16" t="str">
        <f>IF(OR(ISNUMBER(SEARCH("imad", Table6[[#This Row],[instruction]])), ISNUMBER(SEARCH("ffma", Table6[[#This Row],[instruction]])), ISNUMBER(SEARCH("fmul", Table6[[#This Row],[instruction]]))), "fma", "")</f>
        <v/>
      </c>
      <c r="P5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6" t="str">
        <f>IF(OR(ISNUMBER(SEARCH("s2r", Table6[[#This Row],[instruction]])),ISNUMBER(SEARCH("s2ur", Table6[[#This Row],[instruction]]))), "special", "")</f>
        <v/>
      </c>
      <c r="S516" t="str">
        <f>IF(OR(ISNUMBER(SEARCH("stg", Table6[[#This Row],[instruction]])),ISNUMBER(SEARCH("ldg", Table6[[#This Row],[instruction]]))), "global", "")</f>
        <v/>
      </c>
      <c r="T516" t="str">
        <f>IF(OR(ISNUMBER(SEARCH("sts", Table6[[#This Row],[instruction]])),ISNUMBER(SEARCH("lds", Table6[[#This Row],[instruction]]))), "shared", "")</f>
        <v/>
      </c>
      <c r="U516" t="str">
        <f>IF(OR(ISNUMBER(SEARCH("LDC", Table6[[#This Row],[instruction]]))), "ind. const", "")</f>
        <v/>
      </c>
      <c r="V5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Row],[s5]]))),U516=""), "cmb. const", "")</f>
        <v/>
      </c>
      <c r="Y516">
        <f>IF(Table6[[#This Row],[pipeline]]="fma",Table6[[#This Row],[delay]],0)</f>
        <v>0</v>
      </c>
      <c r="Z516">
        <f>IF(AND(Table6[[#This Row],[pipeline]]="fma",W516="new"),290,0)</f>
        <v>0</v>
      </c>
      <c r="AK516" s="34"/>
    </row>
    <row r="517" spans="1:37" ht="17" x14ac:dyDescent="0.2">
      <c r="A517" s="31">
        <f>IF(Table6[[#This Row],[instruction]]&lt;&gt;"",MAX($A$6:A516)+1," ")</f>
        <v>512</v>
      </c>
      <c r="B517" s="32" t="s">
        <v>485</v>
      </c>
      <c r="C517" t="s">
        <v>73</v>
      </c>
      <c r="D517" s="31" t="s">
        <v>50</v>
      </c>
      <c r="E517" s="31" t="s">
        <v>17</v>
      </c>
      <c r="F517" s="31" t="s">
        <v>17</v>
      </c>
      <c r="G517" s="31" t="s">
        <v>459</v>
      </c>
      <c r="H517" s="31" t="s">
        <v>8</v>
      </c>
      <c r="I517" s="31" t="s">
        <v>76</v>
      </c>
      <c r="J517" s="31" t="s">
        <v>506</v>
      </c>
      <c r="K517" s="2" t="str">
        <f t="shared" si="7"/>
        <v>alu</v>
      </c>
      <c r="L517" cm="1">
        <f t="array" ref="L5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517" t="str">
        <f>IF(OR(ISNUMBER(SEARCH("imad", Table6[[#This Row],[instruction]])), ISNUMBER(SEARCH("ffma", Table6[[#This Row],[instruction]])), ISNUMBER(SEARCH("fmul", Table6[[#This Row],[instruction]]))), "fma", "")</f>
        <v/>
      </c>
      <c r="P5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7" t="str">
        <f>IF(OR(ISNUMBER(SEARCH("s2r", Table6[[#This Row],[instruction]])),ISNUMBER(SEARCH("s2ur", Table6[[#This Row],[instruction]]))), "special", "")</f>
        <v/>
      </c>
      <c r="S517" t="str">
        <f>IF(OR(ISNUMBER(SEARCH("stg", Table6[[#This Row],[instruction]])),ISNUMBER(SEARCH("ldg", Table6[[#This Row],[instruction]]))), "global", "")</f>
        <v/>
      </c>
      <c r="T517" t="str">
        <f>IF(OR(ISNUMBER(SEARCH("sts", Table6[[#This Row],[instruction]])),ISNUMBER(SEARCH("lds", Table6[[#This Row],[instruction]]))), "shared", "")</f>
        <v/>
      </c>
      <c r="U517" t="str">
        <f>IF(OR(ISNUMBER(SEARCH("LDC", Table6[[#This Row],[instruction]]))), "ind. const", "")</f>
        <v/>
      </c>
      <c r="V5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Row],[s5]]))),U517=""), "cmb. const", "")</f>
        <v/>
      </c>
      <c r="Y517">
        <f>IF(Table6[[#This Row],[pipeline]]="fma",Table6[[#This Row],[delay]],0)</f>
        <v>0</v>
      </c>
      <c r="Z517">
        <f>IF(AND(Table6[[#This Row],[pipeline]]="fma",W517="new"),290,0)</f>
        <v>0</v>
      </c>
      <c r="AK517" s="34"/>
    </row>
    <row r="518" spans="1:37" ht="17" x14ac:dyDescent="0.2">
      <c r="A518" s="31">
        <f>IF(Table6[[#This Row],[instruction]]&lt;&gt;"",MAX($A$6:A517)+1," ")</f>
        <v>513</v>
      </c>
      <c r="B518" s="32" t="s">
        <v>485</v>
      </c>
      <c r="C518" t="s">
        <v>87</v>
      </c>
      <c r="D518" s="31" t="s">
        <v>78</v>
      </c>
      <c r="E518" s="31" t="s">
        <v>51</v>
      </c>
      <c r="F518" s="31" t="s">
        <v>19</v>
      </c>
      <c r="G518" s="31" t="s">
        <v>459</v>
      </c>
      <c r="H518" s="31" t="s">
        <v>494</v>
      </c>
      <c r="K518" s="2" t="str">
        <f t="shared" ref="K518:K581" si="8">IF(O518&lt;&gt;"", O518, IF(P518&lt;&gt;"", P518, IF(R518&lt;&gt;"", R518, IF(S518&lt;&gt;"", S518, IF(T518&lt;&gt;"", T518, IF(U518&lt;&gt;"", U518, IF(Q518&lt;&gt;"", Q518, "")))))))</f>
        <v>alu</v>
      </c>
      <c r="L518" cm="1">
        <f t="array" ref="L5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18" t="str">
        <f>IF(OR(ISNUMBER(SEARCH("imad", Table6[[#This Row],[instruction]])), ISNUMBER(SEARCH("ffma", Table6[[#This Row],[instruction]])), ISNUMBER(SEARCH("fmul", Table6[[#This Row],[instruction]]))), "fma", "")</f>
        <v/>
      </c>
      <c r="P5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8" t="str">
        <f>IF(OR(ISNUMBER(SEARCH("s2r", Table6[[#This Row],[instruction]])),ISNUMBER(SEARCH("s2ur", Table6[[#This Row],[instruction]]))), "special", "")</f>
        <v/>
      </c>
      <c r="S518" t="str">
        <f>IF(OR(ISNUMBER(SEARCH("stg", Table6[[#This Row],[instruction]])),ISNUMBER(SEARCH("ldg", Table6[[#This Row],[instruction]]))), "global", "")</f>
        <v/>
      </c>
      <c r="T518" t="str">
        <f>IF(OR(ISNUMBER(SEARCH("sts", Table6[[#This Row],[instruction]])),ISNUMBER(SEARCH("lds", Table6[[#This Row],[instruction]]))), "shared", "")</f>
        <v/>
      </c>
      <c r="U518" t="str">
        <f>IF(OR(ISNUMBER(SEARCH("LDC", Table6[[#This Row],[instruction]]))), "ind. const", "")</f>
        <v/>
      </c>
      <c r="V5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Row],[s5]]))),U518=""), "cmb. const", "")</f>
        <v/>
      </c>
      <c r="Y518">
        <f>IF(Table6[[#This Row],[pipeline]]="fma",Table6[[#This Row],[delay]],0)</f>
        <v>0</v>
      </c>
      <c r="Z518">
        <f>IF(AND(Table6[[#This Row],[pipeline]]="fma",W518="new"),290,0)</f>
        <v>0</v>
      </c>
      <c r="AK518" s="34"/>
    </row>
    <row r="519" spans="1:37" ht="17" x14ac:dyDescent="0.2">
      <c r="A519" s="31">
        <f>IF(Table6[[#This Row],[instruction]]&lt;&gt;"",MAX($A$6:A518)+1," ")</f>
        <v>514</v>
      </c>
      <c r="B519" s="32" t="s">
        <v>485</v>
      </c>
      <c r="C519" t="s">
        <v>200</v>
      </c>
      <c r="D519" s="31" t="s">
        <v>569</v>
      </c>
      <c r="E519" s="31" t="s">
        <v>82</v>
      </c>
      <c r="F519" s="31" t="s">
        <v>625</v>
      </c>
      <c r="G519" s="31" t="s">
        <v>548</v>
      </c>
      <c r="K519" s="2" t="str">
        <f t="shared" si="8"/>
        <v>alu</v>
      </c>
      <c r="L519" cm="1">
        <f t="array" ref="L5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519" t="str">
        <f>IF(OR(ISNUMBER(SEARCH("imad", Table6[[#This Row],[instruction]])), ISNUMBER(SEARCH("ffma", Table6[[#This Row],[instruction]])), ISNUMBER(SEARCH("fmul", Table6[[#This Row],[instruction]]))), "fma", "")</f>
        <v/>
      </c>
      <c r="P5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19" t="str">
        <f>IF(OR(ISNUMBER(SEARCH("s2r", Table6[[#This Row],[instruction]])),ISNUMBER(SEARCH("s2ur", Table6[[#This Row],[instruction]]))), "special", "")</f>
        <v/>
      </c>
      <c r="S519" t="str">
        <f>IF(OR(ISNUMBER(SEARCH("stg", Table6[[#This Row],[instruction]])),ISNUMBER(SEARCH("ldg", Table6[[#This Row],[instruction]]))), "global", "")</f>
        <v/>
      </c>
      <c r="T519" t="str">
        <f>IF(OR(ISNUMBER(SEARCH("sts", Table6[[#This Row],[instruction]])),ISNUMBER(SEARCH("lds", Table6[[#This Row],[instruction]]))), "shared", "")</f>
        <v/>
      </c>
      <c r="U519" t="str">
        <f>IF(OR(ISNUMBER(SEARCH("LDC", Table6[[#This Row],[instruction]]))), "ind. const", "")</f>
        <v/>
      </c>
      <c r="V5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Row],[s5]]))),U519=""), "cmb. const", "")</f>
        <v/>
      </c>
      <c r="Y519">
        <f>IF(Table6[[#This Row],[pipeline]]="fma",Table6[[#This Row],[delay]],0)</f>
        <v>0</v>
      </c>
      <c r="Z519">
        <f>IF(AND(Table6[[#This Row],[pipeline]]="fma",W519="new"),290,0)</f>
        <v>0</v>
      </c>
      <c r="AK519" s="34"/>
    </row>
    <row r="520" spans="1:37" ht="17" x14ac:dyDescent="0.2">
      <c r="A520" s="31">
        <f>IF(Table6[[#This Row],[instruction]]&lt;&gt;"",MAX($A$6:A519)+1," ")</f>
        <v>515</v>
      </c>
      <c r="B520" s="32" t="s">
        <v>485</v>
      </c>
      <c r="C520" t="s">
        <v>26</v>
      </c>
      <c r="D520" s="31" t="s">
        <v>507</v>
      </c>
      <c r="E520" s="31" t="s">
        <v>606</v>
      </c>
      <c r="F520" s="31" t="s">
        <v>53</v>
      </c>
      <c r="G520" s="31" t="s">
        <v>502</v>
      </c>
      <c r="K520" s="2" t="str">
        <f t="shared" si="8"/>
        <v>alu</v>
      </c>
      <c r="L520" cm="1">
        <f t="array" ref="L5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20" t="str">
        <f>IF(OR(ISNUMBER(SEARCH("imad", Table6[[#This Row],[instruction]])), ISNUMBER(SEARCH("ffma", Table6[[#This Row],[instruction]])), ISNUMBER(SEARCH("fmul", Table6[[#This Row],[instruction]]))), "fma", "")</f>
        <v/>
      </c>
      <c r="P5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0" t="str">
        <f>IF(OR(ISNUMBER(SEARCH("s2r", Table6[[#This Row],[instruction]])),ISNUMBER(SEARCH("s2ur", Table6[[#This Row],[instruction]]))), "special", "")</f>
        <v/>
      </c>
      <c r="S520" t="str">
        <f>IF(OR(ISNUMBER(SEARCH("stg", Table6[[#This Row],[instruction]])),ISNUMBER(SEARCH("ldg", Table6[[#This Row],[instruction]]))), "global", "")</f>
        <v/>
      </c>
      <c r="T520" t="str">
        <f>IF(OR(ISNUMBER(SEARCH("sts", Table6[[#This Row],[instruction]])),ISNUMBER(SEARCH("lds", Table6[[#This Row],[instruction]]))), "shared", "")</f>
        <v/>
      </c>
      <c r="U520" t="str">
        <f>IF(OR(ISNUMBER(SEARCH("LDC", Table6[[#This Row],[instruction]]))), "ind. const", "")</f>
        <v/>
      </c>
      <c r="V5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Row],[s5]]))),U520=""), "cmb. const", "")</f>
        <v/>
      </c>
      <c r="Y520">
        <f>IF(Table6[[#This Row],[pipeline]]="fma",Table6[[#This Row],[delay]],0)</f>
        <v>0</v>
      </c>
      <c r="Z520">
        <f>IF(AND(Table6[[#This Row],[pipeline]]="fma",W520="new"),290,0)</f>
        <v>0</v>
      </c>
      <c r="AK520" s="34"/>
    </row>
    <row r="521" spans="1:37" ht="17" x14ac:dyDescent="0.2">
      <c r="A521" s="31">
        <f>IF(Table6[[#This Row],[instruction]]&lt;&gt;"",MAX($A$6:A520)+1," ")</f>
        <v>516</v>
      </c>
      <c r="B521" s="32" t="s">
        <v>485</v>
      </c>
      <c r="C521" t="s">
        <v>200</v>
      </c>
      <c r="D521" s="31" t="s">
        <v>17</v>
      </c>
      <c r="E521" s="31" t="s">
        <v>84</v>
      </c>
      <c r="F521" s="31" t="s">
        <v>715</v>
      </c>
      <c r="G521" s="31" t="s">
        <v>548</v>
      </c>
      <c r="K521" s="2" t="str">
        <f t="shared" si="8"/>
        <v>alu</v>
      </c>
      <c r="L521" cm="1">
        <f t="array" ref="L5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521" t="str">
        <f>IF(OR(ISNUMBER(SEARCH("imad", Table6[[#This Row],[instruction]])), ISNUMBER(SEARCH("ffma", Table6[[#This Row],[instruction]])), ISNUMBER(SEARCH("fmul", Table6[[#This Row],[instruction]]))), "fma", "")</f>
        <v/>
      </c>
      <c r="P5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1" t="str">
        <f>IF(OR(ISNUMBER(SEARCH("s2r", Table6[[#This Row],[instruction]])),ISNUMBER(SEARCH("s2ur", Table6[[#This Row],[instruction]]))), "special", "")</f>
        <v/>
      </c>
      <c r="S521" t="str">
        <f>IF(OR(ISNUMBER(SEARCH("stg", Table6[[#This Row],[instruction]])),ISNUMBER(SEARCH("ldg", Table6[[#This Row],[instruction]]))), "global", "")</f>
        <v/>
      </c>
      <c r="T521" t="str">
        <f>IF(OR(ISNUMBER(SEARCH("sts", Table6[[#This Row],[instruction]])),ISNUMBER(SEARCH("lds", Table6[[#This Row],[instruction]]))), "shared", "")</f>
        <v/>
      </c>
      <c r="U521" t="str">
        <f>IF(OR(ISNUMBER(SEARCH("LDC", Table6[[#This Row],[instruction]]))), "ind. const", "")</f>
        <v/>
      </c>
      <c r="V5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Row],[s5]]))),U521=""), "cmb. const", "")</f>
        <v/>
      </c>
      <c r="Y521">
        <f>IF(Table6[[#This Row],[pipeline]]="fma",Table6[[#This Row],[delay]],0)</f>
        <v>0</v>
      </c>
      <c r="Z521">
        <f>IF(AND(Table6[[#This Row],[pipeline]]="fma",W521="new"),290,0)</f>
        <v>0</v>
      </c>
      <c r="AK521" s="34"/>
    </row>
    <row r="522" spans="1:37" ht="17" x14ac:dyDescent="0.2">
      <c r="A522" s="31">
        <f>IF(Table6[[#This Row],[instruction]]&lt;&gt;"",MAX($A$6:A521)+1," ")</f>
        <v>517</v>
      </c>
      <c r="B522" s="32" t="s">
        <v>485</v>
      </c>
      <c r="C522" t="s">
        <v>26</v>
      </c>
      <c r="D522" s="31" t="s">
        <v>569</v>
      </c>
      <c r="E522" s="31" t="s">
        <v>569</v>
      </c>
      <c r="F522" s="31" t="s">
        <v>715</v>
      </c>
      <c r="G522" s="31" t="s">
        <v>502</v>
      </c>
      <c r="K522" s="2" t="str">
        <f t="shared" si="8"/>
        <v>alu</v>
      </c>
      <c r="L522" cm="1">
        <f t="array" ref="L5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22" t="str">
        <f>IF(OR(ISNUMBER(SEARCH("imad", Table6[[#This Row],[instruction]])), ISNUMBER(SEARCH("ffma", Table6[[#This Row],[instruction]])), ISNUMBER(SEARCH("fmul", Table6[[#This Row],[instruction]]))), "fma", "")</f>
        <v/>
      </c>
      <c r="P5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2" t="str">
        <f>IF(OR(ISNUMBER(SEARCH("s2r", Table6[[#This Row],[instruction]])),ISNUMBER(SEARCH("s2ur", Table6[[#This Row],[instruction]]))), "special", "")</f>
        <v/>
      </c>
      <c r="S522" t="str">
        <f>IF(OR(ISNUMBER(SEARCH("stg", Table6[[#This Row],[instruction]])),ISNUMBER(SEARCH("ldg", Table6[[#This Row],[instruction]]))), "global", "")</f>
        <v/>
      </c>
      <c r="T522" t="str">
        <f>IF(OR(ISNUMBER(SEARCH("sts", Table6[[#This Row],[instruction]])),ISNUMBER(SEARCH("lds", Table6[[#This Row],[instruction]]))), "shared", "")</f>
        <v/>
      </c>
      <c r="U522" t="str">
        <f>IF(OR(ISNUMBER(SEARCH("LDC", Table6[[#This Row],[instruction]]))), "ind. const", "")</f>
        <v/>
      </c>
      <c r="V5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Row],[s5]]))),U522=""), "cmb. const", "")</f>
        <v/>
      </c>
      <c r="Y522">
        <f>IF(Table6[[#This Row],[pipeline]]="fma",Table6[[#This Row],[delay]],0)</f>
        <v>0</v>
      </c>
      <c r="Z522">
        <f>IF(AND(Table6[[#This Row],[pipeline]]="fma",W522="new"),290,0)</f>
        <v>0</v>
      </c>
      <c r="AK522" s="34"/>
    </row>
    <row r="523" spans="1:37" ht="17" x14ac:dyDescent="0.2">
      <c r="A523" s="31">
        <f>IF(Table6[[#This Row],[instruction]]&lt;&gt;"",MAX($A$6:A522)+1," ")</f>
        <v>518</v>
      </c>
      <c r="B523" s="32" t="s">
        <v>485</v>
      </c>
      <c r="C523" t="s">
        <v>626</v>
      </c>
      <c r="D523" s="31" t="s">
        <v>19</v>
      </c>
      <c r="E523" s="31" t="s">
        <v>716</v>
      </c>
      <c r="K523" s="2" t="str">
        <f t="shared" si="8"/>
        <v>shared</v>
      </c>
      <c r="L523" cm="1">
        <f t="array" ref="L5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23" t="str">
        <f>IF(OR(ISNUMBER(SEARCH("imad", Table6[[#This Row],[instruction]])), ISNUMBER(SEARCH("ffma", Table6[[#This Row],[instruction]])), ISNUMBER(SEARCH("fmul", Table6[[#This Row],[instruction]]))), "fma", "")</f>
        <v/>
      </c>
      <c r="P5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3" t="str">
        <f>IF(OR(ISNUMBER(SEARCH("s2r", Table6[[#This Row],[instruction]])),ISNUMBER(SEARCH("s2ur", Table6[[#This Row],[instruction]]))), "special", "")</f>
        <v/>
      </c>
      <c r="S523" t="str">
        <f>IF(OR(ISNUMBER(SEARCH("stg", Table6[[#This Row],[instruction]])),ISNUMBER(SEARCH("ldg", Table6[[#This Row],[instruction]]))), "global", "")</f>
        <v/>
      </c>
      <c r="T523" t="str">
        <f>IF(OR(ISNUMBER(SEARCH("sts", Table6[[#This Row],[instruction]])),ISNUMBER(SEARCH("lds", Table6[[#This Row],[instruction]]))), "shared", "")</f>
        <v>shared</v>
      </c>
      <c r="U523" t="str">
        <f>IF(OR(ISNUMBER(SEARCH("LDC", Table6[[#This Row],[instruction]]))), "ind. const", "")</f>
        <v/>
      </c>
      <c r="V5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Row],[s5]]))),U523=""), "cmb. const", "")</f>
        <v/>
      </c>
      <c r="Y523">
        <f>IF(Table6[[#This Row],[pipeline]]="fma",Table6[[#This Row],[delay]],0)</f>
        <v>0</v>
      </c>
      <c r="Z523">
        <f>IF(AND(Table6[[#This Row],[pipeline]]="fma",W523="new"),290,0)</f>
        <v>0</v>
      </c>
      <c r="AK523" s="34"/>
    </row>
    <row r="524" spans="1:37" ht="17" x14ac:dyDescent="0.2">
      <c r="A524" s="31">
        <f>IF(Table6[[#This Row],[instruction]]&lt;&gt;"",MAX($A$6:A523)+1," ")</f>
        <v>519</v>
      </c>
      <c r="B524" s="32" t="s">
        <v>485</v>
      </c>
      <c r="C524" t="s">
        <v>26</v>
      </c>
      <c r="D524" s="31" t="s">
        <v>507</v>
      </c>
      <c r="E524" s="31" t="s">
        <v>507</v>
      </c>
      <c r="F524" s="31" t="s">
        <v>717</v>
      </c>
      <c r="G524" s="31" t="s">
        <v>502</v>
      </c>
      <c r="K524" s="2" t="str">
        <f t="shared" si="8"/>
        <v>alu</v>
      </c>
      <c r="L524" cm="1">
        <f t="array" ref="L5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24" t="str">
        <f>IF(OR(ISNUMBER(SEARCH("imad", Table6[[#This Row],[instruction]])), ISNUMBER(SEARCH("ffma", Table6[[#This Row],[instruction]])), ISNUMBER(SEARCH("fmul", Table6[[#This Row],[instruction]]))), "fma", "")</f>
        <v/>
      </c>
      <c r="P5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4" t="str">
        <f>IF(OR(ISNUMBER(SEARCH("s2r", Table6[[#This Row],[instruction]])),ISNUMBER(SEARCH("s2ur", Table6[[#This Row],[instruction]]))), "special", "")</f>
        <v/>
      </c>
      <c r="S524" t="str">
        <f>IF(OR(ISNUMBER(SEARCH("stg", Table6[[#This Row],[instruction]])),ISNUMBER(SEARCH("ldg", Table6[[#This Row],[instruction]]))), "global", "")</f>
        <v/>
      </c>
      <c r="T524" t="str">
        <f>IF(OR(ISNUMBER(SEARCH("sts", Table6[[#This Row],[instruction]])),ISNUMBER(SEARCH("lds", Table6[[#This Row],[instruction]]))), "shared", "")</f>
        <v/>
      </c>
      <c r="U524" t="str">
        <f>IF(OR(ISNUMBER(SEARCH("LDC", Table6[[#This Row],[instruction]]))), "ind. const", "")</f>
        <v/>
      </c>
      <c r="V5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Row],[s5]]))),U524=""), "cmb. const", "")</f>
        <v/>
      </c>
      <c r="Y524">
        <f>IF(Table6[[#This Row],[pipeline]]="fma",Table6[[#This Row],[delay]],0)</f>
        <v>0</v>
      </c>
      <c r="Z524">
        <f>IF(AND(Table6[[#This Row],[pipeline]]="fma",W524="new"),290,0)</f>
        <v>0</v>
      </c>
      <c r="AK524" s="34"/>
    </row>
    <row r="525" spans="1:37" ht="17" x14ac:dyDescent="0.2">
      <c r="A525" s="31">
        <f>IF(Table6[[#This Row],[instruction]]&lt;&gt;"",MAX($A$6:A524)+1," ")</f>
        <v>520</v>
      </c>
      <c r="B525" s="32" t="s">
        <v>485</v>
      </c>
      <c r="C525" t="s">
        <v>626</v>
      </c>
      <c r="D525" s="31" t="s">
        <v>58</v>
      </c>
      <c r="E525" s="31" t="s">
        <v>718</v>
      </c>
      <c r="K525" s="2" t="str">
        <f t="shared" si="8"/>
        <v>shared</v>
      </c>
      <c r="L525" cm="1">
        <f t="array" ref="L5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25" t="str">
        <f>IF(OR(ISNUMBER(SEARCH("imad", Table6[[#This Row],[instruction]])), ISNUMBER(SEARCH("ffma", Table6[[#This Row],[instruction]])), ISNUMBER(SEARCH("fmul", Table6[[#This Row],[instruction]]))), "fma", "")</f>
        <v/>
      </c>
      <c r="P5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5" t="str">
        <f>IF(OR(ISNUMBER(SEARCH("s2r", Table6[[#This Row],[instruction]])),ISNUMBER(SEARCH("s2ur", Table6[[#This Row],[instruction]]))), "special", "")</f>
        <v/>
      </c>
      <c r="S525" t="str">
        <f>IF(OR(ISNUMBER(SEARCH("stg", Table6[[#This Row],[instruction]])),ISNUMBER(SEARCH("ldg", Table6[[#This Row],[instruction]]))), "global", "")</f>
        <v/>
      </c>
      <c r="T525" t="str">
        <f>IF(OR(ISNUMBER(SEARCH("sts", Table6[[#This Row],[instruction]])),ISNUMBER(SEARCH("lds", Table6[[#This Row],[instruction]]))), "shared", "")</f>
        <v>shared</v>
      </c>
      <c r="U525" t="str">
        <f>IF(OR(ISNUMBER(SEARCH("LDC", Table6[[#This Row],[instruction]]))), "ind. const", "")</f>
        <v/>
      </c>
      <c r="V5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Row],[s5]]))),U525=""), "cmb. const", "")</f>
        <v/>
      </c>
      <c r="Y525">
        <f>IF(Table6[[#This Row],[pipeline]]="fma",Table6[[#This Row],[delay]],0)</f>
        <v>0</v>
      </c>
      <c r="Z525">
        <f>IF(AND(Table6[[#This Row],[pipeline]]="fma",W525="new"),290,0)</f>
        <v>0</v>
      </c>
      <c r="AK525" s="34"/>
    </row>
    <row r="526" spans="1:37" ht="17" x14ac:dyDescent="0.2">
      <c r="A526" s="31">
        <f>IF(Table6[[#This Row],[instruction]]&lt;&gt;"",MAX($A$6:A525)+1," ")</f>
        <v>521</v>
      </c>
      <c r="B526" s="32" t="s">
        <v>485</v>
      </c>
      <c r="C526" t="s">
        <v>449</v>
      </c>
      <c r="D526" s="31" t="s">
        <v>50</v>
      </c>
      <c r="E526" s="31" t="s">
        <v>51</v>
      </c>
      <c r="F526" s="31" t="s">
        <v>507</v>
      </c>
      <c r="G526" s="31" t="s">
        <v>53</v>
      </c>
      <c r="H526" s="31" t="s">
        <v>494</v>
      </c>
      <c r="K526" s="2" t="str">
        <f t="shared" si="8"/>
        <v>alu</v>
      </c>
      <c r="L526" cm="1">
        <f t="array" ref="L5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26" t="str">
        <f>IF(OR(ISNUMBER(SEARCH("imad", Table6[[#This Row],[instruction]])), ISNUMBER(SEARCH("ffma", Table6[[#This Row],[instruction]])), ISNUMBER(SEARCH("fmul", Table6[[#This Row],[instruction]]))), "fma", "")</f>
        <v/>
      </c>
      <c r="P5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6" t="str">
        <f>IF(OR(ISNUMBER(SEARCH("s2r", Table6[[#This Row],[instruction]])),ISNUMBER(SEARCH("s2ur", Table6[[#This Row],[instruction]]))), "special", "")</f>
        <v/>
      </c>
      <c r="S526" t="str">
        <f>IF(OR(ISNUMBER(SEARCH("stg", Table6[[#This Row],[instruction]])),ISNUMBER(SEARCH("ldg", Table6[[#This Row],[instruction]]))), "global", "")</f>
        <v/>
      </c>
      <c r="T526" t="str">
        <f>IF(OR(ISNUMBER(SEARCH("sts", Table6[[#This Row],[instruction]])),ISNUMBER(SEARCH("lds", Table6[[#This Row],[instruction]]))), "shared", "")</f>
        <v/>
      </c>
      <c r="U526" t="str">
        <f>IF(OR(ISNUMBER(SEARCH("LDC", Table6[[#This Row],[instruction]]))), "ind. const", "")</f>
        <v/>
      </c>
      <c r="V5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Row],[s5]]))),U526=""), "cmb. const", "")</f>
        <v/>
      </c>
      <c r="Y526">
        <f>IF(Table6[[#This Row],[pipeline]]="fma",Table6[[#This Row],[delay]],0)</f>
        <v>0</v>
      </c>
      <c r="Z526">
        <f>IF(AND(Table6[[#This Row],[pipeline]]="fma",W526="new"),290,0)</f>
        <v>0</v>
      </c>
      <c r="AK526" s="34"/>
    </row>
    <row r="527" spans="1:37" ht="17" x14ac:dyDescent="0.2">
      <c r="A527" s="31">
        <f>IF(Table6[[#This Row],[instruction]]&lt;&gt;"",MAX($A$6:A526)+1," ")</f>
        <v>522</v>
      </c>
      <c r="B527" s="32" t="s">
        <v>485</v>
      </c>
      <c r="C527" t="s">
        <v>626</v>
      </c>
      <c r="D527" s="31" t="s">
        <v>84</v>
      </c>
      <c r="E527" s="31" t="s">
        <v>719</v>
      </c>
      <c r="K527" s="2" t="str">
        <f t="shared" si="8"/>
        <v>shared</v>
      </c>
      <c r="L527" cm="1">
        <f t="array" ref="L5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27" t="str">
        <f>IF(OR(ISNUMBER(SEARCH("imad", Table6[[#This Row],[instruction]])), ISNUMBER(SEARCH("ffma", Table6[[#This Row],[instruction]])), ISNUMBER(SEARCH("fmul", Table6[[#This Row],[instruction]]))), "fma", "")</f>
        <v/>
      </c>
      <c r="P5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7" t="str">
        <f>IF(OR(ISNUMBER(SEARCH("s2r", Table6[[#This Row],[instruction]])),ISNUMBER(SEARCH("s2ur", Table6[[#This Row],[instruction]]))), "special", "")</f>
        <v/>
      </c>
      <c r="S527" t="str">
        <f>IF(OR(ISNUMBER(SEARCH("stg", Table6[[#This Row],[instruction]])),ISNUMBER(SEARCH("ldg", Table6[[#This Row],[instruction]]))), "global", "")</f>
        <v/>
      </c>
      <c r="T527" t="str">
        <f>IF(OR(ISNUMBER(SEARCH("sts", Table6[[#This Row],[instruction]])),ISNUMBER(SEARCH("lds", Table6[[#This Row],[instruction]]))), "shared", "")</f>
        <v>shared</v>
      </c>
      <c r="U527" t="str">
        <f>IF(OR(ISNUMBER(SEARCH("LDC", Table6[[#This Row],[instruction]]))), "ind. const", "")</f>
        <v/>
      </c>
      <c r="V5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Row],[s5]]))),U527=""), "cmb. const", "")</f>
        <v/>
      </c>
      <c r="Y527">
        <f>IF(Table6[[#This Row],[pipeline]]="fma",Table6[[#This Row],[delay]],0)</f>
        <v>0</v>
      </c>
      <c r="Z527">
        <f>IF(AND(Table6[[#This Row],[pipeline]]="fma",W527="new"),290,0)</f>
        <v>0</v>
      </c>
      <c r="AK527" s="34"/>
    </row>
    <row r="528" spans="1:37" ht="17" x14ac:dyDescent="0.2">
      <c r="A528" s="31">
        <f>IF(Table6[[#This Row],[instruction]]&lt;&gt;"",MAX($A$6:A527)+1," ")</f>
        <v>523</v>
      </c>
      <c r="B528" s="32" t="s">
        <v>485</v>
      </c>
      <c r="C528" t="s">
        <v>626</v>
      </c>
      <c r="D528" s="31" t="s">
        <v>440</v>
      </c>
      <c r="E528" s="31" t="s">
        <v>720</v>
      </c>
      <c r="K528" s="2" t="str">
        <f t="shared" si="8"/>
        <v>shared</v>
      </c>
      <c r="L528" cm="1">
        <f t="array" ref="L5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28" t="str">
        <f>IF(OR(ISNUMBER(SEARCH("imad", Table6[[#This Row],[instruction]])), ISNUMBER(SEARCH("ffma", Table6[[#This Row],[instruction]])), ISNUMBER(SEARCH("fmul", Table6[[#This Row],[instruction]]))), "fma", "")</f>
        <v/>
      </c>
      <c r="P5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8" t="str">
        <f>IF(OR(ISNUMBER(SEARCH("s2r", Table6[[#This Row],[instruction]])),ISNUMBER(SEARCH("s2ur", Table6[[#This Row],[instruction]]))), "special", "")</f>
        <v/>
      </c>
      <c r="S528" t="str">
        <f>IF(OR(ISNUMBER(SEARCH("stg", Table6[[#This Row],[instruction]])),ISNUMBER(SEARCH("ldg", Table6[[#This Row],[instruction]]))), "global", "")</f>
        <v/>
      </c>
      <c r="T528" t="str">
        <f>IF(OR(ISNUMBER(SEARCH("sts", Table6[[#This Row],[instruction]])),ISNUMBER(SEARCH("lds", Table6[[#This Row],[instruction]]))), "shared", "")</f>
        <v>shared</v>
      </c>
      <c r="U528" t="str">
        <f>IF(OR(ISNUMBER(SEARCH("LDC", Table6[[#This Row],[instruction]]))), "ind. const", "")</f>
        <v/>
      </c>
      <c r="V5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Row],[s5]]))),U528=""), "cmb. const", "")</f>
        <v/>
      </c>
      <c r="Y528">
        <f>IF(Table6[[#This Row],[pipeline]]="fma",Table6[[#This Row],[delay]],0)</f>
        <v>0</v>
      </c>
      <c r="Z528">
        <f>IF(AND(Table6[[#This Row],[pipeline]]="fma",W528="new"),290,0)</f>
        <v>0</v>
      </c>
      <c r="AK528" s="34"/>
    </row>
    <row r="529" spans="1:37" ht="17" x14ac:dyDescent="0.2">
      <c r="A529" s="31">
        <f>IF(Table6[[#This Row],[instruction]]&lt;&gt;"",MAX($A$6:A528)+1," ")</f>
        <v>524</v>
      </c>
      <c r="B529" s="32" t="s">
        <v>485</v>
      </c>
      <c r="C529" t="s">
        <v>626</v>
      </c>
      <c r="D529" s="31" t="s">
        <v>654</v>
      </c>
      <c r="E529" s="31" t="s">
        <v>721</v>
      </c>
      <c r="K529" s="2" t="str">
        <f t="shared" si="8"/>
        <v>shared</v>
      </c>
      <c r="L529" cm="1">
        <f t="array" ref="L5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29" t="str">
        <f>IF(OR(ISNUMBER(SEARCH("imad", Table6[[#This Row],[instruction]])), ISNUMBER(SEARCH("ffma", Table6[[#This Row],[instruction]])), ISNUMBER(SEARCH("fmul", Table6[[#This Row],[instruction]]))), "fma", "")</f>
        <v/>
      </c>
      <c r="P5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29" t="str">
        <f>IF(OR(ISNUMBER(SEARCH("s2r", Table6[[#This Row],[instruction]])),ISNUMBER(SEARCH("s2ur", Table6[[#This Row],[instruction]]))), "special", "")</f>
        <v/>
      </c>
      <c r="S529" t="str">
        <f>IF(OR(ISNUMBER(SEARCH("stg", Table6[[#This Row],[instruction]])),ISNUMBER(SEARCH("ldg", Table6[[#This Row],[instruction]]))), "global", "")</f>
        <v/>
      </c>
      <c r="T529" t="str">
        <f>IF(OR(ISNUMBER(SEARCH("sts", Table6[[#This Row],[instruction]])),ISNUMBER(SEARCH("lds", Table6[[#This Row],[instruction]]))), "shared", "")</f>
        <v>shared</v>
      </c>
      <c r="U529" t="str">
        <f>IF(OR(ISNUMBER(SEARCH("LDC", Table6[[#This Row],[instruction]]))), "ind. const", "")</f>
        <v/>
      </c>
      <c r="V5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Row],[s5]]))),U529=""), "cmb. const", "")</f>
        <v/>
      </c>
      <c r="Y529">
        <f>IF(Table6[[#This Row],[pipeline]]="fma",Table6[[#This Row],[delay]],0)</f>
        <v>0</v>
      </c>
      <c r="Z529">
        <f>IF(AND(Table6[[#This Row],[pipeline]]="fma",W529="new"),290,0)</f>
        <v>0</v>
      </c>
      <c r="AK529" s="34"/>
    </row>
    <row r="530" spans="1:37" ht="17" x14ac:dyDescent="0.2">
      <c r="A530" s="31">
        <f>IF(Table6[[#This Row],[instruction]]&lt;&gt;"",MAX($A$6:A529)+1," ")</f>
        <v>525</v>
      </c>
      <c r="B530" s="32" t="s">
        <v>485</v>
      </c>
      <c r="C530" t="s">
        <v>626</v>
      </c>
      <c r="D530" s="31" t="s">
        <v>652</v>
      </c>
      <c r="E530" s="31" t="s">
        <v>722</v>
      </c>
      <c r="K530" s="2" t="str">
        <f t="shared" si="8"/>
        <v>shared</v>
      </c>
      <c r="L530" cm="1">
        <f t="array" ref="L5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30" t="str">
        <f>IF(OR(ISNUMBER(SEARCH("imad", Table6[[#This Row],[instruction]])), ISNUMBER(SEARCH("ffma", Table6[[#This Row],[instruction]])), ISNUMBER(SEARCH("fmul", Table6[[#This Row],[instruction]]))), "fma", "")</f>
        <v/>
      </c>
      <c r="P5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0" t="str">
        <f>IF(OR(ISNUMBER(SEARCH("s2r", Table6[[#This Row],[instruction]])),ISNUMBER(SEARCH("s2ur", Table6[[#This Row],[instruction]]))), "special", "")</f>
        <v/>
      </c>
      <c r="S530" t="str">
        <f>IF(OR(ISNUMBER(SEARCH("stg", Table6[[#This Row],[instruction]])),ISNUMBER(SEARCH("ldg", Table6[[#This Row],[instruction]]))), "global", "")</f>
        <v/>
      </c>
      <c r="T530" t="str">
        <f>IF(OR(ISNUMBER(SEARCH("sts", Table6[[#This Row],[instruction]])),ISNUMBER(SEARCH("lds", Table6[[#This Row],[instruction]]))), "shared", "")</f>
        <v>shared</v>
      </c>
      <c r="U530" t="str">
        <f>IF(OR(ISNUMBER(SEARCH("LDC", Table6[[#This Row],[instruction]]))), "ind. const", "")</f>
        <v/>
      </c>
      <c r="V5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Row],[s5]]))),U530=""), "cmb. const", "")</f>
        <v/>
      </c>
      <c r="Y530">
        <f>IF(Table6[[#This Row],[pipeline]]="fma",Table6[[#This Row],[delay]],0)</f>
        <v>0</v>
      </c>
      <c r="Z530">
        <f>IF(AND(Table6[[#This Row],[pipeline]]="fma",W530="new"),290,0)</f>
        <v>0</v>
      </c>
      <c r="AK530" s="34"/>
    </row>
    <row r="531" spans="1:37" ht="17" x14ac:dyDescent="0.2">
      <c r="A531" s="31">
        <f>IF(Table6[[#This Row],[instruction]]&lt;&gt;"",MAX($A$6:A530)+1," ")</f>
        <v>526</v>
      </c>
      <c r="B531" s="32" t="s">
        <v>485</v>
      </c>
      <c r="C531" t="s">
        <v>626</v>
      </c>
      <c r="D531" s="31" t="s">
        <v>627</v>
      </c>
      <c r="E531" s="31" t="s">
        <v>723</v>
      </c>
      <c r="K531" s="2" t="str">
        <f t="shared" si="8"/>
        <v>shared</v>
      </c>
      <c r="L531" cm="1">
        <f t="array" ref="L5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31" t="str">
        <f>IF(OR(ISNUMBER(SEARCH("imad", Table6[[#This Row],[instruction]])), ISNUMBER(SEARCH("ffma", Table6[[#This Row],[instruction]])), ISNUMBER(SEARCH("fmul", Table6[[#This Row],[instruction]]))), "fma", "")</f>
        <v/>
      </c>
      <c r="P5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1" t="str">
        <f>IF(OR(ISNUMBER(SEARCH("s2r", Table6[[#This Row],[instruction]])),ISNUMBER(SEARCH("s2ur", Table6[[#This Row],[instruction]]))), "special", "")</f>
        <v/>
      </c>
      <c r="S531" t="str">
        <f>IF(OR(ISNUMBER(SEARCH("stg", Table6[[#This Row],[instruction]])),ISNUMBER(SEARCH("ldg", Table6[[#This Row],[instruction]]))), "global", "")</f>
        <v/>
      </c>
      <c r="T531" t="str">
        <f>IF(OR(ISNUMBER(SEARCH("sts", Table6[[#This Row],[instruction]])),ISNUMBER(SEARCH("lds", Table6[[#This Row],[instruction]]))), "shared", "")</f>
        <v>shared</v>
      </c>
      <c r="U531" t="str">
        <f>IF(OR(ISNUMBER(SEARCH("LDC", Table6[[#This Row],[instruction]]))), "ind. const", "")</f>
        <v/>
      </c>
      <c r="V5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Row],[s5]]))),U531=""), "cmb. const", "")</f>
        <v/>
      </c>
      <c r="Y531">
        <f>IF(Table6[[#This Row],[pipeline]]="fma",Table6[[#This Row],[delay]],0)</f>
        <v>0</v>
      </c>
      <c r="Z531">
        <f>IF(AND(Table6[[#This Row],[pipeline]]="fma",W531="new"),290,0)</f>
        <v>0</v>
      </c>
      <c r="AK531" s="34"/>
    </row>
    <row r="532" spans="1:37" ht="17" x14ac:dyDescent="0.2">
      <c r="A532" s="31">
        <f>IF(Table6[[#This Row],[instruction]]&lt;&gt;"",MAX($A$6:A531)+1," ")</f>
        <v>527</v>
      </c>
      <c r="B532" s="32" t="s">
        <v>485</v>
      </c>
      <c r="C532" t="s">
        <v>626</v>
      </c>
      <c r="D532" s="31" t="s">
        <v>606</v>
      </c>
      <c r="E532" s="31" t="s">
        <v>724</v>
      </c>
      <c r="K532" s="2" t="str">
        <f t="shared" si="8"/>
        <v>shared</v>
      </c>
      <c r="L532" cm="1">
        <f t="array" ref="L5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23</v>
      </c>
      <c r="O532" t="str">
        <f>IF(OR(ISNUMBER(SEARCH("imad", Table6[[#This Row],[instruction]])), ISNUMBER(SEARCH("ffma", Table6[[#This Row],[instruction]])), ISNUMBER(SEARCH("fmul", Table6[[#This Row],[instruction]]))), "fma", "")</f>
        <v/>
      </c>
      <c r="P5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2" t="str">
        <f>IF(OR(ISNUMBER(SEARCH("s2r", Table6[[#This Row],[instruction]])),ISNUMBER(SEARCH("s2ur", Table6[[#This Row],[instruction]]))), "special", "")</f>
        <v/>
      </c>
      <c r="S532" t="str">
        <f>IF(OR(ISNUMBER(SEARCH("stg", Table6[[#This Row],[instruction]])),ISNUMBER(SEARCH("ldg", Table6[[#This Row],[instruction]]))), "global", "")</f>
        <v/>
      </c>
      <c r="T532" t="str">
        <f>IF(OR(ISNUMBER(SEARCH("sts", Table6[[#This Row],[instruction]])),ISNUMBER(SEARCH("lds", Table6[[#This Row],[instruction]]))), "shared", "")</f>
        <v>shared</v>
      </c>
      <c r="U532" t="str">
        <f>IF(OR(ISNUMBER(SEARCH("LDC", Table6[[#This Row],[instruction]]))), "ind. const", "")</f>
        <v/>
      </c>
      <c r="V5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Row],[s5]]))),U532=""), "cmb. const", "")</f>
        <v/>
      </c>
      <c r="Y532">
        <f>IF(Table6[[#This Row],[pipeline]]="fma",Table6[[#This Row],[delay]],0)</f>
        <v>0</v>
      </c>
      <c r="Z532">
        <f>IF(AND(Table6[[#This Row],[pipeline]]="fma",W532="new"),290,0)</f>
        <v>0</v>
      </c>
      <c r="AK532" s="34"/>
    </row>
    <row r="533" spans="1:37" ht="17" x14ac:dyDescent="0.2">
      <c r="A533" s="31">
        <f>IF(Table6[[#This Row],[instruction]]&lt;&gt;"",MAX($A$6:A532)+1," ")</f>
        <v>528</v>
      </c>
      <c r="B533" s="32" t="s">
        <v>485</v>
      </c>
      <c r="C533" t="s">
        <v>26</v>
      </c>
      <c r="D533" s="31" t="s">
        <v>17</v>
      </c>
      <c r="E533" s="31" t="s">
        <v>17</v>
      </c>
      <c r="F533" s="31" t="s">
        <v>725</v>
      </c>
      <c r="G533" s="31" t="s">
        <v>502</v>
      </c>
      <c r="K533" s="2" t="str">
        <f t="shared" si="8"/>
        <v>alu</v>
      </c>
      <c r="L533" cm="1">
        <f t="array" ref="L5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33" t="str">
        <f>IF(OR(ISNUMBER(SEARCH("imad", Table6[[#This Row],[instruction]])), ISNUMBER(SEARCH("ffma", Table6[[#This Row],[instruction]])), ISNUMBER(SEARCH("fmul", Table6[[#This Row],[instruction]]))), "fma", "")</f>
        <v/>
      </c>
      <c r="P5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3" t="str">
        <f>IF(OR(ISNUMBER(SEARCH("s2r", Table6[[#This Row],[instruction]])),ISNUMBER(SEARCH("s2ur", Table6[[#This Row],[instruction]]))), "special", "")</f>
        <v/>
      </c>
      <c r="S533" t="str">
        <f>IF(OR(ISNUMBER(SEARCH("stg", Table6[[#This Row],[instruction]])),ISNUMBER(SEARCH("ldg", Table6[[#This Row],[instruction]]))), "global", "")</f>
        <v/>
      </c>
      <c r="T533" t="str">
        <f>IF(OR(ISNUMBER(SEARCH("sts", Table6[[#This Row],[instruction]])),ISNUMBER(SEARCH("lds", Table6[[#This Row],[instruction]]))), "shared", "")</f>
        <v/>
      </c>
      <c r="U533" t="str">
        <f>IF(OR(ISNUMBER(SEARCH("LDC", Table6[[#This Row],[instruction]]))), "ind. const", "")</f>
        <v/>
      </c>
      <c r="V5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Row],[s5]]))),U533=""), "cmb. const", "")</f>
        <v/>
      </c>
      <c r="Y533">
        <f>IF(Table6[[#This Row],[pipeline]]="fma",Table6[[#This Row],[delay]],0)</f>
        <v>0</v>
      </c>
      <c r="Z533">
        <f>IF(AND(Table6[[#This Row],[pipeline]]="fma",W533="new"),290,0)</f>
        <v>0</v>
      </c>
      <c r="AK533" s="34"/>
    </row>
    <row r="534" spans="1:37" ht="17" x14ac:dyDescent="0.2">
      <c r="A534" s="31">
        <f>IF(Table6[[#This Row],[instruction]]&lt;&gt;"",MAX($A$6:A533)+1," ")</f>
        <v>529</v>
      </c>
      <c r="B534" s="32" t="s">
        <v>485</v>
      </c>
      <c r="C534" t="s">
        <v>26</v>
      </c>
      <c r="D534" s="31" t="s">
        <v>569</v>
      </c>
      <c r="E534" s="31" t="s">
        <v>569</v>
      </c>
      <c r="F534" s="31" t="s">
        <v>725</v>
      </c>
      <c r="G534" s="31" t="s">
        <v>502</v>
      </c>
      <c r="K534" s="2" t="str">
        <f t="shared" si="8"/>
        <v>alu</v>
      </c>
      <c r="L534" cm="1">
        <f t="array" ref="L5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534" t="str">
        <f>IF(OR(ISNUMBER(SEARCH("imad", Table6[[#This Row],[instruction]])), ISNUMBER(SEARCH("ffma", Table6[[#This Row],[instruction]])), ISNUMBER(SEARCH("fmul", Table6[[#This Row],[instruction]]))), "fma", "")</f>
        <v/>
      </c>
      <c r="P5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5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4" t="str">
        <f>IF(OR(ISNUMBER(SEARCH("s2r", Table6[[#This Row],[instruction]])),ISNUMBER(SEARCH("s2ur", Table6[[#This Row],[instruction]]))), "special", "")</f>
        <v/>
      </c>
      <c r="S534" t="str">
        <f>IF(OR(ISNUMBER(SEARCH("stg", Table6[[#This Row],[instruction]])),ISNUMBER(SEARCH("ldg", Table6[[#This Row],[instruction]]))), "global", "")</f>
        <v/>
      </c>
      <c r="T534" t="str">
        <f>IF(OR(ISNUMBER(SEARCH("sts", Table6[[#This Row],[instruction]])),ISNUMBER(SEARCH("lds", Table6[[#This Row],[instruction]]))), "shared", "")</f>
        <v/>
      </c>
      <c r="U534" t="str">
        <f>IF(OR(ISNUMBER(SEARCH("LDC", Table6[[#This Row],[instruction]]))), "ind. const", "")</f>
        <v/>
      </c>
      <c r="V5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Row],[s5]]))),U534=""), "cmb. const", "")</f>
        <v/>
      </c>
      <c r="Y534">
        <f>IF(Table6[[#This Row],[pipeline]]="fma",Table6[[#This Row],[delay]],0)</f>
        <v>0</v>
      </c>
      <c r="Z534">
        <f>IF(AND(Table6[[#This Row],[pipeline]]="fma",W534="new"),290,0)</f>
        <v>0</v>
      </c>
      <c r="AK534" s="34"/>
    </row>
    <row r="535" spans="1:37" ht="17" x14ac:dyDescent="0.2">
      <c r="A535" s="31">
        <f>IF(Table6[[#This Row],[instruction]]&lt;&gt;"",MAX($A$6:A534)+1," ")</f>
        <v>530</v>
      </c>
      <c r="B535" s="32" t="s">
        <v>485</v>
      </c>
      <c r="C535" t="s">
        <v>70</v>
      </c>
      <c r="D535" s="31" t="s">
        <v>577</v>
      </c>
      <c r="E535" s="31" t="s">
        <v>19</v>
      </c>
      <c r="F535" s="31" t="s">
        <v>58</v>
      </c>
      <c r="G535" s="31" t="s">
        <v>586</v>
      </c>
      <c r="K535" s="2" t="str">
        <f t="shared" si="8"/>
        <v>fma</v>
      </c>
      <c r="L535" cm="1">
        <f t="array" ref="L5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5" t="str">
        <f>IF(OR(ISNUMBER(SEARCH("imad", Table6[[#This Row],[instruction]])), ISNUMBER(SEARCH("ffma", Table6[[#This Row],[instruction]])), ISNUMBER(SEARCH("fmul", Table6[[#This Row],[instruction]]))), "fma", "")</f>
        <v>fma</v>
      </c>
      <c r="P5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5" t="str">
        <f>IF(OR(ISNUMBER(SEARCH("s2r", Table6[[#This Row],[instruction]])),ISNUMBER(SEARCH("s2ur", Table6[[#This Row],[instruction]]))), "special", "")</f>
        <v/>
      </c>
      <c r="S535" t="str">
        <f>IF(OR(ISNUMBER(SEARCH("stg", Table6[[#This Row],[instruction]])),ISNUMBER(SEARCH("ldg", Table6[[#This Row],[instruction]]))), "global", "")</f>
        <v/>
      </c>
      <c r="T535" t="str">
        <f>IF(OR(ISNUMBER(SEARCH("sts", Table6[[#This Row],[instruction]])),ISNUMBER(SEARCH("lds", Table6[[#This Row],[instruction]]))), "shared", "")</f>
        <v/>
      </c>
      <c r="U535" t="str">
        <f>IF(OR(ISNUMBER(SEARCH("LDC", Table6[[#This Row],[instruction]]))), "ind. const", "")</f>
        <v/>
      </c>
      <c r="V5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Row],[s5]]))),U535=""), "cmb. const", "")</f>
        <v/>
      </c>
      <c r="Y535">
        <f>IF(Table6[[#This Row],[pipeline]]="fma",Table6[[#This Row],[delay]],0)</f>
        <v>4</v>
      </c>
      <c r="Z535">
        <f>IF(AND(Table6[[#This Row],[pipeline]]="fma",W535="new"),290,0)</f>
        <v>0</v>
      </c>
      <c r="AK535" s="34"/>
    </row>
    <row r="536" spans="1:37" ht="17" x14ac:dyDescent="0.2">
      <c r="A536" s="31">
        <f>IF(Table6[[#This Row],[instruction]]&lt;&gt;"",MAX($A$6:A535)+1," ")</f>
        <v>531</v>
      </c>
      <c r="B536" s="32" t="s">
        <v>485</v>
      </c>
      <c r="C536" t="s">
        <v>70</v>
      </c>
      <c r="D536" s="31" t="s">
        <v>80</v>
      </c>
      <c r="E536" s="31" t="s">
        <v>19</v>
      </c>
      <c r="F536" s="31" t="s">
        <v>27</v>
      </c>
      <c r="G536" s="31" t="s">
        <v>666</v>
      </c>
      <c r="K536" s="2" t="str">
        <f t="shared" si="8"/>
        <v>fma</v>
      </c>
      <c r="L536" cm="1">
        <f t="array" ref="L5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6" t="str">
        <f>IF(OR(ISNUMBER(SEARCH("imad", Table6[[#This Row],[instruction]])), ISNUMBER(SEARCH("ffma", Table6[[#This Row],[instruction]])), ISNUMBER(SEARCH("fmul", Table6[[#This Row],[instruction]]))), "fma", "")</f>
        <v>fma</v>
      </c>
      <c r="P5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6" t="str">
        <f>IF(OR(ISNUMBER(SEARCH("s2r", Table6[[#This Row],[instruction]])),ISNUMBER(SEARCH("s2ur", Table6[[#This Row],[instruction]]))), "special", "")</f>
        <v/>
      </c>
      <c r="S536" t="str">
        <f>IF(OR(ISNUMBER(SEARCH("stg", Table6[[#This Row],[instruction]])),ISNUMBER(SEARCH("ldg", Table6[[#This Row],[instruction]]))), "global", "")</f>
        <v/>
      </c>
      <c r="T536" t="str">
        <f>IF(OR(ISNUMBER(SEARCH("sts", Table6[[#This Row],[instruction]])),ISNUMBER(SEARCH("lds", Table6[[#This Row],[instruction]]))), "shared", "")</f>
        <v/>
      </c>
      <c r="U536" t="str">
        <f>IF(OR(ISNUMBER(SEARCH("LDC", Table6[[#This Row],[instruction]]))), "ind. const", "")</f>
        <v/>
      </c>
      <c r="V5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Row],[s5]]))),U536=""), "cmb. const", "")</f>
        <v/>
      </c>
      <c r="Y536">
        <f>IF(Table6[[#This Row],[pipeline]]="fma",Table6[[#This Row],[delay]],0)</f>
        <v>4</v>
      </c>
      <c r="Z536">
        <f>IF(AND(Table6[[#This Row],[pipeline]]="fma",W536="new"),290,0)</f>
        <v>0</v>
      </c>
      <c r="AK536" s="34"/>
    </row>
    <row r="537" spans="1:37" ht="17" x14ac:dyDescent="0.2">
      <c r="A537" s="31">
        <f>IF(Table6[[#This Row],[instruction]]&lt;&gt;"",MAX($A$6:A536)+1," ")</f>
        <v>532</v>
      </c>
      <c r="B537" s="32" t="s">
        <v>485</v>
      </c>
      <c r="C537" t="s">
        <v>70</v>
      </c>
      <c r="D537" s="31" t="s">
        <v>588</v>
      </c>
      <c r="E537" s="31" t="s">
        <v>19</v>
      </c>
      <c r="F537" s="31" t="s">
        <v>61</v>
      </c>
      <c r="G537" s="31" t="s">
        <v>667</v>
      </c>
      <c r="K537" s="2" t="str">
        <f t="shared" si="8"/>
        <v>fma</v>
      </c>
      <c r="L537" cm="1">
        <f t="array" ref="L5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7" t="str">
        <f>IF(OR(ISNUMBER(SEARCH("imad", Table6[[#This Row],[instruction]])), ISNUMBER(SEARCH("ffma", Table6[[#This Row],[instruction]])), ISNUMBER(SEARCH("fmul", Table6[[#This Row],[instruction]]))), "fma", "")</f>
        <v>fma</v>
      </c>
      <c r="P5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7" t="str">
        <f>IF(OR(ISNUMBER(SEARCH("s2r", Table6[[#This Row],[instruction]])),ISNUMBER(SEARCH("s2ur", Table6[[#This Row],[instruction]]))), "special", "")</f>
        <v/>
      </c>
      <c r="S537" t="str">
        <f>IF(OR(ISNUMBER(SEARCH("stg", Table6[[#This Row],[instruction]])),ISNUMBER(SEARCH("ldg", Table6[[#This Row],[instruction]]))), "global", "")</f>
        <v/>
      </c>
      <c r="T537" t="str">
        <f>IF(OR(ISNUMBER(SEARCH("sts", Table6[[#This Row],[instruction]])),ISNUMBER(SEARCH("lds", Table6[[#This Row],[instruction]]))), "shared", "")</f>
        <v/>
      </c>
      <c r="U537" t="str">
        <f>IF(OR(ISNUMBER(SEARCH("LDC", Table6[[#This Row],[instruction]]))), "ind. const", "")</f>
        <v/>
      </c>
      <c r="V5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Row],[s5]]))),U537=""), "cmb. const", "")</f>
        <v/>
      </c>
      <c r="Y537">
        <f>IF(Table6[[#This Row],[pipeline]]="fma",Table6[[#This Row],[delay]],0)</f>
        <v>4</v>
      </c>
      <c r="Z537">
        <f>IF(AND(Table6[[#This Row],[pipeline]]="fma",W537="new"),290,0)</f>
        <v>0</v>
      </c>
      <c r="AK537" s="34"/>
    </row>
    <row r="538" spans="1:37" ht="17" x14ac:dyDescent="0.2">
      <c r="A538" s="31">
        <f>IF(Table6[[#This Row],[instruction]]&lt;&gt;"",MAX($A$6:A537)+1," ")</f>
        <v>533</v>
      </c>
      <c r="B538" s="32" t="s">
        <v>485</v>
      </c>
      <c r="C538" t="s">
        <v>70</v>
      </c>
      <c r="D538" s="31" t="s">
        <v>600</v>
      </c>
      <c r="E538" s="31" t="s">
        <v>23</v>
      </c>
      <c r="F538" s="31" t="s">
        <v>58</v>
      </c>
      <c r="G538" s="31" t="s">
        <v>668</v>
      </c>
      <c r="K538" s="2" t="str">
        <f t="shared" si="8"/>
        <v>fma</v>
      </c>
      <c r="L538" cm="1">
        <f t="array" ref="L5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8" t="str">
        <f>IF(OR(ISNUMBER(SEARCH("imad", Table6[[#This Row],[instruction]])), ISNUMBER(SEARCH("ffma", Table6[[#This Row],[instruction]])), ISNUMBER(SEARCH("fmul", Table6[[#This Row],[instruction]]))), "fma", "")</f>
        <v>fma</v>
      </c>
      <c r="P5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8" t="str">
        <f>IF(OR(ISNUMBER(SEARCH("s2r", Table6[[#This Row],[instruction]])),ISNUMBER(SEARCH("s2ur", Table6[[#This Row],[instruction]]))), "special", "")</f>
        <v/>
      </c>
      <c r="S538" t="str">
        <f>IF(OR(ISNUMBER(SEARCH("stg", Table6[[#This Row],[instruction]])),ISNUMBER(SEARCH("ldg", Table6[[#This Row],[instruction]]))), "global", "")</f>
        <v/>
      </c>
      <c r="T538" t="str">
        <f>IF(OR(ISNUMBER(SEARCH("sts", Table6[[#This Row],[instruction]])),ISNUMBER(SEARCH("lds", Table6[[#This Row],[instruction]]))), "shared", "")</f>
        <v/>
      </c>
      <c r="U538" t="str">
        <f>IF(OR(ISNUMBER(SEARCH("LDC", Table6[[#This Row],[instruction]]))), "ind. const", "")</f>
        <v/>
      </c>
      <c r="V5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Row],[s5]]))),U538=""), "cmb. const", "")</f>
        <v/>
      </c>
      <c r="Y538">
        <f>IF(Table6[[#This Row],[pipeline]]="fma",Table6[[#This Row],[delay]],0)</f>
        <v>4</v>
      </c>
      <c r="Z538">
        <f>IF(AND(Table6[[#This Row],[pipeline]]="fma",W538="new"),290,0)</f>
        <v>0</v>
      </c>
      <c r="AK538" s="34"/>
    </row>
    <row r="539" spans="1:37" ht="17" x14ac:dyDescent="0.2">
      <c r="A539" s="31">
        <f>IF(Table6[[#This Row],[instruction]]&lt;&gt;"",MAX($A$6:A538)+1," ")</f>
        <v>534</v>
      </c>
      <c r="B539" s="32" t="s">
        <v>485</v>
      </c>
      <c r="C539" t="s">
        <v>70</v>
      </c>
      <c r="D539" s="31" t="s">
        <v>613</v>
      </c>
      <c r="E539" s="31" t="s">
        <v>23</v>
      </c>
      <c r="F539" s="31" t="s">
        <v>61</v>
      </c>
      <c r="G539" s="31" t="s">
        <v>684</v>
      </c>
      <c r="K539" s="2" t="str">
        <f t="shared" si="8"/>
        <v>fma</v>
      </c>
      <c r="L539" cm="1">
        <f t="array" ref="L5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39" t="str">
        <f>IF(OR(ISNUMBER(SEARCH("imad", Table6[[#This Row],[instruction]])), ISNUMBER(SEARCH("ffma", Table6[[#This Row],[instruction]])), ISNUMBER(SEARCH("fmul", Table6[[#This Row],[instruction]]))), "fma", "")</f>
        <v>fma</v>
      </c>
      <c r="P5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39" t="str">
        <f>IF(OR(ISNUMBER(SEARCH("s2r", Table6[[#This Row],[instruction]])),ISNUMBER(SEARCH("s2ur", Table6[[#This Row],[instruction]]))), "special", "")</f>
        <v/>
      </c>
      <c r="S539" t="str">
        <f>IF(OR(ISNUMBER(SEARCH("stg", Table6[[#This Row],[instruction]])),ISNUMBER(SEARCH("ldg", Table6[[#This Row],[instruction]]))), "global", "")</f>
        <v/>
      </c>
      <c r="T539" t="str">
        <f>IF(OR(ISNUMBER(SEARCH("sts", Table6[[#This Row],[instruction]])),ISNUMBER(SEARCH("lds", Table6[[#This Row],[instruction]]))), "shared", "")</f>
        <v/>
      </c>
      <c r="U539" t="str">
        <f>IF(OR(ISNUMBER(SEARCH("LDC", Table6[[#This Row],[instruction]]))), "ind. const", "")</f>
        <v/>
      </c>
      <c r="V5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Row],[s5]]))),U539=""), "cmb. const", "")</f>
        <v/>
      </c>
      <c r="Y539">
        <f>IF(Table6[[#This Row],[pipeline]]="fma",Table6[[#This Row],[delay]],0)</f>
        <v>4</v>
      </c>
      <c r="Z539">
        <f>IF(AND(Table6[[#This Row],[pipeline]]="fma",W539="new"),290,0)</f>
        <v>0</v>
      </c>
      <c r="AK539" s="34"/>
    </row>
    <row r="540" spans="1:37" ht="17" x14ac:dyDescent="0.2">
      <c r="A540" s="31">
        <f>IF(Table6[[#This Row],[instruction]]&lt;&gt;"",MAX($A$6:A539)+1," ")</f>
        <v>535</v>
      </c>
      <c r="B540" s="32" t="s">
        <v>485</v>
      </c>
      <c r="C540" t="s">
        <v>70</v>
      </c>
      <c r="D540" s="31" t="s">
        <v>612</v>
      </c>
      <c r="E540" s="31" t="s">
        <v>4</v>
      </c>
      <c r="F540" s="31" t="s">
        <v>58</v>
      </c>
      <c r="G540" s="31" t="s">
        <v>669</v>
      </c>
      <c r="K540" s="2" t="str">
        <f t="shared" si="8"/>
        <v>fma</v>
      </c>
      <c r="L540" cm="1">
        <f t="array" ref="L5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0" t="str">
        <f>IF(OR(ISNUMBER(SEARCH("imad", Table6[[#This Row],[instruction]])), ISNUMBER(SEARCH("ffma", Table6[[#This Row],[instruction]])), ISNUMBER(SEARCH("fmul", Table6[[#This Row],[instruction]]))), "fma", "")</f>
        <v>fma</v>
      </c>
      <c r="P5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0" t="str">
        <f>IF(OR(ISNUMBER(SEARCH("s2r", Table6[[#This Row],[instruction]])),ISNUMBER(SEARCH("s2ur", Table6[[#This Row],[instruction]]))), "special", "")</f>
        <v/>
      </c>
      <c r="S540" t="str">
        <f>IF(OR(ISNUMBER(SEARCH("stg", Table6[[#This Row],[instruction]])),ISNUMBER(SEARCH("ldg", Table6[[#This Row],[instruction]]))), "global", "")</f>
        <v/>
      </c>
      <c r="T540" t="str">
        <f>IF(OR(ISNUMBER(SEARCH("sts", Table6[[#This Row],[instruction]])),ISNUMBER(SEARCH("lds", Table6[[#This Row],[instruction]]))), "shared", "")</f>
        <v/>
      </c>
      <c r="U540" t="str">
        <f>IF(OR(ISNUMBER(SEARCH("LDC", Table6[[#This Row],[instruction]]))), "ind. const", "")</f>
        <v/>
      </c>
      <c r="V5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Row],[s5]]))),U540=""), "cmb. const", "")</f>
        <v/>
      </c>
      <c r="Y540">
        <f>IF(Table6[[#This Row],[pipeline]]="fma",Table6[[#This Row],[delay]],0)</f>
        <v>4</v>
      </c>
      <c r="Z540">
        <f>IF(AND(Table6[[#This Row],[pipeline]]="fma",W540="new"),290,0)</f>
        <v>0</v>
      </c>
      <c r="AK540" s="34"/>
    </row>
    <row r="541" spans="1:37" ht="17" x14ac:dyDescent="0.2">
      <c r="A541" s="31">
        <f>IF(Table6[[#This Row],[instruction]]&lt;&gt;"",MAX($A$6:A540)+1," ")</f>
        <v>536</v>
      </c>
      <c r="B541" s="32" t="s">
        <v>485</v>
      </c>
      <c r="C541" t="s">
        <v>70</v>
      </c>
      <c r="D541" s="31" t="s">
        <v>609</v>
      </c>
      <c r="E541" s="31" t="s">
        <v>4</v>
      </c>
      <c r="F541" s="31" t="s">
        <v>27</v>
      </c>
      <c r="G541" s="31" t="s">
        <v>670</v>
      </c>
      <c r="K541" s="2" t="str">
        <f t="shared" si="8"/>
        <v>fma</v>
      </c>
      <c r="L541" cm="1">
        <f t="array" ref="L5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1" t="str">
        <f>IF(OR(ISNUMBER(SEARCH("imad", Table6[[#This Row],[instruction]])), ISNUMBER(SEARCH("ffma", Table6[[#This Row],[instruction]])), ISNUMBER(SEARCH("fmul", Table6[[#This Row],[instruction]]))), "fma", "")</f>
        <v>fma</v>
      </c>
      <c r="P5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1" t="str">
        <f>IF(OR(ISNUMBER(SEARCH("s2r", Table6[[#This Row],[instruction]])),ISNUMBER(SEARCH("s2ur", Table6[[#This Row],[instruction]]))), "special", "")</f>
        <v/>
      </c>
      <c r="S541" t="str">
        <f>IF(OR(ISNUMBER(SEARCH("stg", Table6[[#This Row],[instruction]])),ISNUMBER(SEARCH("ldg", Table6[[#This Row],[instruction]]))), "global", "")</f>
        <v/>
      </c>
      <c r="T541" t="str">
        <f>IF(OR(ISNUMBER(SEARCH("sts", Table6[[#This Row],[instruction]])),ISNUMBER(SEARCH("lds", Table6[[#This Row],[instruction]]))), "shared", "")</f>
        <v/>
      </c>
      <c r="U541" t="str">
        <f>IF(OR(ISNUMBER(SEARCH("LDC", Table6[[#This Row],[instruction]]))), "ind. const", "")</f>
        <v/>
      </c>
      <c r="V5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Row],[s5]]))),U541=""), "cmb. const", "")</f>
        <v/>
      </c>
      <c r="Y541">
        <f>IF(Table6[[#This Row],[pipeline]]="fma",Table6[[#This Row],[delay]],0)</f>
        <v>4</v>
      </c>
      <c r="Z541">
        <f>IF(AND(Table6[[#This Row],[pipeline]]="fma",W541="new"),290,0)</f>
        <v>0</v>
      </c>
      <c r="AK541" s="34"/>
    </row>
    <row r="542" spans="1:37" ht="17" x14ac:dyDescent="0.2">
      <c r="A542" s="31">
        <f>IF(Table6[[#This Row],[instruction]]&lt;&gt;"",MAX($A$6:A541)+1," ")</f>
        <v>537</v>
      </c>
      <c r="B542" s="32" t="s">
        <v>485</v>
      </c>
      <c r="C542" t="s">
        <v>70</v>
      </c>
      <c r="D542" s="31" t="s">
        <v>671</v>
      </c>
      <c r="E542" s="31" t="s">
        <v>4</v>
      </c>
      <c r="F542" s="31" t="s">
        <v>61</v>
      </c>
      <c r="G542" s="31" t="s">
        <v>672</v>
      </c>
      <c r="K542" s="2" t="str">
        <f t="shared" si="8"/>
        <v>fma</v>
      </c>
      <c r="L542" cm="1">
        <f t="array" ref="L5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2" t="str">
        <f>IF(OR(ISNUMBER(SEARCH("imad", Table6[[#This Row],[instruction]])), ISNUMBER(SEARCH("ffma", Table6[[#This Row],[instruction]])), ISNUMBER(SEARCH("fmul", Table6[[#This Row],[instruction]]))), "fma", "")</f>
        <v>fma</v>
      </c>
      <c r="P5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2" t="str">
        <f>IF(OR(ISNUMBER(SEARCH("s2r", Table6[[#This Row],[instruction]])),ISNUMBER(SEARCH("s2ur", Table6[[#This Row],[instruction]]))), "special", "")</f>
        <v/>
      </c>
      <c r="S542" t="str">
        <f>IF(OR(ISNUMBER(SEARCH("stg", Table6[[#This Row],[instruction]])),ISNUMBER(SEARCH("ldg", Table6[[#This Row],[instruction]]))), "global", "")</f>
        <v/>
      </c>
      <c r="T542" t="str">
        <f>IF(OR(ISNUMBER(SEARCH("sts", Table6[[#This Row],[instruction]])),ISNUMBER(SEARCH("lds", Table6[[#This Row],[instruction]]))), "shared", "")</f>
        <v/>
      </c>
      <c r="U542" t="str">
        <f>IF(OR(ISNUMBER(SEARCH("LDC", Table6[[#This Row],[instruction]]))), "ind. const", "")</f>
        <v/>
      </c>
      <c r="V5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Row],[s5]]))),U542=""), "cmb. const", "")</f>
        <v/>
      </c>
      <c r="Y542">
        <f>IF(Table6[[#This Row],[pipeline]]="fma",Table6[[#This Row],[delay]],0)</f>
        <v>4</v>
      </c>
      <c r="Z542">
        <f>IF(AND(Table6[[#This Row],[pipeline]]="fma",W542="new"),290,0)</f>
        <v>0</v>
      </c>
      <c r="AK542" s="34"/>
    </row>
    <row r="543" spans="1:37" ht="17" x14ac:dyDescent="0.2">
      <c r="A543" s="31">
        <f>IF(Table6[[#This Row],[instruction]]&lt;&gt;"",MAX($A$6:A542)+1," ")</f>
        <v>538</v>
      </c>
      <c r="B543" s="32" t="s">
        <v>485</v>
      </c>
      <c r="C543" t="s">
        <v>70</v>
      </c>
      <c r="D543" s="31" t="s">
        <v>19</v>
      </c>
      <c r="E543" s="31" t="s">
        <v>19</v>
      </c>
      <c r="F543" s="31" t="s">
        <v>60</v>
      </c>
      <c r="G543" s="31" t="s">
        <v>673</v>
      </c>
      <c r="K543" s="2" t="str">
        <f t="shared" si="8"/>
        <v>fma</v>
      </c>
      <c r="L543" cm="1">
        <f t="array" ref="L5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3" t="str">
        <f>IF(OR(ISNUMBER(SEARCH("imad", Table6[[#This Row],[instruction]])), ISNUMBER(SEARCH("ffma", Table6[[#This Row],[instruction]])), ISNUMBER(SEARCH("fmul", Table6[[#This Row],[instruction]]))), "fma", "")</f>
        <v>fma</v>
      </c>
      <c r="P5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3" t="str">
        <f>IF(OR(ISNUMBER(SEARCH("s2r", Table6[[#This Row],[instruction]])),ISNUMBER(SEARCH("s2ur", Table6[[#This Row],[instruction]]))), "special", "")</f>
        <v/>
      </c>
      <c r="S543" t="str">
        <f>IF(OR(ISNUMBER(SEARCH("stg", Table6[[#This Row],[instruction]])),ISNUMBER(SEARCH("ldg", Table6[[#This Row],[instruction]]))), "global", "")</f>
        <v/>
      </c>
      <c r="T543" t="str">
        <f>IF(OR(ISNUMBER(SEARCH("sts", Table6[[#This Row],[instruction]])),ISNUMBER(SEARCH("lds", Table6[[#This Row],[instruction]]))), "shared", "")</f>
        <v/>
      </c>
      <c r="U543" t="str">
        <f>IF(OR(ISNUMBER(SEARCH("LDC", Table6[[#This Row],[instruction]]))), "ind. const", "")</f>
        <v/>
      </c>
      <c r="V5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Row],[s5]]))),U543=""), "cmb. const", "")</f>
        <v/>
      </c>
      <c r="Y543">
        <f>IF(Table6[[#This Row],[pipeline]]="fma",Table6[[#This Row],[delay]],0)</f>
        <v>4</v>
      </c>
      <c r="Z543">
        <f>IF(AND(Table6[[#This Row],[pipeline]]="fma",W543="new"),290,0)</f>
        <v>0</v>
      </c>
      <c r="AK543" s="34"/>
    </row>
    <row r="544" spans="1:37" ht="17" x14ac:dyDescent="0.2">
      <c r="A544" s="31">
        <f>IF(Table6[[#This Row],[instruction]]&lt;&gt;"",MAX($A$6:A543)+1," ")</f>
        <v>539</v>
      </c>
      <c r="B544" s="32" t="s">
        <v>485</v>
      </c>
      <c r="C544" t="s">
        <v>70</v>
      </c>
      <c r="D544" s="31" t="s">
        <v>608</v>
      </c>
      <c r="E544" s="31" t="s">
        <v>23</v>
      </c>
      <c r="F544" s="31" t="s">
        <v>27</v>
      </c>
      <c r="G544" s="31" t="s">
        <v>683</v>
      </c>
      <c r="K544" s="2" t="str">
        <f t="shared" si="8"/>
        <v>fma</v>
      </c>
      <c r="L544" cm="1">
        <f t="array" ref="L5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4" t="str">
        <f>IF(OR(ISNUMBER(SEARCH("imad", Table6[[#This Row],[instruction]])), ISNUMBER(SEARCH("ffma", Table6[[#This Row],[instruction]])), ISNUMBER(SEARCH("fmul", Table6[[#This Row],[instruction]]))), "fma", "")</f>
        <v>fma</v>
      </c>
      <c r="P5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4" t="str">
        <f>IF(OR(ISNUMBER(SEARCH("s2r", Table6[[#This Row],[instruction]])),ISNUMBER(SEARCH("s2ur", Table6[[#This Row],[instruction]]))), "special", "")</f>
        <v/>
      </c>
      <c r="S544" t="str">
        <f>IF(OR(ISNUMBER(SEARCH("stg", Table6[[#This Row],[instruction]])),ISNUMBER(SEARCH("ldg", Table6[[#This Row],[instruction]]))), "global", "")</f>
        <v/>
      </c>
      <c r="T544" t="str">
        <f>IF(OR(ISNUMBER(SEARCH("sts", Table6[[#This Row],[instruction]])),ISNUMBER(SEARCH("lds", Table6[[#This Row],[instruction]]))), "shared", "")</f>
        <v/>
      </c>
      <c r="U544" t="str">
        <f>IF(OR(ISNUMBER(SEARCH("LDC", Table6[[#This Row],[instruction]]))), "ind. const", "")</f>
        <v/>
      </c>
      <c r="V5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Row],[s5]]))),U544=""), "cmb. const", "")</f>
        <v/>
      </c>
      <c r="Y544">
        <f>IF(Table6[[#This Row],[pipeline]]="fma",Table6[[#This Row],[delay]],0)</f>
        <v>4</v>
      </c>
      <c r="Z544">
        <f>IF(AND(Table6[[#This Row],[pipeline]]="fma",W544="new"),290,0)</f>
        <v>0</v>
      </c>
      <c r="AK544" s="34"/>
    </row>
    <row r="545" spans="1:37" ht="17" x14ac:dyDescent="0.2">
      <c r="A545" s="31">
        <f>IF(Table6[[#This Row],[instruction]]&lt;&gt;"",MAX($A$6:A544)+1," ")</f>
        <v>540</v>
      </c>
      <c r="B545" s="32" t="s">
        <v>485</v>
      </c>
      <c r="C545" t="s">
        <v>70</v>
      </c>
      <c r="D545" s="31" t="s">
        <v>605</v>
      </c>
      <c r="E545" s="31" t="s">
        <v>23</v>
      </c>
      <c r="F545" s="31" t="s">
        <v>60</v>
      </c>
      <c r="G545" s="31" t="s">
        <v>685</v>
      </c>
      <c r="K545" s="2" t="str">
        <f t="shared" si="8"/>
        <v>fma</v>
      </c>
      <c r="L545" cm="1">
        <f t="array" ref="L5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5" t="str">
        <f>IF(OR(ISNUMBER(SEARCH("imad", Table6[[#This Row],[instruction]])), ISNUMBER(SEARCH("ffma", Table6[[#This Row],[instruction]])), ISNUMBER(SEARCH("fmul", Table6[[#This Row],[instruction]]))), "fma", "")</f>
        <v>fma</v>
      </c>
      <c r="P5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5" t="str">
        <f>IF(OR(ISNUMBER(SEARCH("s2r", Table6[[#This Row],[instruction]])),ISNUMBER(SEARCH("s2ur", Table6[[#This Row],[instruction]]))), "special", "")</f>
        <v/>
      </c>
      <c r="S545" t="str">
        <f>IF(OR(ISNUMBER(SEARCH("stg", Table6[[#This Row],[instruction]])),ISNUMBER(SEARCH("ldg", Table6[[#This Row],[instruction]]))), "global", "")</f>
        <v/>
      </c>
      <c r="T545" t="str">
        <f>IF(OR(ISNUMBER(SEARCH("sts", Table6[[#This Row],[instruction]])),ISNUMBER(SEARCH("lds", Table6[[#This Row],[instruction]]))), "shared", "")</f>
        <v/>
      </c>
      <c r="U545" t="str">
        <f>IF(OR(ISNUMBER(SEARCH("LDC", Table6[[#This Row],[instruction]]))), "ind. const", "")</f>
        <v/>
      </c>
      <c r="V5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Row],[s5]]))),U545=""), "cmb. const", "")</f>
        <v/>
      </c>
      <c r="Y545">
        <f>IF(Table6[[#This Row],[pipeline]]="fma",Table6[[#This Row],[delay]],0)</f>
        <v>4</v>
      </c>
      <c r="Z545">
        <f>IF(AND(Table6[[#This Row],[pipeline]]="fma",W545="new"),290,0)</f>
        <v>0</v>
      </c>
      <c r="AK545" s="34"/>
    </row>
    <row r="546" spans="1:37" ht="17" x14ac:dyDescent="0.2">
      <c r="A546" s="31">
        <f>IF(Table6[[#This Row],[instruction]]&lt;&gt;"",MAX($A$6:A545)+1," ")</f>
        <v>541</v>
      </c>
      <c r="B546" s="32" t="s">
        <v>485</v>
      </c>
      <c r="C546" t="s">
        <v>70</v>
      </c>
      <c r="D546" s="31" t="s">
        <v>4</v>
      </c>
      <c r="E546" s="31" t="s">
        <v>4</v>
      </c>
      <c r="F546" s="31" t="s">
        <v>60</v>
      </c>
      <c r="G546" s="31" t="s">
        <v>674</v>
      </c>
      <c r="K546" s="2" t="str">
        <f t="shared" si="8"/>
        <v>fma</v>
      </c>
      <c r="L546" cm="1">
        <f t="array" ref="L5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6" t="str">
        <f>IF(OR(ISNUMBER(SEARCH("imad", Table6[[#This Row],[instruction]])), ISNUMBER(SEARCH("ffma", Table6[[#This Row],[instruction]])), ISNUMBER(SEARCH("fmul", Table6[[#This Row],[instruction]]))), "fma", "")</f>
        <v>fma</v>
      </c>
      <c r="P5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6" t="str">
        <f>IF(OR(ISNUMBER(SEARCH("s2r", Table6[[#This Row],[instruction]])),ISNUMBER(SEARCH("s2ur", Table6[[#This Row],[instruction]]))), "special", "")</f>
        <v/>
      </c>
      <c r="S546" t="str">
        <f>IF(OR(ISNUMBER(SEARCH("stg", Table6[[#This Row],[instruction]])),ISNUMBER(SEARCH("ldg", Table6[[#This Row],[instruction]]))), "global", "")</f>
        <v/>
      </c>
      <c r="T546" t="str">
        <f>IF(OR(ISNUMBER(SEARCH("sts", Table6[[#This Row],[instruction]])),ISNUMBER(SEARCH("lds", Table6[[#This Row],[instruction]]))), "shared", "")</f>
        <v/>
      </c>
      <c r="U546" t="str">
        <f>IF(OR(ISNUMBER(SEARCH("LDC", Table6[[#This Row],[instruction]]))), "ind. const", "")</f>
        <v/>
      </c>
      <c r="V5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Row],[s5]]))),U546=""), "cmb. const", "")</f>
        <v/>
      </c>
      <c r="Y546">
        <f>IF(Table6[[#This Row],[pipeline]]="fma",Table6[[#This Row],[delay]],0)</f>
        <v>4</v>
      </c>
      <c r="Z546">
        <f>IF(AND(Table6[[#This Row],[pipeline]]="fma",W546="new"),290,0)</f>
        <v>0</v>
      </c>
      <c r="AK546" s="34"/>
    </row>
    <row r="547" spans="1:37" ht="17" x14ac:dyDescent="0.2">
      <c r="A547" s="31">
        <f>IF(Table6[[#This Row],[instruction]]&lt;&gt;"",MAX($A$6:A546)+1," ")</f>
        <v>542</v>
      </c>
      <c r="B547" s="32" t="s">
        <v>485</v>
      </c>
      <c r="C547" t="s">
        <v>70</v>
      </c>
      <c r="D547" s="31" t="s">
        <v>58</v>
      </c>
      <c r="E547" s="31" t="s">
        <v>7</v>
      </c>
      <c r="F547" s="31" t="s">
        <v>58</v>
      </c>
      <c r="G547" s="31" t="s">
        <v>676</v>
      </c>
      <c r="K547" s="2" t="str">
        <f t="shared" si="8"/>
        <v>fma</v>
      </c>
      <c r="L547" cm="1">
        <f t="array" ref="L5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7" t="str">
        <f>IF(OR(ISNUMBER(SEARCH("imad", Table6[[#This Row],[instruction]])), ISNUMBER(SEARCH("ffma", Table6[[#This Row],[instruction]])), ISNUMBER(SEARCH("fmul", Table6[[#This Row],[instruction]]))), "fma", "")</f>
        <v>fma</v>
      </c>
      <c r="P5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7" t="str">
        <f>IF(OR(ISNUMBER(SEARCH("s2r", Table6[[#This Row],[instruction]])),ISNUMBER(SEARCH("s2ur", Table6[[#This Row],[instruction]]))), "special", "")</f>
        <v/>
      </c>
      <c r="S547" t="str">
        <f>IF(OR(ISNUMBER(SEARCH("stg", Table6[[#This Row],[instruction]])),ISNUMBER(SEARCH("ldg", Table6[[#This Row],[instruction]]))), "global", "")</f>
        <v/>
      </c>
      <c r="T547" t="str">
        <f>IF(OR(ISNUMBER(SEARCH("sts", Table6[[#This Row],[instruction]])),ISNUMBER(SEARCH("lds", Table6[[#This Row],[instruction]]))), "shared", "")</f>
        <v/>
      </c>
      <c r="U547" t="str">
        <f>IF(OR(ISNUMBER(SEARCH("LDC", Table6[[#This Row],[instruction]]))), "ind. const", "")</f>
        <v/>
      </c>
      <c r="V5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Row],[s5]]))),U547=""), "cmb. const", "")</f>
        <v/>
      </c>
      <c r="Y547">
        <f>IF(Table6[[#This Row],[pipeline]]="fma",Table6[[#This Row],[delay]],0)</f>
        <v>4</v>
      </c>
      <c r="Z547">
        <f>IF(AND(Table6[[#This Row],[pipeline]]="fma",W547="new"),290,0)</f>
        <v>0</v>
      </c>
      <c r="AK547" s="34"/>
    </row>
    <row r="548" spans="1:37" ht="17" x14ac:dyDescent="0.2">
      <c r="A548" s="31">
        <f>IF(Table6[[#This Row],[instruction]]&lt;&gt;"",MAX($A$6:A547)+1," ")</f>
        <v>543</v>
      </c>
      <c r="B548" s="32" t="s">
        <v>485</v>
      </c>
      <c r="C548" t="s">
        <v>70</v>
      </c>
      <c r="D548" s="31" t="s">
        <v>597</v>
      </c>
      <c r="E548" s="31" t="s">
        <v>7</v>
      </c>
      <c r="F548" s="31" t="s">
        <v>27</v>
      </c>
      <c r="G548" s="31" t="s">
        <v>686</v>
      </c>
      <c r="K548" s="2" t="str">
        <f t="shared" si="8"/>
        <v>fma</v>
      </c>
      <c r="L548" cm="1">
        <f t="array" ref="L5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8" t="str">
        <f>IF(OR(ISNUMBER(SEARCH("imad", Table6[[#This Row],[instruction]])), ISNUMBER(SEARCH("ffma", Table6[[#This Row],[instruction]])), ISNUMBER(SEARCH("fmul", Table6[[#This Row],[instruction]]))), "fma", "")</f>
        <v>fma</v>
      </c>
      <c r="P5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8" t="str">
        <f>IF(OR(ISNUMBER(SEARCH("s2r", Table6[[#This Row],[instruction]])),ISNUMBER(SEARCH("s2ur", Table6[[#This Row],[instruction]]))), "special", "")</f>
        <v/>
      </c>
      <c r="S548" t="str">
        <f>IF(OR(ISNUMBER(SEARCH("stg", Table6[[#This Row],[instruction]])),ISNUMBER(SEARCH("ldg", Table6[[#This Row],[instruction]]))), "global", "")</f>
        <v/>
      </c>
      <c r="T548" t="str">
        <f>IF(OR(ISNUMBER(SEARCH("sts", Table6[[#This Row],[instruction]])),ISNUMBER(SEARCH("lds", Table6[[#This Row],[instruction]]))), "shared", "")</f>
        <v/>
      </c>
      <c r="U548" t="str">
        <f>IF(OR(ISNUMBER(SEARCH("LDC", Table6[[#This Row],[instruction]]))), "ind. const", "")</f>
        <v/>
      </c>
      <c r="V5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Row],[s5]]))),U548=""), "cmb. const", "")</f>
        <v/>
      </c>
      <c r="Y548">
        <f>IF(Table6[[#This Row],[pipeline]]="fma",Table6[[#This Row],[delay]],0)</f>
        <v>4</v>
      </c>
      <c r="Z548">
        <f>IF(AND(Table6[[#This Row],[pipeline]]="fma",W548="new"),290,0)</f>
        <v>0</v>
      </c>
      <c r="AK548" s="34"/>
    </row>
    <row r="549" spans="1:37" ht="17" x14ac:dyDescent="0.2">
      <c r="A549" s="31">
        <f>IF(Table6[[#This Row],[instruction]]&lt;&gt;"",MAX($A$6:A548)+1," ")</f>
        <v>544</v>
      </c>
      <c r="B549" s="32" t="s">
        <v>485</v>
      </c>
      <c r="C549" t="s">
        <v>70</v>
      </c>
      <c r="D549" s="31" t="s">
        <v>61</v>
      </c>
      <c r="E549" s="31" t="s">
        <v>7</v>
      </c>
      <c r="F549" s="31" t="s">
        <v>61</v>
      </c>
      <c r="G549" s="31" t="s">
        <v>687</v>
      </c>
      <c r="K549" s="2" t="str">
        <f t="shared" si="8"/>
        <v>fma</v>
      </c>
      <c r="L549" cm="1">
        <f t="array" ref="L5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49" t="str">
        <f>IF(OR(ISNUMBER(SEARCH("imad", Table6[[#This Row],[instruction]])), ISNUMBER(SEARCH("ffma", Table6[[#This Row],[instruction]])), ISNUMBER(SEARCH("fmul", Table6[[#This Row],[instruction]]))), "fma", "")</f>
        <v>fma</v>
      </c>
      <c r="P5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49" t="str">
        <f>IF(OR(ISNUMBER(SEARCH("s2r", Table6[[#This Row],[instruction]])),ISNUMBER(SEARCH("s2ur", Table6[[#This Row],[instruction]]))), "special", "")</f>
        <v/>
      </c>
      <c r="S549" t="str">
        <f>IF(OR(ISNUMBER(SEARCH("stg", Table6[[#This Row],[instruction]])),ISNUMBER(SEARCH("ldg", Table6[[#This Row],[instruction]]))), "global", "")</f>
        <v/>
      </c>
      <c r="T549" t="str">
        <f>IF(OR(ISNUMBER(SEARCH("sts", Table6[[#This Row],[instruction]])),ISNUMBER(SEARCH("lds", Table6[[#This Row],[instruction]]))), "shared", "")</f>
        <v/>
      </c>
      <c r="U549" t="str">
        <f>IF(OR(ISNUMBER(SEARCH("LDC", Table6[[#This Row],[instruction]]))), "ind. const", "")</f>
        <v/>
      </c>
      <c r="V5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Row],[s5]]))),U549=""), "cmb. const", "")</f>
        <v/>
      </c>
      <c r="Y549">
        <f>IF(Table6[[#This Row],[pipeline]]="fma",Table6[[#This Row],[delay]],0)</f>
        <v>4</v>
      </c>
      <c r="Z549">
        <f>IF(AND(Table6[[#This Row],[pipeline]]="fma",W549="new"),290,0)</f>
        <v>0</v>
      </c>
      <c r="AK549" s="34"/>
    </row>
    <row r="550" spans="1:37" ht="17" x14ac:dyDescent="0.2">
      <c r="A550" s="31">
        <f>IF(Table6[[#This Row],[instruction]]&lt;&gt;"",MAX($A$6:A549)+1," ")</f>
        <v>545</v>
      </c>
      <c r="B550" s="32" t="s">
        <v>485</v>
      </c>
      <c r="C550" t="s">
        <v>70</v>
      </c>
      <c r="D550" s="31" t="s">
        <v>598</v>
      </c>
      <c r="E550" s="31" t="s">
        <v>7</v>
      </c>
      <c r="F550" s="31" t="s">
        <v>60</v>
      </c>
      <c r="G550" s="31" t="s">
        <v>688</v>
      </c>
      <c r="K550" s="2" t="str">
        <f t="shared" si="8"/>
        <v>fma</v>
      </c>
      <c r="L550" cm="1">
        <f t="array" ref="L5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0" t="str">
        <f>IF(OR(ISNUMBER(SEARCH("imad", Table6[[#This Row],[instruction]])), ISNUMBER(SEARCH("ffma", Table6[[#This Row],[instruction]])), ISNUMBER(SEARCH("fmul", Table6[[#This Row],[instruction]]))), "fma", "")</f>
        <v>fma</v>
      </c>
      <c r="P5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0" t="str">
        <f>IF(OR(ISNUMBER(SEARCH("s2r", Table6[[#This Row],[instruction]])),ISNUMBER(SEARCH("s2ur", Table6[[#This Row],[instruction]]))), "special", "")</f>
        <v/>
      </c>
      <c r="S550" t="str">
        <f>IF(OR(ISNUMBER(SEARCH("stg", Table6[[#This Row],[instruction]])),ISNUMBER(SEARCH("ldg", Table6[[#This Row],[instruction]]))), "global", "")</f>
        <v/>
      </c>
      <c r="T550" t="str">
        <f>IF(OR(ISNUMBER(SEARCH("sts", Table6[[#This Row],[instruction]])),ISNUMBER(SEARCH("lds", Table6[[#This Row],[instruction]]))), "shared", "")</f>
        <v/>
      </c>
      <c r="U550" t="str">
        <f>IF(OR(ISNUMBER(SEARCH("LDC", Table6[[#This Row],[instruction]]))), "ind. const", "")</f>
        <v/>
      </c>
      <c r="V5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Row],[s5]]))),U550=""), "cmb. const", "")</f>
        <v/>
      </c>
      <c r="Y550">
        <f>IF(Table6[[#This Row],[pipeline]]="fma",Table6[[#This Row],[delay]],0)</f>
        <v>4</v>
      </c>
      <c r="Z550">
        <f>IF(AND(Table6[[#This Row],[pipeline]]="fma",W550="new"),290,0)</f>
        <v>0</v>
      </c>
      <c r="AK550" s="34"/>
    </row>
    <row r="551" spans="1:37" ht="17" x14ac:dyDescent="0.2">
      <c r="A551" s="31">
        <f>IF(Table6[[#This Row],[instruction]]&lt;&gt;"",MAX($A$6:A550)+1," ")</f>
        <v>546</v>
      </c>
      <c r="B551" s="32" t="s">
        <v>485</v>
      </c>
      <c r="C551" t="s">
        <v>70</v>
      </c>
      <c r="D551" s="31" t="s">
        <v>577</v>
      </c>
      <c r="E551" s="31" t="s">
        <v>84</v>
      </c>
      <c r="F551" s="31" t="s">
        <v>440</v>
      </c>
      <c r="G551" s="31" t="s">
        <v>586</v>
      </c>
      <c r="K551" s="2" t="str">
        <f t="shared" si="8"/>
        <v>fma</v>
      </c>
      <c r="L551" cm="1">
        <f t="array" ref="L5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1" t="str">
        <f>IF(OR(ISNUMBER(SEARCH("imad", Table6[[#This Row],[instruction]])), ISNUMBER(SEARCH("ffma", Table6[[#This Row],[instruction]])), ISNUMBER(SEARCH("fmul", Table6[[#This Row],[instruction]]))), "fma", "")</f>
        <v>fma</v>
      </c>
      <c r="P5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1" t="str">
        <f>IF(OR(ISNUMBER(SEARCH("s2r", Table6[[#This Row],[instruction]])),ISNUMBER(SEARCH("s2ur", Table6[[#This Row],[instruction]]))), "special", "")</f>
        <v/>
      </c>
      <c r="S551" t="str">
        <f>IF(OR(ISNUMBER(SEARCH("stg", Table6[[#This Row],[instruction]])),ISNUMBER(SEARCH("ldg", Table6[[#This Row],[instruction]]))), "global", "")</f>
        <v/>
      </c>
      <c r="T551" t="str">
        <f>IF(OR(ISNUMBER(SEARCH("sts", Table6[[#This Row],[instruction]])),ISNUMBER(SEARCH("lds", Table6[[#This Row],[instruction]]))), "shared", "")</f>
        <v/>
      </c>
      <c r="U551" t="str">
        <f>IF(OR(ISNUMBER(SEARCH("LDC", Table6[[#This Row],[instruction]]))), "ind. const", "")</f>
        <v/>
      </c>
      <c r="V5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Row],[s5]]))),U551=""), "cmb. const", "")</f>
        <v/>
      </c>
      <c r="Y551">
        <f>IF(Table6[[#This Row],[pipeline]]="fma",Table6[[#This Row],[delay]],0)</f>
        <v>4</v>
      </c>
      <c r="Z551">
        <f>IF(AND(Table6[[#This Row],[pipeline]]="fma",W551="new"),290,0)</f>
        <v>0</v>
      </c>
      <c r="AK551" s="34"/>
    </row>
    <row r="552" spans="1:37" ht="17" x14ac:dyDescent="0.2">
      <c r="A552" s="31">
        <f>IF(Table6[[#This Row],[instruction]]&lt;&gt;"",MAX($A$6:A551)+1," ")</f>
        <v>547</v>
      </c>
      <c r="B552" s="32" t="s">
        <v>485</v>
      </c>
      <c r="C552" t="s">
        <v>70</v>
      </c>
      <c r="D552" s="31" t="s">
        <v>80</v>
      </c>
      <c r="E552" s="31" t="s">
        <v>84</v>
      </c>
      <c r="F552" s="31" t="s">
        <v>436</v>
      </c>
      <c r="G552" s="31" t="s">
        <v>666</v>
      </c>
      <c r="K552" s="2" t="str">
        <f t="shared" si="8"/>
        <v>fma</v>
      </c>
      <c r="L552" cm="1">
        <f t="array" ref="L5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2" t="str">
        <f>IF(OR(ISNUMBER(SEARCH("imad", Table6[[#This Row],[instruction]])), ISNUMBER(SEARCH("ffma", Table6[[#This Row],[instruction]])), ISNUMBER(SEARCH("fmul", Table6[[#This Row],[instruction]]))), "fma", "")</f>
        <v>fma</v>
      </c>
      <c r="P5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2" t="str">
        <f>IF(OR(ISNUMBER(SEARCH("s2r", Table6[[#This Row],[instruction]])),ISNUMBER(SEARCH("s2ur", Table6[[#This Row],[instruction]]))), "special", "")</f>
        <v/>
      </c>
      <c r="S552" t="str">
        <f>IF(OR(ISNUMBER(SEARCH("stg", Table6[[#This Row],[instruction]])),ISNUMBER(SEARCH("ldg", Table6[[#This Row],[instruction]]))), "global", "")</f>
        <v/>
      </c>
      <c r="T552" t="str">
        <f>IF(OR(ISNUMBER(SEARCH("sts", Table6[[#This Row],[instruction]])),ISNUMBER(SEARCH("lds", Table6[[#This Row],[instruction]]))), "shared", "")</f>
        <v/>
      </c>
      <c r="U552" t="str">
        <f>IF(OR(ISNUMBER(SEARCH("LDC", Table6[[#This Row],[instruction]]))), "ind. const", "")</f>
        <v/>
      </c>
      <c r="V5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Row],[s5]]))),U552=""), "cmb. const", "")</f>
        <v/>
      </c>
      <c r="Y552">
        <f>IF(Table6[[#This Row],[pipeline]]="fma",Table6[[#This Row],[delay]],0)</f>
        <v>4</v>
      </c>
      <c r="Z552">
        <f>IF(AND(Table6[[#This Row],[pipeline]]="fma",W552="new"),290,0)</f>
        <v>0</v>
      </c>
      <c r="AK552" s="34"/>
    </row>
    <row r="553" spans="1:37" ht="17" x14ac:dyDescent="0.2">
      <c r="A553" s="31">
        <f>IF(Table6[[#This Row],[instruction]]&lt;&gt;"",MAX($A$6:A552)+1," ")</f>
        <v>548</v>
      </c>
      <c r="B553" s="32" t="s">
        <v>485</v>
      </c>
      <c r="C553" t="s">
        <v>70</v>
      </c>
      <c r="D553" s="31" t="s">
        <v>588</v>
      </c>
      <c r="E553" s="31" t="s">
        <v>84</v>
      </c>
      <c r="F553" s="31" t="s">
        <v>439</v>
      </c>
      <c r="G553" s="31" t="s">
        <v>667</v>
      </c>
      <c r="K553" s="2" t="str">
        <f t="shared" si="8"/>
        <v>fma</v>
      </c>
      <c r="L553" cm="1">
        <f t="array" ref="L5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3" t="str">
        <f>IF(OR(ISNUMBER(SEARCH("imad", Table6[[#This Row],[instruction]])), ISNUMBER(SEARCH("ffma", Table6[[#This Row],[instruction]])), ISNUMBER(SEARCH("fmul", Table6[[#This Row],[instruction]]))), "fma", "")</f>
        <v>fma</v>
      </c>
      <c r="P5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3" t="str">
        <f>IF(OR(ISNUMBER(SEARCH("s2r", Table6[[#This Row],[instruction]])),ISNUMBER(SEARCH("s2ur", Table6[[#This Row],[instruction]]))), "special", "")</f>
        <v/>
      </c>
      <c r="S553" t="str">
        <f>IF(OR(ISNUMBER(SEARCH("stg", Table6[[#This Row],[instruction]])),ISNUMBER(SEARCH("ldg", Table6[[#This Row],[instruction]]))), "global", "")</f>
        <v/>
      </c>
      <c r="T553" t="str">
        <f>IF(OR(ISNUMBER(SEARCH("sts", Table6[[#This Row],[instruction]])),ISNUMBER(SEARCH("lds", Table6[[#This Row],[instruction]]))), "shared", "")</f>
        <v/>
      </c>
      <c r="U553" t="str">
        <f>IF(OR(ISNUMBER(SEARCH("LDC", Table6[[#This Row],[instruction]]))), "ind. const", "")</f>
        <v/>
      </c>
      <c r="V5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Row],[s5]]))),U553=""), "cmb. const", "")</f>
        <v/>
      </c>
      <c r="Y553">
        <f>IF(Table6[[#This Row],[pipeline]]="fma",Table6[[#This Row],[delay]],0)</f>
        <v>4</v>
      </c>
      <c r="Z553">
        <f>IF(AND(Table6[[#This Row],[pipeline]]="fma",W553="new"),290,0)</f>
        <v>0</v>
      </c>
      <c r="AK553" s="34"/>
    </row>
    <row r="554" spans="1:37" ht="17" x14ac:dyDescent="0.2">
      <c r="A554" s="31">
        <f>IF(Table6[[#This Row],[instruction]]&lt;&gt;"",MAX($A$6:A553)+1," ")</f>
        <v>549</v>
      </c>
      <c r="B554" s="32" t="s">
        <v>485</v>
      </c>
      <c r="C554" t="s">
        <v>70</v>
      </c>
      <c r="D554" s="31" t="s">
        <v>19</v>
      </c>
      <c r="E554" s="31" t="s">
        <v>84</v>
      </c>
      <c r="F554" s="31" t="s">
        <v>447</v>
      </c>
      <c r="G554" s="31" t="s">
        <v>508</v>
      </c>
      <c r="K554" s="2" t="str">
        <f t="shared" si="8"/>
        <v>fma</v>
      </c>
      <c r="L554" cm="1">
        <f t="array" ref="L5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4" t="str">
        <f>IF(OR(ISNUMBER(SEARCH("imad", Table6[[#This Row],[instruction]])), ISNUMBER(SEARCH("ffma", Table6[[#This Row],[instruction]])), ISNUMBER(SEARCH("fmul", Table6[[#This Row],[instruction]]))), "fma", "")</f>
        <v>fma</v>
      </c>
      <c r="P5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4" t="str">
        <f>IF(OR(ISNUMBER(SEARCH("s2r", Table6[[#This Row],[instruction]])),ISNUMBER(SEARCH("s2ur", Table6[[#This Row],[instruction]]))), "special", "")</f>
        <v/>
      </c>
      <c r="S554" t="str">
        <f>IF(OR(ISNUMBER(SEARCH("stg", Table6[[#This Row],[instruction]])),ISNUMBER(SEARCH("ldg", Table6[[#This Row],[instruction]]))), "global", "")</f>
        <v/>
      </c>
      <c r="T554" t="str">
        <f>IF(OR(ISNUMBER(SEARCH("sts", Table6[[#This Row],[instruction]])),ISNUMBER(SEARCH("lds", Table6[[#This Row],[instruction]]))), "shared", "")</f>
        <v/>
      </c>
      <c r="U554" t="str">
        <f>IF(OR(ISNUMBER(SEARCH("LDC", Table6[[#This Row],[instruction]]))), "ind. const", "")</f>
        <v/>
      </c>
      <c r="V5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Row],[s5]]))),U554=""), "cmb. const", "")</f>
        <v/>
      </c>
      <c r="Y554">
        <f>IF(Table6[[#This Row],[pipeline]]="fma",Table6[[#This Row],[delay]],0)</f>
        <v>4</v>
      </c>
      <c r="Z554">
        <f>IF(AND(Table6[[#This Row],[pipeline]]="fma",W554="new"),290,0)</f>
        <v>0</v>
      </c>
      <c r="AK554" s="34"/>
    </row>
    <row r="555" spans="1:37" ht="17" x14ac:dyDescent="0.2">
      <c r="A555" s="31">
        <f>IF(Table6[[#This Row],[instruction]]&lt;&gt;"",MAX($A$6:A554)+1," ")</f>
        <v>550</v>
      </c>
      <c r="B555" s="32" t="s">
        <v>485</v>
      </c>
      <c r="C555" t="s">
        <v>70</v>
      </c>
      <c r="D555" s="31" t="s">
        <v>600</v>
      </c>
      <c r="E555" s="31" t="s">
        <v>82</v>
      </c>
      <c r="F555" s="31" t="s">
        <v>440</v>
      </c>
      <c r="G555" s="31" t="s">
        <v>668</v>
      </c>
      <c r="K555" s="2" t="str">
        <f t="shared" si="8"/>
        <v>fma</v>
      </c>
      <c r="L555" cm="1">
        <f t="array" ref="L5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5" t="str">
        <f>IF(OR(ISNUMBER(SEARCH("imad", Table6[[#This Row],[instruction]])), ISNUMBER(SEARCH("ffma", Table6[[#This Row],[instruction]])), ISNUMBER(SEARCH("fmul", Table6[[#This Row],[instruction]]))), "fma", "")</f>
        <v>fma</v>
      </c>
      <c r="P5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5" t="str">
        <f>IF(OR(ISNUMBER(SEARCH("s2r", Table6[[#This Row],[instruction]])),ISNUMBER(SEARCH("s2ur", Table6[[#This Row],[instruction]]))), "special", "")</f>
        <v/>
      </c>
      <c r="S555" t="str">
        <f>IF(OR(ISNUMBER(SEARCH("stg", Table6[[#This Row],[instruction]])),ISNUMBER(SEARCH("ldg", Table6[[#This Row],[instruction]]))), "global", "")</f>
        <v/>
      </c>
      <c r="T555" t="str">
        <f>IF(OR(ISNUMBER(SEARCH("sts", Table6[[#This Row],[instruction]])),ISNUMBER(SEARCH("lds", Table6[[#This Row],[instruction]]))), "shared", "")</f>
        <v/>
      </c>
      <c r="U555" t="str">
        <f>IF(OR(ISNUMBER(SEARCH("LDC", Table6[[#This Row],[instruction]]))), "ind. const", "")</f>
        <v/>
      </c>
      <c r="V5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Row],[s5]]))),U555=""), "cmb. const", "")</f>
        <v/>
      </c>
      <c r="Y555">
        <f>IF(Table6[[#This Row],[pipeline]]="fma",Table6[[#This Row],[delay]],0)</f>
        <v>4</v>
      </c>
      <c r="Z555">
        <f>IF(AND(Table6[[#This Row],[pipeline]]="fma",W555="new"),290,0)</f>
        <v>0</v>
      </c>
      <c r="AK555" s="34"/>
    </row>
    <row r="556" spans="1:37" ht="17" x14ac:dyDescent="0.2">
      <c r="A556" s="31">
        <f>IF(Table6[[#This Row],[instruction]]&lt;&gt;"",MAX($A$6:A555)+1," ")</f>
        <v>551</v>
      </c>
      <c r="B556" s="32" t="s">
        <v>485</v>
      </c>
      <c r="C556" t="s">
        <v>70</v>
      </c>
      <c r="D556" s="31" t="s">
        <v>608</v>
      </c>
      <c r="E556" s="31" t="s">
        <v>82</v>
      </c>
      <c r="F556" s="31" t="s">
        <v>436</v>
      </c>
      <c r="G556" s="31" t="s">
        <v>683</v>
      </c>
      <c r="K556" s="2" t="str">
        <f t="shared" si="8"/>
        <v>fma</v>
      </c>
      <c r="L556" cm="1">
        <f t="array" ref="L5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6" t="str">
        <f>IF(OR(ISNUMBER(SEARCH("imad", Table6[[#This Row],[instruction]])), ISNUMBER(SEARCH("ffma", Table6[[#This Row],[instruction]])), ISNUMBER(SEARCH("fmul", Table6[[#This Row],[instruction]]))), "fma", "")</f>
        <v>fma</v>
      </c>
      <c r="P5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6" t="str">
        <f>IF(OR(ISNUMBER(SEARCH("s2r", Table6[[#This Row],[instruction]])),ISNUMBER(SEARCH("s2ur", Table6[[#This Row],[instruction]]))), "special", "")</f>
        <v/>
      </c>
      <c r="S556" t="str">
        <f>IF(OR(ISNUMBER(SEARCH("stg", Table6[[#This Row],[instruction]])),ISNUMBER(SEARCH("ldg", Table6[[#This Row],[instruction]]))), "global", "")</f>
        <v/>
      </c>
      <c r="T556" t="str">
        <f>IF(OR(ISNUMBER(SEARCH("sts", Table6[[#This Row],[instruction]])),ISNUMBER(SEARCH("lds", Table6[[#This Row],[instruction]]))), "shared", "")</f>
        <v/>
      </c>
      <c r="U556" t="str">
        <f>IF(OR(ISNUMBER(SEARCH("LDC", Table6[[#This Row],[instruction]]))), "ind. const", "")</f>
        <v/>
      </c>
      <c r="V5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Row],[s5]]))),U556=""), "cmb. const", "")</f>
        <v/>
      </c>
      <c r="Y556">
        <f>IF(Table6[[#This Row],[pipeline]]="fma",Table6[[#This Row],[delay]],0)</f>
        <v>4</v>
      </c>
      <c r="Z556">
        <f>IF(AND(Table6[[#This Row],[pipeline]]="fma",W556="new"),290,0)</f>
        <v>0</v>
      </c>
      <c r="AK556" s="34"/>
    </row>
    <row r="557" spans="1:37" ht="17" x14ac:dyDescent="0.2">
      <c r="A557" s="31">
        <f>IF(Table6[[#This Row],[instruction]]&lt;&gt;"",MAX($A$6:A556)+1," ")</f>
        <v>552</v>
      </c>
      <c r="B557" s="32" t="s">
        <v>485</v>
      </c>
      <c r="C557" t="s">
        <v>70</v>
      </c>
      <c r="D557" s="31" t="s">
        <v>613</v>
      </c>
      <c r="E557" s="31" t="s">
        <v>82</v>
      </c>
      <c r="F557" s="31" t="s">
        <v>439</v>
      </c>
      <c r="G557" s="31" t="s">
        <v>684</v>
      </c>
      <c r="K557" s="2" t="str">
        <f t="shared" si="8"/>
        <v>fma</v>
      </c>
      <c r="L557" cm="1">
        <f t="array" ref="L5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7" t="str">
        <f>IF(OR(ISNUMBER(SEARCH("imad", Table6[[#This Row],[instruction]])), ISNUMBER(SEARCH("ffma", Table6[[#This Row],[instruction]])), ISNUMBER(SEARCH("fmul", Table6[[#This Row],[instruction]]))), "fma", "")</f>
        <v>fma</v>
      </c>
      <c r="P5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7" t="str">
        <f>IF(OR(ISNUMBER(SEARCH("s2r", Table6[[#This Row],[instruction]])),ISNUMBER(SEARCH("s2ur", Table6[[#This Row],[instruction]]))), "special", "")</f>
        <v/>
      </c>
      <c r="S557" t="str">
        <f>IF(OR(ISNUMBER(SEARCH("stg", Table6[[#This Row],[instruction]])),ISNUMBER(SEARCH("ldg", Table6[[#This Row],[instruction]]))), "global", "")</f>
        <v/>
      </c>
      <c r="T557" t="str">
        <f>IF(OR(ISNUMBER(SEARCH("sts", Table6[[#This Row],[instruction]])),ISNUMBER(SEARCH("lds", Table6[[#This Row],[instruction]]))), "shared", "")</f>
        <v/>
      </c>
      <c r="U557" t="str">
        <f>IF(OR(ISNUMBER(SEARCH("LDC", Table6[[#This Row],[instruction]]))), "ind. const", "")</f>
        <v/>
      </c>
      <c r="V5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Row],[s5]]))),U557=""), "cmb. const", "")</f>
        <v/>
      </c>
      <c r="Y557">
        <f>IF(Table6[[#This Row],[pipeline]]="fma",Table6[[#This Row],[delay]],0)</f>
        <v>4</v>
      </c>
      <c r="Z557">
        <f>IF(AND(Table6[[#This Row],[pipeline]]="fma",W557="new"),290,0)</f>
        <v>0</v>
      </c>
      <c r="AK557" s="34"/>
    </row>
    <row r="558" spans="1:37" ht="17" x14ac:dyDescent="0.2">
      <c r="A558" s="31">
        <f>IF(Table6[[#This Row],[instruction]]&lt;&gt;"",MAX($A$6:A557)+1," ")</f>
        <v>553</v>
      </c>
      <c r="B558" s="32" t="s">
        <v>485</v>
      </c>
      <c r="C558" t="s">
        <v>70</v>
      </c>
      <c r="D558" s="31" t="s">
        <v>605</v>
      </c>
      <c r="E558" s="31" t="s">
        <v>82</v>
      </c>
      <c r="F558" s="31" t="s">
        <v>447</v>
      </c>
      <c r="G558" s="31" t="s">
        <v>685</v>
      </c>
      <c r="K558" s="2" t="str">
        <f t="shared" si="8"/>
        <v>fma</v>
      </c>
      <c r="L558" cm="1">
        <f t="array" ref="L5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8" t="str">
        <f>IF(OR(ISNUMBER(SEARCH("imad", Table6[[#This Row],[instruction]])), ISNUMBER(SEARCH("ffma", Table6[[#This Row],[instruction]])), ISNUMBER(SEARCH("fmul", Table6[[#This Row],[instruction]]))), "fma", "")</f>
        <v>fma</v>
      </c>
      <c r="P5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8" t="str">
        <f>IF(OR(ISNUMBER(SEARCH("s2r", Table6[[#This Row],[instruction]])),ISNUMBER(SEARCH("s2ur", Table6[[#This Row],[instruction]]))), "special", "")</f>
        <v/>
      </c>
      <c r="S558" t="str">
        <f>IF(OR(ISNUMBER(SEARCH("stg", Table6[[#This Row],[instruction]])),ISNUMBER(SEARCH("ldg", Table6[[#This Row],[instruction]]))), "global", "")</f>
        <v/>
      </c>
      <c r="T558" t="str">
        <f>IF(OR(ISNUMBER(SEARCH("sts", Table6[[#This Row],[instruction]])),ISNUMBER(SEARCH("lds", Table6[[#This Row],[instruction]]))), "shared", "")</f>
        <v/>
      </c>
      <c r="U558" t="str">
        <f>IF(OR(ISNUMBER(SEARCH("LDC", Table6[[#This Row],[instruction]]))), "ind. const", "")</f>
        <v/>
      </c>
      <c r="V5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Row],[s5]]))),U558=""), "cmb. const", "")</f>
        <v/>
      </c>
      <c r="Y558">
        <f>IF(Table6[[#This Row],[pipeline]]="fma",Table6[[#This Row],[delay]],0)</f>
        <v>4</v>
      </c>
      <c r="Z558">
        <f>IF(AND(Table6[[#This Row],[pipeline]]="fma",W558="new"),290,0)</f>
        <v>0</v>
      </c>
      <c r="AK558" s="34"/>
    </row>
    <row r="559" spans="1:37" ht="17" x14ac:dyDescent="0.2">
      <c r="A559" s="31">
        <f>IF(Table6[[#This Row],[instruction]]&lt;&gt;"",MAX($A$6:A558)+1," ")</f>
        <v>554</v>
      </c>
      <c r="B559" s="32" t="s">
        <v>485</v>
      </c>
      <c r="C559" t="s">
        <v>70</v>
      </c>
      <c r="D559" s="31" t="s">
        <v>612</v>
      </c>
      <c r="E559" s="31" t="s">
        <v>430</v>
      </c>
      <c r="F559" s="31" t="s">
        <v>440</v>
      </c>
      <c r="G559" s="31" t="s">
        <v>669</v>
      </c>
      <c r="K559" s="2" t="str">
        <f t="shared" si="8"/>
        <v>fma</v>
      </c>
      <c r="L559" cm="1">
        <f t="array" ref="L5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59" t="str">
        <f>IF(OR(ISNUMBER(SEARCH("imad", Table6[[#This Row],[instruction]])), ISNUMBER(SEARCH("ffma", Table6[[#This Row],[instruction]])), ISNUMBER(SEARCH("fmul", Table6[[#This Row],[instruction]]))), "fma", "")</f>
        <v>fma</v>
      </c>
      <c r="P5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59" t="str">
        <f>IF(OR(ISNUMBER(SEARCH("s2r", Table6[[#This Row],[instruction]])),ISNUMBER(SEARCH("s2ur", Table6[[#This Row],[instruction]]))), "special", "")</f>
        <v/>
      </c>
      <c r="S559" t="str">
        <f>IF(OR(ISNUMBER(SEARCH("stg", Table6[[#This Row],[instruction]])),ISNUMBER(SEARCH("ldg", Table6[[#This Row],[instruction]]))), "global", "")</f>
        <v/>
      </c>
      <c r="T559" t="str">
        <f>IF(OR(ISNUMBER(SEARCH("sts", Table6[[#This Row],[instruction]])),ISNUMBER(SEARCH("lds", Table6[[#This Row],[instruction]]))), "shared", "")</f>
        <v/>
      </c>
      <c r="U559" t="str">
        <f>IF(OR(ISNUMBER(SEARCH("LDC", Table6[[#This Row],[instruction]]))), "ind. const", "")</f>
        <v/>
      </c>
      <c r="V5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Row],[s5]]))),U559=""), "cmb. const", "")</f>
        <v/>
      </c>
      <c r="Y559">
        <f>IF(Table6[[#This Row],[pipeline]]="fma",Table6[[#This Row],[delay]],0)</f>
        <v>4</v>
      </c>
      <c r="Z559">
        <f>IF(AND(Table6[[#This Row],[pipeline]]="fma",W559="new"),290,0)</f>
        <v>0</v>
      </c>
      <c r="AK559" s="34"/>
    </row>
    <row r="560" spans="1:37" ht="17" x14ac:dyDescent="0.2">
      <c r="A560" s="31">
        <f>IF(Table6[[#This Row],[instruction]]&lt;&gt;"",MAX($A$6:A559)+1," ")</f>
        <v>555</v>
      </c>
      <c r="B560" s="32" t="s">
        <v>485</v>
      </c>
      <c r="C560" t="s">
        <v>70</v>
      </c>
      <c r="D560" s="31" t="s">
        <v>609</v>
      </c>
      <c r="E560" s="31" t="s">
        <v>430</v>
      </c>
      <c r="F560" s="31" t="s">
        <v>436</v>
      </c>
      <c r="G560" s="31" t="s">
        <v>670</v>
      </c>
      <c r="K560" s="2" t="str">
        <f t="shared" si="8"/>
        <v>fma</v>
      </c>
      <c r="L560" cm="1">
        <f t="array" ref="L5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0" t="str">
        <f>IF(OR(ISNUMBER(SEARCH("imad", Table6[[#This Row],[instruction]])), ISNUMBER(SEARCH("ffma", Table6[[#This Row],[instruction]])), ISNUMBER(SEARCH("fmul", Table6[[#This Row],[instruction]]))), "fma", "")</f>
        <v>fma</v>
      </c>
      <c r="P5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0" t="str">
        <f>IF(OR(ISNUMBER(SEARCH("s2r", Table6[[#This Row],[instruction]])),ISNUMBER(SEARCH("s2ur", Table6[[#This Row],[instruction]]))), "special", "")</f>
        <v/>
      </c>
      <c r="S560" t="str">
        <f>IF(OR(ISNUMBER(SEARCH("stg", Table6[[#This Row],[instruction]])),ISNUMBER(SEARCH("ldg", Table6[[#This Row],[instruction]]))), "global", "")</f>
        <v/>
      </c>
      <c r="T560" t="str">
        <f>IF(OR(ISNUMBER(SEARCH("sts", Table6[[#This Row],[instruction]])),ISNUMBER(SEARCH("lds", Table6[[#This Row],[instruction]]))), "shared", "")</f>
        <v/>
      </c>
      <c r="U560" t="str">
        <f>IF(OR(ISNUMBER(SEARCH("LDC", Table6[[#This Row],[instruction]]))), "ind. const", "")</f>
        <v/>
      </c>
      <c r="V5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Row],[s5]]))),U560=""), "cmb. const", "")</f>
        <v/>
      </c>
      <c r="Y560">
        <f>IF(Table6[[#This Row],[pipeline]]="fma",Table6[[#This Row],[delay]],0)</f>
        <v>4</v>
      </c>
      <c r="Z560">
        <f>IF(AND(Table6[[#This Row],[pipeline]]="fma",W560="new"),290,0)</f>
        <v>0</v>
      </c>
      <c r="AK560" s="34"/>
    </row>
    <row r="561" spans="1:37" ht="17" x14ac:dyDescent="0.2">
      <c r="A561" s="31">
        <f>IF(Table6[[#This Row],[instruction]]&lt;&gt;"",MAX($A$6:A560)+1," ")</f>
        <v>556</v>
      </c>
      <c r="B561" s="32" t="s">
        <v>485</v>
      </c>
      <c r="C561" t="s">
        <v>70</v>
      </c>
      <c r="D561" s="31" t="s">
        <v>671</v>
      </c>
      <c r="E561" s="31" t="s">
        <v>430</v>
      </c>
      <c r="F561" s="31" t="s">
        <v>439</v>
      </c>
      <c r="G561" s="31" t="s">
        <v>672</v>
      </c>
      <c r="K561" s="2" t="str">
        <f t="shared" si="8"/>
        <v>fma</v>
      </c>
      <c r="L561" cm="1">
        <f t="array" ref="L5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1" t="str">
        <f>IF(OR(ISNUMBER(SEARCH("imad", Table6[[#This Row],[instruction]])), ISNUMBER(SEARCH("ffma", Table6[[#This Row],[instruction]])), ISNUMBER(SEARCH("fmul", Table6[[#This Row],[instruction]]))), "fma", "")</f>
        <v>fma</v>
      </c>
      <c r="P5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1" t="str">
        <f>IF(OR(ISNUMBER(SEARCH("s2r", Table6[[#This Row],[instruction]])),ISNUMBER(SEARCH("s2ur", Table6[[#This Row],[instruction]]))), "special", "")</f>
        <v/>
      </c>
      <c r="S561" t="str">
        <f>IF(OR(ISNUMBER(SEARCH("stg", Table6[[#This Row],[instruction]])),ISNUMBER(SEARCH("ldg", Table6[[#This Row],[instruction]]))), "global", "")</f>
        <v/>
      </c>
      <c r="T561" t="str">
        <f>IF(OR(ISNUMBER(SEARCH("sts", Table6[[#This Row],[instruction]])),ISNUMBER(SEARCH("lds", Table6[[#This Row],[instruction]]))), "shared", "")</f>
        <v/>
      </c>
      <c r="U561" t="str">
        <f>IF(OR(ISNUMBER(SEARCH("LDC", Table6[[#This Row],[instruction]]))), "ind. const", "")</f>
        <v/>
      </c>
      <c r="V5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Row],[s5]]))),U561=""), "cmb. const", "")</f>
        <v/>
      </c>
      <c r="Y561">
        <f>IF(Table6[[#This Row],[pipeline]]="fma",Table6[[#This Row],[delay]],0)</f>
        <v>4</v>
      </c>
      <c r="Z561">
        <f>IF(AND(Table6[[#This Row],[pipeline]]="fma",W561="new"),290,0)</f>
        <v>0</v>
      </c>
      <c r="AK561" s="34"/>
    </row>
    <row r="562" spans="1:37" ht="17" x14ac:dyDescent="0.2">
      <c r="A562" s="31">
        <f>IF(Table6[[#This Row],[instruction]]&lt;&gt;"",MAX($A$6:A561)+1," ")</f>
        <v>557</v>
      </c>
      <c r="B562" s="32" t="s">
        <v>485</v>
      </c>
      <c r="C562" t="s">
        <v>70</v>
      </c>
      <c r="D562" s="31" t="s">
        <v>4</v>
      </c>
      <c r="E562" s="31" t="s">
        <v>430</v>
      </c>
      <c r="F562" s="31" t="s">
        <v>447</v>
      </c>
      <c r="G562" s="31" t="s">
        <v>593</v>
      </c>
      <c r="K562" s="2" t="str">
        <f t="shared" si="8"/>
        <v>fma</v>
      </c>
      <c r="L562" cm="1">
        <f t="array" ref="L5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2" t="str">
        <f>IF(OR(ISNUMBER(SEARCH("imad", Table6[[#This Row],[instruction]])), ISNUMBER(SEARCH("ffma", Table6[[#This Row],[instruction]])), ISNUMBER(SEARCH("fmul", Table6[[#This Row],[instruction]]))), "fma", "")</f>
        <v>fma</v>
      </c>
      <c r="P5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2" t="str">
        <f>IF(OR(ISNUMBER(SEARCH("s2r", Table6[[#This Row],[instruction]])),ISNUMBER(SEARCH("s2ur", Table6[[#This Row],[instruction]]))), "special", "")</f>
        <v/>
      </c>
      <c r="S562" t="str">
        <f>IF(OR(ISNUMBER(SEARCH("stg", Table6[[#This Row],[instruction]])),ISNUMBER(SEARCH("ldg", Table6[[#This Row],[instruction]]))), "global", "")</f>
        <v/>
      </c>
      <c r="T562" t="str">
        <f>IF(OR(ISNUMBER(SEARCH("sts", Table6[[#This Row],[instruction]])),ISNUMBER(SEARCH("lds", Table6[[#This Row],[instruction]]))), "shared", "")</f>
        <v/>
      </c>
      <c r="U562" t="str">
        <f>IF(OR(ISNUMBER(SEARCH("LDC", Table6[[#This Row],[instruction]]))), "ind. const", "")</f>
        <v/>
      </c>
      <c r="V5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Row],[s5]]))),U562=""), "cmb. const", "")</f>
        <v/>
      </c>
      <c r="Y562">
        <f>IF(Table6[[#This Row],[pipeline]]="fma",Table6[[#This Row],[delay]],0)</f>
        <v>4</v>
      </c>
      <c r="Z562">
        <f>IF(AND(Table6[[#This Row],[pipeline]]="fma",W562="new"),290,0)</f>
        <v>0</v>
      </c>
      <c r="AK562" s="34"/>
    </row>
    <row r="563" spans="1:37" ht="17" x14ac:dyDescent="0.2">
      <c r="A563" s="31">
        <f>IF(Table6[[#This Row],[instruction]]&lt;&gt;"",MAX($A$6:A562)+1," ")</f>
        <v>558</v>
      </c>
      <c r="B563" s="32" t="s">
        <v>485</v>
      </c>
      <c r="C563" t="s">
        <v>70</v>
      </c>
      <c r="D563" s="31" t="s">
        <v>58</v>
      </c>
      <c r="E563" s="31" t="s">
        <v>71</v>
      </c>
      <c r="F563" s="31" t="s">
        <v>440</v>
      </c>
      <c r="G563" s="31" t="s">
        <v>503</v>
      </c>
      <c r="K563" s="2" t="str">
        <f t="shared" si="8"/>
        <v>fma</v>
      </c>
      <c r="L563" cm="1">
        <f t="array" ref="L5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3" t="str">
        <f>IF(OR(ISNUMBER(SEARCH("imad", Table6[[#This Row],[instruction]])), ISNUMBER(SEARCH("ffma", Table6[[#This Row],[instruction]])), ISNUMBER(SEARCH("fmul", Table6[[#This Row],[instruction]]))), "fma", "")</f>
        <v>fma</v>
      </c>
      <c r="P5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3" t="str">
        <f>IF(OR(ISNUMBER(SEARCH("s2r", Table6[[#This Row],[instruction]])),ISNUMBER(SEARCH("s2ur", Table6[[#This Row],[instruction]]))), "special", "")</f>
        <v/>
      </c>
      <c r="S563" t="str">
        <f>IF(OR(ISNUMBER(SEARCH("stg", Table6[[#This Row],[instruction]])),ISNUMBER(SEARCH("ldg", Table6[[#This Row],[instruction]]))), "global", "")</f>
        <v/>
      </c>
      <c r="T563" t="str">
        <f>IF(OR(ISNUMBER(SEARCH("sts", Table6[[#This Row],[instruction]])),ISNUMBER(SEARCH("lds", Table6[[#This Row],[instruction]]))), "shared", "")</f>
        <v/>
      </c>
      <c r="U563" t="str">
        <f>IF(OR(ISNUMBER(SEARCH("LDC", Table6[[#This Row],[instruction]]))), "ind. const", "")</f>
        <v/>
      </c>
      <c r="V5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Row],[s5]]))),U563=""), "cmb. const", "")</f>
        <v/>
      </c>
      <c r="Y563">
        <f>IF(Table6[[#This Row],[pipeline]]="fma",Table6[[#This Row],[delay]],0)</f>
        <v>4</v>
      </c>
      <c r="Z563">
        <f>IF(AND(Table6[[#This Row],[pipeline]]="fma",W563="new"),290,0)</f>
        <v>0</v>
      </c>
      <c r="AK563" s="34"/>
    </row>
    <row r="564" spans="1:37" ht="17" x14ac:dyDescent="0.2">
      <c r="A564" s="31">
        <f>IF(Table6[[#This Row],[instruction]]&lt;&gt;"",MAX($A$6:A563)+1," ")</f>
        <v>559</v>
      </c>
      <c r="B564" s="32" t="s">
        <v>485</v>
      </c>
      <c r="C564" t="s">
        <v>70</v>
      </c>
      <c r="D564" s="31" t="s">
        <v>597</v>
      </c>
      <c r="E564" s="31" t="s">
        <v>71</v>
      </c>
      <c r="F564" s="31" t="s">
        <v>436</v>
      </c>
      <c r="G564" s="31" t="s">
        <v>686</v>
      </c>
      <c r="K564" s="2" t="str">
        <f t="shared" si="8"/>
        <v>fma</v>
      </c>
      <c r="L564" cm="1">
        <f t="array" ref="L5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4" t="str">
        <f>IF(OR(ISNUMBER(SEARCH("imad", Table6[[#This Row],[instruction]])), ISNUMBER(SEARCH("ffma", Table6[[#This Row],[instruction]])), ISNUMBER(SEARCH("fmul", Table6[[#This Row],[instruction]]))), "fma", "")</f>
        <v>fma</v>
      </c>
      <c r="P5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4" t="str">
        <f>IF(OR(ISNUMBER(SEARCH("s2r", Table6[[#This Row],[instruction]])),ISNUMBER(SEARCH("s2ur", Table6[[#This Row],[instruction]]))), "special", "")</f>
        <v/>
      </c>
      <c r="S564" t="str">
        <f>IF(OR(ISNUMBER(SEARCH("stg", Table6[[#This Row],[instruction]])),ISNUMBER(SEARCH("ldg", Table6[[#This Row],[instruction]]))), "global", "")</f>
        <v/>
      </c>
      <c r="T564" t="str">
        <f>IF(OR(ISNUMBER(SEARCH("sts", Table6[[#This Row],[instruction]])),ISNUMBER(SEARCH("lds", Table6[[#This Row],[instruction]]))), "shared", "")</f>
        <v/>
      </c>
      <c r="U564" t="str">
        <f>IF(OR(ISNUMBER(SEARCH("LDC", Table6[[#This Row],[instruction]]))), "ind. const", "")</f>
        <v/>
      </c>
      <c r="V5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Row],[s5]]))),U564=""), "cmb. const", "")</f>
        <v/>
      </c>
      <c r="Y564">
        <f>IF(Table6[[#This Row],[pipeline]]="fma",Table6[[#This Row],[delay]],0)</f>
        <v>4</v>
      </c>
      <c r="Z564">
        <f>IF(AND(Table6[[#This Row],[pipeline]]="fma",W564="new"),290,0)</f>
        <v>0</v>
      </c>
      <c r="AK564" s="34"/>
    </row>
    <row r="565" spans="1:37" ht="17" x14ac:dyDescent="0.2">
      <c r="A565" s="31">
        <f>IF(Table6[[#This Row],[instruction]]&lt;&gt;"",MAX($A$6:A564)+1," ")</f>
        <v>560</v>
      </c>
      <c r="B565" s="32" t="s">
        <v>485</v>
      </c>
      <c r="C565" t="s">
        <v>70</v>
      </c>
      <c r="D565" s="31" t="s">
        <v>61</v>
      </c>
      <c r="E565" s="31" t="s">
        <v>71</v>
      </c>
      <c r="F565" s="31" t="s">
        <v>439</v>
      </c>
      <c r="G565" s="31" t="s">
        <v>520</v>
      </c>
      <c r="K565" s="2" t="str">
        <f t="shared" si="8"/>
        <v>fma</v>
      </c>
      <c r="L565" cm="1">
        <f t="array" ref="L5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5" t="str">
        <f>IF(OR(ISNUMBER(SEARCH("imad", Table6[[#This Row],[instruction]])), ISNUMBER(SEARCH("ffma", Table6[[#This Row],[instruction]])), ISNUMBER(SEARCH("fmul", Table6[[#This Row],[instruction]]))), "fma", "")</f>
        <v>fma</v>
      </c>
      <c r="P5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5" t="str">
        <f>IF(OR(ISNUMBER(SEARCH("s2r", Table6[[#This Row],[instruction]])),ISNUMBER(SEARCH("s2ur", Table6[[#This Row],[instruction]]))), "special", "")</f>
        <v/>
      </c>
      <c r="S565" t="str">
        <f>IF(OR(ISNUMBER(SEARCH("stg", Table6[[#This Row],[instruction]])),ISNUMBER(SEARCH("ldg", Table6[[#This Row],[instruction]]))), "global", "")</f>
        <v/>
      </c>
      <c r="T565" t="str">
        <f>IF(OR(ISNUMBER(SEARCH("sts", Table6[[#This Row],[instruction]])),ISNUMBER(SEARCH("lds", Table6[[#This Row],[instruction]]))), "shared", "")</f>
        <v/>
      </c>
      <c r="U565" t="str">
        <f>IF(OR(ISNUMBER(SEARCH("LDC", Table6[[#This Row],[instruction]]))), "ind. const", "")</f>
        <v/>
      </c>
      <c r="V5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Row],[s5]]))),U565=""), "cmb. const", "")</f>
        <v/>
      </c>
      <c r="Y565">
        <f>IF(Table6[[#This Row],[pipeline]]="fma",Table6[[#This Row],[delay]],0)</f>
        <v>4</v>
      </c>
      <c r="Z565">
        <f>IF(AND(Table6[[#This Row],[pipeline]]="fma",W565="new"),290,0)</f>
        <v>0</v>
      </c>
      <c r="AK565" s="34"/>
    </row>
    <row r="566" spans="1:37" ht="17" x14ac:dyDescent="0.2">
      <c r="A566" s="31">
        <f>IF(Table6[[#This Row],[instruction]]&lt;&gt;"",MAX($A$6:A565)+1," ")</f>
        <v>561</v>
      </c>
      <c r="B566" s="32" t="s">
        <v>485</v>
      </c>
      <c r="C566" t="s">
        <v>70</v>
      </c>
      <c r="D566" s="31" t="s">
        <v>598</v>
      </c>
      <c r="E566" s="31" t="s">
        <v>71</v>
      </c>
      <c r="F566" s="31" t="s">
        <v>447</v>
      </c>
      <c r="G566" s="31" t="s">
        <v>688</v>
      </c>
      <c r="K566" s="2" t="str">
        <f t="shared" si="8"/>
        <v>fma</v>
      </c>
      <c r="L566" cm="1">
        <f t="array" ref="L5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6" t="str">
        <f>IF(OR(ISNUMBER(SEARCH("imad", Table6[[#This Row],[instruction]])), ISNUMBER(SEARCH("ffma", Table6[[#This Row],[instruction]])), ISNUMBER(SEARCH("fmul", Table6[[#This Row],[instruction]]))), "fma", "")</f>
        <v>fma</v>
      </c>
      <c r="P5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6" t="str">
        <f>IF(OR(ISNUMBER(SEARCH("s2r", Table6[[#This Row],[instruction]])),ISNUMBER(SEARCH("s2ur", Table6[[#This Row],[instruction]]))), "special", "")</f>
        <v/>
      </c>
      <c r="S566" t="str">
        <f>IF(OR(ISNUMBER(SEARCH("stg", Table6[[#This Row],[instruction]])),ISNUMBER(SEARCH("ldg", Table6[[#This Row],[instruction]]))), "global", "")</f>
        <v/>
      </c>
      <c r="T566" t="str">
        <f>IF(OR(ISNUMBER(SEARCH("sts", Table6[[#This Row],[instruction]])),ISNUMBER(SEARCH("lds", Table6[[#This Row],[instruction]]))), "shared", "")</f>
        <v/>
      </c>
      <c r="U566" t="str">
        <f>IF(OR(ISNUMBER(SEARCH("LDC", Table6[[#This Row],[instruction]]))), "ind. const", "")</f>
        <v/>
      </c>
      <c r="V5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Row],[s5]]))),U566=""), "cmb. const", "")</f>
        <v/>
      </c>
      <c r="Y566">
        <f>IF(Table6[[#This Row],[pipeline]]="fma",Table6[[#This Row],[delay]],0)</f>
        <v>4</v>
      </c>
      <c r="Z566">
        <f>IF(AND(Table6[[#This Row],[pipeline]]="fma",W566="new"),290,0)</f>
        <v>0</v>
      </c>
      <c r="AK566" s="34"/>
    </row>
    <row r="567" spans="1:37" ht="17" x14ac:dyDescent="0.2">
      <c r="A567" s="31">
        <f>IF(Table6[[#This Row],[instruction]]&lt;&gt;"",MAX($A$6:A566)+1," ")</f>
        <v>562</v>
      </c>
      <c r="B567" s="32" t="s">
        <v>485</v>
      </c>
      <c r="C567" t="s">
        <v>70</v>
      </c>
      <c r="D567" s="31" t="s">
        <v>577</v>
      </c>
      <c r="E567" s="31" t="s">
        <v>654</v>
      </c>
      <c r="F567" s="31" t="s">
        <v>652</v>
      </c>
      <c r="G567" s="31" t="s">
        <v>586</v>
      </c>
      <c r="K567" s="2" t="str">
        <f t="shared" si="8"/>
        <v>fma</v>
      </c>
      <c r="L567" cm="1">
        <f t="array" ref="L5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7" t="str">
        <f>IF(OR(ISNUMBER(SEARCH("imad", Table6[[#This Row],[instruction]])), ISNUMBER(SEARCH("ffma", Table6[[#This Row],[instruction]])), ISNUMBER(SEARCH("fmul", Table6[[#This Row],[instruction]]))), "fma", "")</f>
        <v>fma</v>
      </c>
      <c r="P5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7" t="str">
        <f>IF(OR(ISNUMBER(SEARCH("s2r", Table6[[#This Row],[instruction]])),ISNUMBER(SEARCH("s2ur", Table6[[#This Row],[instruction]]))), "special", "")</f>
        <v/>
      </c>
      <c r="S567" t="str">
        <f>IF(OR(ISNUMBER(SEARCH("stg", Table6[[#This Row],[instruction]])),ISNUMBER(SEARCH("ldg", Table6[[#This Row],[instruction]]))), "global", "")</f>
        <v/>
      </c>
      <c r="T567" t="str">
        <f>IF(OR(ISNUMBER(SEARCH("sts", Table6[[#This Row],[instruction]])),ISNUMBER(SEARCH("lds", Table6[[#This Row],[instruction]]))), "shared", "")</f>
        <v/>
      </c>
      <c r="U567" t="str">
        <f>IF(OR(ISNUMBER(SEARCH("LDC", Table6[[#This Row],[instruction]]))), "ind. const", "")</f>
        <v/>
      </c>
      <c r="V5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Row],[s5]]))),U567=""), "cmb. const", "")</f>
        <v/>
      </c>
      <c r="Y567">
        <f>IF(Table6[[#This Row],[pipeline]]="fma",Table6[[#This Row],[delay]],0)</f>
        <v>4</v>
      </c>
      <c r="Z567">
        <f>IF(AND(Table6[[#This Row],[pipeline]]="fma",W567="new"),290,0)</f>
        <v>0</v>
      </c>
      <c r="AK567" s="34"/>
    </row>
    <row r="568" spans="1:37" ht="17" x14ac:dyDescent="0.2">
      <c r="A568" s="31">
        <f>IF(Table6[[#This Row],[instruction]]&lt;&gt;"",MAX($A$6:A567)+1," ")</f>
        <v>563</v>
      </c>
      <c r="B568" s="32" t="s">
        <v>485</v>
      </c>
      <c r="C568" t="s">
        <v>70</v>
      </c>
      <c r="D568" s="31" t="s">
        <v>80</v>
      </c>
      <c r="E568" s="31" t="s">
        <v>654</v>
      </c>
      <c r="F568" s="31" t="s">
        <v>633</v>
      </c>
      <c r="G568" s="31" t="s">
        <v>666</v>
      </c>
      <c r="K568" s="2" t="str">
        <f t="shared" si="8"/>
        <v>fma</v>
      </c>
      <c r="L568" cm="1">
        <f t="array" ref="L5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8" t="str">
        <f>IF(OR(ISNUMBER(SEARCH("imad", Table6[[#This Row],[instruction]])), ISNUMBER(SEARCH("ffma", Table6[[#This Row],[instruction]])), ISNUMBER(SEARCH("fmul", Table6[[#This Row],[instruction]]))), "fma", "")</f>
        <v>fma</v>
      </c>
      <c r="P5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8" t="str">
        <f>IF(OR(ISNUMBER(SEARCH("s2r", Table6[[#This Row],[instruction]])),ISNUMBER(SEARCH("s2ur", Table6[[#This Row],[instruction]]))), "special", "")</f>
        <v/>
      </c>
      <c r="S568" t="str">
        <f>IF(OR(ISNUMBER(SEARCH("stg", Table6[[#This Row],[instruction]])),ISNUMBER(SEARCH("ldg", Table6[[#This Row],[instruction]]))), "global", "")</f>
        <v/>
      </c>
      <c r="T568" t="str">
        <f>IF(OR(ISNUMBER(SEARCH("sts", Table6[[#This Row],[instruction]])),ISNUMBER(SEARCH("lds", Table6[[#This Row],[instruction]]))), "shared", "")</f>
        <v/>
      </c>
      <c r="U568" t="str">
        <f>IF(OR(ISNUMBER(SEARCH("LDC", Table6[[#This Row],[instruction]]))), "ind. const", "")</f>
        <v/>
      </c>
      <c r="V5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Row],[s5]]))),U568=""), "cmb. const", "")</f>
        <v/>
      </c>
      <c r="Y568">
        <f>IF(Table6[[#This Row],[pipeline]]="fma",Table6[[#This Row],[delay]],0)</f>
        <v>4</v>
      </c>
      <c r="Z568">
        <f>IF(AND(Table6[[#This Row],[pipeline]]="fma",W568="new"),290,0)</f>
        <v>0</v>
      </c>
      <c r="AK568" s="34"/>
    </row>
    <row r="569" spans="1:37" ht="17" x14ac:dyDescent="0.2">
      <c r="A569" s="31">
        <f>IF(Table6[[#This Row],[instruction]]&lt;&gt;"",MAX($A$6:A568)+1," ")</f>
        <v>564</v>
      </c>
      <c r="B569" s="32" t="s">
        <v>485</v>
      </c>
      <c r="C569" t="s">
        <v>70</v>
      </c>
      <c r="D569" s="31" t="s">
        <v>588</v>
      </c>
      <c r="E569" s="31" t="s">
        <v>654</v>
      </c>
      <c r="F569" s="31" t="s">
        <v>682</v>
      </c>
      <c r="G569" s="31" t="s">
        <v>667</v>
      </c>
      <c r="K569" s="2" t="str">
        <f t="shared" si="8"/>
        <v>fma</v>
      </c>
      <c r="L569" cm="1">
        <f t="array" ref="L5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69" t="str">
        <f>IF(OR(ISNUMBER(SEARCH("imad", Table6[[#This Row],[instruction]])), ISNUMBER(SEARCH("ffma", Table6[[#This Row],[instruction]])), ISNUMBER(SEARCH("fmul", Table6[[#This Row],[instruction]]))), "fma", "")</f>
        <v>fma</v>
      </c>
      <c r="P5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69" t="str">
        <f>IF(OR(ISNUMBER(SEARCH("s2r", Table6[[#This Row],[instruction]])),ISNUMBER(SEARCH("s2ur", Table6[[#This Row],[instruction]]))), "special", "")</f>
        <v/>
      </c>
      <c r="S569" t="str">
        <f>IF(OR(ISNUMBER(SEARCH("stg", Table6[[#This Row],[instruction]])),ISNUMBER(SEARCH("ldg", Table6[[#This Row],[instruction]]))), "global", "")</f>
        <v/>
      </c>
      <c r="T569" t="str">
        <f>IF(OR(ISNUMBER(SEARCH("sts", Table6[[#This Row],[instruction]])),ISNUMBER(SEARCH("lds", Table6[[#This Row],[instruction]]))), "shared", "")</f>
        <v/>
      </c>
      <c r="U569" t="str">
        <f>IF(OR(ISNUMBER(SEARCH("LDC", Table6[[#This Row],[instruction]]))), "ind. const", "")</f>
        <v/>
      </c>
      <c r="V5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Row],[s5]]))),U569=""), "cmb. const", "")</f>
        <v/>
      </c>
      <c r="Y569">
        <f>IF(Table6[[#This Row],[pipeline]]="fma",Table6[[#This Row],[delay]],0)</f>
        <v>4</v>
      </c>
      <c r="Z569">
        <f>IF(AND(Table6[[#This Row],[pipeline]]="fma",W569="new"),290,0)</f>
        <v>0</v>
      </c>
      <c r="AK569" s="34"/>
    </row>
    <row r="570" spans="1:37" ht="17" x14ac:dyDescent="0.2">
      <c r="A570" s="31">
        <f>IF(Table6[[#This Row],[instruction]]&lt;&gt;"",MAX($A$6:A569)+1," ")</f>
        <v>565</v>
      </c>
      <c r="B570" s="32" t="s">
        <v>485</v>
      </c>
      <c r="C570" t="s">
        <v>70</v>
      </c>
      <c r="D570" s="31" t="s">
        <v>19</v>
      </c>
      <c r="E570" s="31" t="s">
        <v>654</v>
      </c>
      <c r="F570" s="31" t="s">
        <v>640</v>
      </c>
      <c r="G570" s="31" t="s">
        <v>508</v>
      </c>
      <c r="K570" s="2" t="str">
        <f t="shared" si="8"/>
        <v>fma</v>
      </c>
      <c r="L570" cm="1">
        <f t="array" ref="L5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0" t="str">
        <f>IF(OR(ISNUMBER(SEARCH("imad", Table6[[#This Row],[instruction]])), ISNUMBER(SEARCH("ffma", Table6[[#This Row],[instruction]])), ISNUMBER(SEARCH("fmul", Table6[[#This Row],[instruction]]))), "fma", "")</f>
        <v>fma</v>
      </c>
      <c r="P5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0" t="str">
        <f>IF(OR(ISNUMBER(SEARCH("s2r", Table6[[#This Row],[instruction]])),ISNUMBER(SEARCH("s2ur", Table6[[#This Row],[instruction]]))), "special", "")</f>
        <v/>
      </c>
      <c r="S570" t="str">
        <f>IF(OR(ISNUMBER(SEARCH("stg", Table6[[#This Row],[instruction]])),ISNUMBER(SEARCH("ldg", Table6[[#This Row],[instruction]]))), "global", "")</f>
        <v/>
      </c>
      <c r="T570" t="str">
        <f>IF(OR(ISNUMBER(SEARCH("sts", Table6[[#This Row],[instruction]])),ISNUMBER(SEARCH("lds", Table6[[#This Row],[instruction]]))), "shared", "")</f>
        <v/>
      </c>
      <c r="U570" t="str">
        <f>IF(OR(ISNUMBER(SEARCH("LDC", Table6[[#This Row],[instruction]]))), "ind. const", "")</f>
        <v/>
      </c>
      <c r="V5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Row],[s5]]))),U570=""), "cmb. const", "")</f>
        <v/>
      </c>
      <c r="Y570">
        <f>IF(Table6[[#This Row],[pipeline]]="fma",Table6[[#This Row],[delay]],0)</f>
        <v>4</v>
      </c>
      <c r="Z570">
        <f>IF(AND(Table6[[#This Row],[pipeline]]="fma",W570="new"),290,0)</f>
        <v>0</v>
      </c>
      <c r="AK570" s="34"/>
    </row>
    <row r="571" spans="1:37" ht="17" x14ac:dyDescent="0.2">
      <c r="A571" s="31">
        <f>IF(Table6[[#This Row],[instruction]]&lt;&gt;"",MAX($A$6:A570)+1," ")</f>
        <v>566</v>
      </c>
      <c r="B571" s="32" t="s">
        <v>485</v>
      </c>
      <c r="C571" t="s">
        <v>70</v>
      </c>
      <c r="D571" s="31" t="s">
        <v>600</v>
      </c>
      <c r="E571" s="31" t="s">
        <v>567</v>
      </c>
      <c r="F571" s="31" t="s">
        <v>652</v>
      </c>
      <c r="G571" s="31" t="s">
        <v>668</v>
      </c>
      <c r="K571" s="2" t="str">
        <f t="shared" si="8"/>
        <v>fma</v>
      </c>
      <c r="L571" cm="1">
        <f t="array" ref="L5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1" t="str">
        <f>IF(OR(ISNUMBER(SEARCH("imad", Table6[[#This Row],[instruction]])), ISNUMBER(SEARCH("ffma", Table6[[#This Row],[instruction]])), ISNUMBER(SEARCH("fmul", Table6[[#This Row],[instruction]]))), "fma", "")</f>
        <v>fma</v>
      </c>
      <c r="P5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1" t="str">
        <f>IF(OR(ISNUMBER(SEARCH("s2r", Table6[[#This Row],[instruction]])),ISNUMBER(SEARCH("s2ur", Table6[[#This Row],[instruction]]))), "special", "")</f>
        <v/>
      </c>
      <c r="S571" t="str">
        <f>IF(OR(ISNUMBER(SEARCH("stg", Table6[[#This Row],[instruction]])),ISNUMBER(SEARCH("ldg", Table6[[#This Row],[instruction]]))), "global", "")</f>
        <v/>
      </c>
      <c r="T571" t="str">
        <f>IF(OR(ISNUMBER(SEARCH("sts", Table6[[#This Row],[instruction]])),ISNUMBER(SEARCH("lds", Table6[[#This Row],[instruction]]))), "shared", "")</f>
        <v/>
      </c>
      <c r="U571" t="str">
        <f>IF(OR(ISNUMBER(SEARCH("LDC", Table6[[#This Row],[instruction]]))), "ind. const", "")</f>
        <v/>
      </c>
      <c r="V5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Row],[s5]]))),U571=""), "cmb. const", "")</f>
        <v/>
      </c>
      <c r="Y571">
        <f>IF(Table6[[#This Row],[pipeline]]="fma",Table6[[#This Row],[delay]],0)</f>
        <v>4</v>
      </c>
      <c r="Z571">
        <f>IF(AND(Table6[[#This Row],[pipeline]]="fma",W571="new"),290,0)</f>
        <v>0</v>
      </c>
      <c r="AK571" s="34"/>
    </row>
    <row r="572" spans="1:37" ht="17" x14ac:dyDescent="0.2">
      <c r="A572" s="31">
        <f>IF(Table6[[#This Row],[instruction]]&lt;&gt;"",MAX($A$6:A571)+1," ")</f>
        <v>567</v>
      </c>
      <c r="B572" s="32" t="s">
        <v>485</v>
      </c>
      <c r="C572" t="s">
        <v>70</v>
      </c>
      <c r="D572" s="31" t="s">
        <v>608</v>
      </c>
      <c r="E572" s="31" t="s">
        <v>567</v>
      </c>
      <c r="F572" s="31" t="s">
        <v>633</v>
      </c>
      <c r="G572" s="31" t="s">
        <v>683</v>
      </c>
      <c r="K572" s="2" t="str">
        <f t="shared" si="8"/>
        <v>fma</v>
      </c>
      <c r="L572" cm="1">
        <f t="array" ref="L5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2" t="str">
        <f>IF(OR(ISNUMBER(SEARCH("imad", Table6[[#This Row],[instruction]])), ISNUMBER(SEARCH("ffma", Table6[[#This Row],[instruction]])), ISNUMBER(SEARCH("fmul", Table6[[#This Row],[instruction]]))), "fma", "")</f>
        <v>fma</v>
      </c>
      <c r="P5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2" t="str">
        <f>IF(OR(ISNUMBER(SEARCH("s2r", Table6[[#This Row],[instruction]])),ISNUMBER(SEARCH("s2ur", Table6[[#This Row],[instruction]]))), "special", "")</f>
        <v/>
      </c>
      <c r="S572" t="str">
        <f>IF(OR(ISNUMBER(SEARCH("stg", Table6[[#This Row],[instruction]])),ISNUMBER(SEARCH("ldg", Table6[[#This Row],[instruction]]))), "global", "")</f>
        <v/>
      </c>
      <c r="T572" t="str">
        <f>IF(OR(ISNUMBER(SEARCH("sts", Table6[[#This Row],[instruction]])),ISNUMBER(SEARCH("lds", Table6[[#This Row],[instruction]]))), "shared", "")</f>
        <v/>
      </c>
      <c r="U572" t="str">
        <f>IF(OR(ISNUMBER(SEARCH("LDC", Table6[[#This Row],[instruction]]))), "ind. const", "")</f>
        <v/>
      </c>
      <c r="V5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Row],[s5]]))),U572=""), "cmb. const", "")</f>
        <v/>
      </c>
      <c r="Y572">
        <f>IF(Table6[[#This Row],[pipeline]]="fma",Table6[[#This Row],[delay]],0)</f>
        <v>4</v>
      </c>
      <c r="Z572">
        <f>IF(AND(Table6[[#This Row],[pipeline]]="fma",W572="new"),290,0)</f>
        <v>0</v>
      </c>
      <c r="AK572" s="34"/>
    </row>
    <row r="573" spans="1:37" ht="17" x14ac:dyDescent="0.2">
      <c r="A573" s="31">
        <f>IF(Table6[[#This Row],[instruction]]&lt;&gt;"",MAX($A$6:A572)+1," ")</f>
        <v>568</v>
      </c>
      <c r="B573" s="32" t="s">
        <v>485</v>
      </c>
      <c r="C573" t="s">
        <v>70</v>
      </c>
      <c r="D573" s="31" t="s">
        <v>613</v>
      </c>
      <c r="E573" s="31" t="s">
        <v>567</v>
      </c>
      <c r="F573" s="31" t="s">
        <v>682</v>
      </c>
      <c r="G573" s="31" t="s">
        <v>684</v>
      </c>
      <c r="K573" s="2" t="str">
        <f t="shared" si="8"/>
        <v>fma</v>
      </c>
      <c r="L573" cm="1">
        <f t="array" ref="L5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3" t="str">
        <f>IF(OR(ISNUMBER(SEARCH("imad", Table6[[#This Row],[instruction]])), ISNUMBER(SEARCH("ffma", Table6[[#This Row],[instruction]])), ISNUMBER(SEARCH("fmul", Table6[[#This Row],[instruction]]))), "fma", "")</f>
        <v>fma</v>
      </c>
      <c r="P5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3" t="str">
        <f>IF(OR(ISNUMBER(SEARCH("s2r", Table6[[#This Row],[instruction]])),ISNUMBER(SEARCH("s2ur", Table6[[#This Row],[instruction]]))), "special", "")</f>
        <v/>
      </c>
      <c r="S573" t="str">
        <f>IF(OR(ISNUMBER(SEARCH("stg", Table6[[#This Row],[instruction]])),ISNUMBER(SEARCH("ldg", Table6[[#This Row],[instruction]]))), "global", "")</f>
        <v/>
      </c>
      <c r="T573" t="str">
        <f>IF(OR(ISNUMBER(SEARCH("sts", Table6[[#This Row],[instruction]])),ISNUMBER(SEARCH("lds", Table6[[#This Row],[instruction]]))), "shared", "")</f>
        <v/>
      </c>
      <c r="U573" t="str">
        <f>IF(OR(ISNUMBER(SEARCH("LDC", Table6[[#This Row],[instruction]]))), "ind. const", "")</f>
        <v/>
      </c>
      <c r="V5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Row],[s5]]))),U573=""), "cmb. const", "")</f>
        <v/>
      </c>
      <c r="Y573">
        <f>IF(Table6[[#This Row],[pipeline]]="fma",Table6[[#This Row],[delay]],0)</f>
        <v>4</v>
      </c>
      <c r="Z573">
        <f>IF(AND(Table6[[#This Row],[pipeline]]="fma",W573="new"),290,0)</f>
        <v>0</v>
      </c>
      <c r="AK573" s="34"/>
    </row>
    <row r="574" spans="1:37" ht="17" x14ac:dyDescent="0.2">
      <c r="A574" s="31">
        <f>IF(Table6[[#This Row],[instruction]]&lt;&gt;"",MAX($A$6:A573)+1," ")</f>
        <v>569</v>
      </c>
      <c r="B574" s="32" t="s">
        <v>485</v>
      </c>
      <c r="C574" t="s">
        <v>70</v>
      </c>
      <c r="D574" s="31" t="s">
        <v>605</v>
      </c>
      <c r="E574" s="31" t="s">
        <v>567</v>
      </c>
      <c r="F574" s="31" t="s">
        <v>640</v>
      </c>
      <c r="G574" s="31" t="s">
        <v>685</v>
      </c>
      <c r="K574" s="2" t="str">
        <f t="shared" si="8"/>
        <v>fma</v>
      </c>
      <c r="L574" cm="1">
        <f t="array" ref="L5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4" t="str">
        <f>IF(OR(ISNUMBER(SEARCH("imad", Table6[[#This Row],[instruction]])), ISNUMBER(SEARCH("ffma", Table6[[#This Row],[instruction]])), ISNUMBER(SEARCH("fmul", Table6[[#This Row],[instruction]]))), "fma", "")</f>
        <v>fma</v>
      </c>
      <c r="P5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4" t="str">
        <f>IF(OR(ISNUMBER(SEARCH("s2r", Table6[[#This Row],[instruction]])),ISNUMBER(SEARCH("s2ur", Table6[[#This Row],[instruction]]))), "special", "")</f>
        <v/>
      </c>
      <c r="S574" t="str">
        <f>IF(OR(ISNUMBER(SEARCH("stg", Table6[[#This Row],[instruction]])),ISNUMBER(SEARCH("ldg", Table6[[#This Row],[instruction]]))), "global", "")</f>
        <v/>
      </c>
      <c r="T574" t="str">
        <f>IF(OR(ISNUMBER(SEARCH("sts", Table6[[#This Row],[instruction]])),ISNUMBER(SEARCH("lds", Table6[[#This Row],[instruction]]))), "shared", "")</f>
        <v/>
      </c>
      <c r="U574" t="str">
        <f>IF(OR(ISNUMBER(SEARCH("LDC", Table6[[#This Row],[instruction]]))), "ind. const", "")</f>
        <v/>
      </c>
      <c r="V5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Row],[s5]]))),U574=""), "cmb. const", "")</f>
        <v/>
      </c>
      <c r="Y574">
        <f>IF(Table6[[#This Row],[pipeline]]="fma",Table6[[#This Row],[delay]],0)</f>
        <v>4</v>
      </c>
      <c r="Z574">
        <f>IF(AND(Table6[[#This Row],[pipeline]]="fma",W574="new"),290,0)</f>
        <v>0</v>
      </c>
      <c r="AK574" s="34"/>
    </row>
    <row r="575" spans="1:37" ht="17" x14ac:dyDescent="0.2">
      <c r="A575" s="31">
        <f>IF(Table6[[#This Row],[instruction]]&lt;&gt;"",MAX($A$6:A574)+1," ")</f>
        <v>570</v>
      </c>
      <c r="B575" s="32" t="s">
        <v>485</v>
      </c>
      <c r="C575" t="s">
        <v>70</v>
      </c>
      <c r="D575" s="31" t="s">
        <v>612</v>
      </c>
      <c r="E575" s="31" t="s">
        <v>651</v>
      </c>
      <c r="F575" s="31" t="s">
        <v>652</v>
      </c>
      <c r="G575" s="31" t="s">
        <v>669</v>
      </c>
      <c r="K575" s="2" t="str">
        <f t="shared" si="8"/>
        <v>fma</v>
      </c>
      <c r="L575" cm="1">
        <f t="array" ref="L5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5" t="str">
        <f>IF(OR(ISNUMBER(SEARCH("imad", Table6[[#This Row],[instruction]])), ISNUMBER(SEARCH("ffma", Table6[[#This Row],[instruction]])), ISNUMBER(SEARCH("fmul", Table6[[#This Row],[instruction]]))), "fma", "")</f>
        <v>fma</v>
      </c>
      <c r="P5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5" t="str">
        <f>IF(OR(ISNUMBER(SEARCH("s2r", Table6[[#This Row],[instruction]])),ISNUMBER(SEARCH("s2ur", Table6[[#This Row],[instruction]]))), "special", "")</f>
        <v/>
      </c>
      <c r="S575" t="str">
        <f>IF(OR(ISNUMBER(SEARCH("stg", Table6[[#This Row],[instruction]])),ISNUMBER(SEARCH("ldg", Table6[[#This Row],[instruction]]))), "global", "")</f>
        <v/>
      </c>
      <c r="T575" t="str">
        <f>IF(OR(ISNUMBER(SEARCH("sts", Table6[[#This Row],[instruction]])),ISNUMBER(SEARCH("lds", Table6[[#This Row],[instruction]]))), "shared", "")</f>
        <v/>
      </c>
      <c r="U575" t="str">
        <f>IF(OR(ISNUMBER(SEARCH("LDC", Table6[[#This Row],[instruction]]))), "ind. const", "")</f>
        <v/>
      </c>
      <c r="V5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Row],[s5]]))),U575=""), "cmb. const", "")</f>
        <v/>
      </c>
      <c r="Y575">
        <f>IF(Table6[[#This Row],[pipeline]]="fma",Table6[[#This Row],[delay]],0)</f>
        <v>4</v>
      </c>
      <c r="Z575">
        <f>IF(AND(Table6[[#This Row],[pipeline]]="fma",W575="new"),290,0)</f>
        <v>0</v>
      </c>
      <c r="AK575" s="34"/>
    </row>
    <row r="576" spans="1:37" ht="17" x14ac:dyDescent="0.2">
      <c r="A576" s="31">
        <f>IF(Table6[[#This Row],[instruction]]&lt;&gt;"",MAX($A$6:A575)+1," ")</f>
        <v>571</v>
      </c>
      <c r="B576" s="32" t="s">
        <v>485</v>
      </c>
      <c r="C576" t="s">
        <v>70</v>
      </c>
      <c r="D576" s="31" t="s">
        <v>609</v>
      </c>
      <c r="E576" s="31" t="s">
        <v>651</v>
      </c>
      <c r="F576" s="31" t="s">
        <v>633</v>
      </c>
      <c r="G576" s="31" t="s">
        <v>670</v>
      </c>
      <c r="K576" s="2" t="str">
        <f t="shared" si="8"/>
        <v>fma</v>
      </c>
      <c r="L576" cm="1">
        <f t="array" ref="L5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6" t="str">
        <f>IF(OR(ISNUMBER(SEARCH("imad", Table6[[#This Row],[instruction]])), ISNUMBER(SEARCH("ffma", Table6[[#This Row],[instruction]])), ISNUMBER(SEARCH("fmul", Table6[[#This Row],[instruction]]))), "fma", "")</f>
        <v>fma</v>
      </c>
      <c r="P5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6" t="str">
        <f>IF(OR(ISNUMBER(SEARCH("s2r", Table6[[#This Row],[instruction]])),ISNUMBER(SEARCH("s2ur", Table6[[#This Row],[instruction]]))), "special", "")</f>
        <v/>
      </c>
      <c r="S576" t="str">
        <f>IF(OR(ISNUMBER(SEARCH("stg", Table6[[#This Row],[instruction]])),ISNUMBER(SEARCH("ldg", Table6[[#This Row],[instruction]]))), "global", "")</f>
        <v/>
      </c>
      <c r="T576" t="str">
        <f>IF(OR(ISNUMBER(SEARCH("sts", Table6[[#This Row],[instruction]])),ISNUMBER(SEARCH("lds", Table6[[#This Row],[instruction]]))), "shared", "")</f>
        <v/>
      </c>
      <c r="U576" t="str">
        <f>IF(OR(ISNUMBER(SEARCH("LDC", Table6[[#This Row],[instruction]]))), "ind. const", "")</f>
        <v/>
      </c>
      <c r="V5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Row],[s5]]))),U576=""), "cmb. const", "")</f>
        <v/>
      </c>
      <c r="Y576">
        <f>IF(Table6[[#This Row],[pipeline]]="fma",Table6[[#This Row],[delay]],0)</f>
        <v>4</v>
      </c>
      <c r="Z576">
        <f>IF(AND(Table6[[#This Row],[pipeline]]="fma",W576="new"),290,0)</f>
        <v>0</v>
      </c>
      <c r="AK576" s="34"/>
    </row>
    <row r="577" spans="1:37" ht="17" x14ac:dyDescent="0.2">
      <c r="A577" s="31">
        <f>IF(Table6[[#This Row],[instruction]]&lt;&gt;"",MAX($A$6:A576)+1," ")</f>
        <v>572</v>
      </c>
      <c r="B577" s="32" t="s">
        <v>485</v>
      </c>
      <c r="C577" t="s">
        <v>70</v>
      </c>
      <c r="D577" s="31" t="s">
        <v>671</v>
      </c>
      <c r="E577" s="31" t="s">
        <v>651</v>
      </c>
      <c r="F577" s="31" t="s">
        <v>682</v>
      </c>
      <c r="G577" s="31" t="s">
        <v>672</v>
      </c>
      <c r="K577" s="2" t="str">
        <f t="shared" si="8"/>
        <v>fma</v>
      </c>
      <c r="L577" cm="1">
        <f t="array" ref="L5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7" t="str">
        <f>IF(OR(ISNUMBER(SEARCH("imad", Table6[[#This Row],[instruction]])), ISNUMBER(SEARCH("ffma", Table6[[#This Row],[instruction]])), ISNUMBER(SEARCH("fmul", Table6[[#This Row],[instruction]]))), "fma", "")</f>
        <v>fma</v>
      </c>
      <c r="P5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7" t="str">
        <f>IF(OR(ISNUMBER(SEARCH("s2r", Table6[[#This Row],[instruction]])),ISNUMBER(SEARCH("s2ur", Table6[[#This Row],[instruction]]))), "special", "")</f>
        <v/>
      </c>
      <c r="S577" t="str">
        <f>IF(OR(ISNUMBER(SEARCH("stg", Table6[[#This Row],[instruction]])),ISNUMBER(SEARCH("ldg", Table6[[#This Row],[instruction]]))), "global", "")</f>
        <v/>
      </c>
      <c r="T577" t="str">
        <f>IF(OR(ISNUMBER(SEARCH("sts", Table6[[#This Row],[instruction]])),ISNUMBER(SEARCH("lds", Table6[[#This Row],[instruction]]))), "shared", "")</f>
        <v/>
      </c>
      <c r="U577" t="str">
        <f>IF(OR(ISNUMBER(SEARCH("LDC", Table6[[#This Row],[instruction]]))), "ind. const", "")</f>
        <v/>
      </c>
      <c r="V5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Row],[s5]]))),U577=""), "cmb. const", "")</f>
        <v/>
      </c>
      <c r="Y577">
        <f>IF(Table6[[#This Row],[pipeline]]="fma",Table6[[#This Row],[delay]],0)</f>
        <v>4</v>
      </c>
      <c r="Z577">
        <f>IF(AND(Table6[[#This Row],[pipeline]]="fma",W577="new"),290,0)</f>
        <v>0</v>
      </c>
      <c r="AK577" s="34"/>
    </row>
    <row r="578" spans="1:37" ht="17" x14ac:dyDescent="0.2">
      <c r="A578" s="31">
        <f>IF(Table6[[#This Row],[instruction]]&lt;&gt;"",MAX($A$6:A577)+1," ")</f>
        <v>573</v>
      </c>
      <c r="B578" s="32" t="s">
        <v>485</v>
      </c>
      <c r="C578" t="s">
        <v>70</v>
      </c>
      <c r="D578" s="31" t="s">
        <v>4</v>
      </c>
      <c r="E578" s="31" t="s">
        <v>651</v>
      </c>
      <c r="F578" s="31" t="s">
        <v>640</v>
      </c>
      <c r="G578" s="31" t="s">
        <v>593</v>
      </c>
      <c r="K578" s="2" t="str">
        <f t="shared" si="8"/>
        <v>fma</v>
      </c>
      <c r="L578" cm="1">
        <f t="array" ref="L5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8" t="str">
        <f>IF(OR(ISNUMBER(SEARCH("imad", Table6[[#This Row],[instruction]])), ISNUMBER(SEARCH("ffma", Table6[[#This Row],[instruction]])), ISNUMBER(SEARCH("fmul", Table6[[#This Row],[instruction]]))), "fma", "")</f>
        <v>fma</v>
      </c>
      <c r="P5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8" t="str">
        <f>IF(OR(ISNUMBER(SEARCH("s2r", Table6[[#This Row],[instruction]])),ISNUMBER(SEARCH("s2ur", Table6[[#This Row],[instruction]]))), "special", "")</f>
        <v/>
      </c>
      <c r="S578" t="str">
        <f>IF(OR(ISNUMBER(SEARCH("stg", Table6[[#This Row],[instruction]])),ISNUMBER(SEARCH("ldg", Table6[[#This Row],[instruction]]))), "global", "")</f>
        <v/>
      </c>
      <c r="T578" t="str">
        <f>IF(OR(ISNUMBER(SEARCH("sts", Table6[[#This Row],[instruction]])),ISNUMBER(SEARCH("lds", Table6[[#This Row],[instruction]]))), "shared", "")</f>
        <v/>
      </c>
      <c r="U578" t="str">
        <f>IF(OR(ISNUMBER(SEARCH("LDC", Table6[[#This Row],[instruction]]))), "ind. const", "")</f>
        <v/>
      </c>
      <c r="V5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Row],[s5]]))),U578=""), "cmb. const", "")</f>
        <v/>
      </c>
      <c r="Y578">
        <f>IF(Table6[[#This Row],[pipeline]]="fma",Table6[[#This Row],[delay]],0)</f>
        <v>4</v>
      </c>
      <c r="Z578">
        <f>IF(AND(Table6[[#This Row],[pipeline]]="fma",W578="new"),290,0)</f>
        <v>0</v>
      </c>
      <c r="AK578" s="34"/>
    </row>
    <row r="579" spans="1:37" ht="17" x14ac:dyDescent="0.2">
      <c r="A579" s="31">
        <f>IF(Table6[[#This Row],[instruction]]&lt;&gt;"",MAX($A$6:A578)+1," ")</f>
        <v>574</v>
      </c>
      <c r="B579" s="32" t="s">
        <v>485</v>
      </c>
      <c r="C579" t="s">
        <v>70</v>
      </c>
      <c r="D579" s="31" t="s">
        <v>58</v>
      </c>
      <c r="E579" s="31" t="s">
        <v>637</v>
      </c>
      <c r="F579" s="31" t="s">
        <v>652</v>
      </c>
      <c r="G579" s="31" t="s">
        <v>503</v>
      </c>
      <c r="K579" s="2" t="str">
        <f t="shared" si="8"/>
        <v>fma</v>
      </c>
      <c r="L579" cm="1">
        <f t="array" ref="L5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79" t="str">
        <f>IF(OR(ISNUMBER(SEARCH("imad", Table6[[#This Row],[instruction]])), ISNUMBER(SEARCH("ffma", Table6[[#This Row],[instruction]])), ISNUMBER(SEARCH("fmul", Table6[[#This Row],[instruction]]))), "fma", "")</f>
        <v>fma</v>
      </c>
      <c r="P5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79" t="str">
        <f>IF(OR(ISNUMBER(SEARCH("s2r", Table6[[#This Row],[instruction]])),ISNUMBER(SEARCH("s2ur", Table6[[#This Row],[instruction]]))), "special", "")</f>
        <v/>
      </c>
      <c r="S579" t="str">
        <f>IF(OR(ISNUMBER(SEARCH("stg", Table6[[#This Row],[instruction]])),ISNUMBER(SEARCH("ldg", Table6[[#This Row],[instruction]]))), "global", "")</f>
        <v/>
      </c>
      <c r="T579" t="str">
        <f>IF(OR(ISNUMBER(SEARCH("sts", Table6[[#This Row],[instruction]])),ISNUMBER(SEARCH("lds", Table6[[#This Row],[instruction]]))), "shared", "")</f>
        <v/>
      </c>
      <c r="U579" t="str">
        <f>IF(OR(ISNUMBER(SEARCH("LDC", Table6[[#This Row],[instruction]]))), "ind. const", "")</f>
        <v/>
      </c>
      <c r="V5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Row],[s5]]))),U579=""), "cmb. const", "")</f>
        <v/>
      </c>
      <c r="Y579">
        <f>IF(Table6[[#This Row],[pipeline]]="fma",Table6[[#This Row],[delay]],0)</f>
        <v>4</v>
      </c>
      <c r="Z579">
        <f>IF(AND(Table6[[#This Row],[pipeline]]="fma",W579="new"),290,0)</f>
        <v>0</v>
      </c>
      <c r="AK579" s="34"/>
    </row>
    <row r="580" spans="1:37" ht="17" x14ac:dyDescent="0.2">
      <c r="A580" s="31">
        <f>IF(Table6[[#This Row],[instruction]]&lt;&gt;"",MAX($A$6:A579)+1," ")</f>
        <v>575</v>
      </c>
      <c r="B580" s="32" t="s">
        <v>485</v>
      </c>
      <c r="C580" t="s">
        <v>70</v>
      </c>
      <c r="D580" s="31" t="s">
        <v>597</v>
      </c>
      <c r="E580" s="31" t="s">
        <v>637</v>
      </c>
      <c r="F580" s="31" t="s">
        <v>633</v>
      </c>
      <c r="G580" s="31" t="s">
        <v>686</v>
      </c>
      <c r="K580" s="2" t="str">
        <f t="shared" si="8"/>
        <v>fma</v>
      </c>
      <c r="L580" cm="1">
        <f t="array" ref="L5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0" t="str">
        <f>IF(OR(ISNUMBER(SEARCH("imad", Table6[[#This Row],[instruction]])), ISNUMBER(SEARCH("ffma", Table6[[#This Row],[instruction]])), ISNUMBER(SEARCH("fmul", Table6[[#This Row],[instruction]]))), "fma", "")</f>
        <v>fma</v>
      </c>
      <c r="P5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0" t="str">
        <f>IF(OR(ISNUMBER(SEARCH("s2r", Table6[[#This Row],[instruction]])),ISNUMBER(SEARCH("s2ur", Table6[[#This Row],[instruction]]))), "special", "")</f>
        <v/>
      </c>
      <c r="S580" t="str">
        <f>IF(OR(ISNUMBER(SEARCH("stg", Table6[[#This Row],[instruction]])),ISNUMBER(SEARCH("ldg", Table6[[#This Row],[instruction]]))), "global", "")</f>
        <v/>
      </c>
      <c r="T580" t="str">
        <f>IF(OR(ISNUMBER(SEARCH("sts", Table6[[#This Row],[instruction]])),ISNUMBER(SEARCH("lds", Table6[[#This Row],[instruction]]))), "shared", "")</f>
        <v/>
      </c>
      <c r="U580" t="str">
        <f>IF(OR(ISNUMBER(SEARCH("LDC", Table6[[#This Row],[instruction]]))), "ind. const", "")</f>
        <v/>
      </c>
      <c r="V5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Row],[s5]]))),U580=""), "cmb. const", "")</f>
        <v/>
      </c>
      <c r="Y580">
        <f>IF(Table6[[#This Row],[pipeline]]="fma",Table6[[#This Row],[delay]],0)</f>
        <v>4</v>
      </c>
      <c r="Z580">
        <f>IF(AND(Table6[[#This Row],[pipeline]]="fma",W580="new"),290,0)</f>
        <v>0</v>
      </c>
      <c r="AK580" s="34"/>
    </row>
    <row r="581" spans="1:37" ht="17" x14ac:dyDescent="0.2">
      <c r="A581" s="31">
        <f>IF(Table6[[#This Row],[instruction]]&lt;&gt;"",MAX($A$6:A580)+1," ")</f>
        <v>576</v>
      </c>
      <c r="B581" s="32" t="s">
        <v>485</v>
      </c>
      <c r="C581" t="s">
        <v>70</v>
      </c>
      <c r="D581" s="31" t="s">
        <v>61</v>
      </c>
      <c r="E581" s="31" t="s">
        <v>637</v>
      </c>
      <c r="F581" s="31" t="s">
        <v>682</v>
      </c>
      <c r="G581" s="31" t="s">
        <v>520</v>
      </c>
      <c r="K581" s="2" t="str">
        <f t="shared" si="8"/>
        <v>fma</v>
      </c>
      <c r="L581" cm="1">
        <f t="array" ref="L5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1" t="str">
        <f>IF(OR(ISNUMBER(SEARCH("imad", Table6[[#This Row],[instruction]])), ISNUMBER(SEARCH("ffma", Table6[[#This Row],[instruction]])), ISNUMBER(SEARCH("fmul", Table6[[#This Row],[instruction]]))), "fma", "")</f>
        <v>fma</v>
      </c>
      <c r="P5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1" t="str">
        <f>IF(OR(ISNUMBER(SEARCH("s2r", Table6[[#This Row],[instruction]])),ISNUMBER(SEARCH("s2ur", Table6[[#This Row],[instruction]]))), "special", "")</f>
        <v/>
      </c>
      <c r="S581" t="str">
        <f>IF(OR(ISNUMBER(SEARCH("stg", Table6[[#This Row],[instruction]])),ISNUMBER(SEARCH("ldg", Table6[[#This Row],[instruction]]))), "global", "")</f>
        <v/>
      </c>
      <c r="T581" t="str">
        <f>IF(OR(ISNUMBER(SEARCH("sts", Table6[[#This Row],[instruction]])),ISNUMBER(SEARCH("lds", Table6[[#This Row],[instruction]]))), "shared", "")</f>
        <v/>
      </c>
      <c r="U581" t="str">
        <f>IF(OR(ISNUMBER(SEARCH("LDC", Table6[[#This Row],[instruction]]))), "ind. const", "")</f>
        <v/>
      </c>
      <c r="V5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Row],[s5]]))),U581=""), "cmb. const", "")</f>
        <v/>
      </c>
      <c r="Y581">
        <f>IF(Table6[[#This Row],[pipeline]]="fma",Table6[[#This Row],[delay]],0)</f>
        <v>4</v>
      </c>
      <c r="Z581">
        <f>IF(AND(Table6[[#This Row],[pipeline]]="fma",W581="new"),290,0)</f>
        <v>0</v>
      </c>
      <c r="AK581" s="34"/>
    </row>
    <row r="582" spans="1:37" ht="17" x14ac:dyDescent="0.2">
      <c r="A582" s="31">
        <f>IF(Table6[[#This Row],[instruction]]&lt;&gt;"",MAX($A$6:A581)+1," ")</f>
        <v>577</v>
      </c>
      <c r="B582" s="32" t="s">
        <v>485</v>
      </c>
      <c r="C582" t="s">
        <v>70</v>
      </c>
      <c r="D582" s="31" t="s">
        <v>598</v>
      </c>
      <c r="E582" s="31" t="s">
        <v>637</v>
      </c>
      <c r="F582" s="31" t="s">
        <v>640</v>
      </c>
      <c r="G582" s="31" t="s">
        <v>688</v>
      </c>
      <c r="K582" s="2" t="str">
        <f t="shared" ref="K582:K645" si="9">IF(O582&lt;&gt;"", O582, IF(P582&lt;&gt;"", P582, IF(R582&lt;&gt;"", R582, IF(S582&lt;&gt;"", S582, IF(T582&lt;&gt;"", T582, IF(U582&lt;&gt;"", U582, IF(Q582&lt;&gt;"", Q582, "")))))))</f>
        <v>fma</v>
      </c>
      <c r="L582" cm="1">
        <f t="array" ref="L5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2" t="str">
        <f>IF(OR(ISNUMBER(SEARCH("imad", Table6[[#This Row],[instruction]])), ISNUMBER(SEARCH("ffma", Table6[[#This Row],[instruction]])), ISNUMBER(SEARCH("fmul", Table6[[#This Row],[instruction]]))), "fma", "")</f>
        <v>fma</v>
      </c>
      <c r="P5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2" t="str">
        <f>IF(OR(ISNUMBER(SEARCH("s2r", Table6[[#This Row],[instruction]])),ISNUMBER(SEARCH("s2ur", Table6[[#This Row],[instruction]]))), "special", "")</f>
        <v/>
      </c>
      <c r="S582" t="str">
        <f>IF(OR(ISNUMBER(SEARCH("stg", Table6[[#This Row],[instruction]])),ISNUMBER(SEARCH("ldg", Table6[[#This Row],[instruction]]))), "global", "")</f>
        <v/>
      </c>
      <c r="T582" t="str">
        <f>IF(OR(ISNUMBER(SEARCH("sts", Table6[[#This Row],[instruction]])),ISNUMBER(SEARCH("lds", Table6[[#This Row],[instruction]]))), "shared", "")</f>
        <v/>
      </c>
      <c r="U582" t="str">
        <f>IF(OR(ISNUMBER(SEARCH("LDC", Table6[[#This Row],[instruction]]))), "ind. const", "")</f>
        <v/>
      </c>
      <c r="V5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Row],[s5]]))),U582=""), "cmb. const", "")</f>
        <v/>
      </c>
      <c r="Y582">
        <f>IF(Table6[[#This Row],[pipeline]]="fma",Table6[[#This Row],[delay]],0)</f>
        <v>4</v>
      </c>
      <c r="Z582">
        <f>IF(AND(Table6[[#This Row],[pipeline]]="fma",W582="new"),290,0)</f>
        <v>0</v>
      </c>
      <c r="AK582" s="34"/>
    </row>
    <row r="583" spans="1:37" ht="17" x14ac:dyDescent="0.2">
      <c r="A583" s="31">
        <f>IF(Table6[[#This Row],[instruction]]&lt;&gt;"",MAX($A$6:A582)+1," ")</f>
        <v>578</v>
      </c>
      <c r="B583" s="32" t="s">
        <v>485</v>
      </c>
      <c r="C583" t="s">
        <v>70</v>
      </c>
      <c r="D583" s="31" t="s">
        <v>577</v>
      </c>
      <c r="E583" s="31" t="s">
        <v>627</v>
      </c>
      <c r="F583" s="31" t="s">
        <v>606</v>
      </c>
      <c r="G583" s="31" t="s">
        <v>586</v>
      </c>
      <c r="K583" s="2" t="str">
        <f t="shared" si="9"/>
        <v>fma</v>
      </c>
      <c r="L583" cm="1">
        <f t="array" ref="L5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3" t="str">
        <f>IF(OR(ISNUMBER(SEARCH("imad", Table6[[#This Row],[instruction]])), ISNUMBER(SEARCH("ffma", Table6[[#This Row],[instruction]])), ISNUMBER(SEARCH("fmul", Table6[[#This Row],[instruction]]))), "fma", "")</f>
        <v>fma</v>
      </c>
      <c r="P5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3" t="str">
        <f>IF(OR(ISNUMBER(SEARCH("s2r", Table6[[#This Row],[instruction]])),ISNUMBER(SEARCH("s2ur", Table6[[#This Row],[instruction]]))), "special", "")</f>
        <v/>
      </c>
      <c r="S583" t="str">
        <f>IF(OR(ISNUMBER(SEARCH("stg", Table6[[#This Row],[instruction]])),ISNUMBER(SEARCH("ldg", Table6[[#This Row],[instruction]]))), "global", "")</f>
        <v/>
      </c>
      <c r="T583" t="str">
        <f>IF(OR(ISNUMBER(SEARCH("sts", Table6[[#This Row],[instruction]])),ISNUMBER(SEARCH("lds", Table6[[#This Row],[instruction]]))), "shared", "")</f>
        <v/>
      </c>
      <c r="U583" t="str">
        <f>IF(OR(ISNUMBER(SEARCH("LDC", Table6[[#This Row],[instruction]]))), "ind. const", "")</f>
        <v/>
      </c>
      <c r="V5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Row],[s5]]))),U583=""), "cmb. const", "")</f>
        <v/>
      </c>
      <c r="Y583">
        <f>IF(Table6[[#This Row],[pipeline]]="fma",Table6[[#This Row],[delay]],0)</f>
        <v>4</v>
      </c>
      <c r="Z583">
        <f>IF(AND(Table6[[#This Row],[pipeline]]="fma",W583="new"),290,0)</f>
        <v>0</v>
      </c>
      <c r="AK583" s="34"/>
    </row>
    <row r="584" spans="1:37" ht="17" x14ac:dyDescent="0.2">
      <c r="A584" s="31">
        <f>IF(Table6[[#This Row],[instruction]]&lt;&gt;"",MAX($A$6:A583)+1," ")</f>
        <v>579</v>
      </c>
      <c r="B584" s="32" t="s">
        <v>485</v>
      </c>
      <c r="C584" t="s">
        <v>70</v>
      </c>
      <c r="D584" s="31" t="s">
        <v>80</v>
      </c>
      <c r="E584" s="31" t="s">
        <v>627</v>
      </c>
      <c r="F584" s="31" t="s">
        <v>594</v>
      </c>
      <c r="G584" s="31" t="s">
        <v>666</v>
      </c>
      <c r="K584" s="2" t="str">
        <f t="shared" si="9"/>
        <v>fma</v>
      </c>
      <c r="L584" cm="1">
        <f t="array" ref="L5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4" t="str">
        <f>IF(OR(ISNUMBER(SEARCH("imad", Table6[[#This Row],[instruction]])), ISNUMBER(SEARCH("ffma", Table6[[#This Row],[instruction]])), ISNUMBER(SEARCH("fmul", Table6[[#This Row],[instruction]]))), "fma", "")</f>
        <v>fma</v>
      </c>
      <c r="P5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4" t="str">
        <f>IF(OR(ISNUMBER(SEARCH("s2r", Table6[[#This Row],[instruction]])),ISNUMBER(SEARCH("s2ur", Table6[[#This Row],[instruction]]))), "special", "")</f>
        <v/>
      </c>
      <c r="S584" t="str">
        <f>IF(OR(ISNUMBER(SEARCH("stg", Table6[[#This Row],[instruction]])),ISNUMBER(SEARCH("ldg", Table6[[#This Row],[instruction]]))), "global", "")</f>
        <v/>
      </c>
      <c r="T584" t="str">
        <f>IF(OR(ISNUMBER(SEARCH("sts", Table6[[#This Row],[instruction]])),ISNUMBER(SEARCH("lds", Table6[[#This Row],[instruction]]))), "shared", "")</f>
        <v/>
      </c>
      <c r="U584" t="str">
        <f>IF(OR(ISNUMBER(SEARCH("LDC", Table6[[#This Row],[instruction]]))), "ind. const", "")</f>
        <v/>
      </c>
      <c r="V5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Row],[s5]]))),U584=""), "cmb. const", "")</f>
        <v/>
      </c>
      <c r="Y584">
        <f>IF(Table6[[#This Row],[pipeline]]="fma",Table6[[#This Row],[delay]],0)</f>
        <v>4</v>
      </c>
      <c r="Z584">
        <f>IF(AND(Table6[[#This Row],[pipeline]]="fma",W584="new"),290,0)</f>
        <v>0</v>
      </c>
      <c r="AK584" s="34"/>
    </row>
    <row r="585" spans="1:37" ht="17" x14ac:dyDescent="0.2">
      <c r="A585" s="31">
        <f>IF(Table6[[#This Row],[instruction]]&lt;&gt;"",MAX($A$6:A584)+1," ")</f>
        <v>580</v>
      </c>
      <c r="B585" s="32" t="s">
        <v>485</v>
      </c>
      <c r="C585" t="s">
        <v>70</v>
      </c>
      <c r="D585" s="31" t="s">
        <v>588</v>
      </c>
      <c r="E585" s="31" t="s">
        <v>627</v>
      </c>
      <c r="F585" s="31" t="s">
        <v>592</v>
      </c>
      <c r="G585" s="31" t="s">
        <v>667</v>
      </c>
      <c r="K585" s="2" t="str">
        <f t="shared" si="9"/>
        <v>fma</v>
      </c>
      <c r="L585" cm="1">
        <f t="array" ref="L5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5" t="str">
        <f>IF(OR(ISNUMBER(SEARCH("imad", Table6[[#This Row],[instruction]])), ISNUMBER(SEARCH("ffma", Table6[[#This Row],[instruction]])), ISNUMBER(SEARCH("fmul", Table6[[#This Row],[instruction]]))), "fma", "")</f>
        <v>fma</v>
      </c>
      <c r="P5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5" t="str">
        <f>IF(OR(ISNUMBER(SEARCH("s2r", Table6[[#This Row],[instruction]])),ISNUMBER(SEARCH("s2ur", Table6[[#This Row],[instruction]]))), "special", "")</f>
        <v/>
      </c>
      <c r="S585" t="str">
        <f>IF(OR(ISNUMBER(SEARCH("stg", Table6[[#This Row],[instruction]])),ISNUMBER(SEARCH("ldg", Table6[[#This Row],[instruction]]))), "global", "")</f>
        <v/>
      </c>
      <c r="T585" t="str">
        <f>IF(OR(ISNUMBER(SEARCH("sts", Table6[[#This Row],[instruction]])),ISNUMBER(SEARCH("lds", Table6[[#This Row],[instruction]]))), "shared", "")</f>
        <v/>
      </c>
      <c r="U585" t="str">
        <f>IF(OR(ISNUMBER(SEARCH("LDC", Table6[[#This Row],[instruction]]))), "ind. const", "")</f>
        <v/>
      </c>
      <c r="V5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Row],[s5]]))),U585=""), "cmb. const", "")</f>
        <v/>
      </c>
      <c r="Y585">
        <f>IF(Table6[[#This Row],[pipeline]]="fma",Table6[[#This Row],[delay]],0)</f>
        <v>4</v>
      </c>
      <c r="Z585">
        <f>IF(AND(Table6[[#This Row],[pipeline]]="fma",W585="new"),290,0)</f>
        <v>0</v>
      </c>
      <c r="AK585" s="34"/>
    </row>
    <row r="586" spans="1:37" ht="17" x14ac:dyDescent="0.2">
      <c r="A586" s="31">
        <f>IF(Table6[[#This Row],[instruction]]&lt;&gt;"",MAX($A$6:A585)+1," ")</f>
        <v>581</v>
      </c>
      <c r="B586" s="32" t="s">
        <v>485</v>
      </c>
      <c r="C586" t="s">
        <v>70</v>
      </c>
      <c r="D586" s="31" t="s">
        <v>614</v>
      </c>
      <c r="E586" s="31" t="s">
        <v>627</v>
      </c>
      <c r="F586" s="31" t="s">
        <v>575</v>
      </c>
      <c r="G586" s="31" t="s">
        <v>508</v>
      </c>
      <c r="K586" s="2" t="str">
        <f t="shared" si="9"/>
        <v>fma</v>
      </c>
      <c r="L586" cm="1">
        <f t="array" ref="L5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6" t="str">
        <f>IF(OR(ISNUMBER(SEARCH("imad", Table6[[#This Row],[instruction]])), ISNUMBER(SEARCH("ffma", Table6[[#This Row],[instruction]])), ISNUMBER(SEARCH("fmul", Table6[[#This Row],[instruction]]))), "fma", "")</f>
        <v>fma</v>
      </c>
      <c r="P5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6" t="str">
        <f>IF(OR(ISNUMBER(SEARCH("s2r", Table6[[#This Row],[instruction]])),ISNUMBER(SEARCH("s2ur", Table6[[#This Row],[instruction]]))), "special", "")</f>
        <v/>
      </c>
      <c r="S586" t="str">
        <f>IF(OR(ISNUMBER(SEARCH("stg", Table6[[#This Row],[instruction]])),ISNUMBER(SEARCH("ldg", Table6[[#This Row],[instruction]]))), "global", "")</f>
        <v/>
      </c>
      <c r="T586" t="str">
        <f>IF(OR(ISNUMBER(SEARCH("sts", Table6[[#This Row],[instruction]])),ISNUMBER(SEARCH("lds", Table6[[#This Row],[instruction]]))), "shared", "")</f>
        <v/>
      </c>
      <c r="U586" t="str">
        <f>IF(OR(ISNUMBER(SEARCH("LDC", Table6[[#This Row],[instruction]]))), "ind. const", "")</f>
        <v/>
      </c>
      <c r="V5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Row],[s5]]))),U586=""), "cmb. const", "")</f>
        <v/>
      </c>
      <c r="Y586">
        <f>IF(Table6[[#This Row],[pipeline]]="fma",Table6[[#This Row],[delay]],0)</f>
        <v>4</v>
      </c>
      <c r="Z586">
        <f>IF(AND(Table6[[#This Row],[pipeline]]="fma",W586="new"),290,0)</f>
        <v>0</v>
      </c>
      <c r="AK586" s="34"/>
    </row>
    <row r="587" spans="1:37" ht="17" x14ac:dyDescent="0.2">
      <c r="A587" s="31">
        <f>IF(Table6[[#This Row],[instruction]]&lt;&gt;"",MAX($A$6:A586)+1," ")</f>
        <v>582</v>
      </c>
      <c r="B587" s="32" t="s">
        <v>485</v>
      </c>
      <c r="C587" t="s">
        <v>70</v>
      </c>
      <c r="D587" s="31" t="s">
        <v>600</v>
      </c>
      <c r="E587" s="31" t="s">
        <v>678</v>
      </c>
      <c r="F587" s="31" t="s">
        <v>606</v>
      </c>
      <c r="G587" s="31" t="s">
        <v>668</v>
      </c>
      <c r="K587" s="2" t="str">
        <f t="shared" si="9"/>
        <v>fma</v>
      </c>
      <c r="L587" cm="1">
        <f t="array" ref="L5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7" t="str">
        <f>IF(OR(ISNUMBER(SEARCH("imad", Table6[[#This Row],[instruction]])), ISNUMBER(SEARCH("ffma", Table6[[#This Row],[instruction]])), ISNUMBER(SEARCH("fmul", Table6[[#This Row],[instruction]]))), "fma", "")</f>
        <v>fma</v>
      </c>
      <c r="P5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7" t="str">
        <f>IF(OR(ISNUMBER(SEARCH("s2r", Table6[[#This Row],[instruction]])),ISNUMBER(SEARCH("s2ur", Table6[[#This Row],[instruction]]))), "special", "")</f>
        <v/>
      </c>
      <c r="S587" t="str">
        <f>IF(OR(ISNUMBER(SEARCH("stg", Table6[[#This Row],[instruction]])),ISNUMBER(SEARCH("ldg", Table6[[#This Row],[instruction]]))), "global", "")</f>
        <v/>
      </c>
      <c r="T587" t="str">
        <f>IF(OR(ISNUMBER(SEARCH("sts", Table6[[#This Row],[instruction]])),ISNUMBER(SEARCH("lds", Table6[[#This Row],[instruction]]))), "shared", "")</f>
        <v/>
      </c>
      <c r="U587" t="str">
        <f>IF(OR(ISNUMBER(SEARCH("LDC", Table6[[#This Row],[instruction]]))), "ind. const", "")</f>
        <v/>
      </c>
      <c r="V5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Row],[s5]]))),U587=""), "cmb. const", "")</f>
        <v/>
      </c>
      <c r="Y587">
        <f>IF(Table6[[#This Row],[pipeline]]="fma",Table6[[#This Row],[delay]],0)</f>
        <v>4</v>
      </c>
      <c r="Z587">
        <f>IF(AND(Table6[[#This Row],[pipeline]]="fma",W587="new"),290,0)</f>
        <v>0</v>
      </c>
      <c r="AK587" s="34"/>
    </row>
    <row r="588" spans="1:37" ht="17" x14ac:dyDescent="0.2">
      <c r="A588" s="31">
        <f>IF(Table6[[#This Row],[instruction]]&lt;&gt;"",MAX($A$6:A587)+1," ")</f>
        <v>583</v>
      </c>
      <c r="B588" s="32" t="s">
        <v>485</v>
      </c>
      <c r="C588" t="s">
        <v>70</v>
      </c>
      <c r="D588" s="31" t="s">
        <v>608</v>
      </c>
      <c r="E588" s="31" t="s">
        <v>678</v>
      </c>
      <c r="F588" s="31" t="s">
        <v>594</v>
      </c>
      <c r="G588" s="31" t="s">
        <v>683</v>
      </c>
      <c r="K588" s="2" t="str">
        <f t="shared" si="9"/>
        <v>fma</v>
      </c>
      <c r="L588" cm="1">
        <f t="array" ref="L5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8" t="str">
        <f>IF(OR(ISNUMBER(SEARCH("imad", Table6[[#This Row],[instruction]])), ISNUMBER(SEARCH("ffma", Table6[[#This Row],[instruction]])), ISNUMBER(SEARCH("fmul", Table6[[#This Row],[instruction]]))), "fma", "")</f>
        <v>fma</v>
      </c>
      <c r="P5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8" t="str">
        <f>IF(OR(ISNUMBER(SEARCH("s2r", Table6[[#This Row],[instruction]])),ISNUMBER(SEARCH("s2ur", Table6[[#This Row],[instruction]]))), "special", "")</f>
        <v/>
      </c>
      <c r="S588" t="str">
        <f>IF(OR(ISNUMBER(SEARCH("stg", Table6[[#This Row],[instruction]])),ISNUMBER(SEARCH("ldg", Table6[[#This Row],[instruction]]))), "global", "")</f>
        <v/>
      </c>
      <c r="T588" t="str">
        <f>IF(OR(ISNUMBER(SEARCH("sts", Table6[[#This Row],[instruction]])),ISNUMBER(SEARCH("lds", Table6[[#This Row],[instruction]]))), "shared", "")</f>
        <v/>
      </c>
      <c r="U588" t="str">
        <f>IF(OR(ISNUMBER(SEARCH("LDC", Table6[[#This Row],[instruction]]))), "ind. const", "")</f>
        <v/>
      </c>
      <c r="V5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Row],[s5]]))),U588=""), "cmb. const", "")</f>
        <v/>
      </c>
      <c r="Y588">
        <f>IF(Table6[[#This Row],[pipeline]]="fma",Table6[[#This Row],[delay]],0)</f>
        <v>4</v>
      </c>
      <c r="Z588">
        <f>IF(AND(Table6[[#This Row],[pipeline]]="fma",W588="new"),290,0)</f>
        <v>0</v>
      </c>
      <c r="AK588" s="34"/>
    </row>
    <row r="589" spans="1:37" ht="17" x14ac:dyDescent="0.2">
      <c r="A589" s="31">
        <f>IF(Table6[[#This Row],[instruction]]&lt;&gt;"",MAX($A$6:A588)+1," ")</f>
        <v>584</v>
      </c>
      <c r="B589" s="32" t="s">
        <v>485</v>
      </c>
      <c r="C589" t="s">
        <v>70</v>
      </c>
      <c r="D589" s="31" t="s">
        <v>613</v>
      </c>
      <c r="E589" s="31" t="s">
        <v>678</v>
      </c>
      <c r="F589" s="31" t="s">
        <v>592</v>
      </c>
      <c r="G589" s="31" t="s">
        <v>684</v>
      </c>
      <c r="K589" s="2" t="str">
        <f t="shared" si="9"/>
        <v>fma</v>
      </c>
      <c r="L589" cm="1">
        <f t="array" ref="L5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89" t="str">
        <f>IF(OR(ISNUMBER(SEARCH("imad", Table6[[#This Row],[instruction]])), ISNUMBER(SEARCH("ffma", Table6[[#This Row],[instruction]])), ISNUMBER(SEARCH("fmul", Table6[[#This Row],[instruction]]))), "fma", "")</f>
        <v>fma</v>
      </c>
      <c r="P5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89" t="str">
        <f>IF(OR(ISNUMBER(SEARCH("s2r", Table6[[#This Row],[instruction]])),ISNUMBER(SEARCH("s2ur", Table6[[#This Row],[instruction]]))), "special", "")</f>
        <v/>
      </c>
      <c r="S589" t="str">
        <f>IF(OR(ISNUMBER(SEARCH("stg", Table6[[#This Row],[instruction]])),ISNUMBER(SEARCH("ldg", Table6[[#This Row],[instruction]]))), "global", "")</f>
        <v/>
      </c>
      <c r="T589" t="str">
        <f>IF(OR(ISNUMBER(SEARCH("sts", Table6[[#This Row],[instruction]])),ISNUMBER(SEARCH("lds", Table6[[#This Row],[instruction]]))), "shared", "")</f>
        <v/>
      </c>
      <c r="U589" t="str">
        <f>IF(OR(ISNUMBER(SEARCH("LDC", Table6[[#This Row],[instruction]]))), "ind. const", "")</f>
        <v/>
      </c>
      <c r="V5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Row],[s5]]))),U589=""), "cmb. const", "")</f>
        <v/>
      </c>
      <c r="Y589">
        <f>IF(Table6[[#This Row],[pipeline]]="fma",Table6[[#This Row],[delay]],0)</f>
        <v>4</v>
      </c>
      <c r="Z589">
        <f>IF(AND(Table6[[#This Row],[pipeline]]="fma",W589="new"),290,0)</f>
        <v>0</v>
      </c>
      <c r="AK589" s="34"/>
    </row>
    <row r="590" spans="1:37" ht="17" x14ac:dyDescent="0.2">
      <c r="A590" s="31">
        <f>IF(Table6[[#This Row],[instruction]]&lt;&gt;"",MAX($A$6:A589)+1," ")</f>
        <v>585</v>
      </c>
      <c r="B590" s="32" t="s">
        <v>485</v>
      </c>
      <c r="C590" t="s">
        <v>70</v>
      </c>
      <c r="D590" s="31" t="s">
        <v>605</v>
      </c>
      <c r="E590" s="31" t="s">
        <v>678</v>
      </c>
      <c r="F590" s="31" t="s">
        <v>575</v>
      </c>
      <c r="G590" s="31" t="s">
        <v>685</v>
      </c>
      <c r="K590" s="2" t="str">
        <f t="shared" si="9"/>
        <v>fma</v>
      </c>
      <c r="L590" cm="1">
        <f t="array" ref="L5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0" t="str">
        <f>IF(OR(ISNUMBER(SEARCH("imad", Table6[[#This Row],[instruction]])), ISNUMBER(SEARCH("ffma", Table6[[#This Row],[instruction]])), ISNUMBER(SEARCH("fmul", Table6[[#This Row],[instruction]]))), "fma", "")</f>
        <v>fma</v>
      </c>
      <c r="P5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0" t="str">
        <f>IF(OR(ISNUMBER(SEARCH("s2r", Table6[[#This Row],[instruction]])),ISNUMBER(SEARCH("s2ur", Table6[[#This Row],[instruction]]))), "special", "")</f>
        <v/>
      </c>
      <c r="S590" t="str">
        <f>IF(OR(ISNUMBER(SEARCH("stg", Table6[[#This Row],[instruction]])),ISNUMBER(SEARCH("ldg", Table6[[#This Row],[instruction]]))), "global", "")</f>
        <v/>
      </c>
      <c r="T590" t="str">
        <f>IF(OR(ISNUMBER(SEARCH("sts", Table6[[#This Row],[instruction]])),ISNUMBER(SEARCH("lds", Table6[[#This Row],[instruction]]))), "shared", "")</f>
        <v/>
      </c>
      <c r="U590" t="str">
        <f>IF(OR(ISNUMBER(SEARCH("LDC", Table6[[#This Row],[instruction]]))), "ind. const", "")</f>
        <v/>
      </c>
      <c r="V5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Row],[s5]]))),U590=""), "cmb. const", "")</f>
        <v/>
      </c>
      <c r="Y590">
        <f>IF(Table6[[#This Row],[pipeline]]="fma",Table6[[#This Row],[delay]],0)</f>
        <v>4</v>
      </c>
      <c r="Z590">
        <f>IF(AND(Table6[[#This Row],[pipeline]]="fma",W590="new"),290,0)</f>
        <v>0</v>
      </c>
      <c r="AK590" s="34"/>
    </row>
    <row r="591" spans="1:37" ht="17" x14ac:dyDescent="0.2">
      <c r="A591" s="31">
        <f>IF(Table6[[#This Row],[instruction]]&lt;&gt;"",MAX($A$6:A590)+1," ")</f>
        <v>586</v>
      </c>
      <c r="B591" s="32" t="s">
        <v>485</v>
      </c>
      <c r="C591" t="s">
        <v>70</v>
      </c>
      <c r="D591" s="31" t="s">
        <v>612</v>
      </c>
      <c r="E591" s="31" t="s">
        <v>680</v>
      </c>
      <c r="F591" s="31" t="s">
        <v>606</v>
      </c>
      <c r="G591" s="31" t="s">
        <v>669</v>
      </c>
      <c r="K591" s="2" t="str">
        <f t="shared" si="9"/>
        <v>fma</v>
      </c>
      <c r="L591" cm="1">
        <f t="array" ref="L5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1" t="str">
        <f>IF(OR(ISNUMBER(SEARCH("imad", Table6[[#This Row],[instruction]])), ISNUMBER(SEARCH("ffma", Table6[[#This Row],[instruction]])), ISNUMBER(SEARCH("fmul", Table6[[#This Row],[instruction]]))), "fma", "")</f>
        <v>fma</v>
      </c>
      <c r="P5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1" t="str">
        <f>IF(OR(ISNUMBER(SEARCH("s2r", Table6[[#This Row],[instruction]])),ISNUMBER(SEARCH("s2ur", Table6[[#This Row],[instruction]]))), "special", "")</f>
        <v/>
      </c>
      <c r="S591" t="str">
        <f>IF(OR(ISNUMBER(SEARCH("stg", Table6[[#This Row],[instruction]])),ISNUMBER(SEARCH("ldg", Table6[[#This Row],[instruction]]))), "global", "")</f>
        <v/>
      </c>
      <c r="T591" t="str">
        <f>IF(OR(ISNUMBER(SEARCH("sts", Table6[[#This Row],[instruction]])),ISNUMBER(SEARCH("lds", Table6[[#This Row],[instruction]]))), "shared", "")</f>
        <v/>
      </c>
      <c r="U591" t="str">
        <f>IF(OR(ISNUMBER(SEARCH("LDC", Table6[[#This Row],[instruction]]))), "ind. const", "")</f>
        <v/>
      </c>
      <c r="V5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Row],[s5]]))),U591=""), "cmb. const", "")</f>
        <v/>
      </c>
      <c r="Y591">
        <f>IF(Table6[[#This Row],[pipeline]]="fma",Table6[[#This Row],[delay]],0)</f>
        <v>4</v>
      </c>
      <c r="Z591">
        <f>IF(AND(Table6[[#This Row],[pipeline]]="fma",W591="new"),290,0)</f>
        <v>0</v>
      </c>
      <c r="AK591" s="34"/>
    </row>
    <row r="592" spans="1:37" ht="17" x14ac:dyDescent="0.2">
      <c r="A592" s="31">
        <f>IF(Table6[[#This Row],[instruction]]&lt;&gt;"",MAX($A$6:A591)+1," ")</f>
        <v>587</v>
      </c>
      <c r="B592" s="32" t="s">
        <v>485</v>
      </c>
      <c r="C592" t="s">
        <v>70</v>
      </c>
      <c r="D592" s="31" t="s">
        <v>609</v>
      </c>
      <c r="E592" s="31" t="s">
        <v>680</v>
      </c>
      <c r="F592" s="31" t="s">
        <v>594</v>
      </c>
      <c r="G592" s="31" t="s">
        <v>670</v>
      </c>
      <c r="K592" s="2" t="str">
        <f t="shared" si="9"/>
        <v>fma</v>
      </c>
      <c r="L592" cm="1">
        <f t="array" ref="L5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2" t="str">
        <f>IF(OR(ISNUMBER(SEARCH("imad", Table6[[#This Row],[instruction]])), ISNUMBER(SEARCH("ffma", Table6[[#This Row],[instruction]])), ISNUMBER(SEARCH("fmul", Table6[[#This Row],[instruction]]))), "fma", "")</f>
        <v>fma</v>
      </c>
      <c r="P5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2" t="str">
        <f>IF(OR(ISNUMBER(SEARCH("s2r", Table6[[#This Row],[instruction]])),ISNUMBER(SEARCH("s2ur", Table6[[#This Row],[instruction]]))), "special", "")</f>
        <v/>
      </c>
      <c r="S592" t="str">
        <f>IF(OR(ISNUMBER(SEARCH("stg", Table6[[#This Row],[instruction]])),ISNUMBER(SEARCH("ldg", Table6[[#This Row],[instruction]]))), "global", "")</f>
        <v/>
      </c>
      <c r="T592" t="str">
        <f>IF(OR(ISNUMBER(SEARCH("sts", Table6[[#This Row],[instruction]])),ISNUMBER(SEARCH("lds", Table6[[#This Row],[instruction]]))), "shared", "")</f>
        <v/>
      </c>
      <c r="U592" t="str">
        <f>IF(OR(ISNUMBER(SEARCH("LDC", Table6[[#This Row],[instruction]]))), "ind. const", "")</f>
        <v/>
      </c>
      <c r="V5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Row],[s5]]))),U592=""), "cmb. const", "")</f>
        <v/>
      </c>
      <c r="Y592">
        <f>IF(Table6[[#This Row],[pipeline]]="fma",Table6[[#This Row],[delay]],0)</f>
        <v>4</v>
      </c>
      <c r="Z592">
        <f>IF(AND(Table6[[#This Row],[pipeline]]="fma",W592="new"),290,0)</f>
        <v>0</v>
      </c>
      <c r="AK592" s="34"/>
    </row>
    <row r="593" spans="1:37" ht="17" x14ac:dyDescent="0.2">
      <c r="A593" s="31">
        <f>IF(Table6[[#This Row],[instruction]]&lt;&gt;"",MAX($A$6:A592)+1," ")</f>
        <v>588</v>
      </c>
      <c r="B593" s="32" t="s">
        <v>485</v>
      </c>
      <c r="C593" t="s">
        <v>70</v>
      </c>
      <c r="D593" s="31" t="s">
        <v>671</v>
      </c>
      <c r="E593" s="31" t="s">
        <v>680</v>
      </c>
      <c r="F593" s="31" t="s">
        <v>592</v>
      </c>
      <c r="G593" s="31" t="s">
        <v>672</v>
      </c>
      <c r="K593" s="2" t="str">
        <f t="shared" si="9"/>
        <v>fma</v>
      </c>
      <c r="L593" cm="1">
        <f t="array" ref="L5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3" t="str">
        <f>IF(OR(ISNUMBER(SEARCH("imad", Table6[[#This Row],[instruction]])), ISNUMBER(SEARCH("ffma", Table6[[#This Row],[instruction]])), ISNUMBER(SEARCH("fmul", Table6[[#This Row],[instruction]]))), "fma", "")</f>
        <v>fma</v>
      </c>
      <c r="P5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3" t="str">
        <f>IF(OR(ISNUMBER(SEARCH("s2r", Table6[[#This Row],[instruction]])),ISNUMBER(SEARCH("s2ur", Table6[[#This Row],[instruction]]))), "special", "")</f>
        <v/>
      </c>
      <c r="S593" t="str">
        <f>IF(OR(ISNUMBER(SEARCH("stg", Table6[[#This Row],[instruction]])),ISNUMBER(SEARCH("ldg", Table6[[#This Row],[instruction]]))), "global", "")</f>
        <v/>
      </c>
      <c r="T593" t="str">
        <f>IF(OR(ISNUMBER(SEARCH("sts", Table6[[#This Row],[instruction]])),ISNUMBER(SEARCH("lds", Table6[[#This Row],[instruction]]))), "shared", "")</f>
        <v/>
      </c>
      <c r="U593" t="str">
        <f>IF(OR(ISNUMBER(SEARCH("LDC", Table6[[#This Row],[instruction]]))), "ind. const", "")</f>
        <v/>
      </c>
      <c r="V5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Row],[s5]]))),U593=""), "cmb. const", "")</f>
        <v/>
      </c>
      <c r="Y593">
        <f>IF(Table6[[#This Row],[pipeline]]="fma",Table6[[#This Row],[delay]],0)</f>
        <v>4</v>
      </c>
      <c r="Z593">
        <f>IF(AND(Table6[[#This Row],[pipeline]]="fma",W593="new"),290,0)</f>
        <v>0</v>
      </c>
      <c r="AK593" s="34"/>
    </row>
    <row r="594" spans="1:37" ht="17" x14ac:dyDescent="0.2">
      <c r="A594" s="31">
        <f>IF(Table6[[#This Row],[instruction]]&lt;&gt;"",MAX($A$6:A593)+1," ")</f>
        <v>589</v>
      </c>
      <c r="B594" s="32" t="s">
        <v>485</v>
      </c>
      <c r="C594" t="s">
        <v>70</v>
      </c>
      <c r="D594" s="31" t="s">
        <v>708</v>
      </c>
      <c r="E594" s="31" t="s">
        <v>680</v>
      </c>
      <c r="F594" s="31" t="s">
        <v>575</v>
      </c>
      <c r="G594" s="31" t="s">
        <v>593</v>
      </c>
      <c r="K594" s="2" t="str">
        <f t="shared" si="9"/>
        <v>fma</v>
      </c>
      <c r="L594" cm="1">
        <f t="array" ref="L5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4" t="str">
        <f>IF(OR(ISNUMBER(SEARCH("imad", Table6[[#This Row],[instruction]])), ISNUMBER(SEARCH("ffma", Table6[[#This Row],[instruction]])), ISNUMBER(SEARCH("fmul", Table6[[#This Row],[instruction]]))), "fma", "")</f>
        <v>fma</v>
      </c>
      <c r="P5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4" t="str">
        <f>IF(OR(ISNUMBER(SEARCH("s2r", Table6[[#This Row],[instruction]])),ISNUMBER(SEARCH("s2ur", Table6[[#This Row],[instruction]]))), "special", "")</f>
        <v/>
      </c>
      <c r="S594" t="str">
        <f>IF(OR(ISNUMBER(SEARCH("stg", Table6[[#This Row],[instruction]])),ISNUMBER(SEARCH("ldg", Table6[[#This Row],[instruction]]))), "global", "")</f>
        <v/>
      </c>
      <c r="T594" t="str">
        <f>IF(OR(ISNUMBER(SEARCH("sts", Table6[[#This Row],[instruction]])),ISNUMBER(SEARCH("lds", Table6[[#This Row],[instruction]]))), "shared", "")</f>
        <v/>
      </c>
      <c r="U594" t="str">
        <f>IF(OR(ISNUMBER(SEARCH("LDC", Table6[[#This Row],[instruction]]))), "ind. const", "")</f>
        <v/>
      </c>
      <c r="V5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Row],[s5]]))),U594=""), "cmb. const", "")</f>
        <v/>
      </c>
      <c r="Y594">
        <f>IF(Table6[[#This Row],[pipeline]]="fma",Table6[[#This Row],[delay]],0)</f>
        <v>4</v>
      </c>
      <c r="Z594">
        <f>IF(AND(Table6[[#This Row],[pipeline]]="fma",W594="new"),290,0)</f>
        <v>0</v>
      </c>
      <c r="AK594" s="34"/>
    </row>
    <row r="595" spans="1:37" ht="17" x14ac:dyDescent="0.2">
      <c r="A595" s="31">
        <f>IF(Table6[[#This Row],[instruction]]&lt;&gt;"",MAX($A$6:A594)+1," ")</f>
        <v>590</v>
      </c>
      <c r="B595" s="32" t="s">
        <v>485</v>
      </c>
      <c r="C595" t="s">
        <v>70</v>
      </c>
      <c r="D595" s="31" t="s">
        <v>709</v>
      </c>
      <c r="E595" s="31" t="s">
        <v>689</v>
      </c>
      <c r="F595" s="31" t="s">
        <v>606</v>
      </c>
      <c r="G595" s="31" t="s">
        <v>503</v>
      </c>
      <c r="K595" s="2" t="str">
        <f t="shared" si="9"/>
        <v>fma</v>
      </c>
      <c r="L595" cm="1">
        <f t="array" ref="L5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5" t="str">
        <f>IF(OR(ISNUMBER(SEARCH("imad", Table6[[#This Row],[instruction]])), ISNUMBER(SEARCH("ffma", Table6[[#This Row],[instruction]])), ISNUMBER(SEARCH("fmul", Table6[[#This Row],[instruction]]))), "fma", "")</f>
        <v>fma</v>
      </c>
      <c r="P5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5" t="str">
        <f>IF(OR(ISNUMBER(SEARCH("s2r", Table6[[#This Row],[instruction]])),ISNUMBER(SEARCH("s2ur", Table6[[#This Row],[instruction]]))), "special", "")</f>
        <v/>
      </c>
      <c r="S595" t="str">
        <f>IF(OR(ISNUMBER(SEARCH("stg", Table6[[#This Row],[instruction]])),ISNUMBER(SEARCH("ldg", Table6[[#This Row],[instruction]]))), "global", "")</f>
        <v/>
      </c>
      <c r="T595" t="str">
        <f>IF(OR(ISNUMBER(SEARCH("sts", Table6[[#This Row],[instruction]])),ISNUMBER(SEARCH("lds", Table6[[#This Row],[instruction]]))), "shared", "")</f>
        <v/>
      </c>
      <c r="U595" t="str">
        <f>IF(OR(ISNUMBER(SEARCH("LDC", Table6[[#This Row],[instruction]]))), "ind. const", "")</f>
        <v/>
      </c>
      <c r="V5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Row],[s5]]))),U595=""), "cmb. const", "")</f>
        <v/>
      </c>
      <c r="Y595">
        <f>IF(Table6[[#This Row],[pipeline]]="fma",Table6[[#This Row],[delay]],0)</f>
        <v>4</v>
      </c>
      <c r="Z595">
        <f>IF(AND(Table6[[#This Row],[pipeline]]="fma",W595="new"),290,0)</f>
        <v>0</v>
      </c>
      <c r="AK595" s="34"/>
    </row>
    <row r="596" spans="1:37" ht="17" x14ac:dyDescent="0.2">
      <c r="A596" s="31">
        <f>IF(Table6[[#This Row],[instruction]]&lt;&gt;"",MAX($A$6:A595)+1," ")</f>
        <v>591</v>
      </c>
      <c r="B596" s="32" t="s">
        <v>485</v>
      </c>
      <c r="C596" t="s">
        <v>70</v>
      </c>
      <c r="D596" s="31" t="s">
        <v>597</v>
      </c>
      <c r="E596" s="31" t="s">
        <v>689</v>
      </c>
      <c r="F596" s="31" t="s">
        <v>594</v>
      </c>
      <c r="G596" s="31" t="s">
        <v>686</v>
      </c>
      <c r="K596" s="2" t="str">
        <f t="shared" si="9"/>
        <v>fma</v>
      </c>
      <c r="L596" cm="1">
        <f t="array" ref="L5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6" t="str">
        <f>IF(OR(ISNUMBER(SEARCH("imad", Table6[[#This Row],[instruction]])), ISNUMBER(SEARCH("ffma", Table6[[#This Row],[instruction]])), ISNUMBER(SEARCH("fmul", Table6[[#This Row],[instruction]]))), "fma", "")</f>
        <v>fma</v>
      </c>
      <c r="P5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6" t="str">
        <f>IF(OR(ISNUMBER(SEARCH("s2r", Table6[[#This Row],[instruction]])),ISNUMBER(SEARCH("s2ur", Table6[[#This Row],[instruction]]))), "special", "")</f>
        <v/>
      </c>
      <c r="S596" t="str">
        <f>IF(OR(ISNUMBER(SEARCH("stg", Table6[[#This Row],[instruction]])),ISNUMBER(SEARCH("ldg", Table6[[#This Row],[instruction]]))), "global", "")</f>
        <v/>
      </c>
      <c r="T596" t="str">
        <f>IF(OR(ISNUMBER(SEARCH("sts", Table6[[#This Row],[instruction]])),ISNUMBER(SEARCH("lds", Table6[[#This Row],[instruction]]))), "shared", "")</f>
        <v/>
      </c>
      <c r="U596" t="str">
        <f>IF(OR(ISNUMBER(SEARCH("LDC", Table6[[#This Row],[instruction]]))), "ind. const", "")</f>
        <v/>
      </c>
      <c r="V5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Row],[s5]]))),U596=""), "cmb. const", "")</f>
        <v/>
      </c>
      <c r="Y596">
        <f>IF(Table6[[#This Row],[pipeline]]="fma",Table6[[#This Row],[delay]],0)</f>
        <v>4</v>
      </c>
      <c r="Z596">
        <f>IF(AND(Table6[[#This Row],[pipeline]]="fma",W596="new"),290,0)</f>
        <v>0</v>
      </c>
      <c r="AK596" s="34"/>
    </row>
    <row r="597" spans="1:37" ht="17" x14ac:dyDescent="0.2">
      <c r="A597" s="31">
        <f>IF(Table6[[#This Row],[instruction]]&lt;&gt;"",MAX($A$6:A596)+1," ")</f>
        <v>592</v>
      </c>
      <c r="B597" s="32" t="s">
        <v>485</v>
      </c>
      <c r="C597" t="s">
        <v>70</v>
      </c>
      <c r="D597" s="31" t="s">
        <v>604</v>
      </c>
      <c r="E597" s="31" t="s">
        <v>689</v>
      </c>
      <c r="F597" s="31" t="s">
        <v>592</v>
      </c>
      <c r="G597" s="31" t="s">
        <v>520</v>
      </c>
      <c r="K597" s="2" t="str">
        <f t="shared" si="9"/>
        <v>fma</v>
      </c>
      <c r="L597" cm="1">
        <f t="array" ref="L5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7" t="str">
        <f>IF(OR(ISNUMBER(SEARCH("imad", Table6[[#This Row],[instruction]])), ISNUMBER(SEARCH("ffma", Table6[[#This Row],[instruction]])), ISNUMBER(SEARCH("fmul", Table6[[#This Row],[instruction]]))), "fma", "")</f>
        <v>fma</v>
      </c>
      <c r="P5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7" t="str">
        <f>IF(OR(ISNUMBER(SEARCH("s2r", Table6[[#This Row],[instruction]])),ISNUMBER(SEARCH("s2ur", Table6[[#This Row],[instruction]]))), "special", "")</f>
        <v/>
      </c>
      <c r="S597" t="str">
        <f>IF(OR(ISNUMBER(SEARCH("stg", Table6[[#This Row],[instruction]])),ISNUMBER(SEARCH("ldg", Table6[[#This Row],[instruction]]))), "global", "")</f>
        <v/>
      </c>
      <c r="T597" t="str">
        <f>IF(OR(ISNUMBER(SEARCH("sts", Table6[[#This Row],[instruction]])),ISNUMBER(SEARCH("lds", Table6[[#This Row],[instruction]]))), "shared", "")</f>
        <v/>
      </c>
      <c r="U597" t="str">
        <f>IF(OR(ISNUMBER(SEARCH("LDC", Table6[[#This Row],[instruction]]))), "ind. const", "")</f>
        <v/>
      </c>
      <c r="V5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Row],[s5]]))),U597=""), "cmb. const", "")</f>
        <v/>
      </c>
      <c r="Y597">
        <f>IF(Table6[[#This Row],[pipeline]]="fma",Table6[[#This Row],[delay]],0)</f>
        <v>4</v>
      </c>
      <c r="Z597">
        <f>IF(AND(Table6[[#This Row],[pipeline]]="fma",W597="new"),290,0)</f>
        <v>0</v>
      </c>
      <c r="AK597" s="34"/>
    </row>
    <row r="598" spans="1:37" ht="17" x14ac:dyDescent="0.2">
      <c r="A598" s="31">
        <f>IF(Table6[[#This Row],[instruction]]&lt;&gt;"",MAX($A$6:A597)+1," ")</f>
        <v>593</v>
      </c>
      <c r="B598" s="32" t="s">
        <v>485</v>
      </c>
      <c r="C598" t="s">
        <v>70</v>
      </c>
      <c r="D598" s="31" t="s">
        <v>598</v>
      </c>
      <c r="E598" s="31" t="s">
        <v>689</v>
      </c>
      <c r="F598" s="31" t="s">
        <v>575</v>
      </c>
      <c r="G598" s="31" t="s">
        <v>688</v>
      </c>
      <c r="K598" s="2" t="str">
        <f t="shared" si="9"/>
        <v>fma</v>
      </c>
      <c r="L598" cm="1">
        <f t="array" ref="L5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598" t="str">
        <f>IF(OR(ISNUMBER(SEARCH("imad", Table6[[#This Row],[instruction]])), ISNUMBER(SEARCH("ffma", Table6[[#This Row],[instruction]])), ISNUMBER(SEARCH("fmul", Table6[[#This Row],[instruction]]))), "fma", "")</f>
        <v>fma</v>
      </c>
      <c r="P5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598" t="str">
        <f>IF(OR(ISNUMBER(SEARCH("s2r", Table6[[#This Row],[instruction]])),ISNUMBER(SEARCH("s2ur", Table6[[#This Row],[instruction]]))), "special", "")</f>
        <v/>
      </c>
      <c r="S598" t="str">
        <f>IF(OR(ISNUMBER(SEARCH("stg", Table6[[#This Row],[instruction]])),ISNUMBER(SEARCH("ldg", Table6[[#This Row],[instruction]]))), "global", "")</f>
        <v/>
      </c>
      <c r="T598" t="str">
        <f>IF(OR(ISNUMBER(SEARCH("sts", Table6[[#This Row],[instruction]])),ISNUMBER(SEARCH("lds", Table6[[#This Row],[instruction]]))), "shared", "")</f>
        <v/>
      </c>
      <c r="U598" t="str">
        <f>IF(OR(ISNUMBER(SEARCH("LDC", Table6[[#This Row],[instruction]]))), "ind. const", "")</f>
        <v/>
      </c>
      <c r="V5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Row],[s5]]))),U598=""), "cmb. const", "")</f>
        <v/>
      </c>
      <c r="Y598">
        <f>IF(Table6[[#This Row],[pipeline]]="fma",Table6[[#This Row],[delay]],0)</f>
        <v>4</v>
      </c>
      <c r="Z598">
        <f>IF(AND(Table6[[#This Row],[pipeline]]="fma",W598="new"),290,0)</f>
        <v>0</v>
      </c>
      <c r="AK598" s="34"/>
    </row>
    <row r="599" spans="1:37" ht="17" x14ac:dyDescent="0.2">
      <c r="A599" s="31">
        <f>IF(Table6[[#This Row],[instruction]]&lt;&gt;"",MAX($A$6:A598)+1," ")</f>
        <v>594</v>
      </c>
      <c r="B599" s="32" t="s">
        <v>86</v>
      </c>
      <c r="C599" t="s">
        <v>359</v>
      </c>
      <c r="D599" s="31" t="s">
        <v>726</v>
      </c>
      <c r="K599" s="2" t="str">
        <f t="shared" si="9"/>
        <v>cba</v>
      </c>
      <c r="L599" cm="1">
        <f t="array" ref="L5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599" t="s">
        <v>770</v>
      </c>
      <c r="O599" t="str">
        <f>IF(OR(ISNUMBER(SEARCH("imad", Table6[[#This Row],[instruction]])), ISNUMBER(SEARCH("ffma", Table6[[#This Row],[instruction]])), ISNUMBER(SEARCH("fmul", Table6[[#This Row],[instruction]]))), "fma", "")</f>
        <v/>
      </c>
      <c r="P5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5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599" t="str">
        <f>IF(OR(ISNUMBER(SEARCH("s2r", Table6[[#This Row],[instruction]])),ISNUMBER(SEARCH("s2ur", Table6[[#This Row],[instruction]]))), "special", "")</f>
        <v/>
      </c>
      <c r="S599" t="str">
        <f>IF(OR(ISNUMBER(SEARCH("stg", Table6[[#This Row],[instruction]])),ISNUMBER(SEARCH("ldg", Table6[[#This Row],[instruction]]))), "global", "")</f>
        <v/>
      </c>
      <c r="T599" t="str">
        <f>IF(OR(ISNUMBER(SEARCH("sts", Table6[[#This Row],[instruction]])),ISNUMBER(SEARCH("lds", Table6[[#This Row],[instruction]]))), "shared", "")</f>
        <v/>
      </c>
      <c r="U599" t="str">
        <f>IF(OR(ISNUMBER(SEARCH("LDC", Table6[[#This Row],[instruction]]))), "ind. const", "")</f>
        <v/>
      </c>
      <c r="V5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Row],[s5]]))),U599=""), "cmb. const", "")</f>
        <v/>
      </c>
      <c r="Y599">
        <f>IF(Table6[[#This Row],[pipeline]]="fma",Table6[[#This Row],[delay]],0)</f>
        <v>0</v>
      </c>
      <c r="Z599">
        <f>IF(AND(Table6[[#This Row],[pipeline]]="fma",W599="new"),290,0)</f>
        <v>0</v>
      </c>
      <c r="AK599" s="34"/>
    </row>
    <row r="600" spans="1:37" ht="17" x14ac:dyDescent="0.2">
      <c r="A600" s="31">
        <f>IF(Table6[[#This Row],[instruction]]&lt;&gt;"",MAX($A$6:A599)+1," ")</f>
        <v>595</v>
      </c>
      <c r="B600" s="32" t="s">
        <v>485</v>
      </c>
      <c r="C600" t="s">
        <v>3</v>
      </c>
      <c r="D600" s="31" t="s">
        <v>19</v>
      </c>
      <c r="E600" s="31" t="s">
        <v>495</v>
      </c>
      <c r="K600" s="2" t="str">
        <f t="shared" si="9"/>
        <v>special</v>
      </c>
      <c r="L600" cm="1">
        <f t="array" ref="L6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10</v>
      </c>
      <c r="O600" t="str">
        <f>IF(OR(ISNUMBER(SEARCH("imad", Table6[[#This Row],[instruction]])), ISNUMBER(SEARCH("ffma", Table6[[#This Row],[instruction]])), ISNUMBER(SEARCH("fmul", Table6[[#This Row],[instruction]]))), "fma", "")</f>
        <v/>
      </c>
      <c r="P6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0" t="str">
        <f>IF(OR(ISNUMBER(SEARCH("s2r", Table6[[#This Row],[instruction]])),ISNUMBER(SEARCH("s2ur", Table6[[#This Row],[instruction]]))), "special", "")</f>
        <v>special</v>
      </c>
      <c r="S600" t="str">
        <f>IF(OR(ISNUMBER(SEARCH("stg", Table6[[#This Row],[instruction]])),ISNUMBER(SEARCH("ldg", Table6[[#This Row],[instruction]]))), "global", "")</f>
        <v/>
      </c>
      <c r="T600" t="str">
        <f>IF(OR(ISNUMBER(SEARCH("sts", Table6[[#This Row],[instruction]])),ISNUMBER(SEARCH("lds", Table6[[#This Row],[instruction]]))), "shared", "")</f>
        <v/>
      </c>
      <c r="U600" t="str">
        <f>IF(OR(ISNUMBER(SEARCH("LDC", Table6[[#This Row],[instruction]]))), "ind. const", "")</f>
        <v/>
      </c>
      <c r="V6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Row],[s5]]))),U600=""), "cmb. const", "")</f>
        <v/>
      </c>
      <c r="Y600">
        <f>IF(Table6[[#This Row],[pipeline]]="fma",Table6[[#This Row],[delay]],0)</f>
        <v>0</v>
      </c>
      <c r="Z600">
        <f>IF(AND(Table6[[#This Row],[pipeline]]="fma",W600="new"),290,0)</f>
        <v>0</v>
      </c>
      <c r="AK600" s="34"/>
    </row>
    <row r="601" spans="1:37" ht="17" x14ac:dyDescent="0.2">
      <c r="A601" s="31">
        <f>IF(Table6[[#This Row],[instruction]]&lt;&gt;"",MAX($A$6:A600)+1," ")</f>
        <v>596</v>
      </c>
      <c r="B601" s="32" t="s">
        <v>485</v>
      </c>
      <c r="C601" t="s">
        <v>200</v>
      </c>
      <c r="D601" s="31" t="s">
        <v>46</v>
      </c>
      <c r="E601" s="31" t="s">
        <v>46</v>
      </c>
      <c r="F601" s="31" t="s">
        <v>10</v>
      </c>
      <c r="G601" s="31" t="s">
        <v>727</v>
      </c>
      <c r="K601" s="2" t="str">
        <f t="shared" si="9"/>
        <v>alu</v>
      </c>
      <c r="L601" cm="1">
        <f t="array" ref="L6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01" t="str">
        <f>IF(OR(ISNUMBER(SEARCH("imad", Table6[[#This Row],[instruction]])), ISNUMBER(SEARCH("ffma", Table6[[#This Row],[instruction]])), ISNUMBER(SEARCH("fmul", Table6[[#This Row],[instruction]]))), "fma", "")</f>
        <v/>
      </c>
      <c r="P6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1" t="str">
        <f>IF(OR(ISNUMBER(SEARCH("s2r", Table6[[#This Row],[instruction]])),ISNUMBER(SEARCH("s2ur", Table6[[#This Row],[instruction]]))), "special", "")</f>
        <v/>
      </c>
      <c r="S601" t="str">
        <f>IF(OR(ISNUMBER(SEARCH("stg", Table6[[#This Row],[instruction]])),ISNUMBER(SEARCH("ldg", Table6[[#This Row],[instruction]]))), "global", "")</f>
        <v/>
      </c>
      <c r="T601" t="str">
        <f>IF(OR(ISNUMBER(SEARCH("sts", Table6[[#This Row],[instruction]])),ISNUMBER(SEARCH("lds", Table6[[#This Row],[instruction]]))), "shared", "")</f>
        <v/>
      </c>
      <c r="U601" t="str">
        <f>IF(OR(ISNUMBER(SEARCH("LDC", Table6[[#This Row],[instruction]]))), "ind. const", "")</f>
        <v/>
      </c>
      <c r="V6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Row],[s5]]))),U601=""), "cmb. const", "")</f>
        <v/>
      </c>
      <c r="Y601">
        <f>IF(Table6[[#This Row],[pipeline]]="fma",Table6[[#This Row],[delay]],0)</f>
        <v>0</v>
      </c>
      <c r="Z601">
        <f>IF(AND(Table6[[#This Row],[pipeline]]="fma",W601="new"),290,0)</f>
        <v>0</v>
      </c>
      <c r="AK601" s="34"/>
    </row>
    <row r="602" spans="1:37" ht="17" x14ac:dyDescent="0.2">
      <c r="A602" s="31">
        <f>IF(Table6[[#This Row],[instruction]]&lt;&gt;"",MAX($A$6:A601)+1," ")</f>
        <v>597</v>
      </c>
      <c r="B602" s="32" t="s">
        <v>485</v>
      </c>
      <c r="C602" t="s">
        <v>67</v>
      </c>
      <c r="D602" s="31" t="s">
        <v>68</v>
      </c>
      <c r="E602" s="31" t="s">
        <v>728</v>
      </c>
      <c r="K602" s="2" t="str">
        <f t="shared" si="9"/>
        <v>cba</v>
      </c>
      <c r="L602" cm="1">
        <f t="array" ref="L6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02" t="str">
        <f>IF(OR(ISNUMBER(SEARCH("imad", Table6[[#This Row],[instruction]])), ISNUMBER(SEARCH("ffma", Table6[[#This Row],[instruction]])), ISNUMBER(SEARCH("fmul", Table6[[#This Row],[instruction]]))), "fma", "")</f>
        <v/>
      </c>
      <c r="P6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02" t="str">
        <f>IF(OR(ISNUMBER(SEARCH("s2r", Table6[[#This Row],[instruction]])),ISNUMBER(SEARCH("s2ur", Table6[[#This Row],[instruction]]))), "special", "")</f>
        <v/>
      </c>
      <c r="S602" t="str">
        <f>IF(OR(ISNUMBER(SEARCH("stg", Table6[[#This Row],[instruction]])),ISNUMBER(SEARCH("ldg", Table6[[#This Row],[instruction]]))), "global", "")</f>
        <v/>
      </c>
      <c r="T602" t="str">
        <f>IF(OR(ISNUMBER(SEARCH("sts", Table6[[#This Row],[instruction]])),ISNUMBER(SEARCH("lds", Table6[[#This Row],[instruction]]))), "shared", "")</f>
        <v/>
      </c>
      <c r="U602" t="str">
        <f>IF(OR(ISNUMBER(SEARCH("LDC", Table6[[#This Row],[instruction]]))), "ind. const", "")</f>
        <v/>
      </c>
      <c r="V6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Row],[s5]]))),U602=""), "cmb. const", "")</f>
        <v/>
      </c>
      <c r="Y602">
        <f>IF(Table6[[#This Row],[pipeline]]="fma",Table6[[#This Row],[delay]],0)</f>
        <v>0</v>
      </c>
      <c r="Z602">
        <f>IF(AND(Table6[[#This Row],[pipeline]]="fma",W602="new"),290,0)</f>
        <v>0</v>
      </c>
      <c r="AK602" s="35"/>
    </row>
    <row r="603" spans="1:37" ht="17" x14ac:dyDescent="0.2">
      <c r="A603" s="31">
        <f>IF(Table6[[#This Row],[instruction]]&lt;&gt;"",MAX($A$6:A602)+1," ")</f>
        <v>598</v>
      </c>
      <c r="B603" s="32" t="s">
        <v>485</v>
      </c>
      <c r="C603" t="s">
        <v>200</v>
      </c>
      <c r="D603" s="31" t="s">
        <v>19</v>
      </c>
      <c r="E603" s="31" t="s">
        <v>19</v>
      </c>
      <c r="F603" s="31" t="s">
        <v>12</v>
      </c>
      <c r="G603" s="31" t="s">
        <v>657</v>
      </c>
      <c r="K603" s="2" t="str">
        <f t="shared" si="9"/>
        <v>alu</v>
      </c>
      <c r="L603" cm="1">
        <f t="array" ref="L6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03" t="str">
        <f>IF(OR(ISNUMBER(SEARCH("imad", Table6[[#This Row],[instruction]])), ISNUMBER(SEARCH("ffma", Table6[[#This Row],[instruction]])), ISNUMBER(SEARCH("fmul", Table6[[#This Row],[instruction]]))), "fma", "")</f>
        <v/>
      </c>
      <c r="P6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3" t="str">
        <f>IF(OR(ISNUMBER(SEARCH("s2r", Table6[[#This Row],[instruction]])),ISNUMBER(SEARCH("s2ur", Table6[[#This Row],[instruction]]))), "special", "")</f>
        <v/>
      </c>
      <c r="S603" t="str">
        <f>IF(OR(ISNUMBER(SEARCH("stg", Table6[[#This Row],[instruction]])),ISNUMBER(SEARCH("ldg", Table6[[#This Row],[instruction]]))), "global", "")</f>
        <v/>
      </c>
      <c r="T603" t="str">
        <f>IF(OR(ISNUMBER(SEARCH("sts", Table6[[#This Row],[instruction]])),ISNUMBER(SEARCH("lds", Table6[[#This Row],[instruction]]))), "shared", "")</f>
        <v/>
      </c>
      <c r="U603" t="str">
        <f>IF(OR(ISNUMBER(SEARCH("LDC", Table6[[#This Row],[instruction]]))), "ind. const", "")</f>
        <v/>
      </c>
      <c r="V6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Row],[s5]]))),U603=""), "cmb. const", "")</f>
        <v/>
      </c>
      <c r="Y603">
        <f>IF(Table6[[#This Row],[pipeline]]="fma",Table6[[#This Row],[delay]],0)</f>
        <v>0</v>
      </c>
      <c r="Z603">
        <f>IF(AND(Table6[[#This Row],[pipeline]]="fma",W603="new"),290,0)</f>
        <v>0</v>
      </c>
      <c r="AK603" s="34"/>
    </row>
    <row r="604" spans="1:37" ht="17" x14ac:dyDescent="0.2">
      <c r="A604" s="31">
        <f>IF(Table6[[#This Row],[instruction]]&lt;&gt;"",MAX($A$6:A603)+1," ")</f>
        <v>599</v>
      </c>
      <c r="B604" s="32" t="s">
        <v>485</v>
      </c>
      <c r="C604" t="s">
        <v>6</v>
      </c>
      <c r="D604" s="31" t="s">
        <v>12</v>
      </c>
      <c r="E604" s="31" t="e" cm="1">
        <f t="array" ref="E604">-RZ</f>
        <v>#NAME?</v>
      </c>
      <c r="F604" s="31" t="s">
        <v>8</v>
      </c>
      <c r="G604" s="31">
        <v>0</v>
      </c>
      <c r="H604" s="31" t="s">
        <v>558</v>
      </c>
      <c r="K604" s="2" t="s">
        <v>40</v>
      </c>
      <c r="L604" cm="1">
        <f t="array" ref="L6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604" t="s">
        <v>807</v>
      </c>
      <c r="O604" t="str">
        <f>IF(OR(ISNUMBER(SEARCH("imad", Table6[[#This Row],[instruction]])), ISNUMBER(SEARCH("ffma", Table6[[#This Row],[instruction]])), ISNUMBER(SEARCH("fmul", Table6[[#This Row],[instruction]]))), "fma", "")</f>
        <v/>
      </c>
      <c r="P6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4" t="str">
        <f>IF(OR(ISNUMBER(SEARCH("s2r", Table6[[#This Row],[instruction]])),ISNUMBER(SEARCH("s2ur", Table6[[#This Row],[instruction]]))), "special", "")</f>
        <v/>
      </c>
      <c r="S604" t="str">
        <f>IF(OR(ISNUMBER(SEARCH("stg", Table6[[#This Row],[instruction]])),ISNUMBER(SEARCH("ldg", Table6[[#This Row],[instruction]]))), "global", "")</f>
        <v/>
      </c>
      <c r="T604" t="str">
        <f>IF(OR(ISNUMBER(SEARCH("sts", Table6[[#This Row],[instruction]])),ISNUMBER(SEARCH("lds", Table6[[#This Row],[instruction]]))), "shared", "")</f>
        <v/>
      </c>
      <c r="U604" t="str">
        <f>IF(OR(ISNUMBER(SEARCH("LDC", Table6[[#This Row],[instruction]]))), "ind. const", "")</f>
        <v/>
      </c>
      <c r="V6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Row],[s5]]))),U604=""), "cmb. const", "")</f>
        <v/>
      </c>
      <c r="Y604">
        <f>IF(Table6[[#This Row],[pipeline]]="fma",Table6[[#This Row],[delay]],0)</f>
        <v>0</v>
      </c>
      <c r="Z604">
        <f>IF(AND(Table6[[#This Row],[pipeline]]="fma",W604="new"),290,0)</f>
        <v>0</v>
      </c>
      <c r="AK604" s="34"/>
    </row>
    <row r="605" spans="1:37" ht="17" x14ac:dyDescent="0.2">
      <c r="A605" s="31">
        <f>IF(Table6[[#This Row],[instruction]]&lt;&gt;"",MAX($A$6:A604)+1," ")</f>
        <v>600</v>
      </c>
      <c r="B605" s="32" t="s">
        <v>485</v>
      </c>
      <c r="C605" t="s">
        <v>89</v>
      </c>
      <c r="D605" s="31" t="s">
        <v>19</v>
      </c>
      <c r="E605" s="31" t="s">
        <v>19</v>
      </c>
      <c r="F605" s="31" t="s">
        <v>53</v>
      </c>
      <c r="G605" s="31" t="s">
        <v>502</v>
      </c>
      <c r="K605" s="2" t="str">
        <f t="shared" si="9"/>
        <v>fma</v>
      </c>
      <c r="L605" cm="1">
        <f t="array" ref="L6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05" t="str">
        <f>IF(OR(ISNUMBER(SEARCH("imad", Table6[[#This Row],[instruction]])), ISNUMBER(SEARCH("ffma", Table6[[#This Row],[instruction]])), ISNUMBER(SEARCH("fmul", Table6[[#This Row],[instruction]]))), "fma", "")</f>
        <v>fma</v>
      </c>
      <c r="P6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5" t="str">
        <f>IF(OR(ISNUMBER(SEARCH("s2r", Table6[[#This Row],[instruction]])),ISNUMBER(SEARCH("s2ur", Table6[[#This Row],[instruction]]))), "special", "")</f>
        <v/>
      </c>
      <c r="S605" t="str">
        <f>IF(OR(ISNUMBER(SEARCH("stg", Table6[[#This Row],[instruction]])),ISNUMBER(SEARCH("ldg", Table6[[#This Row],[instruction]]))), "global", "")</f>
        <v/>
      </c>
      <c r="T605" t="str">
        <f>IF(OR(ISNUMBER(SEARCH("sts", Table6[[#This Row],[instruction]])),ISNUMBER(SEARCH("lds", Table6[[#This Row],[instruction]]))), "shared", "")</f>
        <v/>
      </c>
      <c r="U605" t="str">
        <f>IF(OR(ISNUMBER(SEARCH("LDC", Table6[[#This Row],[instruction]]))), "ind. const", "")</f>
        <v/>
      </c>
      <c r="V6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Row],[s5]]))),U605=""), "cmb. const", "")</f>
        <v/>
      </c>
      <c r="Y605">
        <f>IF(Table6[[#This Row],[pipeline]]="fma",Table6[[#This Row],[delay]],0)</f>
        <v>4</v>
      </c>
      <c r="Z605">
        <f>IF(AND(Table6[[#This Row],[pipeline]]="fma",W605="new"),290,0)</f>
        <v>0</v>
      </c>
      <c r="AK605" s="34"/>
    </row>
    <row r="606" spans="1:37" ht="17" x14ac:dyDescent="0.2">
      <c r="A606" s="31">
        <f>IF(Table6[[#This Row],[instruction]]&lt;&gt;"",MAX($A$6:A605)+1," ")</f>
        <v>601</v>
      </c>
      <c r="B606" s="32" t="s">
        <v>485</v>
      </c>
      <c r="C606" t="s">
        <v>49</v>
      </c>
      <c r="D606" s="31" t="s">
        <v>50</v>
      </c>
      <c r="E606" s="31" t="s">
        <v>51</v>
      </c>
      <c r="F606" s="31" t="s">
        <v>19</v>
      </c>
      <c r="G606" s="31" t="s">
        <v>18</v>
      </c>
      <c r="H606" s="31" t="s">
        <v>494</v>
      </c>
      <c r="K606" s="2" t="str">
        <f t="shared" si="9"/>
        <v>alu</v>
      </c>
      <c r="L606" cm="1">
        <f t="array" ref="L6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06" t="str">
        <f>IF(OR(ISNUMBER(SEARCH("imad", Table6[[#This Row],[instruction]])), ISNUMBER(SEARCH("ffma", Table6[[#This Row],[instruction]])), ISNUMBER(SEARCH("fmul", Table6[[#This Row],[instruction]]))), "fma", "")</f>
        <v/>
      </c>
      <c r="P6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6" t="str">
        <f>IF(OR(ISNUMBER(SEARCH("s2r", Table6[[#This Row],[instruction]])),ISNUMBER(SEARCH("s2ur", Table6[[#This Row],[instruction]]))), "special", "")</f>
        <v/>
      </c>
      <c r="S606" t="str">
        <f>IF(OR(ISNUMBER(SEARCH("stg", Table6[[#This Row],[instruction]])),ISNUMBER(SEARCH("ldg", Table6[[#This Row],[instruction]]))), "global", "")</f>
        <v/>
      </c>
      <c r="T606" t="str">
        <f>IF(OR(ISNUMBER(SEARCH("sts", Table6[[#This Row],[instruction]])),ISNUMBER(SEARCH("lds", Table6[[#This Row],[instruction]]))), "shared", "")</f>
        <v/>
      </c>
      <c r="U606" t="str">
        <f>IF(OR(ISNUMBER(SEARCH("LDC", Table6[[#This Row],[instruction]]))), "ind. const", "")</f>
        <v/>
      </c>
      <c r="V6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Row],[s5]]))),U606=""), "cmb. const", "")</f>
        <v>cmb. const</v>
      </c>
      <c r="W606" s="2" t="s">
        <v>482</v>
      </c>
      <c r="Y606">
        <f>IF(Table6[[#This Row],[pipeline]]="fma",Table6[[#This Row],[delay]],0)</f>
        <v>0</v>
      </c>
      <c r="Z606">
        <f>IF(AND(Table6[[#This Row],[pipeline]]="fma",W606="new"),290,0)</f>
        <v>0</v>
      </c>
      <c r="AK606" s="34"/>
    </row>
    <row r="607" spans="1:37" ht="17" x14ac:dyDescent="0.2">
      <c r="A607" s="31">
        <f>IF(Table6[[#This Row],[instruction]]&lt;&gt;"",MAX($A$6:A606)+1," ")</f>
        <v>602</v>
      </c>
      <c r="B607" s="32" t="s">
        <v>485</v>
      </c>
      <c r="C607" t="s">
        <v>54</v>
      </c>
      <c r="D607" s="31" t="s">
        <v>17</v>
      </c>
      <c r="E607" s="31" t="s">
        <v>46</v>
      </c>
      <c r="F607" s="31" t="s">
        <v>12</v>
      </c>
      <c r="G607" s="31" t="s">
        <v>729</v>
      </c>
      <c r="K607" s="2" t="str">
        <f t="shared" si="9"/>
        <v>fma</v>
      </c>
      <c r="L607" cm="1">
        <f t="array" ref="L6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07" t="str">
        <f>IF(OR(ISNUMBER(SEARCH("imad", Table6[[#This Row],[instruction]])), ISNUMBER(SEARCH("ffma", Table6[[#This Row],[instruction]])), ISNUMBER(SEARCH("fmul", Table6[[#This Row],[instruction]]))), "fma", "")</f>
        <v>fma</v>
      </c>
      <c r="P6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7" t="str">
        <f>IF(OR(ISNUMBER(SEARCH("s2r", Table6[[#This Row],[instruction]])),ISNUMBER(SEARCH("s2ur", Table6[[#This Row],[instruction]]))), "special", "")</f>
        <v/>
      </c>
      <c r="S607" t="str">
        <f>IF(OR(ISNUMBER(SEARCH("stg", Table6[[#This Row],[instruction]])),ISNUMBER(SEARCH("ldg", Table6[[#This Row],[instruction]]))), "global", "")</f>
        <v/>
      </c>
      <c r="T607" t="str">
        <f>IF(OR(ISNUMBER(SEARCH("sts", Table6[[#This Row],[instruction]])),ISNUMBER(SEARCH("lds", Table6[[#This Row],[instruction]]))), "shared", "")</f>
        <v/>
      </c>
      <c r="U607" t="str">
        <f>IF(OR(ISNUMBER(SEARCH("LDC", Table6[[#This Row],[instruction]]))), "ind. const", "")</f>
        <v/>
      </c>
      <c r="V6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Row],[s5]]))),U607=""), "cmb. const", "")</f>
        <v>cmb. const</v>
      </c>
      <c r="Y607">
        <f>IF(Table6[[#This Row],[pipeline]]="fma",Table6[[#This Row],[delay]],0)</f>
        <v>4</v>
      </c>
      <c r="Z607">
        <f>IF(AND(Table6[[#This Row],[pipeline]]="fma",W607="new"),290,0)</f>
        <v>0</v>
      </c>
      <c r="AK607" s="34"/>
    </row>
    <row r="608" spans="1:37" ht="17" x14ac:dyDescent="0.2">
      <c r="A608" s="31">
        <f>IF(Table6[[#This Row],[instruction]]&lt;&gt;"",MAX($A$6:A607)+1," ")</f>
        <v>603</v>
      </c>
      <c r="B608" s="32" t="s">
        <v>86</v>
      </c>
      <c r="C608" t="s">
        <v>359</v>
      </c>
      <c r="D608" s="31" t="s">
        <v>730</v>
      </c>
      <c r="K608" s="2" t="str">
        <f t="shared" si="9"/>
        <v>cba</v>
      </c>
      <c r="L608" cm="1">
        <f t="array" ref="L6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608" t="s">
        <v>770</v>
      </c>
      <c r="O608" t="str">
        <f>IF(OR(ISNUMBER(SEARCH("imad", Table6[[#This Row],[instruction]])), ISNUMBER(SEARCH("ffma", Table6[[#This Row],[instruction]])), ISNUMBER(SEARCH("fmul", Table6[[#This Row],[instruction]]))), "fma", "")</f>
        <v/>
      </c>
      <c r="P6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08" t="str">
        <f>IF(OR(ISNUMBER(SEARCH("s2r", Table6[[#This Row],[instruction]])),ISNUMBER(SEARCH("s2ur", Table6[[#This Row],[instruction]]))), "special", "")</f>
        <v/>
      </c>
      <c r="S608" t="str">
        <f>IF(OR(ISNUMBER(SEARCH("stg", Table6[[#This Row],[instruction]])),ISNUMBER(SEARCH("ldg", Table6[[#This Row],[instruction]]))), "global", "")</f>
        <v/>
      </c>
      <c r="T608" t="str">
        <f>IF(OR(ISNUMBER(SEARCH("sts", Table6[[#This Row],[instruction]])),ISNUMBER(SEARCH("lds", Table6[[#This Row],[instruction]]))), "shared", "")</f>
        <v/>
      </c>
      <c r="U608" t="str">
        <f>IF(OR(ISNUMBER(SEARCH("LDC", Table6[[#This Row],[instruction]]))), "ind. const", "")</f>
        <v/>
      </c>
      <c r="V6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Row],[s5]]))),U608=""), "cmb. const", "")</f>
        <v/>
      </c>
      <c r="Y608">
        <f>IF(Table6[[#This Row],[pipeline]]="fma",Table6[[#This Row],[delay]],0)</f>
        <v>0</v>
      </c>
      <c r="Z608">
        <f>IF(AND(Table6[[#This Row],[pipeline]]="fma",W608="new"),290,0)</f>
        <v>0</v>
      </c>
      <c r="AK608" s="34"/>
    </row>
    <row r="609" spans="1:37" ht="17" x14ac:dyDescent="0.2">
      <c r="A609" s="31">
        <f>IF(Table6[[#This Row],[instruction]]&lt;&gt;"",MAX($A$6:A608)+1," ")</f>
        <v>604</v>
      </c>
      <c r="B609" s="32" t="s">
        <v>485</v>
      </c>
      <c r="C609" t="s">
        <v>0</v>
      </c>
      <c r="D609" s="31" t="s">
        <v>23</v>
      </c>
      <c r="E609" s="31" t="s">
        <v>488</v>
      </c>
      <c r="K609" s="2" t="s">
        <v>793</v>
      </c>
      <c r="L609" cm="1">
        <f t="array" ref="L6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09" t="str">
        <f>IF(OR(ISNUMBER(SEARCH("imad", Table6[[#This Row],[instruction]])), ISNUMBER(SEARCH("ffma", Table6[[#This Row],[instruction]])), ISNUMBER(SEARCH("fmul", Table6[[#This Row],[instruction]]))), "fma", "")</f>
        <v/>
      </c>
      <c r="P6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09" t="str">
        <f>IF(OR(ISNUMBER(SEARCH("s2r", Table6[[#This Row],[instruction]])),ISNUMBER(SEARCH("s2ur", Table6[[#This Row],[instruction]]))), "special", "")</f>
        <v/>
      </c>
      <c r="S609" t="str">
        <f>IF(OR(ISNUMBER(SEARCH("stg", Table6[[#This Row],[instruction]])),ISNUMBER(SEARCH("ldg", Table6[[#This Row],[instruction]]))), "global", "")</f>
        <v/>
      </c>
      <c r="T609" t="str">
        <f>IF(OR(ISNUMBER(SEARCH("sts", Table6[[#This Row],[instruction]])),ISNUMBER(SEARCH("lds", Table6[[#This Row],[instruction]]))), "shared", "")</f>
        <v/>
      </c>
      <c r="U609" t="str">
        <f>IF(OR(ISNUMBER(SEARCH("LDC", Table6[[#This Row],[instruction]]))), "ind. const", "")</f>
        <v/>
      </c>
      <c r="V6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Row],[s5]]))),U609=""), "cmb. const", "")</f>
        <v>cmb. const</v>
      </c>
      <c r="W609" s="2" t="s">
        <v>481</v>
      </c>
      <c r="Y609">
        <f>IF(Table6[[#This Row],[pipeline]]="fma",Table6[[#This Row],[delay]],0)</f>
        <v>0</v>
      </c>
      <c r="Z609">
        <f>IF(AND(Table6[[#This Row],[pipeline]]="fma",W609="new"),290,0)</f>
        <v>0</v>
      </c>
      <c r="AK609" s="34"/>
    </row>
    <row r="610" spans="1:37" ht="17" x14ac:dyDescent="0.2">
      <c r="A610" s="31">
        <f>IF(Table6[[#This Row],[instruction]]&lt;&gt;"",MAX($A$6:A609)+1," ")</f>
        <v>605</v>
      </c>
      <c r="B610" s="32" t="s">
        <v>485</v>
      </c>
      <c r="C610" t="s">
        <v>45</v>
      </c>
      <c r="D610" s="31" t="s">
        <v>7</v>
      </c>
      <c r="E610" s="31" t="s">
        <v>8</v>
      </c>
      <c r="F610" s="31" t="s">
        <v>8</v>
      </c>
      <c r="G610" s="31" t="s">
        <v>490</v>
      </c>
      <c r="K610" s="2" t="str">
        <f t="shared" si="9"/>
        <v>fma</v>
      </c>
      <c r="L610" cm="1">
        <f t="array" ref="L6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0" t="str">
        <f>IF(OR(ISNUMBER(SEARCH("imad", Table6[[#This Row],[instruction]])), ISNUMBER(SEARCH("ffma", Table6[[#This Row],[instruction]])), ISNUMBER(SEARCH("fmul", Table6[[#This Row],[instruction]]))), "fma", "")</f>
        <v>fma</v>
      </c>
      <c r="P6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0" t="str">
        <f>IF(OR(ISNUMBER(SEARCH("s2r", Table6[[#This Row],[instruction]])),ISNUMBER(SEARCH("s2ur", Table6[[#This Row],[instruction]]))), "special", "")</f>
        <v/>
      </c>
      <c r="S610" t="str">
        <f>IF(OR(ISNUMBER(SEARCH("stg", Table6[[#This Row],[instruction]])),ISNUMBER(SEARCH("ldg", Table6[[#This Row],[instruction]]))), "global", "")</f>
        <v/>
      </c>
      <c r="T610" t="str">
        <f>IF(OR(ISNUMBER(SEARCH("sts", Table6[[#This Row],[instruction]])),ISNUMBER(SEARCH("lds", Table6[[#This Row],[instruction]]))), "shared", "")</f>
        <v/>
      </c>
      <c r="U610" t="str">
        <f>IF(OR(ISNUMBER(SEARCH("LDC", Table6[[#This Row],[instruction]]))), "ind. const", "")</f>
        <v/>
      </c>
      <c r="V6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Row],[s5]]))),U610=""), "cmb. const", "")</f>
        <v>cmb. const</v>
      </c>
      <c r="W610" s="2" t="s">
        <v>481</v>
      </c>
      <c r="Y610">
        <f>IF(Table6[[#This Row],[pipeline]]="fma",Table6[[#This Row],[delay]],0)</f>
        <v>4</v>
      </c>
      <c r="Z610">
        <f>IF(AND(Table6[[#This Row],[pipeline]]="fma",W610="new"),290,0)</f>
        <v>0</v>
      </c>
      <c r="AK610" s="34"/>
    </row>
    <row r="611" spans="1:37" ht="17" x14ac:dyDescent="0.2">
      <c r="A611" s="31">
        <f>IF(Table6[[#This Row],[instruction]]&lt;&gt;"",MAX($A$6:A610)+1," ")</f>
        <v>606</v>
      </c>
      <c r="B611" s="32" t="s">
        <v>485</v>
      </c>
      <c r="C611" t="s">
        <v>26</v>
      </c>
      <c r="D611" s="31" t="s">
        <v>567</v>
      </c>
      <c r="E611" s="31" t="s">
        <v>46</v>
      </c>
      <c r="F611" s="31" t="s">
        <v>459</v>
      </c>
      <c r="G611" s="31" t="s">
        <v>502</v>
      </c>
      <c r="K611" s="2" t="str">
        <f t="shared" si="9"/>
        <v>alu</v>
      </c>
      <c r="L611" cm="1">
        <f t="array" ref="L6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11" t="str">
        <f>IF(OR(ISNUMBER(SEARCH("imad", Table6[[#This Row],[instruction]])), ISNUMBER(SEARCH("ffma", Table6[[#This Row],[instruction]])), ISNUMBER(SEARCH("fmul", Table6[[#This Row],[instruction]]))), "fma", "")</f>
        <v/>
      </c>
      <c r="P6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1" t="str">
        <f>IF(OR(ISNUMBER(SEARCH("s2r", Table6[[#This Row],[instruction]])),ISNUMBER(SEARCH("s2ur", Table6[[#This Row],[instruction]]))), "special", "")</f>
        <v/>
      </c>
      <c r="S611" t="str">
        <f>IF(OR(ISNUMBER(SEARCH("stg", Table6[[#This Row],[instruction]])),ISNUMBER(SEARCH("ldg", Table6[[#This Row],[instruction]]))), "global", "")</f>
        <v/>
      </c>
      <c r="T611" t="str">
        <f>IF(OR(ISNUMBER(SEARCH("sts", Table6[[#This Row],[instruction]])),ISNUMBER(SEARCH("lds", Table6[[#This Row],[instruction]]))), "shared", "")</f>
        <v/>
      </c>
      <c r="U611" t="str">
        <f>IF(OR(ISNUMBER(SEARCH("LDC", Table6[[#This Row],[instruction]]))), "ind. const", "")</f>
        <v/>
      </c>
      <c r="V6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Row],[s5]]))),U611=""), "cmb. const", "")</f>
        <v/>
      </c>
      <c r="Y611">
        <f>IF(Table6[[#This Row],[pipeline]]="fma",Table6[[#This Row],[delay]],0)</f>
        <v>0</v>
      </c>
      <c r="Z611">
        <f>IF(AND(Table6[[#This Row],[pipeline]]="fma",W611="new"),290,0)</f>
        <v>0</v>
      </c>
      <c r="AK611" s="34"/>
    </row>
    <row r="612" spans="1:37" ht="17" x14ac:dyDescent="0.2">
      <c r="A612" s="31">
        <f>IF(Table6[[#This Row],[instruction]]&lt;&gt;"",MAX($A$6:A611)+1," ")</f>
        <v>607</v>
      </c>
      <c r="B612" s="32" t="s">
        <v>485</v>
      </c>
      <c r="C612" t="s">
        <v>463</v>
      </c>
      <c r="D612" s="31" t="s">
        <v>50</v>
      </c>
      <c r="E612" s="31" t="s">
        <v>51</v>
      </c>
      <c r="F612" s="31" t="s">
        <v>23</v>
      </c>
      <c r="G612" s="31" t="s">
        <v>75</v>
      </c>
      <c r="H612" s="31" t="s">
        <v>494</v>
      </c>
      <c r="K612" s="2" t="str">
        <f t="shared" si="9"/>
        <v>alu</v>
      </c>
      <c r="L612" cm="1">
        <f t="array" ref="L6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2" t="str">
        <f>IF(OR(ISNUMBER(SEARCH("imad", Table6[[#This Row],[instruction]])), ISNUMBER(SEARCH("ffma", Table6[[#This Row],[instruction]])), ISNUMBER(SEARCH("fmul", Table6[[#This Row],[instruction]]))), "fma", "")</f>
        <v/>
      </c>
      <c r="P6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2" t="str">
        <f>IF(OR(ISNUMBER(SEARCH("s2r", Table6[[#This Row],[instruction]])),ISNUMBER(SEARCH("s2ur", Table6[[#This Row],[instruction]]))), "special", "")</f>
        <v/>
      </c>
      <c r="S612" t="str">
        <f>IF(OR(ISNUMBER(SEARCH("stg", Table6[[#This Row],[instruction]])),ISNUMBER(SEARCH("ldg", Table6[[#This Row],[instruction]]))), "global", "")</f>
        <v/>
      </c>
      <c r="T612" t="str">
        <f>IF(OR(ISNUMBER(SEARCH("sts", Table6[[#This Row],[instruction]])),ISNUMBER(SEARCH("lds", Table6[[#This Row],[instruction]]))), "shared", "")</f>
        <v/>
      </c>
      <c r="U612" t="str">
        <f>IF(OR(ISNUMBER(SEARCH("LDC", Table6[[#This Row],[instruction]]))), "ind. const", "")</f>
        <v/>
      </c>
      <c r="V6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Row],[s5]]))),U612=""), "cmb. const", "")</f>
        <v/>
      </c>
      <c r="Y612">
        <f>IF(Table6[[#This Row],[pipeline]]="fma",Table6[[#This Row],[delay]],0)</f>
        <v>0</v>
      </c>
      <c r="Z612">
        <f>IF(AND(Table6[[#This Row],[pipeline]]="fma",W612="new"),290,0)</f>
        <v>0</v>
      </c>
      <c r="AK612" s="34"/>
    </row>
    <row r="613" spans="1:37" ht="17" x14ac:dyDescent="0.2">
      <c r="A613" s="31">
        <f>IF(Table6[[#This Row],[instruction]]&lt;&gt;"",MAX($A$6:A612)+1," ")</f>
        <v>608</v>
      </c>
      <c r="B613" s="32" t="s">
        <v>485</v>
      </c>
      <c r="C613" t="s">
        <v>0</v>
      </c>
      <c r="D613" s="31" t="s">
        <v>23</v>
      </c>
      <c r="E613" s="31" t="s">
        <v>508</v>
      </c>
      <c r="K613" s="2" t="s">
        <v>95</v>
      </c>
      <c r="L613" cm="1">
        <f t="array" ref="L6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13" t="str">
        <f>IF(OR(ISNUMBER(SEARCH("imad", Table6[[#This Row],[instruction]])), ISNUMBER(SEARCH("ffma", Table6[[#This Row],[instruction]])), ISNUMBER(SEARCH("fmul", Table6[[#This Row],[instruction]]))), "fma", "")</f>
        <v/>
      </c>
      <c r="P6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3" t="str">
        <f>IF(OR(ISNUMBER(SEARCH("s2r", Table6[[#This Row],[instruction]])),ISNUMBER(SEARCH("s2ur", Table6[[#This Row],[instruction]]))), "special", "")</f>
        <v/>
      </c>
      <c r="S613" t="str">
        <f>IF(OR(ISNUMBER(SEARCH("stg", Table6[[#This Row],[instruction]])),ISNUMBER(SEARCH("ldg", Table6[[#This Row],[instruction]]))), "global", "")</f>
        <v/>
      </c>
      <c r="T613" t="str">
        <f>IF(OR(ISNUMBER(SEARCH("sts", Table6[[#This Row],[instruction]])),ISNUMBER(SEARCH("lds", Table6[[#This Row],[instruction]]))), "shared", "")</f>
        <v/>
      </c>
      <c r="U613" t="str">
        <f>IF(OR(ISNUMBER(SEARCH("LDC", Table6[[#This Row],[instruction]]))), "ind. const", "")</f>
        <v/>
      </c>
      <c r="V6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Row],[s5]]))),U613=""), "cmb. const", "")</f>
        <v/>
      </c>
      <c r="Y613">
        <f>IF(Table6[[#This Row],[pipeline]]="fma",Table6[[#This Row],[delay]],0)</f>
        <v>0</v>
      </c>
      <c r="Z613">
        <f>IF(AND(Table6[[#This Row],[pipeline]]="fma",W613="new"),290,0)</f>
        <v>0</v>
      </c>
      <c r="AK613" s="34"/>
    </row>
    <row r="614" spans="1:37" ht="17" x14ac:dyDescent="0.2">
      <c r="A614" s="31">
        <f>IF(Table6[[#This Row],[instruction]]&lt;&gt;"",MAX($A$6:A613)+1," ")</f>
        <v>609</v>
      </c>
      <c r="B614" s="32" t="s">
        <v>485</v>
      </c>
      <c r="C614" t="s">
        <v>14</v>
      </c>
      <c r="D614" s="31" t="s">
        <v>84</v>
      </c>
      <c r="E614" s="31" t="s">
        <v>567</v>
      </c>
      <c r="F614" s="31" t="s">
        <v>731</v>
      </c>
      <c r="G614" s="31" t="s">
        <v>502</v>
      </c>
      <c r="K614" s="2" t="str">
        <f t="shared" si="9"/>
        <v>fma</v>
      </c>
      <c r="L614" cm="1">
        <f t="array" ref="L6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4" t="str">
        <f>IF(OR(ISNUMBER(SEARCH("imad", Table6[[#This Row],[instruction]])), ISNUMBER(SEARCH("ffma", Table6[[#This Row],[instruction]])), ISNUMBER(SEARCH("fmul", Table6[[#This Row],[instruction]]))), "fma", "")</f>
        <v>fma</v>
      </c>
      <c r="P6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4" t="str">
        <f>IF(OR(ISNUMBER(SEARCH("s2r", Table6[[#This Row],[instruction]])),ISNUMBER(SEARCH("s2ur", Table6[[#This Row],[instruction]]))), "special", "")</f>
        <v/>
      </c>
      <c r="S614" t="str">
        <f>IF(OR(ISNUMBER(SEARCH("stg", Table6[[#This Row],[instruction]])),ISNUMBER(SEARCH("ldg", Table6[[#This Row],[instruction]]))), "global", "")</f>
        <v/>
      </c>
      <c r="T614" t="str">
        <f>IF(OR(ISNUMBER(SEARCH("sts", Table6[[#This Row],[instruction]])),ISNUMBER(SEARCH("lds", Table6[[#This Row],[instruction]]))), "shared", "")</f>
        <v/>
      </c>
      <c r="U614" t="str">
        <f>IF(OR(ISNUMBER(SEARCH("LDC", Table6[[#This Row],[instruction]]))), "ind. const", "")</f>
        <v/>
      </c>
      <c r="V6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Row],[s5]]))),U614=""), "cmb. const", "")</f>
        <v>cmb. const</v>
      </c>
      <c r="W614" s="2" t="s">
        <v>482</v>
      </c>
      <c r="Y614">
        <f>IF(Table6[[#This Row],[pipeline]]="fma",Table6[[#This Row],[delay]],0)</f>
        <v>4</v>
      </c>
      <c r="Z614">
        <f>IF(AND(Table6[[#This Row],[pipeline]]="fma",W614="new"),290,0)</f>
        <v>290</v>
      </c>
      <c r="AK614" s="34"/>
    </row>
    <row r="615" spans="1:37" ht="17" x14ac:dyDescent="0.2">
      <c r="A615" s="31">
        <f>IF(Table6[[#This Row],[instruction]]&lt;&gt;"",MAX($A$6:A614)+1," ")</f>
        <v>610</v>
      </c>
      <c r="B615" s="32" t="s">
        <v>485</v>
      </c>
      <c r="C615" t="s">
        <v>463</v>
      </c>
      <c r="D615" s="31" t="s">
        <v>78</v>
      </c>
      <c r="E615" s="31" t="s">
        <v>51</v>
      </c>
      <c r="F615" s="31" t="s">
        <v>7</v>
      </c>
      <c r="G615" s="31" t="s">
        <v>75</v>
      </c>
      <c r="H615" s="31" t="s">
        <v>494</v>
      </c>
      <c r="K615" s="2" t="str">
        <f t="shared" si="9"/>
        <v>alu</v>
      </c>
      <c r="L615" cm="1">
        <f t="array" ref="L6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5" t="str">
        <f>IF(OR(ISNUMBER(SEARCH("imad", Table6[[#This Row],[instruction]])), ISNUMBER(SEARCH("ffma", Table6[[#This Row],[instruction]])), ISNUMBER(SEARCH("fmul", Table6[[#This Row],[instruction]]))), "fma", "")</f>
        <v/>
      </c>
      <c r="P6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5" t="str">
        <f>IF(OR(ISNUMBER(SEARCH("s2r", Table6[[#This Row],[instruction]])),ISNUMBER(SEARCH("s2ur", Table6[[#This Row],[instruction]]))), "special", "")</f>
        <v/>
      </c>
      <c r="S615" t="str">
        <f>IF(OR(ISNUMBER(SEARCH("stg", Table6[[#This Row],[instruction]])),ISNUMBER(SEARCH("ldg", Table6[[#This Row],[instruction]]))), "global", "")</f>
        <v/>
      </c>
      <c r="T615" t="str">
        <f>IF(OR(ISNUMBER(SEARCH("sts", Table6[[#This Row],[instruction]])),ISNUMBER(SEARCH("lds", Table6[[#This Row],[instruction]]))), "shared", "")</f>
        <v/>
      </c>
      <c r="U615" t="str">
        <f>IF(OR(ISNUMBER(SEARCH("LDC", Table6[[#This Row],[instruction]]))), "ind. const", "")</f>
        <v/>
      </c>
      <c r="V6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Row],[s5]]))),U615=""), "cmb. const", "")</f>
        <v/>
      </c>
      <c r="Y615">
        <f>IF(Table6[[#This Row],[pipeline]]="fma",Table6[[#This Row],[delay]],0)</f>
        <v>0</v>
      </c>
      <c r="Z615">
        <f>IF(AND(Table6[[#This Row],[pipeline]]="fma",W615="new"),290,0)</f>
        <v>0</v>
      </c>
      <c r="AK615" s="34"/>
    </row>
    <row r="616" spans="1:37" ht="17" x14ac:dyDescent="0.2">
      <c r="A616" s="31">
        <f>IF(Table6[[#This Row],[instruction]]&lt;&gt;"",MAX($A$6:A615)+1," ")</f>
        <v>611</v>
      </c>
      <c r="B616" s="32" t="s">
        <v>485</v>
      </c>
      <c r="C616" t="s">
        <v>26</v>
      </c>
      <c r="D616" s="31" t="s">
        <v>637</v>
      </c>
      <c r="E616" s="31" t="s">
        <v>46</v>
      </c>
      <c r="F616" s="31" t="s">
        <v>79</v>
      </c>
      <c r="G616" s="31" t="s">
        <v>502</v>
      </c>
      <c r="K616" s="2" t="str">
        <f t="shared" si="9"/>
        <v>alu</v>
      </c>
      <c r="L616" cm="1">
        <f t="array" ref="L6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16" t="str">
        <f>IF(OR(ISNUMBER(SEARCH("imad", Table6[[#This Row],[instruction]])), ISNUMBER(SEARCH("ffma", Table6[[#This Row],[instruction]])), ISNUMBER(SEARCH("fmul", Table6[[#This Row],[instruction]]))), "fma", "")</f>
        <v/>
      </c>
      <c r="P6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6" t="str">
        <f>IF(OR(ISNUMBER(SEARCH("s2r", Table6[[#This Row],[instruction]])),ISNUMBER(SEARCH("s2ur", Table6[[#This Row],[instruction]]))), "special", "")</f>
        <v/>
      </c>
      <c r="S616" t="str">
        <f>IF(OR(ISNUMBER(SEARCH("stg", Table6[[#This Row],[instruction]])),ISNUMBER(SEARCH("ldg", Table6[[#This Row],[instruction]]))), "global", "")</f>
        <v/>
      </c>
      <c r="T616" t="str">
        <f>IF(OR(ISNUMBER(SEARCH("sts", Table6[[#This Row],[instruction]])),ISNUMBER(SEARCH("lds", Table6[[#This Row],[instruction]]))), "shared", "")</f>
        <v/>
      </c>
      <c r="U616" t="str">
        <f>IF(OR(ISNUMBER(SEARCH("LDC", Table6[[#This Row],[instruction]]))), "ind. const", "")</f>
        <v/>
      </c>
      <c r="V6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Row],[s5]]))),U616=""), "cmb. const", "")</f>
        <v/>
      </c>
      <c r="Y616">
        <f>IF(Table6[[#This Row],[pipeline]]="fma",Table6[[#This Row],[delay]],0)</f>
        <v>0</v>
      </c>
      <c r="Z616">
        <f>IF(AND(Table6[[#This Row],[pipeline]]="fma",W616="new"),290,0)</f>
        <v>0</v>
      </c>
      <c r="AK616" s="34"/>
    </row>
    <row r="617" spans="1:37" ht="17" x14ac:dyDescent="0.2">
      <c r="A617" s="31">
        <f>IF(Table6[[#This Row],[instruction]]&lt;&gt;"",MAX($A$6:A616)+1," ")</f>
        <v>612</v>
      </c>
      <c r="B617" s="32" t="s">
        <v>485</v>
      </c>
      <c r="C617" t="s">
        <v>26</v>
      </c>
      <c r="D617" s="31" t="s">
        <v>447</v>
      </c>
      <c r="E617" s="31" t="s">
        <v>46</v>
      </c>
      <c r="F617" s="31" t="s">
        <v>75</v>
      </c>
      <c r="G617" s="31" t="s">
        <v>502</v>
      </c>
      <c r="K617" s="2" t="str">
        <f t="shared" si="9"/>
        <v>alu</v>
      </c>
      <c r="L617" cm="1">
        <f t="array" ref="L6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17" t="str">
        <f>IF(OR(ISNUMBER(SEARCH("imad", Table6[[#This Row],[instruction]])), ISNUMBER(SEARCH("ffma", Table6[[#This Row],[instruction]])), ISNUMBER(SEARCH("fmul", Table6[[#This Row],[instruction]]))), "fma", "")</f>
        <v/>
      </c>
      <c r="P6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7" t="str">
        <f>IF(OR(ISNUMBER(SEARCH("s2r", Table6[[#This Row],[instruction]])),ISNUMBER(SEARCH("s2ur", Table6[[#This Row],[instruction]]))), "special", "")</f>
        <v/>
      </c>
      <c r="S617" t="str">
        <f>IF(OR(ISNUMBER(SEARCH("stg", Table6[[#This Row],[instruction]])),ISNUMBER(SEARCH("ldg", Table6[[#This Row],[instruction]]))), "global", "")</f>
        <v/>
      </c>
      <c r="T617" t="str">
        <f>IF(OR(ISNUMBER(SEARCH("sts", Table6[[#This Row],[instruction]])),ISNUMBER(SEARCH("lds", Table6[[#This Row],[instruction]]))), "shared", "")</f>
        <v/>
      </c>
      <c r="U617" t="str">
        <f>IF(OR(ISNUMBER(SEARCH("LDC", Table6[[#This Row],[instruction]]))), "ind. const", "")</f>
        <v/>
      </c>
      <c r="V6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Row],[s5]]))),U617=""), "cmb. const", "")</f>
        <v/>
      </c>
      <c r="Y617">
        <f>IF(Table6[[#This Row],[pipeline]]="fma",Table6[[#This Row],[delay]],0)</f>
        <v>0</v>
      </c>
      <c r="Z617">
        <f>IF(AND(Table6[[#This Row],[pipeline]]="fma",W617="new"),290,0)</f>
        <v>0</v>
      </c>
      <c r="AK617" s="34"/>
    </row>
    <row r="618" spans="1:37" ht="17" x14ac:dyDescent="0.2">
      <c r="A618" s="31">
        <f>IF(Table6[[#This Row],[instruction]]&lt;&gt;"",MAX($A$6:A617)+1," ")</f>
        <v>613</v>
      </c>
      <c r="B618" s="32" t="s">
        <v>485</v>
      </c>
      <c r="C618" t="s">
        <v>0</v>
      </c>
      <c r="D618" s="31" t="s">
        <v>27</v>
      </c>
      <c r="E618" s="31" t="s">
        <v>732</v>
      </c>
      <c r="K618" s="2" t="s">
        <v>793</v>
      </c>
      <c r="L618" cm="1">
        <f t="array" ref="L6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18" t="str">
        <f>IF(OR(ISNUMBER(SEARCH("imad", Table6[[#This Row],[instruction]])), ISNUMBER(SEARCH("ffma", Table6[[#This Row],[instruction]])), ISNUMBER(SEARCH("fmul", Table6[[#This Row],[instruction]]))), "fma", "")</f>
        <v/>
      </c>
      <c r="P6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8" t="str">
        <f>IF(OR(ISNUMBER(SEARCH("s2r", Table6[[#This Row],[instruction]])),ISNUMBER(SEARCH("s2ur", Table6[[#This Row],[instruction]]))), "special", "")</f>
        <v/>
      </c>
      <c r="S618" t="str">
        <f>IF(OR(ISNUMBER(SEARCH("stg", Table6[[#This Row],[instruction]])),ISNUMBER(SEARCH("ldg", Table6[[#This Row],[instruction]]))), "global", "")</f>
        <v/>
      </c>
      <c r="T618" t="str">
        <f>IF(OR(ISNUMBER(SEARCH("sts", Table6[[#This Row],[instruction]])),ISNUMBER(SEARCH("lds", Table6[[#This Row],[instruction]]))), "shared", "")</f>
        <v/>
      </c>
      <c r="U618" t="str">
        <f>IF(OR(ISNUMBER(SEARCH("LDC", Table6[[#This Row],[instruction]]))), "ind. const", "")</f>
        <v/>
      </c>
      <c r="V6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Row],[s5]]))),U618=""), "cmb. const", "")</f>
        <v>cmb. const</v>
      </c>
      <c r="W618" s="2" t="s">
        <v>482</v>
      </c>
      <c r="Y618">
        <f>IF(Table6[[#This Row],[pipeline]]="fma",Table6[[#This Row],[delay]],0)</f>
        <v>0</v>
      </c>
      <c r="Z618">
        <f>IF(AND(Table6[[#This Row],[pipeline]]="fma",W618="new"),290,0)</f>
        <v>0</v>
      </c>
      <c r="AK618" s="34"/>
    </row>
    <row r="619" spans="1:37" ht="17" x14ac:dyDescent="0.2">
      <c r="A619" s="31">
        <f>IF(Table6[[#This Row],[instruction]]&lt;&gt;"",MAX($A$6:A618)+1," ")</f>
        <v>614</v>
      </c>
      <c r="B619" s="32" t="s">
        <v>485</v>
      </c>
      <c r="C619" t="s">
        <v>14</v>
      </c>
      <c r="D619" s="31" t="s">
        <v>61</v>
      </c>
      <c r="E619" s="31" t="s">
        <v>637</v>
      </c>
      <c r="F619" s="31" t="s">
        <v>731</v>
      </c>
      <c r="G619" s="31" t="s">
        <v>502</v>
      </c>
      <c r="K619" s="2" t="str">
        <f t="shared" si="9"/>
        <v>fma</v>
      </c>
      <c r="L619" cm="1">
        <f t="array" ref="L6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19" t="str">
        <f>IF(OR(ISNUMBER(SEARCH("imad", Table6[[#This Row],[instruction]])), ISNUMBER(SEARCH("ffma", Table6[[#This Row],[instruction]])), ISNUMBER(SEARCH("fmul", Table6[[#This Row],[instruction]]))), "fma", "")</f>
        <v>fma</v>
      </c>
      <c r="P6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19" t="str">
        <f>IF(OR(ISNUMBER(SEARCH("s2r", Table6[[#This Row],[instruction]])),ISNUMBER(SEARCH("s2ur", Table6[[#This Row],[instruction]]))), "special", "")</f>
        <v/>
      </c>
      <c r="S619" t="str">
        <f>IF(OR(ISNUMBER(SEARCH("stg", Table6[[#This Row],[instruction]])),ISNUMBER(SEARCH("ldg", Table6[[#This Row],[instruction]]))), "global", "")</f>
        <v/>
      </c>
      <c r="T619" t="str">
        <f>IF(OR(ISNUMBER(SEARCH("sts", Table6[[#This Row],[instruction]])),ISNUMBER(SEARCH("lds", Table6[[#This Row],[instruction]]))), "shared", "")</f>
        <v/>
      </c>
      <c r="U619" t="str">
        <f>IF(OR(ISNUMBER(SEARCH("LDC", Table6[[#This Row],[instruction]]))), "ind. const", "")</f>
        <v/>
      </c>
      <c r="V6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Row],[s5]]))),U619=""), "cmb. const", "")</f>
        <v>cmb. const</v>
      </c>
      <c r="W619" s="2" t="s">
        <v>481</v>
      </c>
      <c r="Y619">
        <f>IF(Table6[[#This Row],[pipeline]]="fma",Table6[[#This Row],[delay]],0)</f>
        <v>4</v>
      </c>
      <c r="Z619">
        <f>IF(AND(Table6[[#This Row],[pipeline]]="fma",W619="new"),290,0)</f>
        <v>0</v>
      </c>
      <c r="AK619" s="34"/>
    </row>
    <row r="620" spans="1:37" ht="17" x14ac:dyDescent="0.2">
      <c r="A620" s="31">
        <f>IF(Table6[[#This Row],[instruction]]&lt;&gt;"",MAX($A$6:A619)+1," ")</f>
        <v>615</v>
      </c>
      <c r="B620" s="32" t="s">
        <v>86</v>
      </c>
      <c r="C620" t="s">
        <v>509</v>
      </c>
      <c r="D620" s="31" t="s">
        <v>4</v>
      </c>
      <c r="E620" s="31" t="s">
        <v>19</v>
      </c>
      <c r="F620" s="31" t="s">
        <v>510</v>
      </c>
      <c r="G620" s="31" t="s">
        <v>502</v>
      </c>
      <c r="K620" s="2" t="str">
        <f t="shared" si="9"/>
        <v>fma</v>
      </c>
      <c r="L620" cm="1">
        <f t="array" ref="L6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0" t="str">
        <f>IF(OR(ISNUMBER(SEARCH("imad", Table6[[#This Row],[instruction]])), ISNUMBER(SEARCH("ffma", Table6[[#This Row],[instruction]])), ISNUMBER(SEARCH("fmul", Table6[[#This Row],[instruction]]))), "fma", "")</f>
        <v>fma</v>
      </c>
      <c r="P6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0" t="str">
        <f>IF(OR(ISNUMBER(SEARCH("s2r", Table6[[#This Row],[instruction]])),ISNUMBER(SEARCH("s2ur", Table6[[#This Row],[instruction]]))), "special", "")</f>
        <v/>
      </c>
      <c r="S620" t="str">
        <f>IF(OR(ISNUMBER(SEARCH("stg", Table6[[#This Row],[instruction]])),ISNUMBER(SEARCH("ldg", Table6[[#This Row],[instruction]]))), "global", "")</f>
        <v/>
      </c>
      <c r="T620" t="str">
        <f>IF(OR(ISNUMBER(SEARCH("sts", Table6[[#This Row],[instruction]])),ISNUMBER(SEARCH("lds", Table6[[#This Row],[instruction]]))), "shared", "")</f>
        <v/>
      </c>
      <c r="U620" t="str">
        <f>IF(OR(ISNUMBER(SEARCH("LDC", Table6[[#This Row],[instruction]]))), "ind. const", "")</f>
        <v/>
      </c>
      <c r="V6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Row],[s5]]))),U620=""), "cmb. const", "")</f>
        <v>cmb. const</v>
      </c>
      <c r="W620" s="2" t="s">
        <v>481</v>
      </c>
      <c r="Y620">
        <f>IF(Table6[[#This Row],[pipeline]]="fma",Table6[[#This Row],[delay]],0)</f>
        <v>4</v>
      </c>
      <c r="Z620">
        <f>IF(AND(Table6[[#This Row],[pipeline]]="fma",W620="new"),290,0)</f>
        <v>0</v>
      </c>
      <c r="AK620" s="34"/>
    </row>
    <row r="621" spans="1:37" ht="17" x14ac:dyDescent="0.2">
      <c r="A621" s="31">
        <f>IF(Table6[[#This Row],[instruction]]&lt;&gt;"",MAX($A$6:A620)+1," ")</f>
        <v>616</v>
      </c>
      <c r="B621" s="32" t="s">
        <v>86</v>
      </c>
      <c r="C621" t="s">
        <v>90</v>
      </c>
      <c r="D621" s="31" t="s">
        <v>23</v>
      </c>
      <c r="E621" s="31" t="s">
        <v>8</v>
      </c>
      <c r="F621" s="31" t="s">
        <v>513</v>
      </c>
      <c r="G621" s="31" t="s">
        <v>593</v>
      </c>
      <c r="K621" s="2" t="str">
        <f t="shared" si="9"/>
        <v>alu</v>
      </c>
      <c r="L621" cm="1">
        <f t="array" ref="L6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1" t="str">
        <f>IF(OR(ISNUMBER(SEARCH("imad", Table6[[#This Row],[instruction]])), ISNUMBER(SEARCH("ffma", Table6[[#This Row],[instruction]])), ISNUMBER(SEARCH("fmul", Table6[[#This Row],[instruction]]))), "fma", "")</f>
        <v/>
      </c>
      <c r="P6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1" t="str">
        <f>IF(OR(ISNUMBER(SEARCH("s2r", Table6[[#This Row],[instruction]])),ISNUMBER(SEARCH("s2ur", Table6[[#This Row],[instruction]]))), "special", "")</f>
        <v/>
      </c>
      <c r="S621" t="str">
        <f>IF(OR(ISNUMBER(SEARCH("stg", Table6[[#This Row],[instruction]])),ISNUMBER(SEARCH("ldg", Table6[[#This Row],[instruction]]))), "global", "")</f>
        <v/>
      </c>
      <c r="T621" t="str">
        <f>IF(OR(ISNUMBER(SEARCH("sts", Table6[[#This Row],[instruction]])),ISNUMBER(SEARCH("lds", Table6[[#This Row],[instruction]]))), "shared", "")</f>
        <v/>
      </c>
      <c r="U621" t="str">
        <f>IF(OR(ISNUMBER(SEARCH("LDC", Table6[[#This Row],[instruction]]))), "ind. const", "")</f>
        <v/>
      </c>
      <c r="V6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Row],[s5]]))),U621=""), "cmb. const", "")</f>
        <v>cmb. const</v>
      </c>
      <c r="W621" s="2" t="s">
        <v>481</v>
      </c>
      <c r="Y621">
        <f>IF(Table6[[#This Row],[pipeline]]="fma",Table6[[#This Row],[delay]],0)</f>
        <v>0</v>
      </c>
      <c r="Z621">
        <f>IF(AND(Table6[[#This Row],[pipeline]]="fma",W621="new"),290,0)</f>
        <v>0</v>
      </c>
      <c r="AK621" s="34"/>
    </row>
    <row r="622" spans="1:37" ht="17" x14ac:dyDescent="0.2">
      <c r="A622" s="31">
        <f>IF(Table6[[#This Row],[instruction]]&lt;&gt;"",MAX($A$6:A621)+1," ")</f>
        <v>617</v>
      </c>
      <c r="B622" s="32" t="s">
        <v>485</v>
      </c>
      <c r="C622" t="s">
        <v>463</v>
      </c>
      <c r="D622" s="31" t="s">
        <v>50</v>
      </c>
      <c r="E622" s="31" t="s">
        <v>51</v>
      </c>
      <c r="F622" s="31" t="s">
        <v>27</v>
      </c>
      <c r="G622" s="31" t="s">
        <v>75</v>
      </c>
      <c r="H622" s="31" t="s">
        <v>494</v>
      </c>
      <c r="K622" s="2" t="str">
        <f t="shared" si="9"/>
        <v>alu</v>
      </c>
      <c r="L622" cm="1">
        <f t="array" ref="L6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2" t="str">
        <f>IF(OR(ISNUMBER(SEARCH("imad", Table6[[#This Row],[instruction]])), ISNUMBER(SEARCH("ffma", Table6[[#This Row],[instruction]])), ISNUMBER(SEARCH("fmul", Table6[[#This Row],[instruction]]))), "fma", "")</f>
        <v/>
      </c>
      <c r="P6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2" t="str">
        <f>IF(OR(ISNUMBER(SEARCH("s2r", Table6[[#This Row],[instruction]])),ISNUMBER(SEARCH("s2ur", Table6[[#This Row],[instruction]]))), "special", "")</f>
        <v/>
      </c>
      <c r="S622" t="str">
        <f>IF(OR(ISNUMBER(SEARCH("stg", Table6[[#This Row],[instruction]])),ISNUMBER(SEARCH("ldg", Table6[[#This Row],[instruction]]))), "global", "")</f>
        <v/>
      </c>
      <c r="T622" t="str">
        <f>IF(OR(ISNUMBER(SEARCH("sts", Table6[[#This Row],[instruction]])),ISNUMBER(SEARCH("lds", Table6[[#This Row],[instruction]]))), "shared", "")</f>
        <v/>
      </c>
      <c r="U622" t="str">
        <f>IF(OR(ISNUMBER(SEARCH("LDC", Table6[[#This Row],[instruction]]))), "ind. const", "")</f>
        <v/>
      </c>
      <c r="V6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Row],[s5]]))),U622=""), "cmb. const", "")</f>
        <v/>
      </c>
      <c r="Y622">
        <f>IF(Table6[[#This Row],[pipeline]]="fma",Table6[[#This Row],[delay]],0)</f>
        <v>0</v>
      </c>
      <c r="Z622">
        <f>IF(AND(Table6[[#This Row],[pipeline]]="fma",W622="new"),290,0)</f>
        <v>0</v>
      </c>
      <c r="AK622" s="34"/>
    </row>
    <row r="623" spans="1:37" ht="17" x14ac:dyDescent="0.2">
      <c r="A623" s="31">
        <f>IF(Table6[[#This Row],[instruction]]&lt;&gt;"",MAX($A$6:A622)+1," ")</f>
        <v>618</v>
      </c>
      <c r="B623" s="32" t="s">
        <v>485</v>
      </c>
      <c r="C623" t="s">
        <v>26</v>
      </c>
      <c r="D623" s="31" t="s">
        <v>7</v>
      </c>
      <c r="E623" s="31" t="e">
        <f>-S10</f>
        <v>#VALUE!</v>
      </c>
      <c r="F623" s="31" t="s">
        <v>8</v>
      </c>
      <c r="G623" s="31" t="s">
        <v>502</v>
      </c>
      <c r="K623" s="2" t="str">
        <f t="shared" si="9"/>
        <v>alu</v>
      </c>
      <c r="L623" cm="1">
        <f t="array" ref="L6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23" t="str">
        <f>IF(OR(ISNUMBER(SEARCH("imad", Table6[[#This Row],[instruction]])), ISNUMBER(SEARCH("ffma", Table6[[#This Row],[instruction]])), ISNUMBER(SEARCH("fmul", Table6[[#This Row],[instruction]]))), "fma", "")</f>
        <v/>
      </c>
      <c r="P6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3" t="str">
        <f>IF(OR(ISNUMBER(SEARCH("s2r", Table6[[#This Row],[instruction]])),ISNUMBER(SEARCH("s2ur", Table6[[#This Row],[instruction]]))), "special", "")</f>
        <v/>
      </c>
      <c r="S623" t="str">
        <f>IF(OR(ISNUMBER(SEARCH("stg", Table6[[#This Row],[instruction]])),ISNUMBER(SEARCH("ldg", Table6[[#This Row],[instruction]]))), "global", "")</f>
        <v/>
      </c>
      <c r="T623" t="str">
        <f>IF(OR(ISNUMBER(SEARCH("sts", Table6[[#This Row],[instruction]])),ISNUMBER(SEARCH("lds", Table6[[#This Row],[instruction]]))), "shared", "")</f>
        <v/>
      </c>
      <c r="U623" t="str">
        <f>IF(OR(ISNUMBER(SEARCH("LDC", Table6[[#This Row],[instruction]]))), "ind. const", "")</f>
        <v/>
      </c>
      <c r="V6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Row],[s5]]))),U623=""), "cmb. const", "")</f>
        <v/>
      </c>
      <c r="Y623">
        <f>IF(Table6[[#This Row],[pipeline]]="fma",Table6[[#This Row],[delay]],0)</f>
        <v>0</v>
      </c>
      <c r="Z623">
        <f>IF(AND(Table6[[#This Row],[pipeline]]="fma",W623="new"),290,0)</f>
        <v>0</v>
      </c>
      <c r="AK623" s="34"/>
    </row>
    <row r="624" spans="1:37" ht="17" x14ac:dyDescent="0.2">
      <c r="A624" s="31">
        <f>IF(Table6[[#This Row],[instruction]]&lt;&gt;"",MAX($A$6:A623)+1," ")</f>
        <v>619</v>
      </c>
      <c r="B624" s="32" t="s">
        <v>485</v>
      </c>
      <c r="C624" t="s">
        <v>14</v>
      </c>
      <c r="D624" s="31" t="s">
        <v>23</v>
      </c>
      <c r="E624" s="31" t="s">
        <v>23</v>
      </c>
      <c r="F624" s="31" t="s">
        <v>733</v>
      </c>
      <c r="G624" s="31" t="s">
        <v>502</v>
      </c>
      <c r="K624" s="2" t="str">
        <f t="shared" si="9"/>
        <v>fma</v>
      </c>
      <c r="L624" cm="1">
        <f t="array" ref="L6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4" t="str">
        <f>IF(OR(ISNUMBER(SEARCH("imad", Table6[[#This Row],[instruction]])), ISNUMBER(SEARCH("ffma", Table6[[#This Row],[instruction]])), ISNUMBER(SEARCH("fmul", Table6[[#This Row],[instruction]]))), "fma", "")</f>
        <v>fma</v>
      </c>
      <c r="P6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4" t="str">
        <f>IF(OR(ISNUMBER(SEARCH("s2r", Table6[[#This Row],[instruction]])),ISNUMBER(SEARCH("s2ur", Table6[[#This Row],[instruction]]))), "special", "")</f>
        <v/>
      </c>
      <c r="S624" t="str">
        <f>IF(OR(ISNUMBER(SEARCH("stg", Table6[[#This Row],[instruction]])),ISNUMBER(SEARCH("ldg", Table6[[#This Row],[instruction]]))), "global", "")</f>
        <v/>
      </c>
      <c r="T624" t="str">
        <f>IF(OR(ISNUMBER(SEARCH("sts", Table6[[#This Row],[instruction]])),ISNUMBER(SEARCH("lds", Table6[[#This Row],[instruction]]))), "shared", "")</f>
        <v/>
      </c>
      <c r="U624" t="str">
        <f>IF(OR(ISNUMBER(SEARCH("LDC", Table6[[#This Row],[instruction]]))), "ind. const", "")</f>
        <v/>
      </c>
      <c r="V6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Row],[s5]]))),U624=""), "cmb. const", "")</f>
        <v>cmb. const</v>
      </c>
      <c r="Y624">
        <f>IF(Table6[[#This Row],[pipeline]]="fma",Table6[[#This Row],[delay]],0)</f>
        <v>4</v>
      </c>
      <c r="Z624">
        <f>IF(AND(Table6[[#This Row],[pipeline]]="fma",W624="new"),290,0)</f>
        <v>0</v>
      </c>
      <c r="AK624" s="34"/>
    </row>
    <row r="625" spans="1:37" ht="17" x14ac:dyDescent="0.2">
      <c r="A625" s="31">
        <f>IF(Table6[[#This Row],[instruction]]&lt;&gt;"",MAX($A$6:A624)+1," ")</f>
        <v>620</v>
      </c>
      <c r="B625" s="32" t="s">
        <v>485</v>
      </c>
      <c r="C625" t="s">
        <v>14</v>
      </c>
      <c r="D625" s="31" t="s">
        <v>58</v>
      </c>
      <c r="E625" s="31" t="s">
        <v>7</v>
      </c>
      <c r="F625" s="31" t="s">
        <v>518</v>
      </c>
      <c r="G625" s="31" t="s">
        <v>508</v>
      </c>
      <c r="K625" s="2" t="str">
        <f t="shared" si="9"/>
        <v>fma</v>
      </c>
      <c r="L625" cm="1">
        <f t="array" ref="L6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5" t="str">
        <f>IF(OR(ISNUMBER(SEARCH("imad", Table6[[#This Row],[instruction]])), ISNUMBER(SEARCH("ffma", Table6[[#This Row],[instruction]])), ISNUMBER(SEARCH("fmul", Table6[[#This Row],[instruction]]))), "fma", "")</f>
        <v>fma</v>
      </c>
      <c r="P6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5" t="str">
        <f>IF(OR(ISNUMBER(SEARCH("s2r", Table6[[#This Row],[instruction]])),ISNUMBER(SEARCH("s2ur", Table6[[#This Row],[instruction]]))), "special", "")</f>
        <v/>
      </c>
      <c r="S625" t="str">
        <f>IF(OR(ISNUMBER(SEARCH("stg", Table6[[#This Row],[instruction]])),ISNUMBER(SEARCH("ldg", Table6[[#This Row],[instruction]]))), "global", "")</f>
        <v/>
      </c>
      <c r="T625" t="str">
        <f>IF(OR(ISNUMBER(SEARCH("sts", Table6[[#This Row],[instruction]])),ISNUMBER(SEARCH("lds", Table6[[#This Row],[instruction]]))), "shared", "")</f>
        <v/>
      </c>
      <c r="U625" t="str">
        <f>IF(OR(ISNUMBER(SEARCH("LDC", Table6[[#This Row],[instruction]]))), "ind. const", "")</f>
        <v/>
      </c>
      <c r="V6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Row],[s5]]))),U625=""), "cmb. const", "")</f>
        <v>cmb. const</v>
      </c>
      <c r="W625" s="2" t="s">
        <v>481</v>
      </c>
      <c r="Y625">
        <f>IF(Table6[[#This Row],[pipeline]]="fma",Table6[[#This Row],[delay]],0)</f>
        <v>4</v>
      </c>
      <c r="Z625">
        <f>IF(AND(Table6[[#This Row],[pipeline]]="fma",W625="new"),290,0)</f>
        <v>0</v>
      </c>
      <c r="AK625" s="34"/>
    </row>
    <row r="626" spans="1:37" ht="17" x14ac:dyDescent="0.2">
      <c r="A626" s="31">
        <f>IF(Table6[[#This Row],[instruction]]&lt;&gt;"",MAX($A$6:A625)+1," ")</f>
        <v>621</v>
      </c>
      <c r="B626" s="32" t="s">
        <v>85</v>
      </c>
      <c r="C626" t="s">
        <v>509</v>
      </c>
      <c r="D626" s="31" t="s">
        <v>7</v>
      </c>
      <c r="E626" s="31" t="s">
        <v>58</v>
      </c>
      <c r="F626" s="31" t="s">
        <v>519</v>
      </c>
      <c r="G626" s="31" t="s">
        <v>502</v>
      </c>
      <c r="K626" s="2" t="str">
        <f t="shared" si="9"/>
        <v>fma</v>
      </c>
      <c r="L626" cm="1">
        <f t="array" ref="L6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6" t="str">
        <f>IF(OR(ISNUMBER(SEARCH("imad", Table6[[#This Row],[instruction]])), ISNUMBER(SEARCH("ffma", Table6[[#This Row],[instruction]])), ISNUMBER(SEARCH("fmul", Table6[[#This Row],[instruction]]))), "fma", "")</f>
        <v>fma</v>
      </c>
      <c r="P6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6" t="str">
        <f>IF(OR(ISNUMBER(SEARCH("s2r", Table6[[#This Row],[instruction]])),ISNUMBER(SEARCH("s2ur", Table6[[#This Row],[instruction]]))), "special", "")</f>
        <v/>
      </c>
      <c r="S626" t="str">
        <f>IF(OR(ISNUMBER(SEARCH("stg", Table6[[#This Row],[instruction]])),ISNUMBER(SEARCH("ldg", Table6[[#This Row],[instruction]]))), "global", "")</f>
        <v/>
      </c>
      <c r="T626" t="str">
        <f>IF(OR(ISNUMBER(SEARCH("sts", Table6[[#This Row],[instruction]])),ISNUMBER(SEARCH("lds", Table6[[#This Row],[instruction]]))), "shared", "")</f>
        <v/>
      </c>
      <c r="U626" t="str">
        <f>IF(OR(ISNUMBER(SEARCH("LDC", Table6[[#This Row],[instruction]]))), "ind. const", "")</f>
        <v/>
      </c>
      <c r="V6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Row],[s5]]))),U626=""), "cmb. const", "")</f>
        <v>cmb. const</v>
      </c>
      <c r="W626" s="2" t="s">
        <v>481</v>
      </c>
      <c r="Y626">
        <f>IF(Table6[[#This Row],[pipeline]]="fma",Table6[[#This Row],[delay]],0)</f>
        <v>4</v>
      </c>
      <c r="Z626">
        <f>IF(AND(Table6[[#This Row],[pipeline]]="fma",W626="new"),290,0)</f>
        <v>0</v>
      </c>
      <c r="AK626" s="34"/>
    </row>
    <row r="627" spans="1:37" ht="17" x14ac:dyDescent="0.2">
      <c r="A627" s="31">
        <f>IF(Table6[[#This Row],[instruction]]&lt;&gt;"",MAX($A$6:A626)+1," ")</f>
        <v>622</v>
      </c>
      <c r="B627" s="32" t="s">
        <v>485</v>
      </c>
      <c r="C627" t="s">
        <v>45</v>
      </c>
      <c r="D627" s="31" t="s">
        <v>4</v>
      </c>
      <c r="E627" s="31" t="s">
        <v>8</v>
      </c>
      <c r="F627" s="31" t="s">
        <v>8</v>
      </c>
      <c r="G627" s="31" t="s">
        <v>503</v>
      </c>
      <c r="K627" s="2" t="str">
        <f t="shared" si="9"/>
        <v>fma</v>
      </c>
      <c r="L627" cm="1">
        <f t="array" ref="L6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7" t="str">
        <f>IF(OR(ISNUMBER(SEARCH("imad", Table6[[#This Row],[instruction]])), ISNUMBER(SEARCH("ffma", Table6[[#This Row],[instruction]])), ISNUMBER(SEARCH("fmul", Table6[[#This Row],[instruction]]))), "fma", "")</f>
        <v>fma</v>
      </c>
      <c r="P6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7" t="str">
        <f>IF(OR(ISNUMBER(SEARCH("s2r", Table6[[#This Row],[instruction]])),ISNUMBER(SEARCH("s2ur", Table6[[#This Row],[instruction]]))), "special", "")</f>
        <v/>
      </c>
      <c r="S627" t="str">
        <f>IF(OR(ISNUMBER(SEARCH("stg", Table6[[#This Row],[instruction]])),ISNUMBER(SEARCH("ldg", Table6[[#This Row],[instruction]]))), "global", "")</f>
        <v/>
      </c>
      <c r="T627" t="str">
        <f>IF(OR(ISNUMBER(SEARCH("sts", Table6[[#This Row],[instruction]])),ISNUMBER(SEARCH("lds", Table6[[#This Row],[instruction]]))), "shared", "")</f>
        <v/>
      </c>
      <c r="U627" t="str">
        <f>IF(OR(ISNUMBER(SEARCH("LDC", Table6[[#This Row],[instruction]]))), "ind. const", "")</f>
        <v/>
      </c>
      <c r="V6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Row],[s5]]))),U627=""), "cmb. const", "")</f>
        <v/>
      </c>
      <c r="Y627">
        <f>IF(Table6[[#This Row],[pipeline]]="fma",Table6[[#This Row],[delay]],0)</f>
        <v>4</v>
      </c>
      <c r="Z627">
        <f>IF(AND(Table6[[#This Row],[pipeline]]="fma",W627="new"),290,0)</f>
        <v>0</v>
      </c>
      <c r="AK627" s="34"/>
    </row>
    <row r="628" spans="1:37" ht="17" x14ac:dyDescent="0.2">
      <c r="A628" s="31">
        <f>IF(Table6[[#This Row],[instruction]]&lt;&gt;"",MAX($A$6:A627)+1," ")</f>
        <v>623</v>
      </c>
      <c r="B628" s="32" t="s">
        <v>85</v>
      </c>
      <c r="C628" t="s">
        <v>90</v>
      </c>
      <c r="D628" s="31" t="s">
        <v>4</v>
      </c>
      <c r="E628" s="31" t="s">
        <v>8</v>
      </c>
      <c r="F628" s="31" t="s">
        <v>521</v>
      </c>
      <c r="G628" s="31" t="s">
        <v>537</v>
      </c>
      <c r="K628" s="2" t="str">
        <f t="shared" si="9"/>
        <v>alu</v>
      </c>
      <c r="L628" cm="1">
        <f t="array" ref="L6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28" t="str">
        <f>IF(OR(ISNUMBER(SEARCH("imad", Table6[[#This Row],[instruction]])), ISNUMBER(SEARCH("ffma", Table6[[#This Row],[instruction]])), ISNUMBER(SEARCH("fmul", Table6[[#This Row],[instruction]]))), "fma", "")</f>
        <v/>
      </c>
      <c r="P6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8" t="str">
        <f>IF(OR(ISNUMBER(SEARCH("s2r", Table6[[#This Row],[instruction]])),ISNUMBER(SEARCH("s2ur", Table6[[#This Row],[instruction]]))), "special", "")</f>
        <v/>
      </c>
      <c r="S628" t="str">
        <f>IF(OR(ISNUMBER(SEARCH("stg", Table6[[#This Row],[instruction]])),ISNUMBER(SEARCH("ldg", Table6[[#This Row],[instruction]]))), "global", "")</f>
        <v/>
      </c>
      <c r="T628" t="str">
        <f>IF(OR(ISNUMBER(SEARCH("sts", Table6[[#This Row],[instruction]])),ISNUMBER(SEARCH("lds", Table6[[#This Row],[instruction]]))), "shared", "")</f>
        <v/>
      </c>
      <c r="U628" t="str">
        <f>IF(OR(ISNUMBER(SEARCH("LDC", Table6[[#This Row],[instruction]]))), "ind. const", "")</f>
        <v/>
      </c>
      <c r="V6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Row],[s5]]))),U628=""), "cmb. const", "")</f>
        <v>cmb. const</v>
      </c>
      <c r="W628" s="2" t="s">
        <v>481</v>
      </c>
      <c r="Y628">
        <f>IF(Table6[[#This Row],[pipeline]]="fma",Table6[[#This Row],[delay]],0)</f>
        <v>0</v>
      </c>
      <c r="Z628">
        <f>IF(AND(Table6[[#This Row],[pipeline]]="fma",W628="new"),290,0)</f>
        <v>0</v>
      </c>
      <c r="AK628" s="34"/>
    </row>
    <row r="629" spans="1:37" ht="17" x14ac:dyDescent="0.2">
      <c r="A629" s="31">
        <f>IF(Table6[[#This Row],[instruction]]&lt;&gt;"",MAX($A$6:A628)+1," ")</f>
        <v>624</v>
      </c>
      <c r="B629" s="32" t="s">
        <v>485</v>
      </c>
      <c r="C629" t="s">
        <v>26</v>
      </c>
      <c r="D629" s="31" t="s">
        <v>7</v>
      </c>
      <c r="E629" s="31" t="e">
        <f>-S11</f>
        <v>#VALUE!</v>
      </c>
      <c r="F629" s="31" t="s">
        <v>8</v>
      </c>
      <c r="G629" s="31" t="s">
        <v>502</v>
      </c>
      <c r="K629" s="2" t="str">
        <f t="shared" si="9"/>
        <v>alu</v>
      </c>
      <c r="L629" cm="1">
        <f t="array" ref="L6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29" t="str">
        <f>IF(OR(ISNUMBER(SEARCH("imad", Table6[[#This Row],[instruction]])), ISNUMBER(SEARCH("ffma", Table6[[#This Row],[instruction]])), ISNUMBER(SEARCH("fmul", Table6[[#This Row],[instruction]]))), "fma", "")</f>
        <v/>
      </c>
      <c r="P6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29" t="str">
        <f>IF(OR(ISNUMBER(SEARCH("s2r", Table6[[#This Row],[instruction]])),ISNUMBER(SEARCH("s2ur", Table6[[#This Row],[instruction]]))), "special", "")</f>
        <v/>
      </c>
      <c r="S629" t="str">
        <f>IF(OR(ISNUMBER(SEARCH("stg", Table6[[#This Row],[instruction]])),ISNUMBER(SEARCH("ldg", Table6[[#This Row],[instruction]]))), "global", "")</f>
        <v/>
      </c>
      <c r="T629" t="str">
        <f>IF(OR(ISNUMBER(SEARCH("sts", Table6[[#This Row],[instruction]])),ISNUMBER(SEARCH("lds", Table6[[#This Row],[instruction]]))), "shared", "")</f>
        <v/>
      </c>
      <c r="U629" t="str">
        <f>IF(OR(ISNUMBER(SEARCH("LDC", Table6[[#This Row],[instruction]]))), "ind. const", "")</f>
        <v/>
      </c>
      <c r="V6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Row],[s5]]))),U629=""), "cmb. const", "")</f>
        <v/>
      </c>
      <c r="Y629">
        <f>IF(Table6[[#This Row],[pipeline]]="fma",Table6[[#This Row],[delay]],0)</f>
        <v>0</v>
      </c>
      <c r="Z629">
        <f>IF(AND(Table6[[#This Row],[pipeline]]="fma",W629="new"),290,0)</f>
        <v>0</v>
      </c>
      <c r="AK629" s="34"/>
    </row>
    <row r="630" spans="1:37" ht="17" x14ac:dyDescent="0.2">
      <c r="A630" s="31">
        <f>IF(Table6[[#This Row],[instruction]]&lt;&gt;"",MAX($A$6:A629)+1," ")</f>
        <v>625</v>
      </c>
      <c r="B630" s="32" t="s">
        <v>485</v>
      </c>
      <c r="C630" t="s">
        <v>14</v>
      </c>
      <c r="D630" s="31" t="s">
        <v>4</v>
      </c>
      <c r="E630" s="31" t="s">
        <v>4</v>
      </c>
      <c r="F630" s="31" t="s">
        <v>734</v>
      </c>
      <c r="G630" s="31" t="s">
        <v>514</v>
      </c>
      <c r="K630" s="2" t="str">
        <f t="shared" si="9"/>
        <v>fma</v>
      </c>
      <c r="L630" cm="1">
        <f t="array" ref="L6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0" t="str">
        <f>IF(OR(ISNUMBER(SEARCH("imad", Table6[[#This Row],[instruction]])), ISNUMBER(SEARCH("ffma", Table6[[#This Row],[instruction]])), ISNUMBER(SEARCH("fmul", Table6[[#This Row],[instruction]]))), "fma", "")</f>
        <v>fma</v>
      </c>
      <c r="P6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0" t="str">
        <f>IF(OR(ISNUMBER(SEARCH("s2r", Table6[[#This Row],[instruction]])),ISNUMBER(SEARCH("s2ur", Table6[[#This Row],[instruction]]))), "special", "")</f>
        <v/>
      </c>
      <c r="S630" t="str">
        <f>IF(OR(ISNUMBER(SEARCH("stg", Table6[[#This Row],[instruction]])),ISNUMBER(SEARCH("ldg", Table6[[#This Row],[instruction]]))), "global", "")</f>
        <v/>
      </c>
      <c r="T630" t="str">
        <f>IF(OR(ISNUMBER(SEARCH("sts", Table6[[#This Row],[instruction]])),ISNUMBER(SEARCH("lds", Table6[[#This Row],[instruction]]))), "shared", "")</f>
        <v/>
      </c>
      <c r="U630" t="str">
        <f>IF(OR(ISNUMBER(SEARCH("LDC", Table6[[#This Row],[instruction]]))), "ind. const", "")</f>
        <v/>
      </c>
      <c r="V6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Row],[s5]]))),U630=""), "cmb. const", "")</f>
        <v>cmb. const</v>
      </c>
      <c r="W630" s="2" t="s">
        <v>482</v>
      </c>
      <c r="Y630">
        <f>IF(Table6[[#This Row],[pipeline]]="fma",Table6[[#This Row],[delay]],0)</f>
        <v>4</v>
      </c>
      <c r="Z630">
        <f>IF(AND(Table6[[#This Row],[pipeline]]="fma",W630="new"),290,0)</f>
        <v>290</v>
      </c>
      <c r="AK630" s="34"/>
    </row>
    <row r="631" spans="1:37" ht="17" x14ac:dyDescent="0.2">
      <c r="A631" s="31">
        <f>IF(Table6[[#This Row],[instruction]]&lt;&gt;"",MAX($A$6:A630)+1," ")</f>
        <v>626</v>
      </c>
      <c r="B631" s="32" t="s">
        <v>485</v>
      </c>
      <c r="C631" t="s">
        <v>14</v>
      </c>
      <c r="D631" s="31" t="s">
        <v>23</v>
      </c>
      <c r="E631" s="31" t="s">
        <v>7</v>
      </c>
      <c r="F631" s="31" t="s">
        <v>528</v>
      </c>
      <c r="G631" s="31" t="s">
        <v>503</v>
      </c>
      <c r="K631" s="2" t="str">
        <f t="shared" si="9"/>
        <v>fma</v>
      </c>
      <c r="L631" cm="1">
        <f t="array" ref="L6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1" t="str">
        <f>IF(OR(ISNUMBER(SEARCH("imad", Table6[[#This Row],[instruction]])), ISNUMBER(SEARCH("ffma", Table6[[#This Row],[instruction]])), ISNUMBER(SEARCH("fmul", Table6[[#This Row],[instruction]]))), "fma", "")</f>
        <v>fma</v>
      </c>
      <c r="P6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1" t="str">
        <f>IF(OR(ISNUMBER(SEARCH("s2r", Table6[[#This Row],[instruction]])),ISNUMBER(SEARCH("s2ur", Table6[[#This Row],[instruction]]))), "special", "")</f>
        <v/>
      </c>
      <c r="S631" t="str">
        <f>IF(OR(ISNUMBER(SEARCH("stg", Table6[[#This Row],[instruction]])),ISNUMBER(SEARCH("ldg", Table6[[#This Row],[instruction]]))), "global", "")</f>
        <v/>
      </c>
      <c r="T631" t="str">
        <f>IF(OR(ISNUMBER(SEARCH("sts", Table6[[#This Row],[instruction]])),ISNUMBER(SEARCH("lds", Table6[[#This Row],[instruction]]))), "shared", "")</f>
        <v/>
      </c>
      <c r="U631" t="str">
        <f>IF(OR(ISNUMBER(SEARCH("LDC", Table6[[#This Row],[instruction]]))), "ind. const", "")</f>
        <v/>
      </c>
      <c r="V6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Row],[s5]]))),U631=""), "cmb. const", "")</f>
        <v>cmb. const</v>
      </c>
      <c r="W631" s="2" t="s">
        <v>481</v>
      </c>
      <c r="Y631">
        <f>IF(Table6[[#This Row],[pipeline]]="fma",Table6[[#This Row],[delay]],0)</f>
        <v>4</v>
      </c>
      <c r="Z631">
        <f>IF(AND(Table6[[#This Row],[pipeline]]="fma",W631="new"),290,0)</f>
        <v>0</v>
      </c>
      <c r="AK631" s="34"/>
    </row>
    <row r="632" spans="1:37" ht="17" x14ac:dyDescent="0.2">
      <c r="A632" s="31">
        <f>IF(Table6[[#This Row],[instruction]]&lt;&gt;"",MAX($A$6:A631)+1," ")</f>
        <v>627</v>
      </c>
      <c r="B632" s="32" t="s">
        <v>485</v>
      </c>
      <c r="C632" t="s">
        <v>14</v>
      </c>
      <c r="D632" s="31" t="s">
        <v>58</v>
      </c>
      <c r="E632" s="31" t="s">
        <v>447</v>
      </c>
      <c r="F632" s="31" t="s">
        <v>731</v>
      </c>
      <c r="G632" s="31" t="s">
        <v>502</v>
      </c>
      <c r="K632" s="2" t="str">
        <f t="shared" si="9"/>
        <v>fma</v>
      </c>
      <c r="L632" cm="1">
        <f t="array" ref="L6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2" t="str">
        <f>IF(OR(ISNUMBER(SEARCH("imad", Table6[[#This Row],[instruction]])), ISNUMBER(SEARCH("ffma", Table6[[#This Row],[instruction]])), ISNUMBER(SEARCH("fmul", Table6[[#This Row],[instruction]]))), "fma", "")</f>
        <v>fma</v>
      </c>
      <c r="P6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2" t="str">
        <f>IF(OR(ISNUMBER(SEARCH("s2r", Table6[[#This Row],[instruction]])),ISNUMBER(SEARCH("s2ur", Table6[[#This Row],[instruction]]))), "special", "")</f>
        <v/>
      </c>
      <c r="S632" t="str">
        <f>IF(OR(ISNUMBER(SEARCH("stg", Table6[[#This Row],[instruction]])),ISNUMBER(SEARCH("ldg", Table6[[#This Row],[instruction]]))), "global", "")</f>
        <v/>
      </c>
      <c r="T632" t="str">
        <f>IF(OR(ISNUMBER(SEARCH("sts", Table6[[#This Row],[instruction]])),ISNUMBER(SEARCH("lds", Table6[[#This Row],[instruction]]))), "shared", "")</f>
        <v/>
      </c>
      <c r="U632" t="str">
        <f>IF(OR(ISNUMBER(SEARCH("LDC", Table6[[#This Row],[instruction]]))), "ind. const", "")</f>
        <v/>
      </c>
      <c r="V6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Row],[s5]]))),U632=""), "cmb. const", "")</f>
        <v>cmb. const</v>
      </c>
      <c r="W632" s="2" t="s">
        <v>481</v>
      </c>
      <c r="Y632">
        <f>IF(Table6[[#This Row],[pipeline]]="fma",Table6[[#This Row],[delay]],0)</f>
        <v>4</v>
      </c>
      <c r="Z632">
        <f>IF(AND(Table6[[#This Row],[pipeline]]="fma",W632="new"),290,0)</f>
        <v>0</v>
      </c>
      <c r="AK632" s="34"/>
    </row>
    <row r="633" spans="1:37" ht="17" x14ac:dyDescent="0.2">
      <c r="A633" s="31">
        <f>IF(Table6[[#This Row],[instruction]]&lt;&gt;"",MAX($A$6:A632)+1," ")</f>
        <v>628</v>
      </c>
      <c r="B633" s="32" t="s">
        <v>485</v>
      </c>
      <c r="C633" t="s">
        <v>14</v>
      </c>
      <c r="D633" s="31" t="s">
        <v>23</v>
      </c>
      <c r="E633" s="31" t="s">
        <v>23</v>
      </c>
      <c r="F633" s="31" t="s">
        <v>735</v>
      </c>
      <c r="G633" s="31" t="s">
        <v>593</v>
      </c>
      <c r="K633" s="2" t="str">
        <f t="shared" si="9"/>
        <v>fma</v>
      </c>
      <c r="L633" cm="1">
        <f t="array" ref="L6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3" t="str">
        <f>IF(OR(ISNUMBER(SEARCH("imad", Table6[[#This Row],[instruction]])), ISNUMBER(SEARCH("ffma", Table6[[#This Row],[instruction]])), ISNUMBER(SEARCH("fmul", Table6[[#This Row],[instruction]]))), "fma", "")</f>
        <v>fma</v>
      </c>
      <c r="P6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3" t="str">
        <f>IF(OR(ISNUMBER(SEARCH("s2r", Table6[[#This Row],[instruction]])),ISNUMBER(SEARCH("s2ur", Table6[[#This Row],[instruction]]))), "special", "")</f>
        <v/>
      </c>
      <c r="S633" t="str">
        <f>IF(OR(ISNUMBER(SEARCH("stg", Table6[[#This Row],[instruction]])),ISNUMBER(SEARCH("ldg", Table6[[#This Row],[instruction]]))), "global", "")</f>
        <v/>
      </c>
      <c r="T633" t="str">
        <f>IF(OR(ISNUMBER(SEARCH("sts", Table6[[#This Row],[instruction]])),ISNUMBER(SEARCH("lds", Table6[[#This Row],[instruction]]))), "shared", "")</f>
        <v/>
      </c>
      <c r="U633" t="str">
        <f>IF(OR(ISNUMBER(SEARCH("LDC", Table6[[#This Row],[instruction]]))), "ind. const", "")</f>
        <v/>
      </c>
      <c r="V6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Row],[s5]]))),U633=""), "cmb. const", "")</f>
        <v>cmb. const</v>
      </c>
      <c r="W633" s="2" t="s">
        <v>482</v>
      </c>
      <c r="Y633">
        <f>IF(Table6[[#This Row],[pipeline]]="fma",Table6[[#This Row],[delay]],0)</f>
        <v>4</v>
      </c>
      <c r="Z633">
        <f>IF(AND(Table6[[#This Row],[pipeline]]="fma",W633="new"),290,0)</f>
        <v>290</v>
      </c>
      <c r="AK633" s="34"/>
    </row>
    <row r="634" spans="1:37" ht="17" x14ac:dyDescent="0.2">
      <c r="A634" s="31">
        <f>IF(Table6[[#This Row],[instruction]]&lt;&gt;"",MAX($A$6:A633)+1," ")</f>
        <v>629</v>
      </c>
      <c r="B634" s="32" t="s">
        <v>485</v>
      </c>
      <c r="C634" t="s">
        <v>14</v>
      </c>
      <c r="D634" s="31" t="s">
        <v>4</v>
      </c>
      <c r="E634" s="31" t="s">
        <v>46</v>
      </c>
      <c r="F634" s="31" t="s">
        <v>731</v>
      </c>
      <c r="G634" s="31" t="s">
        <v>502</v>
      </c>
      <c r="K634" s="2" t="str">
        <f t="shared" si="9"/>
        <v>fma</v>
      </c>
      <c r="L634" cm="1">
        <f t="array" ref="L6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4" t="str">
        <f>IF(OR(ISNUMBER(SEARCH("imad", Table6[[#This Row],[instruction]])), ISNUMBER(SEARCH("ffma", Table6[[#This Row],[instruction]])), ISNUMBER(SEARCH("fmul", Table6[[#This Row],[instruction]]))), "fma", "")</f>
        <v>fma</v>
      </c>
      <c r="P6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4" t="str">
        <f>IF(OR(ISNUMBER(SEARCH("s2r", Table6[[#This Row],[instruction]])),ISNUMBER(SEARCH("s2ur", Table6[[#This Row],[instruction]]))), "special", "")</f>
        <v/>
      </c>
      <c r="S634" t="str">
        <f>IF(OR(ISNUMBER(SEARCH("stg", Table6[[#This Row],[instruction]])),ISNUMBER(SEARCH("ldg", Table6[[#This Row],[instruction]]))), "global", "")</f>
        <v/>
      </c>
      <c r="T634" t="str">
        <f>IF(OR(ISNUMBER(SEARCH("sts", Table6[[#This Row],[instruction]])),ISNUMBER(SEARCH("lds", Table6[[#This Row],[instruction]]))), "shared", "")</f>
        <v/>
      </c>
      <c r="U634" t="str">
        <f>IF(OR(ISNUMBER(SEARCH("LDC", Table6[[#This Row],[instruction]]))), "ind. const", "")</f>
        <v/>
      </c>
      <c r="V6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Row],[s5]]))),U634=""), "cmb. const", "")</f>
        <v>cmb. const</v>
      </c>
      <c r="W634" s="2" t="s">
        <v>481</v>
      </c>
      <c r="Y634">
        <f>IF(Table6[[#This Row],[pipeline]]="fma",Table6[[#This Row],[delay]],0)</f>
        <v>4</v>
      </c>
      <c r="Z634">
        <f>IF(AND(Table6[[#This Row],[pipeline]]="fma",W634="new"),290,0)</f>
        <v>0</v>
      </c>
      <c r="AK634" s="34"/>
    </row>
    <row r="635" spans="1:37" ht="17" x14ac:dyDescent="0.2">
      <c r="A635" s="31">
        <f>IF(Table6[[#This Row],[instruction]]&lt;&gt;"",MAX($A$6:A634)+1," ")</f>
        <v>630</v>
      </c>
      <c r="B635" s="32" t="s">
        <v>485</v>
      </c>
      <c r="C635" t="s">
        <v>427</v>
      </c>
      <c r="D635" s="31" t="s">
        <v>7</v>
      </c>
      <c r="E635" s="31" t="s">
        <v>8</v>
      </c>
      <c r="F635" s="31" t="s">
        <v>428</v>
      </c>
      <c r="G635" s="31" t="s">
        <v>514</v>
      </c>
      <c r="K635" s="2" t="str">
        <f t="shared" si="9"/>
        <v>alu</v>
      </c>
      <c r="L635" cm="1">
        <f t="array" ref="L6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35" t="str">
        <f>IF(OR(ISNUMBER(SEARCH("imad", Table6[[#This Row],[instruction]])), ISNUMBER(SEARCH("ffma", Table6[[#This Row],[instruction]])), ISNUMBER(SEARCH("fmul", Table6[[#This Row],[instruction]]))), "fma", "")</f>
        <v/>
      </c>
      <c r="P6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5" t="str">
        <f>IF(OR(ISNUMBER(SEARCH("s2r", Table6[[#This Row],[instruction]])),ISNUMBER(SEARCH("s2ur", Table6[[#This Row],[instruction]]))), "special", "")</f>
        <v/>
      </c>
      <c r="S635" t="str">
        <f>IF(OR(ISNUMBER(SEARCH("stg", Table6[[#This Row],[instruction]])),ISNUMBER(SEARCH("ldg", Table6[[#This Row],[instruction]]))), "global", "")</f>
        <v/>
      </c>
      <c r="T635" t="str">
        <f>IF(OR(ISNUMBER(SEARCH("sts", Table6[[#This Row],[instruction]])),ISNUMBER(SEARCH("lds", Table6[[#This Row],[instruction]]))), "shared", "")</f>
        <v/>
      </c>
      <c r="U635" t="str">
        <f>IF(OR(ISNUMBER(SEARCH("LDC", Table6[[#This Row],[instruction]]))), "ind. const", "")</f>
        <v/>
      </c>
      <c r="V6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Row],[s5]]))),U635=""), "cmb. const", "")</f>
        <v/>
      </c>
      <c r="Y635">
        <f>IF(Table6[[#This Row],[pipeline]]="fma",Table6[[#This Row],[delay]],0)</f>
        <v>0</v>
      </c>
      <c r="Z635">
        <f>IF(AND(Table6[[#This Row],[pipeline]]="fma",W635="new"),290,0)</f>
        <v>0</v>
      </c>
      <c r="AK635" s="34"/>
    </row>
    <row r="636" spans="1:37" ht="17" x14ac:dyDescent="0.2">
      <c r="A636" s="31">
        <f>IF(Table6[[#This Row],[instruction]]&lt;&gt;"",MAX($A$6:A635)+1," ")</f>
        <v>631</v>
      </c>
      <c r="B636" s="32" t="s">
        <v>485</v>
      </c>
      <c r="C636" t="s">
        <v>26</v>
      </c>
      <c r="D636" s="31" t="s">
        <v>440</v>
      </c>
      <c r="E636" s="31" t="s">
        <v>531</v>
      </c>
      <c r="F636" s="31" t="s">
        <v>23</v>
      </c>
      <c r="G636" s="31" t="s">
        <v>84</v>
      </c>
      <c r="H636" s="31" t="s">
        <v>502</v>
      </c>
      <c r="K636" s="2" t="str">
        <f t="shared" si="9"/>
        <v>alu</v>
      </c>
      <c r="L636" cm="1">
        <f t="array" ref="L6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36" t="str">
        <f>IF(OR(ISNUMBER(SEARCH("imad", Table6[[#This Row],[instruction]])), ISNUMBER(SEARCH("ffma", Table6[[#This Row],[instruction]])), ISNUMBER(SEARCH("fmul", Table6[[#This Row],[instruction]]))), "fma", "")</f>
        <v/>
      </c>
      <c r="P6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6" t="str">
        <f>IF(OR(ISNUMBER(SEARCH("s2r", Table6[[#This Row],[instruction]])),ISNUMBER(SEARCH("s2ur", Table6[[#This Row],[instruction]]))), "special", "")</f>
        <v/>
      </c>
      <c r="S636" t="str">
        <f>IF(OR(ISNUMBER(SEARCH("stg", Table6[[#This Row],[instruction]])),ISNUMBER(SEARCH("ldg", Table6[[#This Row],[instruction]]))), "global", "")</f>
        <v/>
      </c>
      <c r="T636" t="str">
        <f>IF(OR(ISNUMBER(SEARCH("sts", Table6[[#This Row],[instruction]])),ISNUMBER(SEARCH("lds", Table6[[#This Row],[instruction]]))), "shared", "")</f>
        <v/>
      </c>
      <c r="U636" t="str">
        <f>IF(OR(ISNUMBER(SEARCH("LDC", Table6[[#This Row],[instruction]]))), "ind. const", "")</f>
        <v/>
      </c>
      <c r="V6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Row],[s5]]))),U636=""), "cmb. const", "")</f>
        <v/>
      </c>
      <c r="Y636">
        <f>IF(Table6[[#This Row],[pipeline]]="fma",Table6[[#This Row],[delay]],0)</f>
        <v>0</v>
      </c>
      <c r="Z636">
        <f>IF(AND(Table6[[#This Row],[pipeline]]="fma",W636="new"),290,0)</f>
        <v>0</v>
      </c>
      <c r="AK636" s="34"/>
    </row>
    <row r="637" spans="1:37" ht="17" x14ac:dyDescent="0.2">
      <c r="A637" s="31">
        <f>IF(Table6[[#This Row],[instruction]]&lt;&gt;"",MAX($A$6:A636)+1," ")</f>
        <v>632</v>
      </c>
      <c r="B637" s="32" t="s">
        <v>485</v>
      </c>
      <c r="C637" t="s">
        <v>26</v>
      </c>
      <c r="D637" s="31" t="s">
        <v>439</v>
      </c>
      <c r="E637" s="31" t="s">
        <v>533</v>
      </c>
      <c r="F637" s="31" t="s">
        <v>23</v>
      </c>
      <c r="G637" s="31" t="s">
        <v>61</v>
      </c>
      <c r="H637" s="31" t="s">
        <v>502</v>
      </c>
      <c r="K637" s="2" t="str">
        <f t="shared" si="9"/>
        <v>alu</v>
      </c>
      <c r="L637" cm="1">
        <f t="array" ref="L6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37" t="str">
        <f>IF(OR(ISNUMBER(SEARCH("imad", Table6[[#This Row],[instruction]])), ISNUMBER(SEARCH("ffma", Table6[[#This Row],[instruction]])), ISNUMBER(SEARCH("fmul", Table6[[#This Row],[instruction]]))), "fma", "")</f>
        <v/>
      </c>
      <c r="P6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7" t="str">
        <f>IF(OR(ISNUMBER(SEARCH("s2r", Table6[[#This Row],[instruction]])),ISNUMBER(SEARCH("s2ur", Table6[[#This Row],[instruction]]))), "special", "")</f>
        <v/>
      </c>
      <c r="S637" t="str">
        <f>IF(OR(ISNUMBER(SEARCH("stg", Table6[[#This Row],[instruction]])),ISNUMBER(SEARCH("ldg", Table6[[#This Row],[instruction]]))), "global", "")</f>
        <v/>
      </c>
      <c r="T637" t="str">
        <f>IF(OR(ISNUMBER(SEARCH("sts", Table6[[#This Row],[instruction]])),ISNUMBER(SEARCH("lds", Table6[[#This Row],[instruction]]))), "shared", "")</f>
        <v/>
      </c>
      <c r="U637" t="str">
        <f>IF(OR(ISNUMBER(SEARCH("LDC", Table6[[#This Row],[instruction]]))), "ind. const", "")</f>
        <v/>
      </c>
      <c r="V6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Row],[s5]]))),U637=""), "cmb. const", "")</f>
        <v/>
      </c>
      <c r="Y637">
        <f>IF(Table6[[#This Row],[pipeline]]="fma",Table6[[#This Row],[delay]],0)</f>
        <v>0</v>
      </c>
      <c r="Z637">
        <f>IF(AND(Table6[[#This Row],[pipeline]]="fma",W637="new"),290,0)</f>
        <v>0</v>
      </c>
      <c r="AK637" s="34"/>
    </row>
    <row r="638" spans="1:37" ht="17" x14ac:dyDescent="0.2">
      <c r="A638" s="31">
        <f>IF(Table6[[#This Row],[instruction]]&lt;&gt;"",MAX($A$6:A637)+1," ")</f>
        <v>633</v>
      </c>
      <c r="B638" s="32" t="s">
        <v>485</v>
      </c>
      <c r="C638" t="s">
        <v>26</v>
      </c>
      <c r="D638" s="31" t="s">
        <v>60</v>
      </c>
      <c r="E638" s="31" t="s">
        <v>78</v>
      </c>
      <c r="F638" s="31" t="s">
        <v>23</v>
      </c>
      <c r="G638" s="31" t="s">
        <v>4</v>
      </c>
      <c r="H638" s="31" t="s">
        <v>502</v>
      </c>
      <c r="K638" s="2" t="str">
        <f t="shared" si="9"/>
        <v>alu</v>
      </c>
      <c r="L638" cm="1">
        <f t="array" ref="L6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38" t="str">
        <f>IF(OR(ISNUMBER(SEARCH("imad", Table6[[#This Row],[instruction]])), ISNUMBER(SEARCH("ffma", Table6[[#This Row],[instruction]])), ISNUMBER(SEARCH("fmul", Table6[[#This Row],[instruction]]))), "fma", "")</f>
        <v/>
      </c>
      <c r="P6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8" t="str">
        <f>IF(OR(ISNUMBER(SEARCH("s2r", Table6[[#This Row],[instruction]])),ISNUMBER(SEARCH("s2ur", Table6[[#This Row],[instruction]]))), "special", "")</f>
        <v/>
      </c>
      <c r="S638" t="str">
        <f>IF(OR(ISNUMBER(SEARCH("stg", Table6[[#This Row],[instruction]])),ISNUMBER(SEARCH("ldg", Table6[[#This Row],[instruction]]))), "global", "")</f>
        <v/>
      </c>
      <c r="T638" t="str">
        <f>IF(OR(ISNUMBER(SEARCH("sts", Table6[[#This Row],[instruction]])),ISNUMBER(SEARCH("lds", Table6[[#This Row],[instruction]]))), "shared", "")</f>
        <v/>
      </c>
      <c r="U638" t="str">
        <f>IF(OR(ISNUMBER(SEARCH("LDC", Table6[[#This Row],[instruction]]))), "ind. const", "")</f>
        <v/>
      </c>
      <c r="V6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Row],[s5]]))),U638=""), "cmb. const", "")</f>
        <v/>
      </c>
      <c r="Y638">
        <f>IF(Table6[[#This Row],[pipeline]]="fma",Table6[[#This Row],[delay]],0)</f>
        <v>0</v>
      </c>
      <c r="Z638">
        <f>IF(AND(Table6[[#This Row],[pipeline]]="fma",W638="new"),290,0)</f>
        <v>0</v>
      </c>
      <c r="AK638" s="34"/>
    </row>
    <row r="639" spans="1:37" ht="17" x14ac:dyDescent="0.2">
      <c r="A639" s="31">
        <f>IF(Table6[[#This Row],[instruction]]&lt;&gt;"",MAX($A$6:A638)+1," ")</f>
        <v>634</v>
      </c>
      <c r="B639" s="32" t="s">
        <v>485</v>
      </c>
      <c r="C639" t="s">
        <v>26</v>
      </c>
      <c r="D639" s="31" t="s">
        <v>27</v>
      </c>
      <c r="E639" s="31" t="s">
        <v>74</v>
      </c>
      <c r="F639" s="31" t="s">
        <v>23</v>
      </c>
      <c r="G639" s="31" t="s">
        <v>58</v>
      </c>
      <c r="H639" s="31" t="s">
        <v>502</v>
      </c>
      <c r="K639" s="2" t="str">
        <f t="shared" si="9"/>
        <v>alu</v>
      </c>
      <c r="L639" cm="1">
        <f t="array" ref="L6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39" t="str">
        <f>IF(OR(ISNUMBER(SEARCH("imad", Table6[[#This Row],[instruction]])), ISNUMBER(SEARCH("ffma", Table6[[#This Row],[instruction]])), ISNUMBER(SEARCH("fmul", Table6[[#This Row],[instruction]]))), "fma", "")</f>
        <v/>
      </c>
      <c r="P6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39" t="str">
        <f>IF(OR(ISNUMBER(SEARCH("s2r", Table6[[#This Row],[instruction]])),ISNUMBER(SEARCH("s2ur", Table6[[#This Row],[instruction]]))), "special", "")</f>
        <v/>
      </c>
      <c r="S639" t="str">
        <f>IF(OR(ISNUMBER(SEARCH("stg", Table6[[#This Row],[instruction]])),ISNUMBER(SEARCH("ldg", Table6[[#This Row],[instruction]]))), "global", "")</f>
        <v/>
      </c>
      <c r="T639" t="str">
        <f>IF(OR(ISNUMBER(SEARCH("sts", Table6[[#This Row],[instruction]])),ISNUMBER(SEARCH("lds", Table6[[#This Row],[instruction]]))), "shared", "")</f>
        <v/>
      </c>
      <c r="U639" t="str">
        <f>IF(OR(ISNUMBER(SEARCH("LDC", Table6[[#This Row],[instruction]]))), "ind. const", "")</f>
        <v/>
      </c>
      <c r="V6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Row],[s5]]))),U639=""), "cmb. const", "")</f>
        <v/>
      </c>
      <c r="Y639">
        <f>IF(Table6[[#This Row],[pipeline]]="fma",Table6[[#This Row],[delay]],0)</f>
        <v>0</v>
      </c>
      <c r="Z639">
        <f>IF(AND(Table6[[#This Row],[pipeline]]="fma",W639="new"),290,0)</f>
        <v>0</v>
      </c>
      <c r="AK639" s="34"/>
    </row>
    <row r="640" spans="1:37" ht="17" x14ac:dyDescent="0.2">
      <c r="A640" s="31">
        <f>IF(Table6[[#This Row],[instruction]]&lt;&gt;"",MAX($A$6:A639)+1," ")</f>
        <v>635</v>
      </c>
      <c r="B640" s="32" t="s">
        <v>485</v>
      </c>
      <c r="C640" t="s">
        <v>736</v>
      </c>
      <c r="D640" s="31" t="s">
        <v>23</v>
      </c>
      <c r="E640" s="31" t="s">
        <v>84</v>
      </c>
      <c r="F640" s="31" t="s">
        <v>7</v>
      </c>
      <c r="G640" s="31" t="s">
        <v>75</v>
      </c>
      <c r="H640" s="31" t="s">
        <v>737</v>
      </c>
      <c r="K640" s="2" t="str">
        <f t="shared" si="9"/>
        <v>alu</v>
      </c>
      <c r="L640" cm="1">
        <f t="array" ref="L6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40" t="str">
        <f>IF(OR(ISNUMBER(SEARCH("imad", Table6[[#This Row],[instruction]])), ISNUMBER(SEARCH("ffma", Table6[[#This Row],[instruction]])), ISNUMBER(SEARCH("fmul", Table6[[#This Row],[instruction]]))), "fma", "")</f>
        <v/>
      </c>
      <c r="P6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0" t="str">
        <f>IF(OR(ISNUMBER(SEARCH("s2r", Table6[[#This Row],[instruction]])),ISNUMBER(SEARCH("s2ur", Table6[[#This Row],[instruction]]))), "special", "")</f>
        <v/>
      </c>
      <c r="S640" t="str">
        <f>IF(OR(ISNUMBER(SEARCH("stg", Table6[[#This Row],[instruction]])),ISNUMBER(SEARCH("ldg", Table6[[#This Row],[instruction]]))), "global", "")</f>
        <v/>
      </c>
      <c r="T640" t="str">
        <f>IF(OR(ISNUMBER(SEARCH("sts", Table6[[#This Row],[instruction]])),ISNUMBER(SEARCH("lds", Table6[[#This Row],[instruction]]))), "shared", "")</f>
        <v/>
      </c>
      <c r="U640" t="str">
        <f>IF(OR(ISNUMBER(SEARCH("LDC", Table6[[#This Row],[instruction]]))), "ind. const", "")</f>
        <v/>
      </c>
      <c r="V6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Row],[s5]]))),U640=""), "cmb. const", "")</f>
        <v/>
      </c>
      <c r="Y640">
        <f>IF(Table6[[#This Row],[pipeline]]="fma",Table6[[#This Row],[delay]],0)</f>
        <v>0</v>
      </c>
      <c r="Z640">
        <f>IF(AND(Table6[[#This Row],[pipeline]]="fma",W640="new"),290,0)</f>
        <v>0</v>
      </c>
      <c r="AK640" s="34"/>
    </row>
    <row r="641" spans="1:37" ht="17" x14ac:dyDescent="0.2">
      <c r="A641" s="31">
        <f>IF(Table6[[#This Row],[instruction]]&lt;&gt;"",MAX($A$6:A640)+1," ")</f>
        <v>636</v>
      </c>
      <c r="B641" s="32" t="s">
        <v>485</v>
      </c>
      <c r="C641" t="s">
        <v>89</v>
      </c>
      <c r="D641" s="31" t="s">
        <v>430</v>
      </c>
      <c r="E641" s="31" t="s">
        <v>60</v>
      </c>
      <c r="F641" s="31" t="s">
        <v>53</v>
      </c>
      <c r="G641" s="31" t="s">
        <v>502</v>
      </c>
      <c r="K641" s="2" t="str">
        <f t="shared" si="9"/>
        <v>fma</v>
      </c>
      <c r="L641" cm="1">
        <f t="array" ref="L6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1" t="str">
        <f>IF(OR(ISNUMBER(SEARCH("imad", Table6[[#This Row],[instruction]])), ISNUMBER(SEARCH("ffma", Table6[[#This Row],[instruction]])), ISNUMBER(SEARCH("fmul", Table6[[#This Row],[instruction]]))), "fma", "")</f>
        <v>fma</v>
      </c>
      <c r="P6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1" t="str">
        <f>IF(OR(ISNUMBER(SEARCH("s2r", Table6[[#This Row],[instruction]])),ISNUMBER(SEARCH("s2ur", Table6[[#This Row],[instruction]]))), "special", "")</f>
        <v/>
      </c>
      <c r="S641" t="str">
        <f>IF(OR(ISNUMBER(SEARCH("stg", Table6[[#This Row],[instruction]])),ISNUMBER(SEARCH("ldg", Table6[[#This Row],[instruction]]))), "global", "")</f>
        <v/>
      </c>
      <c r="T641" t="str">
        <f>IF(OR(ISNUMBER(SEARCH("sts", Table6[[#This Row],[instruction]])),ISNUMBER(SEARCH("lds", Table6[[#This Row],[instruction]]))), "shared", "")</f>
        <v/>
      </c>
      <c r="U641" t="str">
        <f>IF(OR(ISNUMBER(SEARCH("LDC", Table6[[#This Row],[instruction]]))), "ind. const", "")</f>
        <v/>
      </c>
      <c r="V6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Row],[s5]]))),U641=""), "cmb. const", "")</f>
        <v/>
      </c>
      <c r="Y641">
        <f>IF(Table6[[#This Row],[pipeline]]="fma",Table6[[#This Row],[delay]],0)</f>
        <v>4</v>
      </c>
      <c r="Z641">
        <f>IF(AND(Table6[[#This Row],[pipeline]]="fma",W641="new"),290,0)</f>
        <v>0</v>
      </c>
      <c r="AK641" s="34"/>
    </row>
    <row r="642" spans="1:37" ht="17" x14ac:dyDescent="0.2">
      <c r="A642" s="31">
        <f>IF(Table6[[#This Row],[instruction]]&lt;&gt;"",MAX($A$6:A641)+1," ")</f>
        <v>637</v>
      </c>
      <c r="B642" s="32" t="s">
        <v>485</v>
      </c>
      <c r="C642" t="s">
        <v>736</v>
      </c>
      <c r="D642" s="31" t="s">
        <v>436</v>
      </c>
      <c r="E642" s="31" t="s">
        <v>61</v>
      </c>
      <c r="F642" s="31" t="s">
        <v>7</v>
      </c>
      <c r="G642" s="31" t="s">
        <v>75</v>
      </c>
      <c r="H642" s="31" t="s">
        <v>645</v>
      </c>
      <c r="K642" s="2" t="str">
        <f t="shared" si="9"/>
        <v>alu</v>
      </c>
      <c r="L642" cm="1">
        <f t="array" ref="L6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42" t="str">
        <f>IF(OR(ISNUMBER(SEARCH("imad", Table6[[#This Row],[instruction]])), ISNUMBER(SEARCH("ffma", Table6[[#This Row],[instruction]])), ISNUMBER(SEARCH("fmul", Table6[[#This Row],[instruction]]))), "fma", "")</f>
        <v/>
      </c>
      <c r="P6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2" t="str">
        <f>IF(OR(ISNUMBER(SEARCH("s2r", Table6[[#This Row],[instruction]])),ISNUMBER(SEARCH("s2ur", Table6[[#This Row],[instruction]]))), "special", "")</f>
        <v/>
      </c>
      <c r="S642" t="str">
        <f>IF(OR(ISNUMBER(SEARCH("stg", Table6[[#This Row],[instruction]])),ISNUMBER(SEARCH("ldg", Table6[[#This Row],[instruction]]))), "global", "")</f>
        <v/>
      </c>
      <c r="T642" t="str">
        <f>IF(OR(ISNUMBER(SEARCH("sts", Table6[[#This Row],[instruction]])),ISNUMBER(SEARCH("lds", Table6[[#This Row],[instruction]]))), "shared", "")</f>
        <v/>
      </c>
      <c r="U642" t="str">
        <f>IF(OR(ISNUMBER(SEARCH("LDC", Table6[[#This Row],[instruction]]))), "ind. const", "")</f>
        <v/>
      </c>
      <c r="V6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Row],[s5]]))),U642=""), "cmb. const", "")</f>
        <v/>
      </c>
      <c r="Y642">
        <f>IF(Table6[[#This Row],[pipeline]]="fma",Table6[[#This Row],[delay]],0)</f>
        <v>0</v>
      </c>
      <c r="Z642">
        <f>IF(AND(Table6[[#This Row],[pipeline]]="fma",W642="new"),290,0)</f>
        <v>0</v>
      </c>
      <c r="AK642" s="34"/>
    </row>
    <row r="643" spans="1:37" ht="17" x14ac:dyDescent="0.2">
      <c r="A643" s="31">
        <f>IF(Table6[[#This Row],[instruction]]&lt;&gt;"",MAX($A$6:A642)+1," ")</f>
        <v>638</v>
      </c>
      <c r="B643" s="32" t="s">
        <v>485</v>
      </c>
      <c r="C643" t="s">
        <v>738</v>
      </c>
      <c r="D643" s="31" t="s">
        <v>23</v>
      </c>
      <c r="E643" s="31" t="s">
        <v>440</v>
      </c>
      <c r="F643" s="31" t="s">
        <v>79</v>
      </c>
      <c r="G643" s="31" t="s">
        <v>514</v>
      </c>
      <c r="K643" s="2" t="str">
        <f t="shared" si="9"/>
        <v>alu</v>
      </c>
      <c r="L643" cm="1">
        <f t="array" ref="L6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3" t="str">
        <f>IF(OR(ISNUMBER(SEARCH("imad", Table6[[#This Row],[instruction]])), ISNUMBER(SEARCH("ffma", Table6[[#This Row],[instruction]])), ISNUMBER(SEARCH("fmul", Table6[[#This Row],[instruction]]))), "fma", "")</f>
        <v/>
      </c>
      <c r="P6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3" t="str">
        <f>IF(OR(ISNUMBER(SEARCH("s2r", Table6[[#This Row],[instruction]])),ISNUMBER(SEARCH("s2ur", Table6[[#This Row],[instruction]]))), "special", "")</f>
        <v/>
      </c>
      <c r="S643" t="str">
        <f>IF(OR(ISNUMBER(SEARCH("stg", Table6[[#This Row],[instruction]])),ISNUMBER(SEARCH("ldg", Table6[[#This Row],[instruction]]))), "global", "")</f>
        <v/>
      </c>
      <c r="T643" t="str">
        <f>IF(OR(ISNUMBER(SEARCH("sts", Table6[[#This Row],[instruction]])),ISNUMBER(SEARCH("lds", Table6[[#This Row],[instruction]]))), "shared", "")</f>
        <v/>
      </c>
      <c r="U643" t="str">
        <f>IF(OR(ISNUMBER(SEARCH("LDC", Table6[[#This Row],[instruction]]))), "ind. const", "")</f>
        <v/>
      </c>
      <c r="V6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Row],[s5]]))),U643=""), "cmb. const", "")</f>
        <v/>
      </c>
      <c r="Y643">
        <f>IF(Table6[[#This Row],[pipeline]]="fma",Table6[[#This Row],[delay]],0)</f>
        <v>0</v>
      </c>
      <c r="Z643">
        <f>IF(AND(Table6[[#This Row],[pipeline]]="fma",W643="new"),290,0)</f>
        <v>0</v>
      </c>
      <c r="AK643" s="34"/>
    </row>
    <row r="644" spans="1:37" ht="17" x14ac:dyDescent="0.2">
      <c r="A644" s="31">
        <f>IF(Table6[[#This Row],[instruction]]&lt;&gt;"",MAX($A$6:A643)+1," ")</f>
        <v>639</v>
      </c>
      <c r="B644" s="32" t="s">
        <v>485</v>
      </c>
      <c r="C644" t="s">
        <v>89</v>
      </c>
      <c r="D644" s="31" t="s">
        <v>440</v>
      </c>
      <c r="E644" s="31" t="s">
        <v>440</v>
      </c>
      <c r="F644" s="31" t="s">
        <v>53</v>
      </c>
      <c r="G644" s="31" t="s">
        <v>502</v>
      </c>
      <c r="K644" s="2" t="str">
        <f t="shared" si="9"/>
        <v>fma</v>
      </c>
      <c r="L644" cm="1">
        <f t="array" ref="L6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4" t="str">
        <f>IF(OR(ISNUMBER(SEARCH("imad", Table6[[#This Row],[instruction]])), ISNUMBER(SEARCH("ffma", Table6[[#This Row],[instruction]])), ISNUMBER(SEARCH("fmul", Table6[[#This Row],[instruction]]))), "fma", "")</f>
        <v>fma</v>
      </c>
      <c r="P6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4" t="str">
        <f>IF(OR(ISNUMBER(SEARCH("s2r", Table6[[#This Row],[instruction]])),ISNUMBER(SEARCH("s2ur", Table6[[#This Row],[instruction]]))), "special", "")</f>
        <v/>
      </c>
      <c r="S644" t="str">
        <f>IF(OR(ISNUMBER(SEARCH("stg", Table6[[#This Row],[instruction]])),ISNUMBER(SEARCH("ldg", Table6[[#This Row],[instruction]]))), "global", "")</f>
        <v/>
      </c>
      <c r="T644" t="str">
        <f>IF(OR(ISNUMBER(SEARCH("sts", Table6[[#This Row],[instruction]])),ISNUMBER(SEARCH("lds", Table6[[#This Row],[instruction]]))), "shared", "")</f>
        <v/>
      </c>
      <c r="U644" t="str">
        <f>IF(OR(ISNUMBER(SEARCH("LDC", Table6[[#This Row],[instruction]]))), "ind. const", "")</f>
        <v/>
      </c>
      <c r="V6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Row],[s5]]))),U644=""), "cmb. const", "")</f>
        <v/>
      </c>
      <c r="Y644">
        <f>IF(Table6[[#This Row],[pipeline]]="fma",Table6[[#This Row],[delay]],0)</f>
        <v>4</v>
      </c>
      <c r="Z644">
        <f>IF(AND(Table6[[#This Row],[pipeline]]="fma",W644="new"),290,0)</f>
        <v>0</v>
      </c>
      <c r="AK644" s="34"/>
    </row>
    <row r="645" spans="1:37" ht="17" x14ac:dyDescent="0.2">
      <c r="A645" s="31">
        <f>IF(Table6[[#This Row],[instruction]]&lt;&gt;"",MAX($A$6:A644)+1," ")</f>
        <v>640</v>
      </c>
      <c r="B645" s="32" t="s">
        <v>485</v>
      </c>
      <c r="C645" t="s">
        <v>736</v>
      </c>
      <c r="D645" s="31" t="s">
        <v>4</v>
      </c>
      <c r="E645" s="31" t="s">
        <v>4</v>
      </c>
      <c r="F645" s="31" t="s">
        <v>7</v>
      </c>
      <c r="G645" s="31" t="s">
        <v>75</v>
      </c>
      <c r="H645" s="31" t="s">
        <v>602</v>
      </c>
      <c r="K645" s="2" t="str">
        <f t="shared" si="9"/>
        <v>alu</v>
      </c>
      <c r="L645" cm="1">
        <f t="array" ref="L6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45" t="str">
        <f>IF(OR(ISNUMBER(SEARCH("imad", Table6[[#This Row],[instruction]])), ISNUMBER(SEARCH("ffma", Table6[[#This Row],[instruction]])), ISNUMBER(SEARCH("fmul", Table6[[#This Row],[instruction]]))), "fma", "")</f>
        <v/>
      </c>
      <c r="P6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5" t="str">
        <f>IF(OR(ISNUMBER(SEARCH("s2r", Table6[[#This Row],[instruction]])),ISNUMBER(SEARCH("s2ur", Table6[[#This Row],[instruction]]))), "special", "")</f>
        <v/>
      </c>
      <c r="S645" t="str">
        <f>IF(OR(ISNUMBER(SEARCH("stg", Table6[[#This Row],[instruction]])),ISNUMBER(SEARCH("ldg", Table6[[#This Row],[instruction]]))), "global", "")</f>
        <v/>
      </c>
      <c r="T645" t="str">
        <f>IF(OR(ISNUMBER(SEARCH("sts", Table6[[#This Row],[instruction]])),ISNUMBER(SEARCH("lds", Table6[[#This Row],[instruction]]))), "shared", "")</f>
        <v/>
      </c>
      <c r="U645" t="str">
        <f>IF(OR(ISNUMBER(SEARCH("LDC", Table6[[#This Row],[instruction]]))), "ind. const", "")</f>
        <v/>
      </c>
      <c r="V6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Row],[s5]]))),U645=""), "cmb. const", "")</f>
        <v/>
      </c>
      <c r="Y645">
        <f>IF(Table6[[#This Row],[pipeline]]="fma",Table6[[#This Row],[delay]],0)</f>
        <v>0</v>
      </c>
      <c r="Z645">
        <f>IF(AND(Table6[[#This Row],[pipeline]]="fma",W645="new"),290,0)</f>
        <v>0</v>
      </c>
      <c r="AK645" s="34"/>
    </row>
    <row r="646" spans="1:37" ht="17" x14ac:dyDescent="0.2">
      <c r="A646" s="31">
        <f>IF(Table6[[#This Row],[instruction]]&lt;&gt;"",MAX($A$6:A645)+1," ")</f>
        <v>641</v>
      </c>
      <c r="B646" s="32" t="s">
        <v>485</v>
      </c>
      <c r="C646" t="s">
        <v>736</v>
      </c>
      <c r="D646" s="31" t="s">
        <v>58</v>
      </c>
      <c r="E646" s="31" t="s">
        <v>58</v>
      </c>
      <c r="F646" s="31" t="s">
        <v>7</v>
      </c>
      <c r="G646" s="31" t="s">
        <v>75</v>
      </c>
      <c r="H646" s="31" t="s">
        <v>643</v>
      </c>
      <c r="K646" s="2" t="str">
        <f t="shared" ref="K646:K709" si="10">IF(O646&lt;&gt;"", O646, IF(P646&lt;&gt;"", P646, IF(R646&lt;&gt;"", R646, IF(S646&lt;&gt;"", S646, IF(T646&lt;&gt;"", T646, IF(U646&lt;&gt;"", U646, IF(Q646&lt;&gt;"", Q646, "")))))))</f>
        <v>alu</v>
      </c>
      <c r="L646" cm="1">
        <f t="array" ref="L6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646" t="str">
        <f>IF(OR(ISNUMBER(SEARCH("imad", Table6[[#This Row],[instruction]])), ISNUMBER(SEARCH("ffma", Table6[[#This Row],[instruction]])), ISNUMBER(SEARCH("fmul", Table6[[#This Row],[instruction]]))), "fma", "")</f>
        <v/>
      </c>
      <c r="P6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6" t="str">
        <f>IF(OR(ISNUMBER(SEARCH("s2r", Table6[[#This Row],[instruction]])),ISNUMBER(SEARCH("s2ur", Table6[[#This Row],[instruction]]))), "special", "")</f>
        <v/>
      </c>
      <c r="S646" t="str">
        <f>IF(OR(ISNUMBER(SEARCH("stg", Table6[[#This Row],[instruction]])),ISNUMBER(SEARCH("ldg", Table6[[#This Row],[instruction]]))), "global", "")</f>
        <v/>
      </c>
      <c r="T646" t="str">
        <f>IF(OR(ISNUMBER(SEARCH("sts", Table6[[#This Row],[instruction]])),ISNUMBER(SEARCH("lds", Table6[[#This Row],[instruction]]))), "shared", "")</f>
        <v/>
      </c>
      <c r="U646" t="str">
        <f>IF(OR(ISNUMBER(SEARCH("LDC", Table6[[#This Row],[instruction]]))), "ind. const", "")</f>
        <v/>
      </c>
      <c r="V6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Row],[s5]]))),U646=""), "cmb. const", "")</f>
        <v/>
      </c>
      <c r="Y646">
        <f>IF(Table6[[#This Row],[pipeline]]="fma",Table6[[#This Row],[delay]],0)</f>
        <v>0</v>
      </c>
      <c r="Z646">
        <f>IF(AND(Table6[[#This Row],[pipeline]]="fma",W646="new"),290,0)</f>
        <v>0</v>
      </c>
      <c r="AK646" s="34"/>
    </row>
    <row r="647" spans="1:37" ht="17" x14ac:dyDescent="0.2">
      <c r="A647" s="31">
        <f>IF(Table6[[#This Row],[instruction]]&lt;&gt;"",MAX($A$6:A646)+1," ")</f>
        <v>642</v>
      </c>
      <c r="B647" s="32" t="s">
        <v>485</v>
      </c>
      <c r="C647" t="s">
        <v>738</v>
      </c>
      <c r="D647" s="31" t="s">
        <v>436</v>
      </c>
      <c r="E647" s="31" t="s">
        <v>439</v>
      </c>
      <c r="F647" s="31" t="s">
        <v>79</v>
      </c>
      <c r="G647" s="31" t="s">
        <v>556</v>
      </c>
      <c r="K647" s="2" t="str">
        <f t="shared" si="10"/>
        <v>alu</v>
      </c>
      <c r="L647" cm="1">
        <f t="array" ref="L6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7" t="str">
        <f>IF(OR(ISNUMBER(SEARCH("imad", Table6[[#This Row],[instruction]])), ISNUMBER(SEARCH("ffma", Table6[[#This Row],[instruction]])), ISNUMBER(SEARCH("fmul", Table6[[#This Row],[instruction]]))), "fma", "")</f>
        <v/>
      </c>
      <c r="P6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7" t="str">
        <f>IF(OR(ISNUMBER(SEARCH("s2r", Table6[[#This Row],[instruction]])),ISNUMBER(SEARCH("s2ur", Table6[[#This Row],[instruction]]))), "special", "")</f>
        <v/>
      </c>
      <c r="S647" t="str">
        <f>IF(OR(ISNUMBER(SEARCH("stg", Table6[[#This Row],[instruction]])),ISNUMBER(SEARCH("ldg", Table6[[#This Row],[instruction]]))), "global", "")</f>
        <v/>
      </c>
      <c r="T647" t="str">
        <f>IF(OR(ISNUMBER(SEARCH("sts", Table6[[#This Row],[instruction]])),ISNUMBER(SEARCH("lds", Table6[[#This Row],[instruction]]))), "shared", "")</f>
        <v/>
      </c>
      <c r="U647" t="str">
        <f>IF(OR(ISNUMBER(SEARCH("LDC", Table6[[#This Row],[instruction]]))), "ind. const", "")</f>
        <v/>
      </c>
      <c r="V6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Row],[s5]]))),U647=""), "cmb. const", "")</f>
        <v/>
      </c>
      <c r="Y647">
        <f>IF(Table6[[#This Row],[pipeline]]="fma",Table6[[#This Row],[delay]],0)</f>
        <v>0</v>
      </c>
      <c r="Z647">
        <f>IF(AND(Table6[[#This Row],[pipeline]]="fma",W647="new"),290,0)</f>
        <v>0</v>
      </c>
      <c r="AK647" s="34"/>
    </row>
    <row r="648" spans="1:37" ht="17" x14ac:dyDescent="0.2">
      <c r="A648" s="31">
        <f>IF(Table6[[#This Row],[instruction]]&lt;&gt;"",MAX($A$6:A647)+1," ")</f>
        <v>643</v>
      </c>
      <c r="B648" s="32" t="s">
        <v>485</v>
      </c>
      <c r="C648" t="s">
        <v>47</v>
      </c>
      <c r="D648" s="31" t="s">
        <v>633</v>
      </c>
      <c r="E648" s="31" t="s">
        <v>27</v>
      </c>
      <c r="F648" s="31" t="s">
        <v>79</v>
      </c>
      <c r="G648" s="31" t="s">
        <v>502</v>
      </c>
      <c r="K648" s="2" t="str">
        <f t="shared" si="10"/>
        <v>alu</v>
      </c>
      <c r="L648" cm="1">
        <f t="array" ref="L6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8" t="str">
        <f>IF(OR(ISNUMBER(SEARCH("imad", Table6[[#This Row],[instruction]])), ISNUMBER(SEARCH("ffma", Table6[[#This Row],[instruction]])), ISNUMBER(SEARCH("fmul", Table6[[#This Row],[instruction]]))), "fma", "")</f>
        <v/>
      </c>
      <c r="P6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8" t="str">
        <f>IF(OR(ISNUMBER(SEARCH("s2r", Table6[[#This Row],[instruction]])),ISNUMBER(SEARCH("s2ur", Table6[[#This Row],[instruction]]))), "special", "")</f>
        <v/>
      </c>
      <c r="S648" t="str">
        <f>IF(OR(ISNUMBER(SEARCH("stg", Table6[[#This Row],[instruction]])),ISNUMBER(SEARCH("ldg", Table6[[#This Row],[instruction]]))), "global", "")</f>
        <v/>
      </c>
      <c r="T648" t="str">
        <f>IF(OR(ISNUMBER(SEARCH("sts", Table6[[#This Row],[instruction]])),ISNUMBER(SEARCH("lds", Table6[[#This Row],[instruction]]))), "shared", "")</f>
        <v/>
      </c>
      <c r="U648" t="str">
        <f>IF(OR(ISNUMBER(SEARCH("LDC", Table6[[#This Row],[instruction]]))), "ind. const", "")</f>
        <v/>
      </c>
      <c r="V6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Row],[s5]]))),U648=""), "cmb. const", "")</f>
        <v/>
      </c>
      <c r="Y648">
        <f>IF(Table6[[#This Row],[pipeline]]="fma",Table6[[#This Row],[delay]],0)</f>
        <v>0</v>
      </c>
      <c r="Z648">
        <f>IF(AND(Table6[[#This Row],[pipeline]]="fma",W648="new"),290,0)</f>
        <v>0</v>
      </c>
      <c r="AK648" s="34"/>
    </row>
    <row r="649" spans="1:37" ht="17" x14ac:dyDescent="0.2">
      <c r="A649" s="31">
        <f>IF(Table6[[#This Row],[instruction]]&lt;&gt;"",MAX($A$6:A648)+1," ")</f>
        <v>644</v>
      </c>
      <c r="B649" s="32" t="s">
        <v>485</v>
      </c>
      <c r="C649" t="s">
        <v>47</v>
      </c>
      <c r="D649" s="31" t="s">
        <v>439</v>
      </c>
      <c r="E649" s="31" t="s">
        <v>439</v>
      </c>
      <c r="F649" s="31" t="s">
        <v>79</v>
      </c>
      <c r="G649" s="31" t="s">
        <v>502</v>
      </c>
      <c r="K649" s="2" t="str">
        <f t="shared" si="10"/>
        <v>alu</v>
      </c>
      <c r="L649" cm="1">
        <f t="array" ref="L6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49" t="str">
        <f>IF(OR(ISNUMBER(SEARCH("imad", Table6[[#This Row],[instruction]])), ISNUMBER(SEARCH("ffma", Table6[[#This Row],[instruction]])), ISNUMBER(SEARCH("fmul", Table6[[#This Row],[instruction]]))), "fma", "")</f>
        <v/>
      </c>
      <c r="P6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49" t="str">
        <f>IF(OR(ISNUMBER(SEARCH("s2r", Table6[[#This Row],[instruction]])),ISNUMBER(SEARCH("s2ur", Table6[[#This Row],[instruction]]))), "special", "")</f>
        <v/>
      </c>
      <c r="S649" t="str">
        <f>IF(OR(ISNUMBER(SEARCH("stg", Table6[[#This Row],[instruction]])),ISNUMBER(SEARCH("ldg", Table6[[#This Row],[instruction]]))), "global", "")</f>
        <v/>
      </c>
      <c r="T649" t="str">
        <f>IF(OR(ISNUMBER(SEARCH("sts", Table6[[#This Row],[instruction]])),ISNUMBER(SEARCH("lds", Table6[[#This Row],[instruction]]))), "shared", "")</f>
        <v/>
      </c>
      <c r="U649" t="str">
        <f>IF(OR(ISNUMBER(SEARCH("LDC", Table6[[#This Row],[instruction]]))), "ind. const", "")</f>
        <v/>
      </c>
      <c r="V6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Row],[s5]]))),U649=""), "cmb. const", "")</f>
        <v/>
      </c>
      <c r="Y649">
        <f>IF(Table6[[#This Row],[pipeline]]="fma",Table6[[#This Row],[delay]],0)</f>
        <v>0</v>
      </c>
      <c r="Z649">
        <f>IF(AND(Table6[[#This Row],[pipeline]]="fma",W649="new"),290,0)</f>
        <v>0</v>
      </c>
      <c r="AK649" s="34"/>
    </row>
    <row r="650" spans="1:37" ht="17" x14ac:dyDescent="0.2">
      <c r="A650" s="31">
        <f>IF(Table6[[#This Row],[instruction]]&lt;&gt;"",MAX($A$6:A649)+1," ")</f>
        <v>645</v>
      </c>
      <c r="B650" s="32" t="s">
        <v>485</v>
      </c>
      <c r="C650" t="s">
        <v>738</v>
      </c>
      <c r="D650" s="31" t="s">
        <v>71</v>
      </c>
      <c r="E650" s="31" t="s">
        <v>60</v>
      </c>
      <c r="F650" s="31" t="s">
        <v>79</v>
      </c>
      <c r="G650" s="31" t="s">
        <v>593</v>
      </c>
      <c r="K650" s="2" t="str">
        <f t="shared" si="10"/>
        <v>alu</v>
      </c>
      <c r="L650" cm="1">
        <f t="array" ref="L6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50" t="str">
        <f>IF(OR(ISNUMBER(SEARCH("imad", Table6[[#This Row],[instruction]])), ISNUMBER(SEARCH("ffma", Table6[[#This Row],[instruction]])), ISNUMBER(SEARCH("fmul", Table6[[#This Row],[instruction]]))), "fma", "")</f>
        <v/>
      </c>
      <c r="P6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0" t="str">
        <f>IF(OR(ISNUMBER(SEARCH("s2r", Table6[[#This Row],[instruction]])),ISNUMBER(SEARCH("s2ur", Table6[[#This Row],[instruction]]))), "special", "")</f>
        <v/>
      </c>
      <c r="S650" t="str">
        <f>IF(OR(ISNUMBER(SEARCH("stg", Table6[[#This Row],[instruction]])),ISNUMBER(SEARCH("ldg", Table6[[#This Row],[instruction]]))), "global", "")</f>
        <v/>
      </c>
      <c r="T650" t="str">
        <f>IF(OR(ISNUMBER(SEARCH("sts", Table6[[#This Row],[instruction]])),ISNUMBER(SEARCH("lds", Table6[[#This Row],[instruction]]))), "shared", "")</f>
        <v/>
      </c>
      <c r="U650" t="str">
        <f>IF(OR(ISNUMBER(SEARCH("LDC", Table6[[#This Row],[instruction]]))), "ind. const", "")</f>
        <v/>
      </c>
      <c r="V6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Row],[s5]]))),U650=""), "cmb. const", "")</f>
        <v/>
      </c>
      <c r="Y650">
        <f>IF(Table6[[#This Row],[pipeline]]="fma",Table6[[#This Row],[delay]],0)</f>
        <v>0</v>
      </c>
      <c r="Z650">
        <f>IF(AND(Table6[[#This Row],[pipeline]]="fma",W650="new"),290,0)</f>
        <v>0</v>
      </c>
      <c r="AK650" s="34"/>
    </row>
    <row r="651" spans="1:37" ht="17" x14ac:dyDescent="0.2">
      <c r="A651" s="31">
        <f>IF(Table6[[#This Row],[instruction]]&lt;&gt;"",MAX($A$6:A650)+1," ")</f>
        <v>646</v>
      </c>
      <c r="B651" s="32" t="s">
        <v>485</v>
      </c>
      <c r="C651" t="s">
        <v>738</v>
      </c>
      <c r="D651" s="31" t="s">
        <v>652</v>
      </c>
      <c r="E651" s="31" t="s">
        <v>27</v>
      </c>
      <c r="F651" s="31" t="s">
        <v>79</v>
      </c>
      <c r="G651" s="31" t="s">
        <v>503</v>
      </c>
      <c r="K651" s="2" t="str">
        <f t="shared" si="10"/>
        <v>alu</v>
      </c>
      <c r="L651" cm="1">
        <f t="array" ref="L6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51" t="str">
        <f>IF(OR(ISNUMBER(SEARCH("imad", Table6[[#This Row],[instruction]])), ISNUMBER(SEARCH("ffma", Table6[[#This Row],[instruction]])), ISNUMBER(SEARCH("fmul", Table6[[#This Row],[instruction]]))), "fma", "")</f>
        <v/>
      </c>
      <c r="P6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1" t="str">
        <f>IF(OR(ISNUMBER(SEARCH("s2r", Table6[[#This Row],[instruction]])),ISNUMBER(SEARCH("s2ur", Table6[[#This Row],[instruction]]))), "special", "")</f>
        <v/>
      </c>
      <c r="S651" t="str">
        <f>IF(OR(ISNUMBER(SEARCH("stg", Table6[[#This Row],[instruction]])),ISNUMBER(SEARCH("ldg", Table6[[#This Row],[instruction]]))), "global", "")</f>
        <v/>
      </c>
      <c r="T651" t="str">
        <f>IF(OR(ISNUMBER(SEARCH("sts", Table6[[#This Row],[instruction]])),ISNUMBER(SEARCH("lds", Table6[[#This Row],[instruction]]))), "shared", "")</f>
        <v/>
      </c>
      <c r="U651" t="str">
        <f>IF(OR(ISNUMBER(SEARCH("LDC", Table6[[#This Row],[instruction]]))), "ind. const", "")</f>
        <v/>
      </c>
      <c r="V6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Row],[s5]]))),U651=""), "cmb. const", "")</f>
        <v/>
      </c>
      <c r="Y651">
        <f>IF(Table6[[#This Row],[pipeline]]="fma",Table6[[#This Row],[delay]],0)</f>
        <v>0</v>
      </c>
      <c r="Z651">
        <f>IF(AND(Table6[[#This Row],[pipeline]]="fma",W651="new"),290,0)</f>
        <v>0</v>
      </c>
      <c r="AK651" s="34"/>
    </row>
    <row r="652" spans="1:37" ht="17" x14ac:dyDescent="0.2">
      <c r="A652" s="31">
        <f>IF(Table6[[#This Row],[instruction]]&lt;&gt;"",MAX($A$6:A651)+1," ")</f>
        <v>647</v>
      </c>
      <c r="B652" s="32" t="s">
        <v>485</v>
      </c>
      <c r="C652" t="s">
        <v>26</v>
      </c>
      <c r="D652" s="31" t="s">
        <v>84</v>
      </c>
      <c r="E652" s="31" t="s">
        <v>78</v>
      </c>
      <c r="F652" s="31" t="s">
        <v>430</v>
      </c>
      <c r="G652" s="31" t="s">
        <v>468</v>
      </c>
      <c r="H652" s="31" t="s">
        <v>502</v>
      </c>
      <c r="K652" s="2" t="str">
        <f t="shared" si="10"/>
        <v>alu</v>
      </c>
      <c r="L652" cm="1">
        <f t="array" ref="L6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2" t="str">
        <f>IF(OR(ISNUMBER(SEARCH("imad", Table6[[#This Row],[instruction]])), ISNUMBER(SEARCH("ffma", Table6[[#This Row],[instruction]])), ISNUMBER(SEARCH("fmul", Table6[[#This Row],[instruction]]))), "fma", "")</f>
        <v/>
      </c>
      <c r="P6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2" t="str">
        <f>IF(OR(ISNUMBER(SEARCH("s2r", Table6[[#This Row],[instruction]])),ISNUMBER(SEARCH("s2ur", Table6[[#This Row],[instruction]]))), "special", "")</f>
        <v/>
      </c>
      <c r="S652" t="str">
        <f>IF(OR(ISNUMBER(SEARCH("stg", Table6[[#This Row],[instruction]])),ISNUMBER(SEARCH("ldg", Table6[[#This Row],[instruction]]))), "global", "")</f>
        <v/>
      </c>
      <c r="T652" t="str">
        <f>IF(OR(ISNUMBER(SEARCH("sts", Table6[[#This Row],[instruction]])),ISNUMBER(SEARCH("lds", Table6[[#This Row],[instruction]]))), "shared", "")</f>
        <v/>
      </c>
      <c r="U652" t="str">
        <f>IF(OR(ISNUMBER(SEARCH("LDC", Table6[[#This Row],[instruction]]))), "ind. const", "")</f>
        <v/>
      </c>
      <c r="V6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Row],[s5]]))),U652=""), "cmb. const", "")</f>
        <v>cmb. const</v>
      </c>
      <c r="W652" s="2" t="s">
        <v>482</v>
      </c>
      <c r="Y652">
        <f>IF(Table6[[#This Row],[pipeline]]="fma",Table6[[#This Row],[delay]],0)</f>
        <v>0</v>
      </c>
      <c r="Z652">
        <f>IF(AND(Table6[[#This Row],[pipeline]]="fma",W652="new"),290,0)</f>
        <v>0</v>
      </c>
      <c r="AK652" s="34"/>
    </row>
    <row r="653" spans="1:37" ht="17" x14ac:dyDescent="0.2">
      <c r="A653" s="31">
        <f>IF(Table6[[#This Row],[instruction]]&lt;&gt;"",MAX($A$6:A652)+1," ")</f>
        <v>648</v>
      </c>
      <c r="B653" s="32" t="s">
        <v>485</v>
      </c>
      <c r="C653" t="s">
        <v>26</v>
      </c>
      <c r="D653" s="31" t="s">
        <v>61</v>
      </c>
      <c r="E653" s="31" t="s">
        <v>74</v>
      </c>
      <c r="F653" s="31" t="s">
        <v>633</v>
      </c>
      <c r="G653" s="31" t="s">
        <v>468</v>
      </c>
      <c r="H653" s="31" t="s">
        <v>502</v>
      </c>
      <c r="K653" s="2" t="str">
        <f t="shared" si="10"/>
        <v>alu</v>
      </c>
      <c r="L653" cm="1">
        <f t="array" ref="L6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3" t="str">
        <f>IF(OR(ISNUMBER(SEARCH("imad", Table6[[#This Row],[instruction]])), ISNUMBER(SEARCH("ffma", Table6[[#This Row],[instruction]])), ISNUMBER(SEARCH("fmul", Table6[[#This Row],[instruction]]))), "fma", "")</f>
        <v/>
      </c>
      <c r="P6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3" t="str">
        <f>IF(OR(ISNUMBER(SEARCH("s2r", Table6[[#This Row],[instruction]])),ISNUMBER(SEARCH("s2ur", Table6[[#This Row],[instruction]]))), "special", "")</f>
        <v/>
      </c>
      <c r="S653" t="str">
        <f>IF(OR(ISNUMBER(SEARCH("stg", Table6[[#This Row],[instruction]])),ISNUMBER(SEARCH("ldg", Table6[[#This Row],[instruction]]))), "global", "")</f>
        <v/>
      </c>
      <c r="T653" t="str">
        <f>IF(OR(ISNUMBER(SEARCH("sts", Table6[[#This Row],[instruction]])),ISNUMBER(SEARCH("lds", Table6[[#This Row],[instruction]]))), "shared", "")</f>
        <v/>
      </c>
      <c r="U653" t="str">
        <f>IF(OR(ISNUMBER(SEARCH("LDC", Table6[[#This Row],[instruction]]))), "ind. const", "")</f>
        <v/>
      </c>
      <c r="V6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Row],[s5]]))),U653=""), "cmb. const", "")</f>
        <v>cmb. const</v>
      </c>
      <c r="W653" s="2" t="s">
        <v>481</v>
      </c>
      <c r="Y653">
        <f>IF(Table6[[#This Row],[pipeline]]="fma",Table6[[#This Row],[delay]],0)</f>
        <v>0</v>
      </c>
      <c r="Z653">
        <f>IF(AND(Table6[[#This Row],[pipeline]]="fma",W653="new"),290,0)</f>
        <v>0</v>
      </c>
      <c r="AK653" s="34"/>
    </row>
    <row r="654" spans="1:37" ht="17" x14ac:dyDescent="0.2">
      <c r="A654" s="31">
        <f>IF(Table6[[#This Row],[instruction]]&lt;&gt;"",MAX($A$6:A653)+1," ")</f>
        <v>649</v>
      </c>
      <c r="B654" s="32" t="s">
        <v>485</v>
      </c>
      <c r="C654" t="s">
        <v>26</v>
      </c>
      <c r="D654" s="31" t="s">
        <v>58</v>
      </c>
      <c r="E654" s="31" t="s">
        <v>533</v>
      </c>
      <c r="F654" s="31" t="s">
        <v>439</v>
      </c>
      <c r="G654" s="31" t="s">
        <v>468</v>
      </c>
      <c r="H654" s="31" t="s">
        <v>502</v>
      </c>
      <c r="K654" s="2" t="str">
        <f t="shared" si="10"/>
        <v>alu</v>
      </c>
      <c r="L654" cm="1">
        <f t="array" ref="L6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4" t="str">
        <f>IF(OR(ISNUMBER(SEARCH("imad", Table6[[#This Row],[instruction]])), ISNUMBER(SEARCH("ffma", Table6[[#This Row],[instruction]])), ISNUMBER(SEARCH("fmul", Table6[[#This Row],[instruction]]))), "fma", "")</f>
        <v/>
      </c>
      <c r="P6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4" t="str">
        <f>IF(OR(ISNUMBER(SEARCH("s2r", Table6[[#This Row],[instruction]])),ISNUMBER(SEARCH("s2ur", Table6[[#This Row],[instruction]]))), "special", "")</f>
        <v/>
      </c>
      <c r="S654" t="str">
        <f>IF(OR(ISNUMBER(SEARCH("stg", Table6[[#This Row],[instruction]])),ISNUMBER(SEARCH("ldg", Table6[[#This Row],[instruction]]))), "global", "")</f>
        <v/>
      </c>
      <c r="T654" t="str">
        <f>IF(OR(ISNUMBER(SEARCH("sts", Table6[[#This Row],[instruction]])),ISNUMBER(SEARCH("lds", Table6[[#This Row],[instruction]]))), "shared", "")</f>
        <v/>
      </c>
      <c r="U654" t="str">
        <f>IF(OR(ISNUMBER(SEARCH("LDC", Table6[[#This Row],[instruction]]))), "ind. const", "")</f>
        <v/>
      </c>
      <c r="V6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Row],[s5]]))),U654=""), "cmb. const", "")</f>
        <v>cmb. const</v>
      </c>
      <c r="W654" s="2" t="s">
        <v>481</v>
      </c>
      <c r="Y654">
        <f>IF(Table6[[#This Row],[pipeline]]="fma",Table6[[#This Row],[delay]],0)</f>
        <v>0</v>
      </c>
      <c r="Z654">
        <f>IF(AND(Table6[[#This Row],[pipeline]]="fma",W654="new"),290,0)</f>
        <v>0</v>
      </c>
      <c r="AK654" s="34"/>
    </row>
    <row r="655" spans="1:37" ht="17" x14ac:dyDescent="0.2">
      <c r="A655" s="31">
        <f>IF(Table6[[#This Row],[instruction]]&lt;&gt;"",MAX($A$6:A654)+1," ")</f>
        <v>650</v>
      </c>
      <c r="B655" s="32" t="s">
        <v>485</v>
      </c>
      <c r="C655" t="s">
        <v>26</v>
      </c>
      <c r="D655" s="31" t="s">
        <v>4</v>
      </c>
      <c r="E655" s="31" t="s">
        <v>531</v>
      </c>
      <c r="F655" s="31" t="s">
        <v>440</v>
      </c>
      <c r="G655" s="31" t="s">
        <v>468</v>
      </c>
      <c r="H655" s="31" t="s">
        <v>502</v>
      </c>
      <c r="K655" s="2" t="str">
        <f t="shared" si="10"/>
        <v>alu</v>
      </c>
      <c r="L655" cm="1">
        <f t="array" ref="L6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5" t="str">
        <f>IF(OR(ISNUMBER(SEARCH("imad", Table6[[#This Row],[instruction]])), ISNUMBER(SEARCH("ffma", Table6[[#This Row],[instruction]])), ISNUMBER(SEARCH("fmul", Table6[[#This Row],[instruction]]))), "fma", "")</f>
        <v/>
      </c>
      <c r="P6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5" t="str">
        <f>IF(OR(ISNUMBER(SEARCH("s2r", Table6[[#This Row],[instruction]])),ISNUMBER(SEARCH("s2ur", Table6[[#This Row],[instruction]]))), "special", "")</f>
        <v/>
      </c>
      <c r="S655" t="str">
        <f>IF(OR(ISNUMBER(SEARCH("stg", Table6[[#This Row],[instruction]])),ISNUMBER(SEARCH("ldg", Table6[[#This Row],[instruction]]))), "global", "")</f>
        <v/>
      </c>
      <c r="T655" t="str">
        <f>IF(OR(ISNUMBER(SEARCH("sts", Table6[[#This Row],[instruction]])),ISNUMBER(SEARCH("lds", Table6[[#This Row],[instruction]]))), "shared", "")</f>
        <v/>
      </c>
      <c r="U655" t="str">
        <f>IF(OR(ISNUMBER(SEARCH("LDC", Table6[[#This Row],[instruction]]))), "ind. const", "")</f>
        <v/>
      </c>
      <c r="V6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Row],[s5]]))),U655=""), "cmb. const", "")</f>
        <v>cmb. const</v>
      </c>
      <c r="W655" s="2" t="s">
        <v>481</v>
      </c>
      <c r="Y655">
        <f>IF(Table6[[#This Row],[pipeline]]="fma",Table6[[#This Row],[delay]],0)</f>
        <v>0</v>
      </c>
      <c r="Z655">
        <f>IF(AND(Table6[[#This Row],[pipeline]]="fma",W655="new"),290,0)</f>
        <v>0</v>
      </c>
      <c r="AK655" s="34"/>
    </row>
    <row r="656" spans="1:37" ht="17" x14ac:dyDescent="0.2">
      <c r="A656" s="31">
        <f>IF(Table6[[#This Row],[instruction]]&lt;&gt;"",MAX($A$6:A655)+1," ")</f>
        <v>651</v>
      </c>
      <c r="B656" s="32" t="s">
        <v>485</v>
      </c>
      <c r="C656" t="s">
        <v>438</v>
      </c>
      <c r="D656" s="31" t="s">
        <v>82</v>
      </c>
      <c r="E656" s="31" t="s">
        <v>71</v>
      </c>
      <c r="F656" s="31" t="s">
        <v>469</v>
      </c>
      <c r="G656" s="31" t="s">
        <v>8</v>
      </c>
      <c r="H656" s="31" t="s">
        <v>78</v>
      </c>
      <c r="I656" s="31" t="s">
        <v>506</v>
      </c>
      <c r="K656" s="2" t="str">
        <f t="shared" si="10"/>
        <v>alu</v>
      </c>
      <c r="L656" cm="1">
        <f t="array" ref="L6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6" t="str">
        <f>IF(OR(ISNUMBER(SEARCH("imad", Table6[[#This Row],[instruction]])), ISNUMBER(SEARCH("ffma", Table6[[#This Row],[instruction]])), ISNUMBER(SEARCH("fmul", Table6[[#This Row],[instruction]]))), "fma", "")</f>
        <v/>
      </c>
      <c r="P6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6" t="str">
        <f>IF(OR(ISNUMBER(SEARCH("s2r", Table6[[#This Row],[instruction]])),ISNUMBER(SEARCH("s2ur", Table6[[#This Row],[instruction]]))), "special", "")</f>
        <v/>
      </c>
      <c r="S656" t="str">
        <f>IF(OR(ISNUMBER(SEARCH("stg", Table6[[#This Row],[instruction]])),ISNUMBER(SEARCH("ldg", Table6[[#This Row],[instruction]]))), "global", "")</f>
        <v/>
      </c>
      <c r="T656" t="str">
        <f>IF(OR(ISNUMBER(SEARCH("sts", Table6[[#This Row],[instruction]])),ISNUMBER(SEARCH("lds", Table6[[#This Row],[instruction]]))), "shared", "")</f>
        <v/>
      </c>
      <c r="U656" t="str">
        <f>IF(OR(ISNUMBER(SEARCH("LDC", Table6[[#This Row],[instruction]]))), "ind. const", "")</f>
        <v/>
      </c>
      <c r="V6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Row],[s5]]))),U656=""), "cmb. const", "")</f>
        <v>cmb. const</v>
      </c>
      <c r="W656" s="2" t="s">
        <v>781</v>
      </c>
      <c r="Y656">
        <f>IF(Table6[[#This Row],[pipeline]]="fma",Table6[[#This Row],[delay]],0)</f>
        <v>0</v>
      </c>
      <c r="Z656">
        <f>IF(AND(Table6[[#This Row],[pipeline]]="fma",W656="new"),290,0)</f>
        <v>0</v>
      </c>
      <c r="AK656" s="34"/>
    </row>
    <row r="657" spans="1:37" ht="17" x14ac:dyDescent="0.2">
      <c r="A657" s="31">
        <f>IF(Table6[[#This Row],[instruction]]&lt;&gt;"",MAX($A$6:A656)+1," ")</f>
        <v>652</v>
      </c>
      <c r="B657" s="32" t="s">
        <v>485</v>
      </c>
      <c r="C657" t="s">
        <v>438</v>
      </c>
      <c r="D657" s="31" t="s">
        <v>60</v>
      </c>
      <c r="E657" s="31" t="s">
        <v>652</v>
      </c>
      <c r="F657" s="31" t="s">
        <v>469</v>
      </c>
      <c r="G657" s="31" t="s">
        <v>8</v>
      </c>
      <c r="H657" s="31" t="s">
        <v>74</v>
      </c>
      <c r="I657" s="31" t="s">
        <v>506</v>
      </c>
      <c r="K657" s="2" t="str">
        <f t="shared" si="10"/>
        <v>alu</v>
      </c>
      <c r="L657" cm="1">
        <f t="array" ref="L6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7" t="str">
        <f>IF(OR(ISNUMBER(SEARCH("imad", Table6[[#This Row],[instruction]])), ISNUMBER(SEARCH("ffma", Table6[[#This Row],[instruction]])), ISNUMBER(SEARCH("fmul", Table6[[#This Row],[instruction]]))), "fma", "")</f>
        <v/>
      </c>
      <c r="P6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7" t="str">
        <f>IF(OR(ISNUMBER(SEARCH("s2r", Table6[[#This Row],[instruction]])),ISNUMBER(SEARCH("s2ur", Table6[[#This Row],[instruction]]))), "special", "")</f>
        <v/>
      </c>
      <c r="S657" t="str">
        <f>IF(OR(ISNUMBER(SEARCH("stg", Table6[[#This Row],[instruction]])),ISNUMBER(SEARCH("ldg", Table6[[#This Row],[instruction]]))), "global", "")</f>
        <v/>
      </c>
      <c r="T657" t="str">
        <f>IF(OR(ISNUMBER(SEARCH("sts", Table6[[#This Row],[instruction]])),ISNUMBER(SEARCH("lds", Table6[[#This Row],[instruction]]))), "shared", "")</f>
        <v/>
      </c>
      <c r="U657" t="str">
        <f>IF(OR(ISNUMBER(SEARCH("LDC", Table6[[#This Row],[instruction]]))), "ind. const", "")</f>
        <v/>
      </c>
      <c r="V6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Row],[s5]]))),U657=""), "cmb. const", "")</f>
        <v>cmb. const</v>
      </c>
      <c r="W657" s="2" t="s">
        <v>481</v>
      </c>
      <c r="Y657">
        <f>IF(Table6[[#This Row],[pipeline]]="fma",Table6[[#This Row],[delay]],0)</f>
        <v>0</v>
      </c>
      <c r="Z657">
        <f>IF(AND(Table6[[#This Row],[pipeline]]="fma",W657="new"),290,0)</f>
        <v>0</v>
      </c>
      <c r="AK657" s="34"/>
    </row>
    <row r="658" spans="1:37" ht="17" x14ac:dyDescent="0.2">
      <c r="A658" s="31">
        <f>IF(Table6[[#This Row],[instruction]]&lt;&gt;"",MAX($A$6:A657)+1," ")</f>
        <v>653</v>
      </c>
      <c r="B658" s="32" t="s">
        <v>485</v>
      </c>
      <c r="C658" t="s">
        <v>438</v>
      </c>
      <c r="D658" s="31" t="s">
        <v>27</v>
      </c>
      <c r="E658" s="31" t="s">
        <v>436</v>
      </c>
      <c r="F658" s="31" t="s">
        <v>469</v>
      </c>
      <c r="G658" s="31" t="s">
        <v>8</v>
      </c>
      <c r="H658" s="31" t="s">
        <v>533</v>
      </c>
      <c r="I658" s="31" t="s">
        <v>506</v>
      </c>
      <c r="K658" s="2" t="str">
        <f t="shared" si="10"/>
        <v>alu</v>
      </c>
      <c r="L658" cm="1">
        <f t="array" ref="L6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8" t="str">
        <f>IF(OR(ISNUMBER(SEARCH("imad", Table6[[#This Row],[instruction]])), ISNUMBER(SEARCH("ffma", Table6[[#This Row],[instruction]])), ISNUMBER(SEARCH("fmul", Table6[[#This Row],[instruction]]))), "fma", "")</f>
        <v/>
      </c>
      <c r="P6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8" t="str">
        <f>IF(OR(ISNUMBER(SEARCH("s2r", Table6[[#This Row],[instruction]])),ISNUMBER(SEARCH("s2ur", Table6[[#This Row],[instruction]]))), "special", "")</f>
        <v/>
      </c>
      <c r="S658" t="str">
        <f>IF(OR(ISNUMBER(SEARCH("stg", Table6[[#This Row],[instruction]])),ISNUMBER(SEARCH("ldg", Table6[[#This Row],[instruction]]))), "global", "")</f>
        <v/>
      </c>
      <c r="T658" t="str">
        <f>IF(OR(ISNUMBER(SEARCH("sts", Table6[[#This Row],[instruction]])),ISNUMBER(SEARCH("lds", Table6[[#This Row],[instruction]]))), "shared", "")</f>
        <v/>
      </c>
      <c r="U658" t="str">
        <f>IF(OR(ISNUMBER(SEARCH("LDC", Table6[[#This Row],[instruction]]))), "ind. const", "")</f>
        <v/>
      </c>
      <c r="V6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Row],[s5]]))),U658=""), "cmb. const", "")</f>
        <v>cmb. const</v>
      </c>
      <c r="W658" s="2" t="s">
        <v>481</v>
      </c>
      <c r="Y658">
        <f>IF(Table6[[#This Row],[pipeline]]="fma",Table6[[#This Row],[delay]],0)</f>
        <v>0</v>
      </c>
      <c r="Z658">
        <f>IF(AND(Table6[[#This Row],[pipeline]]="fma",W658="new"),290,0)</f>
        <v>0</v>
      </c>
      <c r="AK658" s="34"/>
    </row>
    <row r="659" spans="1:37" ht="17" x14ac:dyDescent="0.2">
      <c r="A659" s="31">
        <f>IF(Table6[[#This Row],[instruction]]&lt;&gt;"",MAX($A$6:A658)+1," ")</f>
        <v>654</v>
      </c>
      <c r="B659" s="32" t="s">
        <v>485</v>
      </c>
      <c r="C659" t="s">
        <v>438</v>
      </c>
      <c r="D659" s="31" t="s">
        <v>7</v>
      </c>
      <c r="E659" s="31" t="s">
        <v>23</v>
      </c>
      <c r="F659" s="31" t="s">
        <v>469</v>
      </c>
      <c r="G659" s="31" t="s">
        <v>8</v>
      </c>
      <c r="H659" s="31" t="s">
        <v>531</v>
      </c>
      <c r="I659" s="31" t="s">
        <v>506</v>
      </c>
      <c r="K659" s="2" t="str">
        <f t="shared" si="10"/>
        <v>alu</v>
      </c>
      <c r="L659" cm="1">
        <f t="array" ref="L6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59" t="str">
        <f>IF(OR(ISNUMBER(SEARCH("imad", Table6[[#This Row],[instruction]])), ISNUMBER(SEARCH("ffma", Table6[[#This Row],[instruction]])), ISNUMBER(SEARCH("fmul", Table6[[#This Row],[instruction]]))), "fma", "")</f>
        <v/>
      </c>
      <c r="P6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59" t="str">
        <f>IF(OR(ISNUMBER(SEARCH("s2r", Table6[[#This Row],[instruction]])),ISNUMBER(SEARCH("s2ur", Table6[[#This Row],[instruction]]))), "special", "")</f>
        <v/>
      </c>
      <c r="S659" t="str">
        <f>IF(OR(ISNUMBER(SEARCH("stg", Table6[[#This Row],[instruction]])),ISNUMBER(SEARCH("ldg", Table6[[#This Row],[instruction]]))), "global", "")</f>
        <v/>
      </c>
      <c r="T659" t="str">
        <f>IF(OR(ISNUMBER(SEARCH("sts", Table6[[#This Row],[instruction]])),ISNUMBER(SEARCH("lds", Table6[[#This Row],[instruction]]))), "shared", "")</f>
        <v/>
      </c>
      <c r="U659" t="str">
        <f>IF(OR(ISNUMBER(SEARCH("LDC", Table6[[#This Row],[instruction]]))), "ind. const", "")</f>
        <v/>
      </c>
      <c r="V6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Row],[s5]]))),U659=""), "cmb. const", "")</f>
        <v>cmb. const</v>
      </c>
      <c r="W659" s="2" t="s">
        <v>481</v>
      </c>
      <c r="Y659">
        <f>IF(Table6[[#This Row],[pipeline]]="fma",Table6[[#This Row],[delay]],0)</f>
        <v>0</v>
      </c>
      <c r="Z659">
        <f>IF(AND(Table6[[#This Row],[pipeline]]="fma",W659="new"),290,0)</f>
        <v>0</v>
      </c>
      <c r="AK659" s="34"/>
    </row>
    <row r="660" spans="1:37" ht="17" x14ac:dyDescent="0.2">
      <c r="A660" s="31">
        <f>IF(Table6[[#This Row],[instruction]]&lt;&gt;"",MAX($A$6:A659)+1," ")</f>
        <v>655</v>
      </c>
      <c r="B660" s="32" t="s">
        <v>580</v>
      </c>
      <c r="C660" t="s">
        <v>359</v>
      </c>
      <c r="D660" s="31" t="s">
        <v>739</v>
      </c>
      <c r="K660" s="2" t="str">
        <f t="shared" si="10"/>
        <v>cba</v>
      </c>
      <c r="L660" cm="1">
        <f t="array" ref="L6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660" t="s">
        <v>770</v>
      </c>
      <c r="O660" t="str">
        <f>IF(OR(ISNUMBER(SEARCH("imad", Table6[[#This Row],[instruction]])), ISNUMBER(SEARCH("ffma", Table6[[#This Row],[instruction]])), ISNUMBER(SEARCH("fmul", Table6[[#This Row],[instruction]]))), "fma", "")</f>
        <v/>
      </c>
      <c r="P6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60" t="str">
        <f>IF(OR(ISNUMBER(SEARCH("s2r", Table6[[#This Row],[instruction]])),ISNUMBER(SEARCH("s2ur", Table6[[#This Row],[instruction]]))), "special", "")</f>
        <v/>
      </c>
      <c r="S660" t="str">
        <f>IF(OR(ISNUMBER(SEARCH("stg", Table6[[#This Row],[instruction]])),ISNUMBER(SEARCH("ldg", Table6[[#This Row],[instruction]]))), "global", "")</f>
        <v/>
      </c>
      <c r="T660" t="str">
        <f>IF(OR(ISNUMBER(SEARCH("sts", Table6[[#This Row],[instruction]])),ISNUMBER(SEARCH("lds", Table6[[#This Row],[instruction]]))), "shared", "")</f>
        <v/>
      </c>
      <c r="U660" t="str">
        <f>IF(OR(ISNUMBER(SEARCH("LDC", Table6[[#This Row],[instruction]]))), "ind. const", "")</f>
        <v/>
      </c>
      <c r="V6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Row],[s5]]))),U660=""), "cmb. const", "")</f>
        <v/>
      </c>
      <c r="Y660">
        <f>IF(Table6[[#This Row],[pipeline]]="fma",Table6[[#This Row],[delay]],0)</f>
        <v>0</v>
      </c>
      <c r="Z660">
        <f>IF(AND(Table6[[#This Row],[pipeline]]="fma",W660="new"),290,0)</f>
        <v>0</v>
      </c>
      <c r="AK660" s="34"/>
    </row>
    <row r="661" spans="1:37" ht="17" x14ac:dyDescent="0.2">
      <c r="A661" s="31">
        <f>IF(Table6[[#This Row],[instruction]]&lt;&gt;"",MAX($A$6:A660)+1," ")</f>
        <v>656</v>
      </c>
      <c r="B661" s="32" t="s">
        <v>485</v>
      </c>
      <c r="C661" t="s">
        <v>740</v>
      </c>
      <c r="D661" s="31" t="s">
        <v>50</v>
      </c>
      <c r="E661" s="31" t="s">
        <v>51</v>
      </c>
      <c r="F661" s="31" t="s">
        <v>8</v>
      </c>
      <c r="G661" s="31" t="s">
        <v>741</v>
      </c>
      <c r="H661" s="31" t="s">
        <v>494</v>
      </c>
      <c r="K661" s="2" t="str">
        <f t="shared" si="10"/>
        <v>alu</v>
      </c>
      <c r="L661" cm="1">
        <f t="array" ref="L6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61" t="str">
        <f>IF(OR(ISNUMBER(SEARCH("imad", Table6[[#This Row],[instruction]])), ISNUMBER(SEARCH("ffma", Table6[[#This Row],[instruction]])), ISNUMBER(SEARCH("fmul", Table6[[#This Row],[instruction]]))), "fma", "")</f>
        <v/>
      </c>
      <c r="P6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1" t="str">
        <f>IF(OR(ISNUMBER(SEARCH("s2r", Table6[[#This Row],[instruction]])),ISNUMBER(SEARCH("s2ur", Table6[[#This Row],[instruction]]))), "special", "")</f>
        <v/>
      </c>
      <c r="S661" t="str">
        <f>IF(OR(ISNUMBER(SEARCH("stg", Table6[[#This Row],[instruction]])),ISNUMBER(SEARCH("ldg", Table6[[#This Row],[instruction]]))), "global", "")</f>
        <v/>
      </c>
      <c r="T661" t="str">
        <f>IF(OR(ISNUMBER(SEARCH("sts", Table6[[#This Row],[instruction]])),ISNUMBER(SEARCH("lds", Table6[[#This Row],[instruction]]))), "shared", "")</f>
        <v/>
      </c>
      <c r="U661" t="str">
        <f>IF(OR(ISNUMBER(SEARCH("LDC", Table6[[#This Row],[instruction]]))), "ind. const", "")</f>
        <v/>
      </c>
      <c r="V6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Row],[s5]]))),U661=""), "cmb. const", "")</f>
        <v>cmb. const</v>
      </c>
      <c r="Y661">
        <f>IF(Table6[[#This Row],[pipeline]]="fma",Table6[[#This Row],[delay]],0)</f>
        <v>0</v>
      </c>
      <c r="Z661">
        <f>IF(AND(Table6[[#This Row],[pipeline]]="fma",W661="new"),290,0)</f>
        <v>0</v>
      </c>
      <c r="AK661" s="34"/>
    </row>
    <row r="662" spans="1:37" ht="17" x14ac:dyDescent="0.2">
      <c r="A662" s="31">
        <f>IF(Table6[[#This Row],[instruction]]&lt;&gt;"",MAX($A$6:A661)+1," ")</f>
        <v>657</v>
      </c>
      <c r="B662" s="32" t="s">
        <v>86</v>
      </c>
      <c r="C662" t="s">
        <v>359</v>
      </c>
      <c r="D662" s="31" t="s">
        <v>742</v>
      </c>
      <c r="K662" s="2" t="str">
        <f t="shared" si="10"/>
        <v>cba</v>
      </c>
      <c r="L662" cm="1">
        <f t="array" ref="L6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662" t="s">
        <v>770</v>
      </c>
      <c r="O662" t="str">
        <f>IF(OR(ISNUMBER(SEARCH("imad", Table6[[#This Row],[instruction]])), ISNUMBER(SEARCH("ffma", Table6[[#This Row],[instruction]])), ISNUMBER(SEARCH("fmul", Table6[[#This Row],[instruction]]))), "fma", "")</f>
        <v/>
      </c>
      <c r="P6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62" t="str">
        <f>IF(OR(ISNUMBER(SEARCH("s2r", Table6[[#This Row],[instruction]])),ISNUMBER(SEARCH("s2ur", Table6[[#This Row],[instruction]]))), "special", "")</f>
        <v/>
      </c>
      <c r="S662" t="str">
        <f>IF(OR(ISNUMBER(SEARCH("stg", Table6[[#This Row],[instruction]])),ISNUMBER(SEARCH("ldg", Table6[[#This Row],[instruction]]))), "global", "")</f>
        <v/>
      </c>
      <c r="T662" t="str">
        <f>IF(OR(ISNUMBER(SEARCH("sts", Table6[[#This Row],[instruction]])),ISNUMBER(SEARCH("lds", Table6[[#This Row],[instruction]]))), "shared", "")</f>
        <v/>
      </c>
      <c r="U662" t="str">
        <f>IF(OR(ISNUMBER(SEARCH("LDC", Table6[[#This Row],[instruction]]))), "ind. const", "")</f>
        <v/>
      </c>
      <c r="V6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Row],[s5]]))),U662=""), "cmb. const", "")</f>
        <v/>
      </c>
      <c r="Y662">
        <f>IF(Table6[[#This Row],[pipeline]]="fma",Table6[[#This Row],[delay]],0)</f>
        <v>0</v>
      </c>
      <c r="Z662">
        <f>IF(AND(Table6[[#This Row],[pipeline]]="fma",W662="new"),290,0)</f>
        <v>0</v>
      </c>
      <c r="AK662" s="34"/>
    </row>
    <row r="663" spans="1:37" ht="17" x14ac:dyDescent="0.2">
      <c r="A663" s="31">
        <f>IF(Table6[[#This Row],[instruction]]&lt;&gt;"",MAX($A$6:A662)+1," ")</f>
        <v>658</v>
      </c>
      <c r="B663" s="32" t="s">
        <v>485</v>
      </c>
      <c r="C663" t="s">
        <v>49</v>
      </c>
      <c r="D663" s="31" t="s">
        <v>50</v>
      </c>
      <c r="E663" s="31" t="s">
        <v>51</v>
      </c>
      <c r="F663" s="31" t="s">
        <v>46</v>
      </c>
      <c r="G663" s="31" t="s">
        <v>442</v>
      </c>
      <c r="H663" s="31" t="s">
        <v>494</v>
      </c>
      <c r="K663" s="2" t="str">
        <f t="shared" si="10"/>
        <v>alu</v>
      </c>
      <c r="L663" cm="1">
        <f t="array" ref="L6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3" t="str">
        <f>IF(OR(ISNUMBER(SEARCH("imad", Table6[[#This Row],[instruction]])), ISNUMBER(SEARCH("ffma", Table6[[#This Row],[instruction]])), ISNUMBER(SEARCH("fmul", Table6[[#This Row],[instruction]]))), "fma", "")</f>
        <v/>
      </c>
      <c r="P6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3" t="str">
        <f>IF(OR(ISNUMBER(SEARCH("s2r", Table6[[#This Row],[instruction]])),ISNUMBER(SEARCH("s2ur", Table6[[#This Row],[instruction]]))), "special", "")</f>
        <v/>
      </c>
      <c r="S663" t="str">
        <f>IF(OR(ISNUMBER(SEARCH("stg", Table6[[#This Row],[instruction]])),ISNUMBER(SEARCH("ldg", Table6[[#This Row],[instruction]]))), "global", "")</f>
        <v/>
      </c>
      <c r="T663" t="str">
        <f>IF(OR(ISNUMBER(SEARCH("sts", Table6[[#This Row],[instruction]])),ISNUMBER(SEARCH("lds", Table6[[#This Row],[instruction]]))), "shared", "")</f>
        <v/>
      </c>
      <c r="U663" t="str">
        <f>IF(OR(ISNUMBER(SEARCH("LDC", Table6[[#This Row],[instruction]]))), "ind. const", "")</f>
        <v/>
      </c>
      <c r="V6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Row],[s5]]))),U663=""), "cmb. const", "")</f>
        <v>cmb. const</v>
      </c>
      <c r="W663" s="2" t="s">
        <v>481</v>
      </c>
      <c r="Y663">
        <f>IF(Table6[[#This Row],[pipeline]]="fma",Table6[[#This Row],[delay]],0)</f>
        <v>0</v>
      </c>
      <c r="Z663">
        <f>IF(AND(Table6[[#This Row],[pipeline]]="fma",W663="new"),290,0)</f>
        <v>0</v>
      </c>
      <c r="AK663" s="34"/>
    </row>
    <row r="664" spans="1:37" ht="17" x14ac:dyDescent="0.2">
      <c r="A664" s="31">
        <f>IF(Table6[[#This Row],[instruction]]&lt;&gt;"",MAX($A$6:A663)+1," ")</f>
        <v>659</v>
      </c>
      <c r="B664" s="32" t="s">
        <v>485</v>
      </c>
      <c r="C664" t="s">
        <v>49</v>
      </c>
      <c r="D664" s="31" t="s">
        <v>78</v>
      </c>
      <c r="E664" s="31" t="s">
        <v>51</v>
      </c>
      <c r="F664" s="31" t="s">
        <v>447</v>
      </c>
      <c r="G664" s="31" t="s">
        <v>442</v>
      </c>
      <c r="H664" s="31" t="s">
        <v>494</v>
      </c>
      <c r="K664" s="2" t="str">
        <f t="shared" si="10"/>
        <v>alu</v>
      </c>
      <c r="L664" cm="1">
        <f t="array" ref="L6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4" t="str">
        <f>IF(OR(ISNUMBER(SEARCH("imad", Table6[[#This Row],[instruction]])), ISNUMBER(SEARCH("ffma", Table6[[#This Row],[instruction]])), ISNUMBER(SEARCH("fmul", Table6[[#This Row],[instruction]]))), "fma", "")</f>
        <v/>
      </c>
      <c r="P6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4" t="str">
        <f>IF(OR(ISNUMBER(SEARCH("s2r", Table6[[#This Row],[instruction]])),ISNUMBER(SEARCH("s2ur", Table6[[#This Row],[instruction]]))), "special", "")</f>
        <v/>
      </c>
      <c r="S664" t="str">
        <f>IF(OR(ISNUMBER(SEARCH("stg", Table6[[#This Row],[instruction]])),ISNUMBER(SEARCH("ldg", Table6[[#This Row],[instruction]]))), "global", "")</f>
        <v/>
      </c>
      <c r="T664" t="str">
        <f>IF(OR(ISNUMBER(SEARCH("sts", Table6[[#This Row],[instruction]])),ISNUMBER(SEARCH("lds", Table6[[#This Row],[instruction]]))), "shared", "")</f>
        <v/>
      </c>
      <c r="U664" t="str">
        <f>IF(OR(ISNUMBER(SEARCH("LDC", Table6[[#This Row],[instruction]]))), "ind. const", "")</f>
        <v/>
      </c>
      <c r="V6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Row],[s5]]))),U664=""), "cmb. const", "")</f>
        <v>cmb. const</v>
      </c>
      <c r="W664" s="2" t="s">
        <v>481</v>
      </c>
      <c r="Y664">
        <f>IF(Table6[[#This Row],[pipeline]]="fma",Table6[[#This Row],[delay]],0)</f>
        <v>0</v>
      </c>
      <c r="Z664">
        <f>IF(AND(Table6[[#This Row],[pipeline]]="fma",W664="new"),290,0)</f>
        <v>0</v>
      </c>
      <c r="AK664" s="34"/>
    </row>
    <row r="665" spans="1:37" ht="17" x14ac:dyDescent="0.2">
      <c r="A665" s="31">
        <f>IF(Table6[[#This Row],[instruction]]&lt;&gt;"",MAX($A$6:A664)+1," ")</f>
        <v>660</v>
      </c>
      <c r="B665" s="32" t="s">
        <v>485</v>
      </c>
      <c r="C665" t="s">
        <v>49</v>
      </c>
      <c r="D665" s="31" t="s">
        <v>74</v>
      </c>
      <c r="E665" s="31" t="s">
        <v>51</v>
      </c>
      <c r="F665" s="31" t="s">
        <v>637</v>
      </c>
      <c r="G665" s="31" t="s">
        <v>442</v>
      </c>
      <c r="H665" s="31" t="s">
        <v>494</v>
      </c>
      <c r="K665" s="2" t="str">
        <f t="shared" si="10"/>
        <v>alu</v>
      </c>
      <c r="L665" cm="1">
        <f t="array" ref="L6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5" t="str">
        <f>IF(OR(ISNUMBER(SEARCH("imad", Table6[[#This Row],[instruction]])), ISNUMBER(SEARCH("ffma", Table6[[#This Row],[instruction]])), ISNUMBER(SEARCH("fmul", Table6[[#This Row],[instruction]]))), "fma", "")</f>
        <v/>
      </c>
      <c r="P6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5" t="str">
        <f>IF(OR(ISNUMBER(SEARCH("s2r", Table6[[#This Row],[instruction]])),ISNUMBER(SEARCH("s2ur", Table6[[#This Row],[instruction]]))), "special", "")</f>
        <v/>
      </c>
      <c r="S665" t="str">
        <f>IF(OR(ISNUMBER(SEARCH("stg", Table6[[#This Row],[instruction]])),ISNUMBER(SEARCH("ldg", Table6[[#This Row],[instruction]]))), "global", "")</f>
        <v/>
      </c>
      <c r="T665" t="str">
        <f>IF(OR(ISNUMBER(SEARCH("sts", Table6[[#This Row],[instruction]])),ISNUMBER(SEARCH("lds", Table6[[#This Row],[instruction]]))), "shared", "")</f>
        <v/>
      </c>
      <c r="U665" t="str">
        <f>IF(OR(ISNUMBER(SEARCH("LDC", Table6[[#This Row],[instruction]]))), "ind. const", "")</f>
        <v/>
      </c>
      <c r="V6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Row],[s5]]))),U665=""), "cmb. const", "")</f>
        <v>cmb. const</v>
      </c>
      <c r="W665" s="2" t="s">
        <v>481</v>
      </c>
      <c r="Y665">
        <f>IF(Table6[[#This Row],[pipeline]]="fma",Table6[[#This Row],[delay]],0)</f>
        <v>0</v>
      </c>
      <c r="Z665">
        <f>IF(AND(Table6[[#This Row],[pipeline]]="fma",W665="new"),290,0)</f>
        <v>0</v>
      </c>
      <c r="AK665" s="34"/>
    </row>
    <row r="666" spans="1:37" ht="17" x14ac:dyDescent="0.2">
      <c r="A666" s="31">
        <f>IF(Table6[[#This Row],[instruction]]&lt;&gt;"",MAX($A$6:A665)+1," ")</f>
        <v>661</v>
      </c>
      <c r="B666" s="32" t="s">
        <v>580</v>
      </c>
      <c r="C666" t="s">
        <v>59</v>
      </c>
      <c r="D666" s="31" t="s">
        <v>577</v>
      </c>
      <c r="E666" s="31" t="s">
        <v>577</v>
      </c>
      <c r="F666" s="31" t="s">
        <v>743</v>
      </c>
      <c r="K666" s="2" t="str">
        <f t="shared" si="10"/>
        <v>fma</v>
      </c>
      <c r="L666" cm="1">
        <f t="array" ref="L6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6" t="str">
        <f>IF(OR(ISNUMBER(SEARCH("imad", Table6[[#This Row],[instruction]])), ISNUMBER(SEARCH("ffma", Table6[[#This Row],[instruction]])), ISNUMBER(SEARCH("fmul", Table6[[#This Row],[instruction]]))), "fma", "")</f>
        <v>fma</v>
      </c>
      <c r="P6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6" t="str">
        <f>IF(OR(ISNUMBER(SEARCH("s2r", Table6[[#This Row],[instruction]])),ISNUMBER(SEARCH("s2ur", Table6[[#This Row],[instruction]]))), "special", "")</f>
        <v/>
      </c>
      <c r="S666" t="str">
        <f>IF(OR(ISNUMBER(SEARCH("stg", Table6[[#This Row],[instruction]])),ISNUMBER(SEARCH("ldg", Table6[[#This Row],[instruction]]))), "global", "")</f>
        <v/>
      </c>
      <c r="T666" t="str">
        <f>IF(OR(ISNUMBER(SEARCH("sts", Table6[[#This Row],[instruction]])),ISNUMBER(SEARCH("lds", Table6[[#This Row],[instruction]]))), "shared", "")</f>
        <v/>
      </c>
      <c r="U666" t="str">
        <f>IF(OR(ISNUMBER(SEARCH("LDC", Table6[[#This Row],[instruction]]))), "ind. const", "")</f>
        <v/>
      </c>
      <c r="V6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Row],[s5]]))),U666=""), "cmb. const", "")</f>
        <v>cmb. const</v>
      </c>
      <c r="Y666">
        <f>IF(Table6[[#This Row],[pipeline]]="fma",Table6[[#This Row],[delay]],0)</f>
        <v>4</v>
      </c>
      <c r="Z666">
        <f>IF(AND(Table6[[#This Row],[pipeline]]="fma",W666="new"),290,0)</f>
        <v>0</v>
      </c>
      <c r="AK666" s="34"/>
    </row>
    <row r="667" spans="1:37" ht="17" x14ac:dyDescent="0.2">
      <c r="A667" s="31">
        <f>IF(Table6[[#This Row],[instruction]]&lt;&gt;"",MAX($A$6:A666)+1," ")</f>
        <v>662</v>
      </c>
      <c r="B667" s="32" t="s">
        <v>644</v>
      </c>
      <c r="C667" t="s">
        <v>59</v>
      </c>
      <c r="D667" s="31" t="s">
        <v>23</v>
      </c>
      <c r="E667" s="31" t="s">
        <v>80</v>
      </c>
      <c r="F667" s="31" t="s">
        <v>743</v>
      </c>
      <c r="K667" s="2" t="str">
        <f t="shared" si="10"/>
        <v>fma</v>
      </c>
      <c r="L667" cm="1">
        <f t="array" ref="L6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7" t="str">
        <f>IF(OR(ISNUMBER(SEARCH("imad", Table6[[#This Row],[instruction]])), ISNUMBER(SEARCH("ffma", Table6[[#This Row],[instruction]])), ISNUMBER(SEARCH("fmul", Table6[[#This Row],[instruction]]))), "fma", "")</f>
        <v>fma</v>
      </c>
      <c r="P6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7" t="str">
        <f>IF(OR(ISNUMBER(SEARCH("s2r", Table6[[#This Row],[instruction]])),ISNUMBER(SEARCH("s2ur", Table6[[#This Row],[instruction]]))), "special", "")</f>
        <v/>
      </c>
      <c r="S667" t="str">
        <f>IF(OR(ISNUMBER(SEARCH("stg", Table6[[#This Row],[instruction]])),ISNUMBER(SEARCH("ldg", Table6[[#This Row],[instruction]]))), "global", "")</f>
        <v/>
      </c>
      <c r="T667" t="str">
        <f>IF(OR(ISNUMBER(SEARCH("sts", Table6[[#This Row],[instruction]])),ISNUMBER(SEARCH("lds", Table6[[#This Row],[instruction]]))), "shared", "")</f>
        <v/>
      </c>
      <c r="U667" t="str">
        <f>IF(OR(ISNUMBER(SEARCH("LDC", Table6[[#This Row],[instruction]]))), "ind. const", "")</f>
        <v/>
      </c>
      <c r="V6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Row],[s5]]))),U667=""), "cmb. const", "")</f>
        <v>cmb. const</v>
      </c>
      <c r="Y667">
        <f>IF(Table6[[#This Row],[pipeline]]="fma",Table6[[#This Row],[delay]],0)</f>
        <v>4</v>
      </c>
      <c r="Z667">
        <f>IF(AND(Table6[[#This Row],[pipeline]]="fma",W667="new"),290,0)</f>
        <v>0</v>
      </c>
      <c r="AK667" s="34"/>
    </row>
    <row r="668" spans="1:37" ht="17" x14ac:dyDescent="0.2">
      <c r="A668" s="31">
        <f>IF(Table6[[#This Row],[instruction]]&lt;&gt;"",MAX($A$6:A667)+1," ")</f>
        <v>663</v>
      </c>
      <c r="B668" s="32" t="s">
        <v>582</v>
      </c>
      <c r="C668" t="s">
        <v>59</v>
      </c>
      <c r="D668" s="31" t="s">
        <v>588</v>
      </c>
      <c r="E668" s="31" t="s">
        <v>588</v>
      </c>
      <c r="F668" s="31" t="s">
        <v>743</v>
      </c>
      <c r="K668" s="2" t="str">
        <f t="shared" si="10"/>
        <v>fma</v>
      </c>
      <c r="L668" cm="1">
        <f t="array" ref="L6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68" t="str">
        <f>IF(OR(ISNUMBER(SEARCH("imad", Table6[[#This Row],[instruction]])), ISNUMBER(SEARCH("ffma", Table6[[#This Row],[instruction]])), ISNUMBER(SEARCH("fmul", Table6[[#This Row],[instruction]]))), "fma", "")</f>
        <v>fma</v>
      </c>
      <c r="P6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8" t="str">
        <f>IF(OR(ISNUMBER(SEARCH("s2r", Table6[[#This Row],[instruction]])),ISNUMBER(SEARCH("s2ur", Table6[[#This Row],[instruction]]))), "special", "")</f>
        <v/>
      </c>
      <c r="S668" t="str">
        <f>IF(OR(ISNUMBER(SEARCH("stg", Table6[[#This Row],[instruction]])),ISNUMBER(SEARCH("ldg", Table6[[#This Row],[instruction]]))), "global", "")</f>
        <v/>
      </c>
      <c r="T668" t="str">
        <f>IF(OR(ISNUMBER(SEARCH("sts", Table6[[#This Row],[instruction]])),ISNUMBER(SEARCH("lds", Table6[[#This Row],[instruction]]))), "shared", "")</f>
        <v/>
      </c>
      <c r="U668" t="str">
        <f>IF(OR(ISNUMBER(SEARCH("LDC", Table6[[#This Row],[instruction]]))), "ind. const", "")</f>
        <v/>
      </c>
      <c r="V6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Row],[s5]]))),U668=""), "cmb. const", "")</f>
        <v>cmb. const</v>
      </c>
      <c r="Y668">
        <f>IF(Table6[[#This Row],[pipeline]]="fma",Table6[[#This Row],[delay]],0)</f>
        <v>4</v>
      </c>
      <c r="Z668">
        <f>IF(AND(Table6[[#This Row],[pipeline]]="fma",W668="new"),290,0)</f>
        <v>0</v>
      </c>
      <c r="AK668" s="34"/>
    </row>
    <row r="669" spans="1:37" ht="17" x14ac:dyDescent="0.2">
      <c r="A669" s="31">
        <f>IF(Table6[[#This Row],[instruction]]&lt;&gt;"",MAX($A$6:A668)+1," ")</f>
        <v>664</v>
      </c>
      <c r="B669" s="32" t="s">
        <v>580</v>
      </c>
      <c r="C669" t="s">
        <v>28</v>
      </c>
      <c r="D669" s="31" t="s">
        <v>744</v>
      </c>
      <c r="E669" s="31" t="s">
        <v>586</v>
      </c>
      <c r="K669" s="2" t="str">
        <f t="shared" si="10"/>
        <v>global</v>
      </c>
      <c r="L669" cm="1">
        <f t="array" ref="L6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69" t="str">
        <f>IF(OR(ISNUMBER(SEARCH("imad", Table6[[#This Row],[instruction]])), ISNUMBER(SEARCH("ffma", Table6[[#This Row],[instruction]])), ISNUMBER(SEARCH("fmul", Table6[[#This Row],[instruction]]))), "fma", "")</f>
        <v/>
      </c>
      <c r="P6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69" t="str">
        <f>IF(OR(ISNUMBER(SEARCH("s2r", Table6[[#This Row],[instruction]])),ISNUMBER(SEARCH("s2ur", Table6[[#This Row],[instruction]]))), "special", "")</f>
        <v/>
      </c>
      <c r="S669" t="str">
        <f>IF(OR(ISNUMBER(SEARCH("stg", Table6[[#This Row],[instruction]])),ISNUMBER(SEARCH("ldg", Table6[[#This Row],[instruction]]))), "global", "")</f>
        <v>global</v>
      </c>
      <c r="T669" t="str">
        <f>IF(OR(ISNUMBER(SEARCH("sts", Table6[[#This Row],[instruction]])),ISNUMBER(SEARCH("lds", Table6[[#This Row],[instruction]]))), "shared", "")</f>
        <v/>
      </c>
      <c r="U669" t="str">
        <f>IF(OR(ISNUMBER(SEARCH("LDC", Table6[[#This Row],[instruction]]))), "ind. const", "")</f>
        <v/>
      </c>
      <c r="V6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Row],[s5]]))),U669=""), "cmb. const", "")</f>
        <v/>
      </c>
      <c r="Y669">
        <f>IF(Table6[[#This Row],[pipeline]]="fma",Table6[[#This Row],[delay]],0)</f>
        <v>0</v>
      </c>
      <c r="Z669">
        <f>IF(AND(Table6[[#This Row],[pipeline]]="fma",W669="new"),290,0)</f>
        <v>0</v>
      </c>
      <c r="AK669" s="34"/>
    </row>
    <row r="670" spans="1:37" ht="17" x14ac:dyDescent="0.2">
      <c r="A670" s="31">
        <f>IF(Table6[[#This Row],[instruction]]&lt;&gt;"",MAX($A$6:A669)+1," ")</f>
        <v>665</v>
      </c>
      <c r="B670" s="32" t="s">
        <v>485</v>
      </c>
      <c r="C670" t="s">
        <v>49</v>
      </c>
      <c r="D670" s="31" t="s">
        <v>50</v>
      </c>
      <c r="E670" s="31" t="s">
        <v>51</v>
      </c>
      <c r="F670" s="31" t="s">
        <v>567</v>
      </c>
      <c r="G670" s="31" t="s">
        <v>442</v>
      </c>
      <c r="H670" s="31" t="s">
        <v>494</v>
      </c>
      <c r="K670" s="2" t="str">
        <f t="shared" si="10"/>
        <v>alu</v>
      </c>
      <c r="L670" cm="1">
        <f t="array" ref="L6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70" t="str">
        <f>IF(OR(ISNUMBER(SEARCH("imad", Table6[[#This Row],[instruction]])), ISNUMBER(SEARCH("ffma", Table6[[#This Row],[instruction]])), ISNUMBER(SEARCH("fmul", Table6[[#This Row],[instruction]]))), "fma", "")</f>
        <v/>
      </c>
      <c r="P6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0" t="str">
        <f>IF(OR(ISNUMBER(SEARCH("s2r", Table6[[#This Row],[instruction]])),ISNUMBER(SEARCH("s2ur", Table6[[#This Row],[instruction]]))), "special", "")</f>
        <v/>
      </c>
      <c r="S670" t="str">
        <f>IF(OR(ISNUMBER(SEARCH("stg", Table6[[#This Row],[instruction]])),ISNUMBER(SEARCH("ldg", Table6[[#This Row],[instruction]]))), "global", "")</f>
        <v/>
      </c>
      <c r="T670" t="str">
        <f>IF(OR(ISNUMBER(SEARCH("sts", Table6[[#This Row],[instruction]])),ISNUMBER(SEARCH("lds", Table6[[#This Row],[instruction]]))), "shared", "")</f>
        <v/>
      </c>
      <c r="U670" t="str">
        <f>IF(OR(ISNUMBER(SEARCH("LDC", Table6[[#This Row],[instruction]]))), "ind. const", "")</f>
        <v/>
      </c>
      <c r="V6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Row],[s5]]))),U670=""), "cmb. const", "")</f>
        <v>cmb. const</v>
      </c>
      <c r="W670" s="2" t="s">
        <v>481</v>
      </c>
      <c r="Y670">
        <f>IF(Table6[[#This Row],[pipeline]]="fma",Table6[[#This Row],[delay]],0)</f>
        <v>0</v>
      </c>
      <c r="Z670">
        <f>IF(AND(Table6[[#This Row],[pipeline]]="fma",W670="new"),290,0)</f>
        <v>0</v>
      </c>
      <c r="AK670" s="34"/>
    </row>
    <row r="671" spans="1:37" ht="17" x14ac:dyDescent="0.2">
      <c r="A671" s="31">
        <f>IF(Table6[[#This Row],[instruction]]&lt;&gt;"",MAX($A$6:A670)+1," ")</f>
        <v>666</v>
      </c>
      <c r="B671" s="32" t="s">
        <v>644</v>
      </c>
      <c r="C671" t="s">
        <v>28</v>
      </c>
      <c r="D671" s="31" t="s">
        <v>446</v>
      </c>
      <c r="E671" s="31" t="s">
        <v>514</v>
      </c>
      <c r="K671" s="2" t="str">
        <f t="shared" si="10"/>
        <v>global</v>
      </c>
      <c r="L671" cm="1">
        <f t="array" ref="L6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1" t="str">
        <f>IF(OR(ISNUMBER(SEARCH("imad", Table6[[#This Row],[instruction]])), ISNUMBER(SEARCH("ffma", Table6[[#This Row],[instruction]])), ISNUMBER(SEARCH("fmul", Table6[[#This Row],[instruction]]))), "fma", "")</f>
        <v/>
      </c>
      <c r="P6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1" t="str">
        <f>IF(OR(ISNUMBER(SEARCH("s2r", Table6[[#This Row],[instruction]])),ISNUMBER(SEARCH("s2ur", Table6[[#This Row],[instruction]]))), "special", "")</f>
        <v/>
      </c>
      <c r="S671" t="str">
        <f>IF(OR(ISNUMBER(SEARCH("stg", Table6[[#This Row],[instruction]])),ISNUMBER(SEARCH("ldg", Table6[[#This Row],[instruction]]))), "global", "")</f>
        <v>global</v>
      </c>
      <c r="T671" t="str">
        <f>IF(OR(ISNUMBER(SEARCH("sts", Table6[[#This Row],[instruction]])),ISNUMBER(SEARCH("lds", Table6[[#This Row],[instruction]]))), "shared", "")</f>
        <v/>
      </c>
      <c r="U671" t="str">
        <f>IF(OR(ISNUMBER(SEARCH("LDC", Table6[[#This Row],[instruction]]))), "ind. const", "")</f>
        <v/>
      </c>
      <c r="V6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Row],[s5]]))),U671=""), "cmb. const", "")</f>
        <v/>
      </c>
      <c r="Y671">
        <f>IF(Table6[[#This Row],[pipeline]]="fma",Table6[[#This Row],[delay]],0)</f>
        <v>0</v>
      </c>
      <c r="Z671">
        <f>IF(AND(Table6[[#This Row],[pipeline]]="fma",W671="new"),290,0)</f>
        <v>0</v>
      </c>
      <c r="AK671" s="34"/>
    </row>
    <row r="672" spans="1:37" ht="17" x14ac:dyDescent="0.2">
      <c r="A672" s="31">
        <f>IF(Table6[[#This Row],[instruction]]&lt;&gt;"",MAX($A$6:A671)+1," ")</f>
        <v>667</v>
      </c>
      <c r="B672" s="32" t="s">
        <v>582</v>
      </c>
      <c r="C672" t="s">
        <v>28</v>
      </c>
      <c r="D672" s="31" t="s">
        <v>745</v>
      </c>
      <c r="E672" s="31" t="s">
        <v>667</v>
      </c>
      <c r="K672" s="2" t="str">
        <f t="shared" si="10"/>
        <v>global</v>
      </c>
      <c r="L672" cm="1">
        <f t="array" ref="L6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2" t="str">
        <f>IF(OR(ISNUMBER(SEARCH("imad", Table6[[#This Row],[instruction]])), ISNUMBER(SEARCH("ffma", Table6[[#This Row],[instruction]])), ISNUMBER(SEARCH("fmul", Table6[[#This Row],[instruction]]))), "fma", "")</f>
        <v/>
      </c>
      <c r="P6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2" t="str">
        <f>IF(OR(ISNUMBER(SEARCH("s2r", Table6[[#This Row],[instruction]])),ISNUMBER(SEARCH("s2ur", Table6[[#This Row],[instruction]]))), "special", "")</f>
        <v/>
      </c>
      <c r="S672" t="str">
        <f>IF(OR(ISNUMBER(SEARCH("stg", Table6[[#This Row],[instruction]])),ISNUMBER(SEARCH("ldg", Table6[[#This Row],[instruction]]))), "global", "")</f>
        <v>global</v>
      </c>
      <c r="T672" t="str">
        <f>IF(OR(ISNUMBER(SEARCH("sts", Table6[[#This Row],[instruction]])),ISNUMBER(SEARCH("lds", Table6[[#This Row],[instruction]]))), "shared", "")</f>
        <v/>
      </c>
      <c r="U672" t="str">
        <f>IF(OR(ISNUMBER(SEARCH("LDC", Table6[[#This Row],[instruction]]))), "ind. const", "")</f>
        <v/>
      </c>
      <c r="V6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Row],[s5]]))),U672=""), "cmb. const", "")</f>
        <v/>
      </c>
      <c r="Y672">
        <f>IF(Table6[[#This Row],[pipeline]]="fma",Table6[[#This Row],[delay]],0)</f>
        <v>0</v>
      </c>
      <c r="Z672">
        <f>IF(AND(Table6[[#This Row],[pipeline]]="fma",W672="new"),290,0)</f>
        <v>0</v>
      </c>
      <c r="AK672" s="34"/>
    </row>
    <row r="673" spans="1:37" ht="17" x14ac:dyDescent="0.2">
      <c r="A673" s="31">
        <f>IF(Table6[[#This Row],[instruction]]&lt;&gt;"",MAX($A$6:A672)+1," ")</f>
        <v>668</v>
      </c>
      <c r="B673" s="32" t="s">
        <v>86</v>
      </c>
      <c r="C673" t="s">
        <v>359</v>
      </c>
      <c r="D673" s="31" t="s">
        <v>730</v>
      </c>
      <c r="K673" s="2" t="str">
        <f t="shared" si="10"/>
        <v>cba</v>
      </c>
      <c r="L673" cm="1">
        <f t="array" ref="L6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3" t="str">
        <f>IF(OR(ISNUMBER(SEARCH("imad", Table6[[#This Row],[instruction]])), ISNUMBER(SEARCH("ffma", Table6[[#This Row],[instruction]])), ISNUMBER(SEARCH("fmul", Table6[[#This Row],[instruction]]))), "fma", "")</f>
        <v/>
      </c>
      <c r="P6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73" t="str">
        <f>IF(OR(ISNUMBER(SEARCH("s2r", Table6[[#This Row],[instruction]])),ISNUMBER(SEARCH("s2ur", Table6[[#This Row],[instruction]]))), "special", "")</f>
        <v/>
      </c>
      <c r="S673" t="str">
        <f>IF(OR(ISNUMBER(SEARCH("stg", Table6[[#This Row],[instruction]])),ISNUMBER(SEARCH("ldg", Table6[[#This Row],[instruction]]))), "global", "")</f>
        <v/>
      </c>
      <c r="T673" t="str">
        <f>IF(OR(ISNUMBER(SEARCH("sts", Table6[[#This Row],[instruction]])),ISNUMBER(SEARCH("lds", Table6[[#This Row],[instruction]]))), "shared", "")</f>
        <v/>
      </c>
      <c r="U673" t="str">
        <f>IF(OR(ISNUMBER(SEARCH("LDC", Table6[[#This Row],[instruction]]))), "ind. const", "")</f>
        <v/>
      </c>
      <c r="V6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Row],[s5]]))),U673=""), "cmb. const", "")</f>
        <v/>
      </c>
      <c r="Y673">
        <f>IF(Table6[[#This Row],[pipeline]]="fma",Table6[[#This Row],[delay]],0)</f>
        <v>0</v>
      </c>
      <c r="Z673">
        <f>IF(AND(Table6[[#This Row],[pipeline]]="fma",W673="new"),290,0)</f>
        <v>0</v>
      </c>
      <c r="AK673" s="34"/>
    </row>
    <row r="674" spans="1:37" ht="17" x14ac:dyDescent="0.2">
      <c r="A674" s="31">
        <f>IF(Table6[[#This Row],[instruction]]&lt;&gt;"",MAX($A$6:A673)+1," ")</f>
        <v>669</v>
      </c>
      <c r="B674" s="32" t="s">
        <v>485</v>
      </c>
      <c r="C674" t="s">
        <v>59</v>
      </c>
      <c r="D674" s="31" t="s">
        <v>23</v>
      </c>
      <c r="E674" s="31" t="s">
        <v>614</v>
      </c>
      <c r="F674" s="31" t="s">
        <v>743</v>
      </c>
      <c r="K674" s="2" t="str">
        <f t="shared" si="10"/>
        <v>fma</v>
      </c>
      <c r="L674" cm="1">
        <f t="array" ref="L6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74" t="str">
        <f>IF(OR(ISNUMBER(SEARCH("imad", Table6[[#This Row],[instruction]])), ISNUMBER(SEARCH("ffma", Table6[[#This Row],[instruction]])), ISNUMBER(SEARCH("fmul", Table6[[#This Row],[instruction]]))), "fma", "")</f>
        <v>fma</v>
      </c>
      <c r="P6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4" t="str">
        <f>IF(OR(ISNUMBER(SEARCH("s2r", Table6[[#This Row],[instruction]])),ISNUMBER(SEARCH("s2ur", Table6[[#This Row],[instruction]]))), "special", "")</f>
        <v/>
      </c>
      <c r="S674" t="str">
        <f>IF(OR(ISNUMBER(SEARCH("stg", Table6[[#This Row],[instruction]])),ISNUMBER(SEARCH("ldg", Table6[[#This Row],[instruction]]))), "global", "")</f>
        <v/>
      </c>
      <c r="T674" t="str">
        <f>IF(OR(ISNUMBER(SEARCH("sts", Table6[[#This Row],[instruction]])),ISNUMBER(SEARCH("lds", Table6[[#This Row],[instruction]]))), "shared", "")</f>
        <v/>
      </c>
      <c r="U674" t="str">
        <f>IF(OR(ISNUMBER(SEARCH("LDC", Table6[[#This Row],[instruction]]))), "ind. const", "")</f>
        <v/>
      </c>
      <c r="V6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Row],[s5]]))),U674=""), "cmb. const", "")</f>
        <v>cmb. const</v>
      </c>
      <c r="Y674">
        <f>IF(Table6[[#This Row],[pipeline]]="fma",Table6[[#This Row],[delay]],0)</f>
        <v>4</v>
      </c>
      <c r="Z674">
        <f>IF(AND(Table6[[#This Row],[pipeline]]="fma",W674="new"),290,0)</f>
        <v>0</v>
      </c>
      <c r="AK674" s="34"/>
    </row>
    <row r="675" spans="1:37" ht="17" x14ac:dyDescent="0.2">
      <c r="A675" s="31">
        <f>IF(Table6[[#This Row],[instruction]]&lt;&gt;"",MAX($A$6:A674)+1," ")</f>
        <v>670</v>
      </c>
      <c r="B675" s="32" t="s">
        <v>485</v>
      </c>
      <c r="C675" t="s">
        <v>28</v>
      </c>
      <c r="D675" s="31" t="s">
        <v>29</v>
      </c>
      <c r="E675" s="31" t="s">
        <v>514</v>
      </c>
      <c r="K675" s="2" t="str">
        <f t="shared" si="10"/>
        <v>global</v>
      </c>
      <c r="L675" cm="1">
        <f t="array" ref="L6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5" t="str">
        <f>IF(OR(ISNUMBER(SEARCH("imad", Table6[[#This Row],[instruction]])), ISNUMBER(SEARCH("ffma", Table6[[#This Row],[instruction]])), ISNUMBER(SEARCH("fmul", Table6[[#This Row],[instruction]]))), "fma", "")</f>
        <v/>
      </c>
      <c r="P6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5" t="str">
        <f>IF(OR(ISNUMBER(SEARCH("s2r", Table6[[#This Row],[instruction]])),ISNUMBER(SEARCH("s2ur", Table6[[#This Row],[instruction]]))), "special", "")</f>
        <v/>
      </c>
      <c r="S675" t="str">
        <f>IF(OR(ISNUMBER(SEARCH("stg", Table6[[#This Row],[instruction]])),ISNUMBER(SEARCH("ldg", Table6[[#This Row],[instruction]]))), "global", "")</f>
        <v>global</v>
      </c>
      <c r="T675" t="str">
        <f>IF(OR(ISNUMBER(SEARCH("sts", Table6[[#This Row],[instruction]])),ISNUMBER(SEARCH("lds", Table6[[#This Row],[instruction]]))), "shared", "")</f>
        <v/>
      </c>
      <c r="U675" t="str">
        <f>IF(OR(ISNUMBER(SEARCH("LDC", Table6[[#This Row],[instruction]]))), "ind. const", "")</f>
        <v/>
      </c>
      <c r="V6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Row],[s5]]))),U675=""), "cmb. const", "")</f>
        <v/>
      </c>
      <c r="Y675">
        <f>IF(Table6[[#This Row],[pipeline]]="fma",Table6[[#This Row],[delay]],0)</f>
        <v>0</v>
      </c>
      <c r="Z675">
        <f>IF(AND(Table6[[#This Row],[pipeline]]="fma",W675="new"),290,0)</f>
        <v>0</v>
      </c>
      <c r="AK675" s="34"/>
    </row>
    <row r="676" spans="1:37" ht="17" x14ac:dyDescent="0.2">
      <c r="A676" s="31">
        <f>IF(Table6[[#This Row],[instruction]]&lt;&gt;"",MAX($A$6:A675)+1," ")</f>
        <v>671</v>
      </c>
      <c r="B676" s="32" t="s">
        <v>485</v>
      </c>
      <c r="C676" t="s">
        <v>72</v>
      </c>
      <c r="D676" s="31" t="s">
        <v>552</v>
      </c>
      <c r="K676" s="2" t="str">
        <f t="shared" si="10"/>
        <v>cba</v>
      </c>
      <c r="L676" cm="1">
        <f t="array" ref="L6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6" t="str">
        <f>IF(OR(ISNUMBER(SEARCH("imad", Table6[[#This Row],[instruction]])), ISNUMBER(SEARCH("ffma", Table6[[#This Row],[instruction]])), ISNUMBER(SEARCH("fmul", Table6[[#This Row],[instruction]]))), "fma", "")</f>
        <v/>
      </c>
      <c r="P6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76" t="str">
        <f>IF(OR(ISNUMBER(SEARCH("s2r", Table6[[#This Row],[instruction]])),ISNUMBER(SEARCH("s2ur", Table6[[#This Row],[instruction]]))), "special", "")</f>
        <v/>
      </c>
      <c r="S676" t="str">
        <f>IF(OR(ISNUMBER(SEARCH("stg", Table6[[#This Row],[instruction]])),ISNUMBER(SEARCH("ldg", Table6[[#This Row],[instruction]]))), "global", "")</f>
        <v/>
      </c>
      <c r="T676" t="str">
        <f>IF(OR(ISNUMBER(SEARCH("sts", Table6[[#This Row],[instruction]])),ISNUMBER(SEARCH("lds", Table6[[#This Row],[instruction]]))), "shared", "")</f>
        <v/>
      </c>
      <c r="U676" t="str">
        <f>IF(OR(ISNUMBER(SEARCH("LDC", Table6[[#This Row],[instruction]]))), "ind. const", "")</f>
        <v/>
      </c>
      <c r="V6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Row],[s5]]))),U676=""), "cmb. const", "")</f>
        <v/>
      </c>
      <c r="Y676">
        <f>IF(Table6[[#This Row],[pipeline]]="fma",Table6[[#This Row],[delay]],0)</f>
        <v>0</v>
      </c>
      <c r="Z676">
        <f>IF(AND(Table6[[#This Row],[pipeline]]="fma",W676="new"),290,0)</f>
        <v>0</v>
      </c>
      <c r="AK676" s="34"/>
    </row>
    <row r="677" spans="1:37" ht="17" x14ac:dyDescent="0.2">
      <c r="A677" s="31">
        <f>IF(Table6[[#This Row],[instruction]]&lt;&gt;"",MAX($A$6:A676)+1," ")</f>
        <v>672</v>
      </c>
      <c r="B677" s="32" t="s">
        <v>485</v>
      </c>
      <c r="C677" t="s">
        <v>26</v>
      </c>
      <c r="D677" s="31" t="s">
        <v>23</v>
      </c>
      <c r="E677" s="31" t="s">
        <v>19</v>
      </c>
      <c r="F677" s="31" t="s">
        <v>75</v>
      </c>
      <c r="G677" s="31" t="s">
        <v>502</v>
      </c>
      <c r="K677" s="2" t="str">
        <f t="shared" si="10"/>
        <v>alu</v>
      </c>
      <c r="L677" cm="1">
        <f t="array" ref="L6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77" t="str">
        <f>IF(OR(ISNUMBER(SEARCH("imad", Table6[[#This Row],[instruction]])), ISNUMBER(SEARCH("ffma", Table6[[#This Row],[instruction]])), ISNUMBER(SEARCH("fmul", Table6[[#This Row],[instruction]]))), "fma", "")</f>
        <v/>
      </c>
      <c r="P6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7" t="str">
        <f>IF(OR(ISNUMBER(SEARCH("s2r", Table6[[#This Row],[instruction]])),ISNUMBER(SEARCH("s2ur", Table6[[#This Row],[instruction]]))), "special", "")</f>
        <v/>
      </c>
      <c r="S677" t="str">
        <f>IF(OR(ISNUMBER(SEARCH("stg", Table6[[#This Row],[instruction]])),ISNUMBER(SEARCH("ldg", Table6[[#This Row],[instruction]]))), "global", "")</f>
        <v/>
      </c>
      <c r="T677" t="str">
        <f>IF(OR(ISNUMBER(SEARCH("sts", Table6[[#This Row],[instruction]])),ISNUMBER(SEARCH("lds", Table6[[#This Row],[instruction]]))), "shared", "")</f>
        <v/>
      </c>
      <c r="U677" t="str">
        <f>IF(OR(ISNUMBER(SEARCH("LDC", Table6[[#This Row],[instruction]]))), "ind. const", "")</f>
        <v/>
      </c>
      <c r="V6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Row],[s5]]))),U677=""), "cmb. const", "")</f>
        <v/>
      </c>
      <c r="Y677">
        <f>IF(Table6[[#This Row],[pipeline]]="fma",Table6[[#This Row],[delay]],0)</f>
        <v>0</v>
      </c>
      <c r="Z677">
        <f>IF(AND(Table6[[#This Row],[pipeline]]="fma",W677="new"),290,0)</f>
        <v>0</v>
      </c>
      <c r="AK677" s="34"/>
    </row>
    <row r="678" spans="1:37" ht="17" x14ac:dyDescent="0.2">
      <c r="A678" s="31">
        <f>IF(Table6[[#This Row],[instruction]]&lt;&gt;"",MAX($A$6:A677)+1," ")</f>
        <v>673</v>
      </c>
      <c r="B678" s="32" t="s">
        <v>485</v>
      </c>
      <c r="C678" t="s">
        <v>67</v>
      </c>
      <c r="D678" s="31" t="s">
        <v>68</v>
      </c>
      <c r="E678" s="31" t="s">
        <v>746</v>
      </c>
      <c r="K678" s="2" t="str">
        <f t="shared" si="10"/>
        <v>cba</v>
      </c>
      <c r="L678" cm="1">
        <f t="array" ref="L6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78" t="str">
        <f>IF(OR(ISNUMBER(SEARCH("imad", Table6[[#This Row],[instruction]])), ISNUMBER(SEARCH("ffma", Table6[[#This Row],[instruction]])), ISNUMBER(SEARCH("fmul", Table6[[#This Row],[instruction]]))), "fma", "")</f>
        <v/>
      </c>
      <c r="P6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78" t="str">
        <f>IF(OR(ISNUMBER(SEARCH("s2r", Table6[[#This Row],[instruction]])),ISNUMBER(SEARCH("s2ur", Table6[[#This Row],[instruction]]))), "special", "")</f>
        <v/>
      </c>
      <c r="S678" t="str">
        <f>IF(OR(ISNUMBER(SEARCH("stg", Table6[[#This Row],[instruction]])),ISNUMBER(SEARCH("ldg", Table6[[#This Row],[instruction]]))), "global", "")</f>
        <v/>
      </c>
      <c r="T678" t="str">
        <f>IF(OR(ISNUMBER(SEARCH("sts", Table6[[#This Row],[instruction]])),ISNUMBER(SEARCH("lds", Table6[[#This Row],[instruction]]))), "shared", "")</f>
        <v/>
      </c>
      <c r="U678" t="str">
        <f>IF(OR(ISNUMBER(SEARCH("LDC", Table6[[#This Row],[instruction]]))), "ind. const", "")</f>
        <v/>
      </c>
      <c r="V6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Row],[s5]]))),U678=""), "cmb. const", "")</f>
        <v/>
      </c>
      <c r="Y678">
        <f>IF(Table6[[#This Row],[pipeline]]="fma",Table6[[#This Row],[delay]],0)</f>
        <v>0</v>
      </c>
      <c r="Z678">
        <f>IF(AND(Table6[[#This Row],[pipeline]]="fma",W678="new"),290,0)</f>
        <v>0</v>
      </c>
      <c r="AK678" s="34"/>
    </row>
    <row r="679" spans="1:37" ht="17" x14ac:dyDescent="0.2">
      <c r="A679" s="31">
        <f>IF(Table6[[#This Row],[instruction]]&lt;&gt;"",MAX($A$6:A678)+1," ")</f>
        <v>674</v>
      </c>
      <c r="B679" s="32" t="s">
        <v>485</v>
      </c>
      <c r="C679" t="s">
        <v>49</v>
      </c>
      <c r="D679" s="31" t="s">
        <v>50</v>
      </c>
      <c r="E679" s="31" t="s">
        <v>51</v>
      </c>
      <c r="F679" s="31" t="s">
        <v>23</v>
      </c>
      <c r="G679" s="31" t="s">
        <v>18</v>
      </c>
      <c r="H679" s="31" t="s">
        <v>494</v>
      </c>
      <c r="K679" s="2" t="str">
        <f t="shared" si="10"/>
        <v>alu</v>
      </c>
      <c r="L679" cm="1">
        <f t="array" ref="L6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79" t="str">
        <f>IF(OR(ISNUMBER(SEARCH("imad", Table6[[#This Row],[instruction]])), ISNUMBER(SEARCH("ffma", Table6[[#This Row],[instruction]])), ISNUMBER(SEARCH("fmul", Table6[[#This Row],[instruction]]))), "fma", "")</f>
        <v/>
      </c>
      <c r="P6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79" t="str">
        <f>IF(OR(ISNUMBER(SEARCH("s2r", Table6[[#This Row],[instruction]])),ISNUMBER(SEARCH("s2ur", Table6[[#This Row],[instruction]]))), "special", "")</f>
        <v/>
      </c>
      <c r="S679" t="str">
        <f>IF(OR(ISNUMBER(SEARCH("stg", Table6[[#This Row],[instruction]])),ISNUMBER(SEARCH("ldg", Table6[[#This Row],[instruction]]))), "global", "")</f>
        <v/>
      </c>
      <c r="T679" t="str">
        <f>IF(OR(ISNUMBER(SEARCH("sts", Table6[[#This Row],[instruction]])),ISNUMBER(SEARCH("lds", Table6[[#This Row],[instruction]]))), "shared", "")</f>
        <v/>
      </c>
      <c r="U679" t="str">
        <f>IF(OR(ISNUMBER(SEARCH("LDC", Table6[[#This Row],[instruction]]))), "ind. const", "")</f>
        <v/>
      </c>
      <c r="V6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Row],[s5]]))),U679=""), "cmb. const", "")</f>
        <v>cmb. const</v>
      </c>
      <c r="W679" s="2" t="s">
        <v>481</v>
      </c>
      <c r="Y679">
        <f>IF(Table6[[#This Row],[pipeline]]="fma",Table6[[#This Row],[delay]],0)</f>
        <v>0</v>
      </c>
      <c r="Z679">
        <f>IF(AND(Table6[[#This Row],[pipeline]]="fma",W679="new"),290,0)</f>
        <v>0</v>
      </c>
      <c r="AK679" s="34"/>
    </row>
    <row r="680" spans="1:37" ht="17" x14ac:dyDescent="0.2">
      <c r="A680" s="31">
        <f>IF(Table6[[#This Row],[instruction]]&lt;&gt;"",MAX($A$6:A679)+1," ")</f>
        <v>675</v>
      </c>
      <c r="B680" s="32" t="s">
        <v>86</v>
      </c>
      <c r="C680" t="s">
        <v>359</v>
      </c>
      <c r="D680" s="31" t="s">
        <v>747</v>
      </c>
      <c r="K680" s="2" t="str">
        <f t="shared" si="10"/>
        <v>cba</v>
      </c>
      <c r="L680" cm="1">
        <f t="array" ref="L6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80" t="str">
        <f>IF(OR(ISNUMBER(SEARCH("imad", Table6[[#This Row],[instruction]])), ISNUMBER(SEARCH("ffma", Table6[[#This Row],[instruction]])), ISNUMBER(SEARCH("fmul", Table6[[#This Row],[instruction]]))), "fma", "")</f>
        <v/>
      </c>
      <c r="P6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680" t="str">
        <f>IF(OR(ISNUMBER(SEARCH("s2r", Table6[[#This Row],[instruction]])),ISNUMBER(SEARCH("s2ur", Table6[[#This Row],[instruction]]))), "special", "")</f>
        <v/>
      </c>
      <c r="S680" t="str">
        <f>IF(OR(ISNUMBER(SEARCH("stg", Table6[[#This Row],[instruction]])),ISNUMBER(SEARCH("ldg", Table6[[#This Row],[instruction]]))), "global", "")</f>
        <v/>
      </c>
      <c r="T680" t="str">
        <f>IF(OR(ISNUMBER(SEARCH("sts", Table6[[#This Row],[instruction]])),ISNUMBER(SEARCH("lds", Table6[[#This Row],[instruction]]))), "shared", "")</f>
        <v/>
      </c>
      <c r="U680" t="str">
        <f>IF(OR(ISNUMBER(SEARCH("LDC", Table6[[#This Row],[instruction]]))), "ind. const", "")</f>
        <v/>
      </c>
      <c r="V6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Row],[s5]]))),U680=""), "cmb. const", "")</f>
        <v/>
      </c>
      <c r="Y680">
        <f>IF(Table6[[#This Row],[pipeline]]="fma",Table6[[#This Row],[delay]],0)</f>
        <v>0</v>
      </c>
      <c r="Z680">
        <f>IF(AND(Table6[[#This Row],[pipeline]]="fma",W680="new"),290,0)</f>
        <v>0</v>
      </c>
      <c r="AK680" s="34"/>
    </row>
    <row r="681" spans="1:37" ht="17" x14ac:dyDescent="0.2">
      <c r="A681" s="31">
        <f>IF(Table6[[#This Row],[instruction]]&lt;&gt;"",MAX($A$6:A680)+1," ")</f>
        <v>676</v>
      </c>
      <c r="B681" s="32" t="s">
        <v>485</v>
      </c>
      <c r="C681" t="s">
        <v>45</v>
      </c>
      <c r="D681" s="31" t="s">
        <v>4</v>
      </c>
      <c r="E681" s="31" t="s">
        <v>8</v>
      </c>
      <c r="F681" s="31" t="s">
        <v>8</v>
      </c>
      <c r="G681" s="31" t="s">
        <v>488</v>
      </c>
      <c r="K681" s="2" t="str">
        <f t="shared" si="10"/>
        <v>fma</v>
      </c>
      <c r="L681" cm="1">
        <f t="array" ref="L6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1" t="str">
        <f>IF(OR(ISNUMBER(SEARCH("imad", Table6[[#This Row],[instruction]])), ISNUMBER(SEARCH("ffma", Table6[[#This Row],[instruction]])), ISNUMBER(SEARCH("fmul", Table6[[#This Row],[instruction]]))), "fma", "")</f>
        <v>fma</v>
      </c>
      <c r="P6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1" t="str">
        <f>IF(OR(ISNUMBER(SEARCH("s2r", Table6[[#This Row],[instruction]])),ISNUMBER(SEARCH("s2ur", Table6[[#This Row],[instruction]]))), "special", "")</f>
        <v/>
      </c>
      <c r="S681" t="str">
        <f>IF(OR(ISNUMBER(SEARCH("stg", Table6[[#This Row],[instruction]])),ISNUMBER(SEARCH("ldg", Table6[[#This Row],[instruction]]))), "global", "")</f>
        <v/>
      </c>
      <c r="T681" t="str">
        <f>IF(OR(ISNUMBER(SEARCH("sts", Table6[[#This Row],[instruction]])),ISNUMBER(SEARCH("lds", Table6[[#This Row],[instruction]]))), "shared", "")</f>
        <v/>
      </c>
      <c r="U681" t="str">
        <f>IF(OR(ISNUMBER(SEARCH("LDC", Table6[[#This Row],[instruction]]))), "ind. const", "")</f>
        <v/>
      </c>
      <c r="V6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Row],[s5]]))),U681=""), "cmb. const", "")</f>
        <v>cmb. const</v>
      </c>
      <c r="W681" s="2" t="s">
        <v>481</v>
      </c>
      <c r="Y681">
        <f>IF(Table6[[#This Row],[pipeline]]="fma",Table6[[#This Row],[delay]],0)</f>
        <v>4</v>
      </c>
      <c r="Z681">
        <f>IF(AND(Table6[[#This Row],[pipeline]]="fma",W681="new"),290,0)</f>
        <v>0</v>
      </c>
      <c r="AK681" s="34"/>
    </row>
    <row r="682" spans="1:37" ht="17" x14ac:dyDescent="0.2">
      <c r="A682" s="31">
        <f>IF(Table6[[#This Row],[instruction]]&lt;&gt;"",MAX($A$6:A681)+1," ")</f>
        <v>677</v>
      </c>
      <c r="B682" s="32" t="s">
        <v>485</v>
      </c>
      <c r="C682" t="s">
        <v>0</v>
      </c>
      <c r="D682" s="31" t="s">
        <v>58</v>
      </c>
      <c r="E682" s="31" t="s">
        <v>490</v>
      </c>
      <c r="K682" s="2" t="str">
        <f t="shared" si="10"/>
        <v/>
      </c>
      <c r="L682" cm="1">
        <f t="array" ref="L6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82" t="str">
        <f>IF(OR(ISNUMBER(SEARCH("imad", Table6[[#This Row],[instruction]])), ISNUMBER(SEARCH("ffma", Table6[[#This Row],[instruction]])), ISNUMBER(SEARCH("fmul", Table6[[#This Row],[instruction]]))), "fma", "")</f>
        <v/>
      </c>
      <c r="P6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2" t="str">
        <f>IF(OR(ISNUMBER(SEARCH("s2r", Table6[[#This Row],[instruction]])),ISNUMBER(SEARCH("s2ur", Table6[[#This Row],[instruction]]))), "special", "")</f>
        <v/>
      </c>
      <c r="S682" t="str">
        <f>IF(OR(ISNUMBER(SEARCH("stg", Table6[[#This Row],[instruction]])),ISNUMBER(SEARCH("ldg", Table6[[#This Row],[instruction]]))), "global", "")</f>
        <v/>
      </c>
      <c r="T682" t="str">
        <f>IF(OR(ISNUMBER(SEARCH("sts", Table6[[#This Row],[instruction]])),ISNUMBER(SEARCH("lds", Table6[[#This Row],[instruction]]))), "shared", "")</f>
        <v/>
      </c>
      <c r="U682" t="str">
        <f>IF(OR(ISNUMBER(SEARCH("LDC", Table6[[#This Row],[instruction]]))), "ind. const", "")</f>
        <v/>
      </c>
      <c r="V6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Row],[s5]]))),U682=""), "cmb. const", "")</f>
        <v>cmb. const</v>
      </c>
      <c r="W682" s="2" t="s">
        <v>481</v>
      </c>
      <c r="Y682">
        <f>IF(Table6[[#This Row],[pipeline]]="fma",Table6[[#This Row],[delay]],0)</f>
        <v>0</v>
      </c>
      <c r="Z682">
        <f>IF(AND(Table6[[#This Row],[pipeline]]="fma",W682="new"),290,0)</f>
        <v>0</v>
      </c>
      <c r="AK682" s="34"/>
    </row>
    <row r="683" spans="1:37" ht="17" x14ac:dyDescent="0.2">
      <c r="A683" s="31">
        <f>IF(Table6[[#This Row],[instruction]]&lt;&gt;"",MAX($A$6:A682)+1," ")</f>
        <v>678</v>
      </c>
      <c r="B683" s="32" t="s">
        <v>485</v>
      </c>
      <c r="C683" t="s">
        <v>14</v>
      </c>
      <c r="D683" s="31" t="s">
        <v>84</v>
      </c>
      <c r="E683" s="31" t="s">
        <v>46</v>
      </c>
      <c r="F683" s="31" t="s">
        <v>731</v>
      </c>
      <c r="G683" s="31" t="s">
        <v>502</v>
      </c>
      <c r="K683" s="2" t="str">
        <f t="shared" si="10"/>
        <v>fma</v>
      </c>
      <c r="L683" cm="1">
        <f t="array" ref="L6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3" t="str">
        <f>IF(OR(ISNUMBER(SEARCH("imad", Table6[[#This Row],[instruction]])), ISNUMBER(SEARCH("ffma", Table6[[#This Row],[instruction]])), ISNUMBER(SEARCH("fmul", Table6[[#This Row],[instruction]]))), "fma", "")</f>
        <v>fma</v>
      </c>
      <c r="P6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3" t="str">
        <f>IF(OR(ISNUMBER(SEARCH("s2r", Table6[[#This Row],[instruction]])),ISNUMBER(SEARCH("s2ur", Table6[[#This Row],[instruction]]))), "special", "")</f>
        <v/>
      </c>
      <c r="S683" t="str">
        <f>IF(OR(ISNUMBER(SEARCH("stg", Table6[[#This Row],[instruction]])),ISNUMBER(SEARCH("ldg", Table6[[#This Row],[instruction]]))), "global", "")</f>
        <v/>
      </c>
      <c r="T683" t="str">
        <f>IF(OR(ISNUMBER(SEARCH("sts", Table6[[#This Row],[instruction]])),ISNUMBER(SEARCH("lds", Table6[[#This Row],[instruction]]))), "shared", "")</f>
        <v/>
      </c>
      <c r="U683" t="str">
        <f>IF(OR(ISNUMBER(SEARCH("LDC", Table6[[#This Row],[instruction]]))), "ind. const", "")</f>
        <v/>
      </c>
      <c r="V6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Row],[s5]]))),U683=""), "cmb. const", "")</f>
        <v>cmb. const</v>
      </c>
      <c r="W683" s="2" t="s">
        <v>481</v>
      </c>
      <c r="Y683">
        <f>IF(Table6[[#This Row],[pipeline]]="fma",Table6[[#This Row],[delay]],0)</f>
        <v>4</v>
      </c>
      <c r="Z683">
        <f>IF(AND(Table6[[#This Row],[pipeline]]="fma",W683="new"),290,0)</f>
        <v>0</v>
      </c>
      <c r="AK683" s="34"/>
    </row>
    <row r="684" spans="1:37" ht="17" x14ac:dyDescent="0.2">
      <c r="A684" s="31">
        <f>IF(Table6[[#This Row],[instruction]]&lt;&gt;"",MAX($A$6:A683)+1," ")</f>
        <v>679</v>
      </c>
      <c r="B684" s="32" t="s">
        <v>485</v>
      </c>
      <c r="C684" t="s">
        <v>26</v>
      </c>
      <c r="D684" s="31" t="s">
        <v>588</v>
      </c>
      <c r="E684" s="31" t="s">
        <v>46</v>
      </c>
      <c r="F684" s="31" t="s">
        <v>459</v>
      </c>
      <c r="G684" s="31" t="s">
        <v>502</v>
      </c>
      <c r="K684" s="2" t="str">
        <f t="shared" si="10"/>
        <v>alu</v>
      </c>
      <c r="L684" cm="1">
        <f t="array" ref="L6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84" t="str">
        <f>IF(OR(ISNUMBER(SEARCH("imad", Table6[[#This Row],[instruction]])), ISNUMBER(SEARCH("ffma", Table6[[#This Row],[instruction]])), ISNUMBER(SEARCH("fmul", Table6[[#This Row],[instruction]]))), "fma", "")</f>
        <v/>
      </c>
      <c r="P6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4" t="str">
        <f>IF(OR(ISNUMBER(SEARCH("s2r", Table6[[#This Row],[instruction]])),ISNUMBER(SEARCH("s2ur", Table6[[#This Row],[instruction]]))), "special", "")</f>
        <v/>
      </c>
      <c r="S684" t="str">
        <f>IF(OR(ISNUMBER(SEARCH("stg", Table6[[#This Row],[instruction]])),ISNUMBER(SEARCH("ldg", Table6[[#This Row],[instruction]]))), "global", "")</f>
        <v/>
      </c>
      <c r="T684" t="str">
        <f>IF(OR(ISNUMBER(SEARCH("sts", Table6[[#This Row],[instruction]])),ISNUMBER(SEARCH("lds", Table6[[#This Row],[instruction]]))), "shared", "")</f>
        <v/>
      </c>
      <c r="U684" t="str">
        <f>IF(OR(ISNUMBER(SEARCH("LDC", Table6[[#This Row],[instruction]]))), "ind. const", "")</f>
        <v/>
      </c>
      <c r="V6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Row],[s5]]))),U684=""), "cmb. const", "")</f>
        <v/>
      </c>
      <c r="Y684">
        <f>IF(Table6[[#This Row],[pipeline]]="fma",Table6[[#This Row],[delay]],0)</f>
        <v>0</v>
      </c>
      <c r="Z684">
        <f>IF(AND(Table6[[#This Row],[pipeline]]="fma",W684="new"),290,0)</f>
        <v>0</v>
      </c>
      <c r="AK684" s="34"/>
    </row>
    <row r="685" spans="1:37" ht="17" x14ac:dyDescent="0.2">
      <c r="A685" s="31">
        <f>IF(Table6[[#This Row],[instruction]]&lt;&gt;"",MAX($A$6:A684)+1," ")</f>
        <v>680</v>
      </c>
      <c r="B685" s="32" t="s">
        <v>485</v>
      </c>
      <c r="C685" t="s">
        <v>463</v>
      </c>
      <c r="D685" s="31" t="s">
        <v>50</v>
      </c>
      <c r="E685" s="31" t="s">
        <v>51</v>
      </c>
      <c r="F685" s="31" t="s">
        <v>4</v>
      </c>
      <c r="G685" s="31" t="s">
        <v>75</v>
      </c>
      <c r="H685" s="31" t="s">
        <v>494</v>
      </c>
      <c r="K685" s="2" t="str">
        <f t="shared" si="10"/>
        <v>alu</v>
      </c>
      <c r="L685" cm="1">
        <f t="array" ref="L6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5" t="str">
        <f>IF(OR(ISNUMBER(SEARCH("imad", Table6[[#This Row],[instruction]])), ISNUMBER(SEARCH("ffma", Table6[[#This Row],[instruction]])), ISNUMBER(SEARCH("fmul", Table6[[#This Row],[instruction]]))), "fma", "")</f>
        <v/>
      </c>
      <c r="P6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5" t="str">
        <f>IF(OR(ISNUMBER(SEARCH("s2r", Table6[[#This Row],[instruction]])),ISNUMBER(SEARCH("s2ur", Table6[[#This Row],[instruction]]))), "special", "")</f>
        <v/>
      </c>
      <c r="S685" t="str">
        <f>IF(OR(ISNUMBER(SEARCH("stg", Table6[[#This Row],[instruction]])),ISNUMBER(SEARCH("ldg", Table6[[#This Row],[instruction]]))), "global", "")</f>
        <v/>
      </c>
      <c r="T685" t="str">
        <f>IF(OR(ISNUMBER(SEARCH("sts", Table6[[#This Row],[instruction]])),ISNUMBER(SEARCH("lds", Table6[[#This Row],[instruction]]))), "shared", "")</f>
        <v/>
      </c>
      <c r="U685" t="str">
        <f>IF(OR(ISNUMBER(SEARCH("LDC", Table6[[#This Row],[instruction]]))), "ind. const", "")</f>
        <v/>
      </c>
      <c r="V6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Row],[s5]]))),U685=""), "cmb. const", "")</f>
        <v/>
      </c>
      <c r="Y685">
        <f>IF(Table6[[#This Row],[pipeline]]="fma",Table6[[#This Row],[delay]],0)</f>
        <v>0</v>
      </c>
      <c r="Z685">
        <f>IF(AND(Table6[[#This Row],[pipeline]]="fma",W685="new"),290,0)</f>
        <v>0</v>
      </c>
      <c r="AK685" s="34"/>
    </row>
    <row r="686" spans="1:37" ht="17" x14ac:dyDescent="0.2">
      <c r="A686" s="31">
        <f>IF(Table6[[#This Row],[instruction]]&lt;&gt;"",MAX($A$6:A685)+1," ")</f>
        <v>681</v>
      </c>
      <c r="B686" s="32" t="s">
        <v>485</v>
      </c>
      <c r="C686" t="s">
        <v>0</v>
      </c>
      <c r="D686" s="31" t="s">
        <v>4</v>
      </c>
      <c r="E686" s="31" t="s">
        <v>514</v>
      </c>
      <c r="K686" s="2" t="str">
        <f t="shared" si="10"/>
        <v/>
      </c>
      <c r="L686" cm="1">
        <f t="array" ref="L6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86" t="str">
        <f>IF(OR(ISNUMBER(SEARCH("imad", Table6[[#This Row],[instruction]])), ISNUMBER(SEARCH("ffma", Table6[[#This Row],[instruction]])), ISNUMBER(SEARCH("fmul", Table6[[#This Row],[instruction]]))), "fma", "")</f>
        <v/>
      </c>
      <c r="P6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6" t="str">
        <f>IF(OR(ISNUMBER(SEARCH("s2r", Table6[[#This Row],[instruction]])),ISNUMBER(SEARCH("s2ur", Table6[[#This Row],[instruction]]))), "special", "")</f>
        <v/>
      </c>
      <c r="S686" t="str">
        <f>IF(OR(ISNUMBER(SEARCH("stg", Table6[[#This Row],[instruction]])),ISNUMBER(SEARCH("ldg", Table6[[#This Row],[instruction]]))), "global", "")</f>
        <v/>
      </c>
      <c r="T686" t="str">
        <f>IF(OR(ISNUMBER(SEARCH("sts", Table6[[#This Row],[instruction]])),ISNUMBER(SEARCH("lds", Table6[[#This Row],[instruction]]))), "shared", "")</f>
        <v/>
      </c>
      <c r="U686" t="str">
        <f>IF(OR(ISNUMBER(SEARCH("LDC", Table6[[#This Row],[instruction]]))), "ind. const", "")</f>
        <v/>
      </c>
      <c r="V6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Row],[s5]]))),U686=""), "cmb. const", "")</f>
        <v/>
      </c>
      <c r="Y686">
        <f>IF(Table6[[#This Row],[pipeline]]="fma",Table6[[#This Row],[delay]],0)</f>
        <v>0</v>
      </c>
      <c r="Z686">
        <f>IF(AND(Table6[[#This Row],[pipeline]]="fma",W686="new"),290,0)</f>
        <v>0</v>
      </c>
      <c r="AK686" s="34"/>
    </row>
    <row r="687" spans="1:37" ht="17" x14ac:dyDescent="0.2">
      <c r="A687" s="31">
        <f>IF(Table6[[#This Row],[instruction]]&lt;&gt;"",MAX($A$6:A686)+1," ")</f>
        <v>682</v>
      </c>
      <c r="B687" s="32" t="s">
        <v>485</v>
      </c>
      <c r="C687" t="s">
        <v>14</v>
      </c>
      <c r="D687" s="31" t="s">
        <v>82</v>
      </c>
      <c r="E687" s="31" t="s">
        <v>588</v>
      </c>
      <c r="F687" s="31" t="s">
        <v>731</v>
      </c>
      <c r="G687" s="31" t="s">
        <v>502</v>
      </c>
      <c r="K687" s="2" t="str">
        <f t="shared" si="10"/>
        <v>fma</v>
      </c>
      <c r="L687" cm="1">
        <f t="array" ref="L6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7" t="str">
        <f>IF(OR(ISNUMBER(SEARCH("imad", Table6[[#This Row],[instruction]])), ISNUMBER(SEARCH("ffma", Table6[[#This Row],[instruction]])), ISNUMBER(SEARCH("fmul", Table6[[#This Row],[instruction]]))), "fma", "")</f>
        <v>fma</v>
      </c>
      <c r="P6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7" t="str">
        <f>IF(OR(ISNUMBER(SEARCH("s2r", Table6[[#This Row],[instruction]])),ISNUMBER(SEARCH("s2ur", Table6[[#This Row],[instruction]]))), "special", "")</f>
        <v/>
      </c>
      <c r="S687" t="str">
        <f>IF(OR(ISNUMBER(SEARCH("stg", Table6[[#This Row],[instruction]])),ISNUMBER(SEARCH("ldg", Table6[[#This Row],[instruction]]))), "global", "")</f>
        <v/>
      </c>
      <c r="T687" t="str">
        <f>IF(OR(ISNUMBER(SEARCH("sts", Table6[[#This Row],[instruction]])),ISNUMBER(SEARCH("lds", Table6[[#This Row],[instruction]]))), "shared", "")</f>
        <v/>
      </c>
      <c r="U687" t="str">
        <f>IF(OR(ISNUMBER(SEARCH("LDC", Table6[[#This Row],[instruction]]))), "ind. const", "")</f>
        <v/>
      </c>
      <c r="V6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Row],[s5]]))),U687=""), "cmb. const", "")</f>
        <v>cmb. const</v>
      </c>
      <c r="W687" s="2" t="s">
        <v>481</v>
      </c>
      <c r="Y687">
        <f>IF(Table6[[#This Row],[pipeline]]="fma",Table6[[#This Row],[delay]],0)</f>
        <v>4</v>
      </c>
      <c r="Z687">
        <f>IF(AND(Table6[[#This Row],[pipeline]]="fma",W687="new"),290,0)</f>
        <v>0</v>
      </c>
      <c r="AK687" s="34"/>
    </row>
    <row r="688" spans="1:37" ht="17" x14ac:dyDescent="0.2">
      <c r="A688" s="31">
        <f>IF(Table6[[#This Row],[instruction]]&lt;&gt;"",MAX($A$6:A687)+1," ")</f>
        <v>683</v>
      </c>
      <c r="B688" s="32" t="s">
        <v>485</v>
      </c>
      <c r="C688" t="s">
        <v>463</v>
      </c>
      <c r="D688" s="31" t="s">
        <v>78</v>
      </c>
      <c r="E688" s="31" t="s">
        <v>51</v>
      </c>
      <c r="F688" s="31" t="s">
        <v>58</v>
      </c>
      <c r="G688" s="31" t="s">
        <v>75</v>
      </c>
      <c r="H688" s="31" t="s">
        <v>494</v>
      </c>
      <c r="K688" s="2" t="str">
        <f t="shared" si="10"/>
        <v>alu</v>
      </c>
      <c r="L688" cm="1">
        <f t="array" ref="L6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88" t="str">
        <f>IF(OR(ISNUMBER(SEARCH("imad", Table6[[#This Row],[instruction]])), ISNUMBER(SEARCH("ffma", Table6[[#This Row],[instruction]])), ISNUMBER(SEARCH("fmul", Table6[[#This Row],[instruction]]))), "fma", "")</f>
        <v/>
      </c>
      <c r="P6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8" t="str">
        <f>IF(OR(ISNUMBER(SEARCH("s2r", Table6[[#This Row],[instruction]])),ISNUMBER(SEARCH("s2ur", Table6[[#This Row],[instruction]]))), "special", "")</f>
        <v/>
      </c>
      <c r="S688" t="str">
        <f>IF(OR(ISNUMBER(SEARCH("stg", Table6[[#This Row],[instruction]])),ISNUMBER(SEARCH("ldg", Table6[[#This Row],[instruction]]))), "global", "")</f>
        <v/>
      </c>
      <c r="T688" t="str">
        <f>IF(OR(ISNUMBER(SEARCH("sts", Table6[[#This Row],[instruction]])),ISNUMBER(SEARCH("lds", Table6[[#This Row],[instruction]]))), "shared", "")</f>
        <v/>
      </c>
      <c r="U688" t="str">
        <f>IF(OR(ISNUMBER(SEARCH("LDC", Table6[[#This Row],[instruction]]))), "ind. const", "")</f>
        <v/>
      </c>
      <c r="V6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Row],[s5]]))),U688=""), "cmb. const", "")</f>
        <v/>
      </c>
      <c r="Y688">
        <f>IF(Table6[[#This Row],[pipeline]]="fma",Table6[[#This Row],[delay]],0)</f>
        <v>0</v>
      </c>
      <c r="Z688">
        <f>IF(AND(Table6[[#This Row],[pipeline]]="fma",W688="new"),290,0)</f>
        <v>0</v>
      </c>
      <c r="AK688" s="34"/>
    </row>
    <row r="689" spans="1:37" ht="17" x14ac:dyDescent="0.2">
      <c r="A689" s="31">
        <f>IF(Table6[[#This Row],[instruction]]&lt;&gt;"",MAX($A$6:A688)+1," ")</f>
        <v>684</v>
      </c>
      <c r="B689" s="32" t="s">
        <v>485</v>
      </c>
      <c r="C689" t="s">
        <v>26</v>
      </c>
      <c r="D689" s="31" t="s">
        <v>447</v>
      </c>
      <c r="E689" s="31" t="s">
        <v>46</v>
      </c>
      <c r="F689" s="31" t="s">
        <v>75</v>
      </c>
      <c r="G689" s="31" t="s">
        <v>502</v>
      </c>
      <c r="K689" s="2" t="str">
        <f t="shared" si="10"/>
        <v>alu</v>
      </c>
      <c r="L689" cm="1">
        <f t="array" ref="L6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89" t="str">
        <f>IF(OR(ISNUMBER(SEARCH("imad", Table6[[#This Row],[instruction]])), ISNUMBER(SEARCH("ffma", Table6[[#This Row],[instruction]])), ISNUMBER(SEARCH("fmul", Table6[[#This Row],[instruction]]))), "fma", "")</f>
        <v/>
      </c>
      <c r="P6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89" t="str">
        <f>IF(OR(ISNUMBER(SEARCH("s2r", Table6[[#This Row],[instruction]])),ISNUMBER(SEARCH("s2ur", Table6[[#This Row],[instruction]]))), "special", "")</f>
        <v/>
      </c>
      <c r="S689" t="str">
        <f>IF(OR(ISNUMBER(SEARCH("stg", Table6[[#This Row],[instruction]])),ISNUMBER(SEARCH("ldg", Table6[[#This Row],[instruction]]))), "global", "")</f>
        <v/>
      </c>
      <c r="T689" t="str">
        <f>IF(OR(ISNUMBER(SEARCH("sts", Table6[[#This Row],[instruction]])),ISNUMBER(SEARCH("lds", Table6[[#This Row],[instruction]]))), "shared", "")</f>
        <v/>
      </c>
      <c r="U689" t="str">
        <f>IF(OR(ISNUMBER(SEARCH("LDC", Table6[[#This Row],[instruction]]))), "ind. const", "")</f>
        <v/>
      </c>
      <c r="V6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Row],[s5]]))),U689=""), "cmb. const", "")</f>
        <v/>
      </c>
      <c r="Y689">
        <f>IF(Table6[[#This Row],[pipeline]]="fma",Table6[[#This Row],[delay]],0)</f>
        <v>0</v>
      </c>
      <c r="Z689">
        <f>IF(AND(Table6[[#This Row],[pipeline]]="fma",W689="new"),290,0)</f>
        <v>0</v>
      </c>
      <c r="AK689" s="34"/>
    </row>
    <row r="690" spans="1:37" ht="17" x14ac:dyDescent="0.2">
      <c r="A690" s="31">
        <f>IF(Table6[[#This Row],[instruction]]&lt;&gt;"",MAX($A$6:A689)+1," ")</f>
        <v>685</v>
      </c>
      <c r="B690" s="32" t="s">
        <v>485</v>
      </c>
      <c r="C690" t="s">
        <v>26</v>
      </c>
      <c r="D690" s="31" t="s">
        <v>567</v>
      </c>
      <c r="E690" s="31" t="s">
        <v>46</v>
      </c>
      <c r="F690" s="31" t="s">
        <v>79</v>
      </c>
      <c r="G690" s="31" t="s">
        <v>502</v>
      </c>
      <c r="K690" s="2" t="str">
        <f t="shared" si="10"/>
        <v>alu</v>
      </c>
      <c r="L690" cm="1">
        <f t="array" ref="L6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690" t="str">
        <f>IF(OR(ISNUMBER(SEARCH("imad", Table6[[#This Row],[instruction]])), ISNUMBER(SEARCH("ffma", Table6[[#This Row],[instruction]])), ISNUMBER(SEARCH("fmul", Table6[[#This Row],[instruction]]))), "fma", "")</f>
        <v/>
      </c>
      <c r="P6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0" t="str">
        <f>IF(OR(ISNUMBER(SEARCH("s2r", Table6[[#This Row],[instruction]])),ISNUMBER(SEARCH("s2ur", Table6[[#This Row],[instruction]]))), "special", "")</f>
        <v/>
      </c>
      <c r="S690" t="str">
        <f>IF(OR(ISNUMBER(SEARCH("stg", Table6[[#This Row],[instruction]])),ISNUMBER(SEARCH("ldg", Table6[[#This Row],[instruction]]))), "global", "")</f>
        <v/>
      </c>
      <c r="T690" t="str">
        <f>IF(OR(ISNUMBER(SEARCH("sts", Table6[[#This Row],[instruction]])),ISNUMBER(SEARCH("lds", Table6[[#This Row],[instruction]]))), "shared", "")</f>
        <v/>
      </c>
      <c r="U690" t="str">
        <f>IF(OR(ISNUMBER(SEARCH("LDC", Table6[[#This Row],[instruction]]))), "ind. const", "")</f>
        <v/>
      </c>
      <c r="V6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Row],[s5]]))),U690=""), "cmb. const", "")</f>
        <v/>
      </c>
      <c r="Y690">
        <f>IF(Table6[[#This Row],[pipeline]]="fma",Table6[[#This Row],[delay]],0)</f>
        <v>0</v>
      </c>
      <c r="Z690">
        <f>IF(AND(Table6[[#This Row],[pipeline]]="fma",W690="new"),290,0)</f>
        <v>0</v>
      </c>
      <c r="AK690" s="34"/>
    </row>
    <row r="691" spans="1:37" ht="17" x14ac:dyDescent="0.2">
      <c r="A691" s="31">
        <f>IF(Table6[[#This Row],[instruction]]&lt;&gt;"",MAX($A$6:A690)+1," ")</f>
        <v>686</v>
      </c>
      <c r="B691" s="32" t="s">
        <v>485</v>
      </c>
      <c r="C691" t="s">
        <v>0</v>
      </c>
      <c r="D691" s="31" t="s">
        <v>27</v>
      </c>
      <c r="E691" s="31" t="s">
        <v>732</v>
      </c>
      <c r="K691" s="2" t="str">
        <f t="shared" si="10"/>
        <v/>
      </c>
      <c r="L691" cm="1">
        <f t="array" ref="L6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691" t="str">
        <f>IF(OR(ISNUMBER(SEARCH("imad", Table6[[#This Row],[instruction]])), ISNUMBER(SEARCH("ffma", Table6[[#This Row],[instruction]])), ISNUMBER(SEARCH("fmul", Table6[[#This Row],[instruction]]))), "fma", "")</f>
        <v/>
      </c>
      <c r="P6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1" t="str">
        <f>IF(OR(ISNUMBER(SEARCH("s2r", Table6[[#This Row],[instruction]])),ISNUMBER(SEARCH("s2ur", Table6[[#This Row],[instruction]]))), "special", "")</f>
        <v/>
      </c>
      <c r="S691" t="str">
        <f>IF(OR(ISNUMBER(SEARCH("stg", Table6[[#This Row],[instruction]])),ISNUMBER(SEARCH("ldg", Table6[[#This Row],[instruction]]))), "global", "")</f>
        <v/>
      </c>
      <c r="T691" t="str">
        <f>IF(OR(ISNUMBER(SEARCH("sts", Table6[[#This Row],[instruction]])),ISNUMBER(SEARCH("lds", Table6[[#This Row],[instruction]]))), "shared", "")</f>
        <v/>
      </c>
      <c r="U691" t="str">
        <f>IF(OR(ISNUMBER(SEARCH("LDC", Table6[[#This Row],[instruction]]))), "ind. const", "")</f>
        <v/>
      </c>
      <c r="V6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Row],[s5]]))),U691=""), "cmb. const", "")</f>
        <v>cmb. const</v>
      </c>
      <c r="W691" s="2" t="s">
        <v>481</v>
      </c>
      <c r="Y691">
        <f>IF(Table6[[#This Row],[pipeline]]="fma",Table6[[#This Row],[delay]],0)</f>
        <v>0</v>
      </c>
      <c r="Z691">
        <f>IF(AND(Table6[[#This Row],[pipeline]]="fma",W691="new"),290,0)</f>
        <v>0</v>
      </c>
      <c r="AK691" s="34"/>
    </row>
    <row r="692" spans="1:37" ht="17" x14ac:dyDescent="0.2">
      <c r="A692" s="31">
        <f>IF(Table6[[#This Row],[instruction]]&lt;&gt;"",MAX($A$6:A691)+1," ")</f>
        <v>687</v>
      </c>
      <c r="B692" s="32" t="s">
        <v>485</v>
      </c>
      <c r="C692" t="s">
        <v>14</v>
      </c>
      <c r="D692" s="31" t="s">
        <v>61</v>
      </c>
      <c r="E692" s="31" t="s">
        <v>447</v>
      </c>
      <c r="F692" s="31" t="s">
        <v>731</v>
      </c>
      <c r="G692" s="31" t="s">
        <v>502</v>
      </c>
      <c r="K692" s="2" t="str">
        <f t="shared" si="10"/>
        <v>fma</v>
      </c>
      <c r="L692" cm="1">
        <f t="array" ref="L6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2" t="str">
        <f>IF(OR(ISNUMBER(SEARCH("imad", Table6[[#This Row],[instruction]])), ISNUMBER(SEARCH("ffma", Table6[[#This Row],[instruction]])), ISNUMBER(SEARCH("fmul", Table6[[#This Row],[instruction]]))), "fma", "")</f>
        <v>fma</v>
      </c>
      <c r="P6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2" t="str">
        <f>IF(OR(ISNUMBER(SEARCH("s2r", Table6[[#This Row],[instruction]])),ISNUMBER(SEARCH("s2ur", Table6[[#This Row],[instruction]]))), "special", "")</f>
        <v/>
      </c>
      <c r="S692" t="str">
        <f>IF(OR(ISNUMBER(SEARCH("stg", Table6[[#This Row],[instruction]])),ISNUMBER(SEARCH("ldg", Table6[[#This Row],[instruction]]))), "global", "")</f>
        <v/>
      </c>
      <c r="T692" t="str">
        <f>IF(OR(ISNUMBER(SEARCH("sts", Table6[[#This Row],[instruction]])),ISNUMBER(SEARCH("lds", Table6[[#This Row],[instruction]]))), "shared", "")</f>
        <v/>
      </c>
      <c r="U692" t="str">
        <f>IF(OR(ISNUMBER(SEARCH("LDC", Table6[[#This Row],[instruction]]))), "ind. const", "")</f>
        <v/>
      </c>
      <c r="V6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Row],[s5]]))),U692=""), "cmb. const", "")</f>
        <v>cmb. const</v>
      </c>
      <c r="W692" s="2" t="s">
        <v>481</v>
      </c>
      <c r="Y692">
        <f>IF(Table6[[#This Row],[pipeline]]="fma",Table6[[#This Row],[delay]],0)</f>
        <v>4</v>
      </c>
      <c r="Z692">
        <f>IF(AND(Table6[[#This Row],[pipeline]]="fma",W692="new"),290,0)</f>
        <v>0</v>
      </c>
      <c r="AK692" s="34"/>
    </row>
    <row r="693" spans="1:37" ht="17" x14ac:dyDescent="0.2">
      <c r="A693" s="31">
        <f>IF(Table6[[#This Row],[instruction]]&lt;&gt;"",MAX($A$6:A692)+1," ")</f>
        <v>688</v>
      </c>
      <c r="B693" s="32" t="s">
        <v>86</v>
      </c>
      <c r="C693" t="s">
        <v>509</v>
      </c>
      <c r="D693" s="31" t="s">
        <v>7</v>
      </c>
      <c r="E693" s="31" t="s">
        <v>23</v>
      </c>
      <c r="F693" s="31" t="s">
        <v>510</v>
      </c>
      <c r="G693" s="31" t="s">
        <v>502</v>
      </c>
      <c r="K693" s="2" t="str">
        <f t="shared" si="10"/>
        <v>fma</v>
      </c>
      <c r="L693" cm="1">
        <f t="array" ref="L6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3" t="str">
        <f>IF(OR(ISNUMBER(SEARCH("imad", Table6[[#This Row],[instruction]])), ISNUMBER(SEARCH("ffma", Table6[[#This Row],[instruction]])), ISNUMBER(SEARCH("fmul", Table6[[#This Row],[instruction]]))), "fma", "")</f>
        <v>fma</v>
      </c>
      <c r="P6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3" t="str">
        <f>IF(OR(ISNUMBER(SEARCH("s2r", Table6[[#This Row],[instruction]])),ISNUMBER(SEARCH("s2ur", Table6[[#This Row],[instruction]]))), "special", "")</f>
        <v/>
      </c>
      <c r="S693" t="str">
        <f>IF(OR(ISNUMBER(SEARCH("stg", Table6[[#This Row],[instruction]])),ISNUMBER(SEARCH("ldg", Table6[[#This Row],[instruction]]))), "global", "")</f>
        <v/>
      </c>
      <c r="T693" t="str">
        <f>IF(OR(ISNUMBER(SEARCH("sts", Table6[[#This Row],[instruction]])),ISNUMBER(SEARCH("lds", Table6[[#This Row],[instruction]]))), "shared", "")</f>
        <v/>
      </c>
      <c r="U693" t="str">
        <f>IF(OR(ISNUMBER(SEARCH("LDC", Table6[[#This Row],[instruction]]))), "ind. const", "")</f>
        <v/>
      </c>
      <c r="V6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Row],[s5]]))),U693=""), "cmb. const", "")</f>
        <v>cmb. const</v>
      </c>
      <c r="W693" s="2" t="s">
        <v>481</v>
      </c>
      <c r="Y693">
        <f>IF(Table6[[#This Row],[pipeline]]="fma",Table6[[#This Row],[delay]],0)</f>
        <v>4</v>
      </c>
      <c r="Z693">
        <f>IF(AND(Table6[[#This Row],[pipeline]]="fma",W693="new"),290,0)</f>
        <v>0</v>
      </c>
      <c r="AK693" s="34"/>
    </row>
    <row r="694" spans="1:37" ht="17" x14ac:dyDescent="0.2">
      <c r="A694" s="31">
        <f>IF(Table6[[#This Row],[instruction]]&lt;&gt;"",MAX($A$6:A693)+1," ")</f>
        <v>689</v>
      </c>
      <c r="B694" s="32" t="s">
        <v>86</v>
      </c>
      <c r="C694" t="s">
        <v>90</v>
      </c>
      <c r="D694" s="31" t="s">
        <v>4</v>
      </c>
      <c r="E694" s="31" t="s">
        <v>8</v>
      </c>
      <c r="F694" s="31" t="s">
        <v>513</v>
      </c>
      <c r="G694" s="31" t="s">
        <v>537</v>
      </c>
      <c r="K694" s="2" t="str">
        <f t="shared" si="10"/>
        <v>alu</v>
      </c>
      <c r="L694" cm="1">
        <f t="array" ref="L6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4" t="str">
        <f>IF(OR(ISNUMBER(SEARCH("imad", Table6[[#This Row],[instruction]])), ISNUMBER(SEARCH("ffma", Table6[[#This Row],[instruction]])), ISNUMBER(SEARCH("fmul", Table6[[#This Row],[instruction]]))), "fma", "")</f>
        <v/>
      </c>
      <c r="P6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4" t="str">
        <f>IF(OR(ISNUMBER(SEARCH("s2r", Table6[[#This Row],[instruction]])),ISNUMBER(SEARCH("s2ur", Table6[[#This Row],[instruction]]))), "special", "")</f>
        <v/>
      </c>
      <c r="S694" t="str">
        <f>IF(OR(ISNUMBER(SEARCH("stg", Table6[[#This Row],[instruction]])),ISNUMBER(SEARCH("ldg", Table6[[#This Row],[instruction]]))), "global", "")</f>
        <v/>
      </c>
      <c r="T694" t="str">
        <f>IF(OR(ISNUMBER(SEARCH("sts", Table6[[#This Row],[instruction]])),ISNUMBER(SEARCH("lds", Table6[[#This Row],[instruction]]))), "shared", "")</f>
        <v/>
      </c>
      <c r="U694" t="str">
        <f>IF(OR(ISNUMBER(SEARCH("LDC", Table6[[#This Row],[instruction]]))), "ind. const", "")</f>
        <v/>
      </c>
      <c r="V6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Row],[s5]]))),U694=""), "cmb. const", "")</f>
        <v>cmb. const</v>
      </c>
      <c r="W694" s="2" t="s">
        <v>481</v>
      </c>
      <c r="Y694">
        <f>IF(Table6[[#This Row],[pipeline]]="fma",Table6[[#This Row],[delay]],0)</f>
        <v>0</v>
      </c>
      <c r="Z694">
        <f>IF(AND(Table6[[#This Row],[pipeline]]="fma",W694="new"),290,0)</f>
        <v>0</v>
      </c>
      <c r="AK694" s="34"/>
    </row>
    <row r="695" spans="1:37" ht="17" x14ac:dyDescent="0.2">
      <c r="A695" s="31">
        <f>IF(Table6[[#This Row],[instruction]]&lt;&gt;"",MAX($A$6:A694)+1," ")</f>
        <v>690</v>
      </c>
      <c r="B695" s="32" t="s">
        <v>485</v>
      </c>
      <c r="C695" t="s">
        <v>463</v>
      </c>
      <c r="D695" s="31" t="s">
        <v>50</v>
      </c>
      <c r="E695" s="31" t="s">
        <v>51</v>
      </c>
      <c r="F695" s="31" t="s">
        <v>27</v>
      </c>
      <c r="G695" s="31" t="s">
        <v>75</v>
      </c>
      <c r="H695" s="31" t="s">
        <v>494</v>
      </c>
      <c r="K695" s="2" t="str">
        <f t="shared" si="10"/>
        <v>alu</v>
      </c>
      <c r="L695" cm="1">
        <f t="array" ref="L6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5" t="str">
        <f>IF(OR(ISNUMBER(SEARCH("imad", Table6[[#This Row],[instruction]])), ISNUMBER(SEARCH("ffma", Table6[[#This Row],[instruction]])), ISNUMBER(SEARCH("fmul", Table6[[#This Row],[instruction]]))), "fma", "")</f>
        <v/>
      </c>
      <c r="P6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6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5" t="str">
        <f>IF(OR(ISNUMBER(SEARCH("s2r", Table6[[#This Row],[instruction]])),ISNUMBER(SEARCH("s2ur", Table6[[#This Row],[instruction]]))), "special", "")</f>
        <v/>
      </c>
      <c r="S695" t="str">
        <f>IF(OR(ISNUMBER(SEARCH("stg", Table6[[#This Row],[instruction]])),ISNUMBER(SEARCH("ldg", Table6[[#This Row],[instruction]]))), "global", "")</f>
        <v/>
      </c>
      <c r="T695" t="str">
        <f>IF(OR(ISNUMBER(SEARCH("sts", Table6[[#This Row],[instruction]])),ISNUMBER(SEARCH("lds", Table6[[#This Row],[instruction]]))), "shared", "")</f>
        <v/>
      </c>
      <c r="U695" t="str">
        <f>IF(OR(ISNUMBER(SEARCH("LDC", Table6[[#This Row],[instruction]]))), "ind. const", "")</f>
        <v/>
      </c>
      <c r="V6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Row],[s5]]))),U695=""), "cmb. const", "")</f>
        <v/>
      </c>
      <c r="Y695">
        <f>IF(Table6[[#This Row],[pipeline]]="fma",Table6[[#This Row],[delay]],0)</f>
        <v>0</v>
      </c>
      <c r="Z695">
        <f>IF(AND(Table6[[#This Row],[pipeline]]="fma",W695="new"),290,0)</f>
        <v>0</v>
      </c>
      <c r="AK695" s="34"/>
    </row>
    <row r="696" spans="1:37" ht="17" x14ac:dyDescent="0.2">
      <c r="A696" s="31">
        <f>IF(Table6[[#This Row],[instruction]]&lt;&gt;"",MAX($A$6:A695)+1," ")</f>
        <v>691</v>
      </c>
      <c r="B696" s="32" t="s">
        <v>485</v>
      </c>
      <c r="C696" t="s">
        <v>515</v>
      </c>
      <c r="D696" s="31" t="s">
        <v>58</v>
      </c>
      <c r="E696" s="31" t="s">
        <v>8</v>
      </c>
      <c r="F696" s="31" t="s">
        <v>8</v>
      </c>
      <c r="G696" s="31" t="s">
        <v>595</v>
      </c>
      <c r="K696" s="2" t="str">
        <f t="shared" si="10"/>
        <v>fma</v>
      </c>
      <c r="L696" cm="1">
        <f t="array" ref="L6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6" t="str">
        <f>IF(OR(ISNUMBER(SEARCH("imad", Table6[[#This Row],[instruction]])), ISNUMBER(SEARCH("ffma", Table6[[#This Row],[instruction]])), ISNUMBER(SEARCH("fmul", Table6[[#This Row],[instruction]]))), "fma", "")</f>
        <v>fma</v>
      </c>
      <c r="P6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6" t="str">
        <f>IF(OR(ISNUMBER(SEARCH("s2r", Table6[[#This Row],[instruction]])),ISNUMBER(SEARCH("s2ur", Table6[[#This Row],[instruction]]))), "special", "")</f>
        <v/>
      </c>
      <c r="S696" t="str">
        <f>IF(OR(ISNUMBER(SEARCH("stg", Table6[[#This Row],[instruction]])),ISNUMBER(SEARCH("ldg", Table6[[#This Row],[instruction]]))), "global", "")</f>
        <v/>
      </c>
      <c r="T696" t="str">
        <f>IF(OR(ISNUMBER(SEARCH("sts", Table6[[#This Row],[instruction]])),ISNUMBER(SEARCH("lds", Table6[[#This Row],[instruction]]))), "shared", "")</f>
        <v/>
      </c>
      <c r="U696" t="str">
        <f>IF(OR(ISNUMBER(SEARCH("LDC", Table6[[#This Row],[instruction]]))), "ind. const", "")</f>
        <v/>
      </c>
      <c r="V6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Row],[s5]]))),U696=""), "cmb. const", "")</f>
        <v/>
      </c>
      <c r="Y696">
        <f>IF(Table6[[#This Row],[pipeline]]="fma",Table6[[#This Row],[delay]],0)</f>
        <v>4</v>
      </c>
      <c r="Z696">
        <f>IF(AND(Table6[[#This Row],[pipeline]]="fma",W696="new"),290,0)</f>
        <v>0</v>
      </c>
      <c r="AK696" s="34"/>
    </row>
    <row r="697" spans="1:37" ht="17" x14ac:dyDescent="0.2">
      <c r="A697" s="31">
        <f>IF(Table6[[#This Row],[instruction]]&lt;&gt;"",MAX($A$6:A696)+1," ")</f>
        <v>692</v>
      </c>
      <c r="B697" s="32" t="s">
        <v>485</v>
      </c>
      <c r="C697" t="s">
        <v>14</v>
      </c>
      <c r="D697" s="31" t="s">
        <v>4</v>
      </c>
      <c r="E697" s="31" t="s">
        <v>4</v>
      </c>
      <c r="F697" s="31" t="s">
        <v>733</v>
      </c>
      <c r="G697" s="31" t="s">
        <v>502</v>
      </c>
      <c r="K697" s="2" t="str">
        <f t="shared" si="10"/>
        <v>fma</v>
      </c>
      <c r="L697" cm="1">
        <f t="array" ref="L6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7" t="str">
        <f>IF(OR(ISNUMBER(SEARCH("imad", Table6[[#This Row],[instruction]])), ISNUMBER(SEARCH("ffma", Table6[[#This Row],[instruction]])), ISNUMBER(SEARCH("fmul", Table6[[#This Row],[instruction]]))), "fma", "")</f>
        <v>fma</v>
      </c>
      <c r="P6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7" t="str">
        <f>IF(OR(ISNUMBER(SEARCH("s2r", Table6[[#This Row],[instruction]])),ISNUMBER(SEARCH("s2ur", Table6[[#This Row],[instruction]]))), "special", "")</f>
        <v/>
      </c>
      <c r="S697" t="str">
        <f>IF(OR(ISNUMBER(SEARCH("stg", Table6[[#This Row],[instruction]])),ISNUMBER(SEARCH("ldg", Table6[[#This Row],[instruction]]))), "global", "")</f>
        <v/>
      </c>
      <c r="T697" t="str">
        <f>IF(OR(ISNUMBER(SEARCH("sts", Table6[[#This Row],[instruction]])),ISNUMBER(SEARCH("lds", Table6[[#This Row],[instruction]]))), "shared", "")</f>
        <v/>
      </c>
      <c r="U697" t="str">
        <f>IF(OR(ISNUMBER(SEARCH("LDC", Table6[[#This Row],[instruction]]))), "ind. const", "")</f>
        <v/>
      </c>
      <c r="V6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Row],[s5]]))),U697=""), "cmb. const", "")</f>
        <v>cmb. const</v>
      </c>
      <c r="Y697">
        <f>IF(Table6[[#This Row],[pipeline]]="fma",Table6[[#This Row],[delay]],0)</f>
        <v>4</v>
      </c>
      <c r="Z697">
        <f>IF(AND(Table6[[#This Row],[pipeline]]="fma",W697="new"),290,0)</f>
        <v>0</v>
      </c>
      <c r="AK697" s="34"/>
    </row>
    <row r="698" spans="1:37" ht="17" x14ac:dyDescent="0.2">
      <c r="A698" s="31">
        <f>IF(Table6[[#This Row],[instruction]]&lt;&gt;"",MAX($A$6:A697)+1," ")</f>
        <v>693</v>
      </c>
      <c r="B698" s="32" t="s">
        <v>485</v>
      </c>
      <c r="C698" t="s">
        <v>14</v>
      </c>
      <c r="D698" s="31" t="s">
        <v>58</v>
      </c>
      <c r="E698" s="31" t="s">
        <v>58</v>
      </c>
      <c r="F698" s="31" t="s">
        <v>518</v>
      </c>
      <c r="G698" s="31" t="s">
        <v>514</v>
      </c>
      <c r="K698" s="2" t="str">
        <f t="shared" si="10"/>
        <v>fma</v>
      </c>
      <c r="L698" cm="1">
        <f t="array" ref="L6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8" t="str">
        <f>IF(OR(ISNUMBER(SEARCH("imad", Table6[[#This Row],[instruction]])), ISNUMBER(SEARCH("ffma", Table6[[#This Row],[instruction]])), ISNUMBER(SEARCH("fmul", Table6[[#This Row],[instruction]]))), "fma", "")</f>
        <v>fma</v>
      </c>
      <c r="P6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8" t="str">
        <f>IF(OR(ISNUMBER(SEARCH("s2r", Table6[[#This Row],[instruction]])),ISNUMBER(SEARCH("s2ur", Table6[[#This Row],[instruction]]))), "special", "")</f>
        <v/>
      </c>
      <c r="S698" t="str">
        <f>IF(OR(ISNUMBER(SEARCH("stg", Table6[[#This Row],[instruction]])),ISNUMBER(SEARCH("ldg", Table6[[#This Row],[instruction]]))), "global", "")</f>
        <v/>
      </c>
      <c r="T698" t="str">
        <f>IF(OR(ISNUMBER(SEARCH("sts", Table6[[#This Row],[instruction]])),ISNUMBER(SEARCH("lds", Table6[[#This Row],[instruction]]))), "shared", "")</f>
        <v/>
      </c>
      <c r="U698" t="str">
        <f>IF(OR(ISNUMBER(SEARCH("LDC", Table6[[#This Row],[instruction]]))), "ind. const", "")</f>
        <v/>
      </c>
      <c r="V6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Row],[s5]]))),U698=""), "cmb. const", "")</f>
        <v>cmb. const</v>
      </c>
      <c r="W698" s="2" t="s">
        <v>481</v>
      </c>
      <c r="Y698">
        <f>IF(Table6[[#This Row],[pipeline]]="fma",Table6[[#This Row],[delay]],0)</f>
        <v>4</v>
      </c>
      <c r="Z698">
        <f>IF(AND(Table6[[#This Row],[pipeline]]="fma",W698="new"),290,0)</f>
        <v>0</v>
      </c>
      <c r="AK698" s="34"/>
    </row>
    <row r="699" spans="1:37" ht="17" x14ac:dyDescent="0.2">
      <c r="A699" s="31">
        <f>IF(Table6[[#This Row],[instruction]]&lt;&gt;"",MAX($A$6:A698)+1," ")</f>
        <v>694</v>
      </c>
      <c r="B699" s="32" t="s">
        <v>85</v>
      </c>
      <c r="C699" t="s">
        <v>509</v>
      </c>
      <c r="D699" s="31" t="s">
        <v>7</v>
      </c>
      <c r="E699" s="31" t="s">
        <v>58</v>
      </c>
      <c r="F699" s="31" t="s">
        <v>519</v>
      </c>
      <c r="G699" s="31" t="s">
        <v>502</v>
      </c>
      <c r="K699" s="2" t="str">
        <f t="shared" si="10"/>
        <v>fma</v>
      </c>
      <c r="L699" cm="1">
        <f t="array" ref="L6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699" t="str">
        <f>IF(OR(ISNUMBER(SEARCH("imad", Table6[[#This Row],[instruction]])), ISNUMBER(SEARCH("ffma", Table6[[#This Row],[instruction]])), ISNUMBER(SEARCH("fmul", Table6[[#This Row],[instruction]]))), "fma", "")</f>
        <v>fma</v>
      </c>
      <c r="P6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6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699" t="str">
        <f>IF(OR(ISNUMBER(SEARCH("s2r", Table6[[#This Row],[instruction]])),ISNUMBER(SEARCH("s2ur", Table6[[#This Row],[instruction]]))), "special", "")</f>
        <v/>
      </c>
      <c r="S699" t="str">
        <f>IF(OR(ISNUMBER(SEARCH("stg", Table6[[#This Row],[instruction]])),ISNUMBER(SEARCH("ldg", Table6[[#This Row],[instruction]]))), "global", "")</f>
        <v/>
      </c>
      <c r="T699" t="str">
        <f>IF(OR(ISNUMBER(SEARCH("sts", Table6[[#This Row],[instruction]])),ISNUMBER(SEARCH("lds", Table6[[#This Row],[instruction]]))), "shared", "")</f>
        <v/>
      </c>
      <c r="U699" t="str">
        <f>IF(OR(ISNUMBER(SEARCH("LDC", Table6[[#This Row],[instruction]]))), "ind. const", "")</f>
        <v/>
      </c>
      <c r="V6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Row],[s5]]))),U699=""), "cmb. const", "")</f>
        <v>cmb. const</v>
      </c>
      <c r="W699" s="2" t="s">
        <v>481</v>
      </c>
      <c r="Y699">
        <f>IF(Table6[[#This Row],[pipeline]]="fma",Table6[[#This Row],[delay]],0)</f>
        <v>4</v>
      </c>
      <c r="Z699">
        <f>IF(AND(Table6[[#This Row],[pipeline]]="fma",W699="new"),290,0)</f>
        <v>0</v>
      </c>
      <c r="AK699" s="34"/>
    </row>
    <row r="700" spans="1:37" ht="17" x14ac:dyDescent="0.2">
      <c r="A700" s="31">
        <f>IF(Table6[[#This Row],[instruction]]&lt;&gt;"",MAX($A$6:A699)+1," ")</f>
        <v>695</v>
      </c>
      <c r="B700" s="32" t="s">
        <v>485</v>
      </c>
      <c r="C700" t="s">
        <v>0</v>
      </c>
      <c r="D700" s="31" t="s">
        <v>23</v>
      </c>
      <c r="E700" s="31" t="s">
        <v>503</v>
      </c>
      <c r="K700" s="2" t="s">
        <v>95</v>
      </c>
      <c r="L700" cm="1">
        <f t="array" ref="L7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00" t="str">
        <f>IF(OR(ISNUMBER(SEARCH("imad", Table6[[#This Row],[instruction]])), ISNUMBER(SEARCH("ffma", Table6[[#This Row],[instruction]])), ISNUMBER(SEARCH("fmul", Table6[[#This Row],[instruction]]))), "fma", "")</f>
        <v/>
      </c>
      <c r="P7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0" t="str">
        <f>IF(OR(ISNUMBER(SEARCH("s2r", Table6[[#This Row],[instruction]])),ISNUMBER(SEARCH("s2ur", Table6[[#This Row],[instruction]]))), "special", "")</f>
        <v/>
      </c>
      <c r="S700" t="str">
        <f>IF(OR(ISNUMBER(SEARCH("stg", Table6[[#This Row],[instruction]])),ISNUMBER(SEARCH("ldg", Table6[[#This Row],[instruction]]))), "global", "")</f>
        <v/>
      </c>
      <c r="T700" t="str">
        <f>IF(OR(ISNUMBER(SEARCH("sts", Table6[[#This Row],[instruction]])),ISNUMBER(SEARCH("lds", Table6[[#This Row],[instruction]]))), "shared", "")</f>
        <v/>
      </c>
      <c r="U700" t="str">
        <f>IF(OR(ISNUMBER(SEARCH("LDC", Table6[[#This Row],[instruction]]))), "ind. const", "")</f>
        <v/>
      </c>
      <c r="V7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Row],[s5]]))),U700=""), "cmb. const", "")</f>
        <v/>
      </c>
      <c r="Y700">
        <f>IF(Table6[[#This Row],[pipeline]]="fma",Table6[[#This Row],[delay]],0)</f>
        <v>0</v>
      </c>
      <c r="Z700">
        <f>IF(AND(Table6[[#This Row],[pipeline]]="fma",W700="new"),290,0)</f>
        <v>0</v>
      </c>
      <c r="AK700" s="34"/>
    </row>
    <row r="701" spans="1:37" ht="17" x14ac:dyDescent="0.2">
      <c r="A701" s="31">
        <f>IF(Table6[[#This Row],[instruction]]&lt;&gt;"",MAX($A$6:A700)+1," ")</f>
        <v>696</v>
      </c>
      <c r="B701" s="32" t="s">
        <v>85</v>
      </c>
      <c r="C701" t="s">
        <v>90</v>
      </c>
      <c r="D701" s="31" t="s">
        <v>23</v>
      </c>
      <c r="E701" s="31" t="s">
        <v>8</v>
      </c>
      <c r="F701" s="31" t="s">
        <v>521</v>
      </c>
      <c r="G701" s="31" t="s">
        <v>537</v>
      </c>
      <c r="K701" s="2" t="str">
        <f t="shared" si="10"/>
        <v>alu</v>
      </c>
      <c r="L701" cm="1">
        <f t="array" ref="L7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1" t="str">
        <f>IF(OR(ISNUMBER(SEARCH("imad", Table6[[#This Row],[instruction]])), ISNUMBER(SEARCH("ffma", Table6[[#This Row],[instruction]])), ISNUMBER(SEARCH("fmul", Table6[[#This Row],[instruction]]))), "fma", "")</f>
        <v/>
      </c>
      <c r="P7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1" t="str">
        <f>IF(OR(ISNUMBER(SEARCH("s2r", Table6[[#This Row],[instruction]])),ISNUMBER(SEARCH("s2ur", Table6[[#This Row],[instruction]]))), "special", "")</f>
        <v/>
      </c>
      <c r="S701" t="str">
        <f>IF(OR(ISNUMBER(SEARCH("stg", Table6[[#This Row],[instruction]])),ISNUMBER(SEARCH("ldg", Table6[[#This Row],[instruction]]))), "global", "")</f>
        <v/>
      </c>
      <c r="T701" t="str">
        <f>IF(OR(ISNUMBER(SEARCH("sts", Table6[[#This Row],[instruction]])),ISNUMBER(SEARCH("lds", Table6[[#This Row],[instruction]]))), "shared", "")</f>
        <v/>
      </c>
      <c r="U701" t="str">
        <f>IF(OR(ISNUMBER(SEARCH("LDC", Table6[[#This Row],[instruction]]))), "ind. const", "")</f>
        <v/>
      </c>
      <c r="V7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Row],[s5]]))),U701=""), "cmb. const", "")</f>
        <v>cmb. const</v>
      </c>
      <c r="W701" s="2" t="s">
        <v>481</v>
      </c>
      <c r="Y701">
        <f>IF(Table6[[#This Row],[pipeline]]="fma",Table6[[#This Row],[delay]],0)</f>
        <v>0</v>
      </c>
      <c r="Z701">
        <f>IF(AND(Table6[[#This Row],[pipeline]]="fma",W701="new"),290,0)</f>
        <v>0</v>
      </c>
      <c r="AK701" s="34"/>
    </row>
    <row r="702" spans="1:37" ht="17" x14ac:dyDescent="0.2">
      <c r="A702" s="31">
        <f>IF(Table6[[#This Row],[instruction]]&lt;&gt;"",MAX($A$6:A701)+1," ")</f>
        <v>697</v>
      </c>
      <c r="B702" s="32" t="s">
        <v>485</v>
      </c>
      <c r="C702" t="s">
        <v>515</v>
      </c>
      <c r="D702" s="31" t="s">
        <v>7</v>
      </c>
      <c r="E702" s="31" t="s">
        <v>8</v>
      </c>
      <c r="F702" s="31" t="s">
        <v>8</v>
      </c>
      <c r="G702" s="31" t="s">
        <v>748</v>
      </c>
      <c r="K702" s="2" t="str">
        <f t="shared" si="10"/>
        <v>fma</v>
      </c>
      <c r="L702" cm="1">
        <f t="array" ref="L7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2" t="str">
        <f>IF(OR(ISNUMBER(SEARCH("imad", Table6[[#This Row],[instruction]])), ISNUMBER(SEARCH("ffma", Table6[[#This Row],[instruction]])), ISNUMBER(SEARCH("fmul", Table6[[#This Row],[instruction]]))), "fma", "")</f>
        <v>fma</v>
      </c>
      <c r="P7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2" t="str">
        <f>IF(OR(ISNUMBER(SEARCH("s2r", Table6[[#This Row],[instruction]])),ISNUMBER(SEARCH("s2ur", Table6[[#This Row],[instruction]]))), "special", "")</f>
        <v/>
      </c>
      <c r="S702" t="str">
        <f>IF(OR(ISNUMBER(SEARCH("stg", Table6[[#This Row],[instruction]])),ISNUMBER(SEARCH("ldg", Table6[[#This Row],[instruction]]))), "global", "")</f>
        <v/>
      </c>
      <c r="T702" t="str">
        <f>IF(OR(ISNUMBER(SEARCH("sts", Table6[[#This Row],[instruction]])),ISNUMBER(SEARCH("lds", Table6[[#This Row],[instruction]]))), "shared", "")</f>
        <v/>
      </c>
      <c r="U702" t="str">
        <f>IF(OR(ISNUMBER(SEARCH("LDC", Table6[[#This Row],[instruction]]))), "ind. const", "")</f>
        <v/>
      </c>
      <c r="V7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Row],[s5]]))),U702=""), "cmb. const", "")</f>
        <v/>
      </c>
      <c r="Y702">
        <f>IF(Table6[[#This Row],[pipeline]]="fma",Table6[[#This Row],[delay]],0)</f>
        <v>4</v>
      </c>
      <c r="Z702">
        <f>IF(AND(Table6[[#This Row],[pipeline]]="fma",W702="new"),290,0)</f>
        <v>0</v>
      </c>
      <c r="AK702" s="34"/>
    </row>
    <row r="703" spans="1:37" ht="17" x14ac:dyDescent="0.2">
      <c r="A703" s="31">
        <f>IF(Table6[[#This Row],[instruction]]&lt;&gt;"",MAX($A$6:A702)+1," ")</f>
        <v>698</v>
      </c>
      <c r="B703" s="32" t="s">
        <v>485</v>
      </c>
      <c r="C703" t="s">
        <v>14</v>
      </c>
      <c r="D703" s="31" t="s">
        <v>4</v>
      </c>
      <c r="E703" s="31" t="s">
        <v>23</v>
      </c>
      <c r="F703" s="31" t="s">
        <v>734</v>
      </c>
      <c r="G703" s="31" t="s">
        <v>593</v>
      </c>
      <c r="K703" s="2" t="str">
        <f t="shared" si="10"/>
        <v>fma</v>
      </c>
      <c r="L703" cm="1">
        <f t="array" ref="L7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3" t="str">
        <f>IF(OR(ISNUMBER(SEARCH("imad", Table6[[#This Row],[instruction]])), ISNUMBER(SEARCH("ffma", Table6[[#This Row],[instruction]])), ISNUMBER(SEARCH("fmul", Table6[[#This Row],[instruction]]))), "fma", "")</f>
        <v>fma</v>
      </c>
      <c r="P7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3" t="str">
        <f>IF(OR(ISNUMBER(SEARCH("s2r", Table6[[#This Row],[instruction]])),ISNUMBER(SEARCH("s2ur", Table6[[#This Row],[instruction]]))), "special", "")</f>
        <v/>
      </c>
      <c r="S703" t="str">
        <f>IF(OR(ISNUMBER(SEARCH("stg", Table6[[#This Row],[instruction]])),ISNUMBER(SEARCH("ldg", Table6[[#This Row],[instruction]]))), "global", "")</f>
        <v/>
      </c>
      <c r="T703" t="str">
        <f>IF(OR(ISNUMBER(SEARCH("sts", Table6[[#This Row],[instruction]])),ISNUMBER(SEARCH("lds", Table6[[#This Row],[instruction]]))), "shared", "")</f>
        <v/>
      </c>
      <c r="U703" t="str">
        <f>IF(OR(ISNUMBER(SEARCH("LDC", Table6[[#This Row],[instruction]]))), "ind. const", "")</f>
        <v/>
      </c>
      <c r="V7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Row],[s5]]))),U703=""), "cmb. const", "")</f>
        <v>cmb. const</v>
      </c>
      <c r="W703" s="2" t="s">
        <v>481</v>
      </c>
      <c r="Y703">
        <f>IF(Table6[[#This Row],[pipeline]]="fma",Table6[[#This Row],[delay]],0)</f>
        <v>4</v>
      </c>
      <c r="Z703">
        <f>IF(AND(Table6[[#This Row],[pipeline]]="fma",W703="new"),290,0)</f>
        <v>0</v>
      </c>
      <c r="AK703" s="34"/>
    </row>
    <row r="704" spans="1:37" ht="17" x14ac:dyDescent="0.2">
      <c r="A704" s="31">
        <f>IF(Table6[[#This Row],[instruction]]&lt;&gt;"",MAX($A$6:A703)+1," ")</f>
        <v>699</v>
      </c>
      <c r="B704" s="32" t="s">
        <v>485</v>
      </c>
      <c r="C704" t="s">
        <v>14</v>
      </c>
      <c r="D704" s="31" t="s">
        <v>23</v>
      </c>
      <c r="E704" s="31" t="s">
        <v>7</v>
      </c>
      <c r="F704" s="31" t="s">
        <v>528</v>
      </c>
      <c r="G704" s="31" t="s">
        <v>503</v>
      </c>
      <c r="K704" s="2" t="str">
        <f t="shared" si="10"/>
        <v>fma</v>
      </c>
      <c r="L704" cm="1">
        <f t="array" ref="L7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4" t="str">
        <f>IF(OR(ISNUMBER(SEARCH("imad", Table6[[#This Row],[instruction]])), ISNUMBER(SEARCH("ffma", Table6[[#This Row],[instruction]])), ISNUMBER(SEARCH("fmul", Table6[[#This Row],[instruction]]))), "fma", "")</f>
        <v>fma</v>
      </c>
      <c r="P7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4" t="str">
        <f>IF(OR(ISNUMBER(SEARCH("s2r", Table6[[#This Row],[instruction]])),ISNUMBER(SEARCH("s2ur", Table6[[#This Row],[instruction]]))), "special", "")</f>
        <v/>
      </c>
      <c r="S704" t="str">
        <f>IF(OR(ISNUMBER(SEARCH("stg", Table6[[#This Row],[instruction]])),ISNUMBER(SEARCH("ldg", Table6[[#This Row],[instruction]]))), "global", "")</f>
        <v/>
      </c>
      <c r="T704" t="str">
        <f>IF(OR(ISNUMBER(SEARCH("sts", Table6[[#This Row],[instruction]])),ISNUMBER(SEARCH("lds", Table6[[#This Row],[instruction]]))), "shared", "")</f>
        <v/>
      </c>
      <c r="U704" t="str">
        <f>IF(OR(ISNUMBER(SEARCH("LDC", Table6[[#This Row],[instruction]]))), "ind. const", "")</f>
        <v/>
      </c>
      <c r="V7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Row],[s5]]))),U704=""), "cmb. const", "")</f>
        <v>cmb. const</v>
      </c>
      <c r="W704" s="2" t="s">
        <v>481</v>
      </c>
      <c r="Y704">
        <f>IF(Table6[[#This Row],[pipeline]]="fma",Table6[[#This Row],[delay]],0)</f>
        <v>4</v>
      </c>
      <c r="Z704">
        <f>IF(AND(Table6[[#This Row],[pipeline]]="fma",W704="new"),290,0)</f>
        <v>0</v>
      </c>
      <c r="AK704" s="34"/>
    </row>
    <row r="705" spans="1:37" ht="17" x14ac:dyDescent="0.2">
      <c r="A705" s="31">
        <f>IF(Table6[[#This Row],[instruction]]&lt;&gt;"",MAX($A$6:A704)+1," ")</f>
        <v>700</v>
      </c>
      <c r="B705" s="32" t="s">
        <v>485</v>
      </c>
      <c r="C705" t="s">
        <v>14</v>
      </c>
      <c r="D705" s="31" t="s">
        <v>58</v>
      </c>
      <c r="E705" s="31" t="s">
        <v>567</v>
      </c>
      <c r="F705" s="31" t="s">
        <v>731</v>
      </c>
      <c r="G705" s="31" t="s">
        <v>502</v>
      </c>
      <c r="K705" s="2" t="str">
        <f t="shared" si="10"/>
        <v>fma</v>
      </c>
      <c r="L705" cm="1">
        <f t="array" ref="L7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5" t="str">
        <f>IF(OR(ISNUMBER(SEARCH("imad", Table6[[#This Row],[instruction]])), ISNUMBER(SEARCH("ffma", Table6[[#This Row],[instruction]])), ISNUMBER(SEARCH("fmul", Table6[[#This Row],[instruction]]))), "fma", "")</f>
        <v>fma</v>
      </c>
      <c r="P7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5" t="str">
        <f>IF(OR(ISNUMBER(SEARCH("s2r", Table6[[#This Row],[instruction]])),ISNUMBER(SEARCH("s2ur", Table6[[#This Row],[instruction]]))), "special", "")</f>
        <v/>
      </c>
      <c r="S705" t="str">
        <f>IF(OR(ISNUMBER(SEARCH("stg", Table6[[#This Row],[instruction]])),ISNUMBER(SEARCH("ldg", Table6[[#This Row],[instruction]]))), "global", "")</f>
        <v/>
      </c>
      <c r="T705" t="str">
        <f>IF(OR(ISNUMBER(SEARCH("sts", Table6[[#This Row],[instruction]])),ISNUMBER(SEARCH("lds", Table6[[#This Row],[instruction]]))), "shared", "")</f>
        <v/>
      </c>
      <c r="U705" t="str">
        <f>IF(OR(ISNUMBER(SEARCH("LDC", Table6[[#This Row],[instruction]]))), "ind. const", "")</f>
        <v/>
      </c>
      <c r="V7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Row],[s5]]))),U705=""), "cmb. const", "")</f>
        <v>cmb. const</v>
      </c>
      <c r="W705" s="2" t="s">
        <v>481</v>
      </c>
      <c r="Y705">
        <f>IF(Table6[[#This Row],[pipeline]]="fma",Table6[[#This Row],[delay]],0)</f>
        <v>4</v>
      </c>
      <c r="Z705">
        <f>IF(AND(Table6[[#This Row],[pipeline]]="fma",W705="new"),290,0)</f>
        <v>0</v>
      </c>
      <c r="AK705" s="34"/>
    </row>
    <row r="706" spans="1:37" ht="17" x14ac:dyDescent="0.2">
      <c r="A706" s="31">
        <f>IF(Table6[[#This Row],[instruction]]&lt;&gt;"",MAX($A$6:A705)+1," ")</f>
        <v>701</v>
      </c>
      <c r="B706" s="32" t="s">
        <v>485</v>
      </c>
      <c r="C706" t="s">
        <v>14</v>
      </c>
      <c r="D706" s="31" t="s">
        <v>23</v>
      </c>
      <c r="E706" s="31" t="s">
        <v>23</v>
      </c>
      <c r="F706" s="31" t="s">
        <v>735</v>
      </c>
      <c r="G706" s="31" t="s">
        <v>593</v>
      </c>
      <c r="K706" s="2" t="str">
        <f t="shared" si="10"/>
        <v>fma</v>
      </c>
      <c r="L706" cm="1">
        <f t="array" ref="L7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6" t="str">
        <f>IF(OR(ISNUMBER(SEARCH("imad", Table6[[#This Row],[instruction]])), ISNUMBER(SEARCH("ffma", Table6[[#This Row],[instruction]])), ISNUMBER(SEARCH("fmul", Table6[[#This Row],[instruction]]))), "fma", "")</f>
        <v>fma</v>
      </c>
      <c r="P7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6" t="str">
        <f>IF(OR(ISNUMBER(SEARCH("s2r", Table6[[#This Row],[instruction]])),ISNUMBER(SEARCH("s2ur", Table6[[#This Row],[instruction]]))), "special", "")</f>
        <v/>
      </c>
      <c r="S706" t="str">
        <f>IF(OR(ISNUMBER(SEARCH("stg", Table6[[#This Row],[instruction]])),ISNUMBER(SEARCH("ldg", Table6[[#This Row],[instruction]]))), "global", "")</f>
        <v/>
      </c>
      <c r="T706" t="str">
        <f>IF(OR(ISNUMBER(SEARCH("sts", Table6[[#This Row],[instruction]])),ISNUMBER(SEARCH("lds", Table6[[#This Row],[instruction]]))), "shared", "")</f>
        <v/>
      </c>
      <c r="U706" t="str">
        <f>IF(OR(ISNUMBER(SEARCH("LDC", Table6[[#This Row],[instruction]]))), "ind. const", "")</f>
        <v/>
      </c>
      <c r="V7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Row],[s5]]))),U706=""), "cmb. const", "")</f>
        <v>cmb. const</v>
      </c>
      <c r="W706" s="2" t="s">
        <v>481</v>
      </c>
      <c r="Y706">
        <f>IF(Table6[[#This Row],[pipeline]]="fma",Table6[[#This Row],[delay]],0)</f>
        <v>4</v>
      </c>
      <c r="Z706">
        <f>IF(AND(Table6[[#This Row],[pipeline]]="fma",W706="new"),290,0)</f>
        <v>0</v>
      </c>
      <c r="AK706" s="34"/>
    </row>
    <row r="707" spans="1:37" ht="17" x14ac:dyDescent="0.2">
      <c r="A707" s="31">
        <f>IF(Table6[[#This Row],[instruction]]&lt;&gt;"",MAX($A$6:A706)+1," ")</f>
        <v>702</v>
      </c>
      <c r="B707" s="32" t="s">
        <v>485</v>
      </c>
      <c r="C707" t="s">
        <v>427</v>
      </c>
      <c r="D707" s="31" t="s">
        <v>4</v>
      </c>
      <c r="E707" s="31" t="s">
        <v>8</v>
      </c>
      <c r="F707" s="31" t="s">
        <v>428</v>
      </c>
      <c r="G707" s="31" t="s">
        <v>514</v>
      </c>
      <c r="K707" s="2" t="str">
        <f t="shared" si="10"/>
        <v>alu</v>
      </c>
      <c r="L707" cm="1">
        <f t="array" ref="L7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07" t="str">
        <f>IF(OR(ISNUMBER(SEARCH("imad", Table6[[#This Row],[instruction]])), ISNUMBER(SEARCH("ffma", Table6[[#This Row],[instruction]])), ISNUMBER(SEARCH("fmul", Table6[[#This Row],[instruction]]))), "fma", "")</f>
        <v/>
      </c>
      <c r="P7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7" t="str">
        <f>IF(OR(ISNUMBER(SEARCH("s2r", Table6[[#This Row],[instruction]])),ISNUMBER(SEARCH("s2ur", Table6[[#This Row],[instruction]]))), "special", "")</f>
        <v/>
      </c>
      <c r="S707" t="str">
        <f>IF(OR(ISNUMBER(SEARCH("stg", Table6[[#This Row],[instruction]])),ISNUMBER(SEARCH("ldg", Table6[[#This Row],[instruction]]))), "global", "")</f>
        <v/>
      </c>
      <c r="T707" t="str">
        <f>IF(OR(ISNUMBER(SEARCH("sts", Table6[[#This Row],[instruction]])),ISNUMBER(SEARCH("lds", Table6[[#This Row],[instruction]]))), "shared", "")</f>
        <v/>
      </c>
      <c r="U707" t="str">
        <f>IF(OR(ISNUMBER(SEARCH("LDC", Table6[[#This Row],[instruction]]))), "ind. const", "")</f>
        <v/>
      </c>
      <c r="V7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Row],[s5]]))),U707=""), "cmb. const", "")</f>
        <v/>
      </c>
      <c r="Y707">
        <f>IF(Table6[[#This Row],[pipeline]]="fma",Table6[[#This Row],[delay]],0)</f>
        <v>0</v>
      </c>
      <c r="Z707">
        <f>IF(AND(Table6[[#This Row],[pipeline]]="fma",W707="new"),290,0)</f>
        <v>0</v>
      </c>
      <c r="AK707" s="34"/>
    </row>
    <row r="708" spans="1:37" ht="17" x14ac:dyDescent="0.2">
      <c r="A708" s="31">
        <f>IF(Table6[[#This Row],[instruction]]&lt;&gt;"",MAX($A$6:A707)+1," ")</f>
        <v>703</v>
      </c>
      <c r="B708" s="32" t="s">
        <v>485</v>
      </c>
      <c r="C708" t="s">
        <v>26</v>
      </c>
      <c r="D708" s="31" t="s">
        <v>440</v>
      </c>
      <c r="E708" s="31" t="s">
        <v>531</v>
      </c>
      <c r="F708" s="31" t="s">
        <v>82</v>
      </c>
      <c r="G708" s="31" t="s">
        <v>23</v>
      </c>
      <c r="H708" s="31" t="s">
        <v>502</v>
      </c>
      <c r="K708" s="2" t="str">
        <f t="shared" si="10"/>
        <v>alu</v>
      </c>
      <c r="L708" cm="1">
        <f t="array" ref="L7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08" t="str">
        <f>IF(OR(ISNUMBER(SEARCH("imad", Table6[[#This Row],[instruction]])), ISNUMBER(SEARCH("ffma", Table6[[#This Row],[instruction]])), ISNUMBER(SEARCH("fmul", Table6[[#This Row],[instruction]]))), "fma", "")</f>
        <v/>
      </c>
      <c r="P7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8" t="str">
        <f>IF(OR(ISNUMBER(SEARCH("s2r", Table6[[#This Row],[instruction]])),ISNUMBER(SEARCH("s2ur", Table6[[#This Row],[instruction]]))), "special", "")</f>
        <v/>
      </c>
      <c r="S708" t="str">
        <f>IF(OR(ISNUMBER(SEARCH("stg", Table6[[#This Row],[instruction]])),ISNUMBER(SEARCH("ldg", Table6[[#This Row],[instruction]]))), "global", "")</f>
        <v/>
      </c>
      <c r="T708" t="str">
        <f>IF(OR(ISNUMBER(SEARCH("sts", Table6[[#This Row],[instruction]])),ISNUMBER(SEARCH("lds", Table6[[#This Row],[instruction]]))), "shared", "")</f>
        <v/>
      </c>
      <c r="U708" t="str">
        <f>IF(OR(ISNUMBER(SEARCH("LDC", Table6[[#This Row],[instruction]]))), "ind. const", "")</f>
        <v/>
      </c>
      <c r="V7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Row],[s5]]))),U708=""), "cmb. const", "")</f>
        <v/>
      </c>
      <c r="Y708">
        <f>IF(Table6[[#This Row],[pipeline]]="fma",Table6[[#This Row],[delay]],0)</f>
        <v>0</v>
      </c>
      <c r="Z708">
        <f>IF(AND(Table6[[#This Row],[pipeline]]="fma",W708="new"),290,0)</f>
        <v>0</v>
      </c>
      <c r="AK708" s="34"/>
    </row>
    <row r="709" spans="1:37" ht="17" x14ac:dyDescent="0.2">
      <c r="A709" s="31">
        <f>IF(Table6[[#This Row],[instruction]]&lt;&gt;"",MAX($A$6:A708)+1," ")</f>
        <v>704</v>
      </c>
      <c r="B709" s="32" t="s">
        <v>485</v>
      </c>
      <c r="C709" t="s">
        <v>26</v>
      </c>
      <c r="D709" s="31" t="s">
        <v>60</v>
      </c>
      <c r="E709" s="31" t="s">
        <v>78</v>
      </c>
      <c r="F709" s="31" t="s">
        <v>84</v>
      </c>
      <c r="G709" s="31" t="s">
        <v>23</v>
      </c>
      <c r="H709" s="31" t="s">
        <v>502</v>
      </c>
      <c r="K709" s="2" t="str">
        <f t="shared" si="10"/>
        <v>alu</v>
      </c>
      <c r="L709" cm="1">
        <f t="array" ref="L7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09" t="str">
        <f>IF(OR(ISNUMBER(SEARCH("imad", Table6[[#This Row],[instruction]])), ISNUMBER(SEARCH("ffma", Table6[[#This Row],[instruction]])), ISNUMBER(SEARCH("fmul", Table6[[#This Row],[instruction]]))), "fma", "")</f>
        <v/>
      </c>
      <c r="P7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09" t="str">
        <f>IF(OR(ISNUMBER(SEARCH("s2r", Table6[[#This Row],[instruction]])),ISNUMBER(SEARCH("s2ur", Table6[[#This Row],[instruction]]))), "special", "")</f>
        <v/>
      </c>
      <c r="S709" t="str">
        <f>IF(OR(ISNUMBER(SEARCH("stg", Table6[[#This Row],[instruction]])),ISNUMBER(SEARCH("ldg", Table6[[#This Row],[instruction]]))), "global", "")</f>
        <v/>
      </c>
      <c r="T709" t="str">
        <f>IF(OR(ISNUMBER(SEARCH("sts", Table6[[#This Row],[instruction]])),ISNUMBER(SEARCH("lds", Table6[[#This Row],[instruction]]))), "shared", "")</f>
        <v/>
      </c>
      <c r="U709" t="str">
        <f>IF(OR(ISNUMBER(SEARCH("LDC", Table6[[#This Row],[instruction]]))), "ind. const", "")</f>
        <v/>
      </c>
      <c r="V7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Row],[s5]]))),U709=""), "cmb. const", "")</f>
        <v/>
      </c>
      <c r="Y709">
        <f>IF(Table6[[#This Row],[pipeline]]="fma",Table6[[#This Row],[delay]],0)</f>
        <v>0</v>
      </c>
      <c r="Z709">
        <f>IF(AND(Table6[[#This Row],[pipeline]]="fma",W709="new"),290,0)</f>
        <v>0</v>
      </c>
      <c r="AK709" s="34"/>
    </row>
    <row r="710" spans="1:37" ht="17" x14ac:dyDescent="0.2">
      <c r="A710" s="31">
        <f>IF(Table6[[#This Row],[instruction]]&lt;&gt;"",MAX($A$6:A709)+1," ")</f>
        <v>705</v>
      </c>
      <c r="B710" s="32" t="s">
        <v>485</v>
      </c>
      <c r="C710" t="s">
        <v>26</v>
      </c>
      <c r="D710" s="31" t="s">
        <v>27</v>
      </c>
      <c r="E710" s="31" t="s">
        <v>74</v>
      </c>
      <c r="F710" s="31" t="s">
        <v>61</v>
      </c>
      <c r="G710" s="31" t="s">
        <v>23</v>
      </c>
      <c r="H710" s="31" t="s">
        <v>502</v>
      </c>
      <c r="K710" s="2" t="str">
        <f t="shared" ref="K710:K773" si="11">IF(O710&lt;&gt;"", O710, IF(P710&lt;&gt;"", P710, IF(R710&lt;&gt;"", R710, IF(S710&lt;&gt;"", S710, IF(T710&lt;&gt;"", T710, IF(U710&lt;&gt;"", U710, IF(Q710&lt;&gt;"", Q710, "")))))))</f>
        <v>alu</v>
      </c>
      <c r="L710" cm="1">
        <f t="array" ref="L7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10" t="str">
        <f>IF(OR(ISNUMBER(SEARCH("imad", Table6[[#This Row],[instruction]])), ISNUMBER(SEARCH("ffma", Table6[[#This Row],[instruction]])), ISNUMBER(SEARCH("fmul", Table6[[#This Row],[instruction]]))), "fma", "")</f>
        <v/>
      </c>
      <c r="P7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0" t="str">
        <f>IF(OR(ISNUMBER(SEARCH("s2r", Table6[[#This Row],[instruction]])),ISNUMBER(SEARCH("s2ur", Table6[[#This Row],[instruction]]))), "special", "")</f>
        <v/>
      </c>
      <c r="S710" t="str">
        <f>IF(OR(ISNUMBER(SEARCH("stg", Table6[[#This Row],[instruction]])),ISNUMBER(SEARCH("ldg", Table6[[#This Row],[instruction]]))), "global", "")</f>
        <v/>
      </c>
      <c r="T710" t="str">
        <f>IF(OR(ISNUMBER(SEARCH("sts", Table6[[#This Row],[instruction]])),ISNUMBER(SEARCH("lds", Table6[[#This Row],[instruction]]))), "shared", "")</f>
        <v/>
      </c>
      <c r="U710" t="str">
        <f>IF(OR(ISNUMBER(SEARCH("LDC", Table6[[#This Row],[instruction]]))), "ind. const", "")</f>
        <v/>
      </c>
      <c r="V7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Row],[s5]]))),U710=""), "cmb. const", "")</f>
        <v/>
      </c>
      <c r="Y710">
        <f>IF(Table6[[#This Row],[pipeline]]="fma",Table6[[#This Row],[delay]],0)</f>
        <v>0</v>
      </c>
      <c r="Z710">
        <f>IF(AND(Table6[[#This Row],[pipeline]]="fma",W710="new"),290,0)</f>
        <v>0</v>
      </c>
      <c r="AK710" s="34"/>
    </row>
    <row r="711" spans="1:37" ht="17" x14ac:dyDescent="0.2">
      <c r="A711" s="31">
        <f>IF(Table6[[#This Row],[instruction]]&lt;&gt;"",MAX($A$6:A710)+1," ")</f>
        <v>706</v>
      </c>
      <c r="B711" s="32" t="s">
        <v>485</v>
      </c>
      <c r="C711" t="s">
        <v>26</v>
      </c>
      <c r="D711" s="31" t="s">
        <v>7</v>
      </c>
      <c r="E711" s="31" t="s">
        <v>533</v>
      </c>
      <c r="F711" s="31" t="s">
        <v>58</v>
      </c>
      <c r="G711" s="31" t="s">
        <v>23</v>
      </c>
      <c r="H711" s="31" t="s">
        <v>502</v>
      </c>
      <c r="K711" s="2" t="str">
        <f t="shared" si="11"/>
        <v>alu</v>
      </c>
      <c r="L711" cm="1">
        <f t="array" ref="L7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11" t="str">
        <f>IF(OR(ISNUMBER(SEARCH("imad", Table6[[#This Row],[instruction]])), ISNUMBER(SEARCH("ffma", Table6[[#This Row],[instruction]])), ISNUMBER(SEARCH("fmul", Table6[[#This Row],[instruction]]))), "fma", "")</f>
        <v/>
      </c>
      <c r="P7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1" t="str">
        <f>IF(OR(ISNUMBER(SEARCH("s2r", Table6[[#This Row],[instruction]])),ISNUMBER(SEARCH("s2ur", Table6[[#This Row],[instruction]]))), "special", "")</f>
        <v/>
      </c>
      <c r="S711" t="str">
        <f>IF(OR(ISNUMBER(SEARCH("stg", Table6[[#This Row],[instruction]])),ISNUMBER(SEARCH("ldg", Table6[[#This Row],[instruction]]))), "global", "")</f>
        <v/>
      </c>
      <c r="T711" t="str">
        <f>IF(OR(ISNUMBER(SEARCH("sts", Table6[[#This Row],[instruction]])),ISNUMBER(SEARCH("lds", Table6[[#This Row],[instruction]]))), "shared", "")</f>
        <v/>
      </c>
      <c r="U711" t="str">
        <f>IF(OR(ISNUMBER(SEARCH("LDC", Table6[[#This Row],[instruction]]))), "ind. const", "")</f>
        <v/>
      </c>
      <c r="V7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Row],[s5]]))),U711=""), "cmb. const", "")</f>
        <v/>
      </c>
      <c r="Y711">
        <f>IF(Table6[[#This Row],[pipeline]]="fma",Table6[[#This Row],[delay]],0)</f>
        <v>0</v>
      </c>
      <c r="Z711">
        <f>IF(AND(Table6[[#This Row],[pipeline]]="fma",W711="new"),290,0)</f>
        <v>0</v>
      </c>
      <c r="AK711" s="34"/>
    </row>
    <row r="712" spans="1:37" ht="17" x14ac:dyDescent="0.2">
      <c r="A712" s="31">
        <f>IF(Table6[[#This Row],[instruction]]&lt;&gt;"",MAX($A$6:A711)+1," ")</f>
        <v>707</v>
      </c>
      <c r="B712" s="32" t="s">
        <v>485</v>
      </c>
      <c r="C712" t="s">
        <v>736</v>
      </c>
      <c r="D712" s="31" t="s">
        <v>23</v>
      </c>
      <c r="E712" s="31" t="s">
        <v>82</v>
      </c>
      <c r="F712" s="31" t="s">
        <v>4</v>
      </c>
      <c r="G712" s="31" t="s">
        <v>75</v>
      </c>
      <c r="H712" s="31" t="s">
        <v>737</v>
      </c>
      <c r="K712" s="2" t="str">
        <f t="shared" si="11"/>
        <v>alu</v>
      </c>
      <c r="L712" cm="1">
        <f t="array" ref="L7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12" t="str">
        <f>IF(OR(ISNUMBER(SEARCH("imad", Table6[[#This Row],[instruction]])), ISNUMBER(SEARCH("ffma", Table6[[#This Row],[instruction]])), ISNUMBER(SEARCH("fmul", Table6[[#This Row],[instruction]]))), "fma", "")</f>
        <v/>
      </c>
      <c r="P7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2" t="str">
        <f>IF(OR(ISNUMBER(SEARCH("s2r", Table6[[#This Row],[instruction]])),ISNUMBER(SEARCH("s2ur", Table6[[#This Row],[instruction]]))), "special", "")</f>
        <v/>
      </c>
      <c r="S712" t="str">
        <f>IF(OR(ISNUMBER(SEARCH("stg", Table6[[#This Row],[instruction]])),ISNUMBER(SEARCH("ldg", Table6[[#This Row],[instruction]]))), "global", "")</f>
        <v/>
      </c>
      <c r="T712" t="str">
        <f>IF(OR(ISNUMBER(SEARCH("sts", Table6[[#This Row],[instruction]])),ISNUMBER(SEARCH("lds", Table6[[#This Row],[instruction]]))), "shared", "")</f>
        <v/>
      </c>
      <c r="U712" t="str">
        <f>IF(OR(ISNUMBER(SEARCH("LDC", Table6[[#This Row],[instruction]]))), "ind. const", "")</f>
        <v/>
      </c>
      <c r="V7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Row],[s5]]))),U712=""), "cmb. const", "")</f>
        <v/>
      </c>
      <c r="Y712">
        <f>IF(Table6[[#This Row],[pipeline]]="fma",Table6[[#This Row],[delay]],0)</f>
        <v>0</v>
      </c>
      <c r="Z712">
        <f>IF(AND(Table6[[#This Row],[pipeline]]="fma",W712="new"),290,0)</f>
        <v>0</v>
      </c>
      <c r="AK712" s="34"/>
    </row>
    <row r="713" spans="1:37" ht="17" x14ac:dyDescent="0.2">
      <c r="A713" s="31">
        <f>IF(Table6[[#This Row],[instruction]]&lt;&gt;"",MAX($A$6:A712)+1," ")</f>
        <v>708</v>
      </c>
      <c r="B713" s="32" t="s">
        <v>485</v>
      </c>
      <c r="C713" t="s">
        <v>736</v>
      </c>
      <c r="D713" s="31" t="s">
        <v>84</v>
      </c>
      <c r="E713" s="31" t="s">
        <v>84</v>
      </c>
      <c r="F713" s="31" t="s">
        <v>4</v>
      </c>
      <c r="G713" s="31" t="s">
        <v>75</v>
      </c>
      <c r="H713" s="31" t="s">
        <v>602</v>
      </c>
      <c r="K713" s="2" t="str">
        <f t="shared" si="11"/>
        <v>alu</v>
      </c>
      <c r="L713" cm="1">
        <f t="array" ref="L7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13" t="str">
        <f>IF(OR(ISNUMBER(SEARCH("imad", Table6[[#This Row],[instruction]])), ISNUMBER(SEARCH("ffma", Table6[[#This Row],[instruction]])), ISNUMBER(SEARCH("fmul", Table6[[#This Row],[instruction]]))), "fma", "")</f>
        <v/>
      </c>
      <c r="P7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3" t="str">
        <f>IF(OR(ISNUMBER(SEARCH("s2r", Table6[[#This Row],[instruction]])),ISNUMBER(SEARCH("s2ur", Table6[[#This Row],[instruction]]))), "special", "")</f>
        <v/>
      </c>
      <c r="S713" t="str">
        <f>IF(OR(ISNUMBER(SEARCH("stg", Table6[[#This Row],[instruction]])),ISNUMBER(SEARCH("ldg", Table6[[#This Row],[instruction]]))), "global", "")</f>
        <v/>
      </c>
      <c r="T713" t="str">
        <f>IF(OR(ISNUMBER(SEARCH("sts", Table6[[#This Row],[instruction]])),ISNUMBER(SEARCH("lds", Table6[[#This Row],[instruction]]))), "shared", "")</f>
        <v/>
      </c>
      <c r="U713" t="str">
        <f>IF(OR(ISNUMBER(SEARCH("LDC", Table6[[#This Row],[instruction]]))), "ind. const", "")</f>
        <v/>
      </c>
      <c r="V7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Row],[s5]]))),U713=""), "cmb. const", "")</f>
        <v/>
      </c>
      <c r="Y713">
        <f>IF(Table6[[#This Row],[pipeline]]="fma",Table6[[#This Row],[delay]],0)</f>
        <v>0</v>
      </c>
      <c r="Z713">
        <f>IF(AND(Table6[[#This Row],[pipeline]]="fma",W713="new"),290,0)</f>
        <v>0</v>
      </c>
      <c r="AK713" s="34"/>
    </row>
    <row r="714" spans="1:37" ht="17" x14ac:dyDescent="0.2">
      <c r="A714" s="31">
        <f>IF(Table6[[#This Row],[instruction]]&lt;&gt;"",MAX($A$6:A713)+1," ")</f>
        <v>709</v>
      </c>
      <c r="B714" s="32" t="s">
        <v>485</v>
      </c>
      <c r="C714" t="s">
        <v>89</v>
      </c>
      <c r="D714" s="31" t="s">
        <v>654</v>
      </c>
      <c r="E714" s="31" t="s">
        <v>7</v>
      </c>
      <c r="F714" s="31" t="s">
        <v>53</v>
      </c>
      <c r="G714" s="31" t="s">
        <v>502</v>
      </c>
      <c r="K714" s="2" t="str">
        <f t="shared" si="11"/>
        <v>fma</v>
      </c>
      <c r="L714" cm="1">
        <f t="array" ref="L7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14" t="str">
        <f>IF(OR(ISNUMBER(SEARCH("imad", Table6[[#This Row],[instruction]])), ISNUMBER(SEARCH("ffma", Table6[[#This Row],[instruction]])), ISNUMBER(SEARCH("fmul", Table6[[#This Row],[instruction]]))), "fma", "")</f>
        <v>fma</v>
      </c>
      <c r="P7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4" t="str">
        <f>IF(OR(ISNUMBER(SEARCH("s2r", Table6[[#This Row],[instruction]])),ISNUMBER(SEARCH("s2ur", Table6[[#This Row],[instruction]]))), "special", "")</f>
        <v/>
      </c>
      <c r="S714" t="str">
        <f>IF(OR(ISNUMBER(SEARCH("stg", Table6[[#This Row],[instruction]])),ISNUMBER(SEARCH("ldg", Table6[[#This Row],[instruction]]))), "global", "")</f>
        <v/>
      </c>
      <c r="T714" t="str">
        <f>IF(OR(ISNUMBER(SEARCH("sts", Table6[[#This Row],[instruction]])),ISNUMBER(SEARCH("lds", Table6[[#This Row],[instruction]]))), "shared", "")</f>
        <v/>
      </c>
      <c r="U714" t="str">
        <f>IF(OR(ISNUMBER(SEARCH("LDC", Table6[[#This Row],[instruction]]))), "ind. const", "")</f>
        <v/>
      </c>
      <c r="V7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Row],[s5]]))),U714=""), "cmb. const", "")</f>
        <v/>
      </c>
      <c r="Y714">
        <f>IF(Table6[[#This Row],[pipeline]]="fma",Table6[[#This Row],[delay]],0)</f>
        <v>4</v>
      </c>
      <c r="Z714">
        <f>IF(AND(Table6[[#This Row],[pipeline]]="fma",W714="new"),290,0)</f>
        <v>0</v>
      </c>
      <c r="AK714" s="34"/>
    </row>
    <row r="715" spans="1:37" ht="17" x14ac:dyDescent="0.2">
      <c r="A715" s="31">
        <f>IF(Table6[[#This Row],[instruction]]&lt;&gt;"",MAX($A$6:A714)+1," ")</f>
        <v>710</v>
      </c>
      <c r="B715" s="32" t="s">
        <v>485</v>
      </c>
      <c r="C715" t="s">
        <v>736</v>
      </c>
      <c r="D715" s="31" t="s">
        <v>61</v>
      </c>
      <c r="E715" s="31" t="s">
        <v>61</v>
      </c>
      <c r="F715" s="31" t="s">
        <v>4</v>
      </c>
      <c r="G715" s="31" t="s">
        <v>75</v>
      </c>
      <c r="H715" s="31" t="s">
        <v>643</v>
      </c>
      <c r="K715" s="2" t="str">
        <f t="shared" si="11"/>
        <v>alu</v>
      </c>
      <c r="L715" cm="1">
        <f t="array" ref="L7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15" t="str">
        <f>IF(OR(ISNUMBER(SEARCH("imad", Table6[[#This Row],[instruction]])), ISNUMBER(SEARCH("ffma", Table6[[#This Row],[instruction]])), ISNUMBER(SEARCH("fmul", Table6[[#This Row],[instruction]]))), "fma", "")</f>
        <v/>
      </c>
      <c r="P7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5" t="str">
        <f>IF(OR(ISNUMBER(SEARCH("s2r", Table6[[#This Row],[instruction]])),ISNUMBER(SEARCH("s2ur", Table6[[#This Row],[instruction]]))), "special", "")</f>
        <v/>
      </c>
      <c r="S715" t="str">
        <f>IF(OR(ISNUMBER(SEARCH("stg", Table6[[#This Row],[instruction]])),ISNUMBER(SEARCH("ldg", Table6[[#This Row],[instruction]]))), "global", "")</f>
        <v/>
      </c>
      <c r="T715" t="str">
        <f>IF(OR(ISNUMBER(SEARCH("sts", Table6[[#This Row],[instruction]])),ISNUMBER(SEARCH("lds", Table6[[#This Row],[instruction]]))), "shared", "")</f>
        <v/>
      </c>
      <c r="U715" t="str">
        <f>IF(OR(ISNUMBER(SEARCH("LDC", Table6[[#This Row],[instruction]]))), "ind. const", "")</f>
        <v/>
      </c>
      <c r="V7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Row],[s5]]))),U715=""), "cmb. const", "")</f>
        <v/>
      </c>
      <c r="Y715">
        <f>IF(Table6[[#This Row],[pipeline]]="fma",Table6[[#This Row],[delay]],0)</f>
        <v>0</v>
      </c>
      <c r="Z715">
        <f>IF(AND(Table6[[#This Row],[pipeline]]="fma",W715="new"),290,0)</f>
        <v>0</v>
      </c>
      <c r="AK715" s="34"/>
    </row>
    <row r="716" spans="1:37" ht="17" x14ac:dyDescent="0.2">
      <c r="A716" s="31">
        <f>IF(Table6[[#This Row],[instruction]]&lt;&gt;"",MAX($A$6:A715)+1," ")</f>
        <v>711</v>
      </c>
      <c r="B716" s="32" t="s">
        <v>485</v>
      </c>
      <c r="C716" t="s">
        <v>736</v>
      </c>
      <c r="D716" s="31" t="s">
        <v>58</v>
      </c>
      <c r="E716" s="31" t="s">
        <v>58</v>
      </c>
      <c r="F716" s="31" t="s">
        <v>4</v>
      </c>
      <c r="G716" s="31" t="s">
        <v>75</v>
      </c>
      <c r="H716" s="31" t="s">
        <v>645</v>
      </c>
      <c r="K716" s="2" t="str">
        <f t="shared" si="11"/>
        <v>alu</v>
      </c>
      <c r="L716" cm="1">
        <f t="array" ref="L7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16" t="str">
        <f>IF(OR(ISNUMBER(SEARCH("imad", Table6[[#This Row],[instruction]])), ISNUMBER(SEARCH("ffma", Table6[[#This Row],[instruction]])), ISNUMBER(SEARCH("fmul", Table6[[#This Row],[instruction]]))), "fma", "")</f>
        <v/>
      </c>
      <c r="P7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6" t="str">
        <f>IF(OR(ISNUMBER(SEARCH("s2r", Table6[[#This Row],[instruction]])),ISNUMBER(SEARCH("s2ur", Table6[[#This Row],[instruction]]))), "special", "")</f>
        <v/>
      </c>
      <c r="S716" t="str">
        <f>IF(OR(ISNUMBER(SEARCH("stg", Table6[[#This Row],[instruction]])),ISNUMBER(SEARCH("ldg", Table6[[#This Row],[instruction]]))), "global", "")</f>
        <v/>
      </c>
      <c r="T716" t="str">
        <f>IF(OR(ISNUMBER(SEARCH("sts", Table6[[#This Row],[instruction]])),ISNUMBER(SEARCH("lds", Table6[[#This Row],[instruction]]))), "shared", "")</f>
        <v/>
      </c>
      <c r="U716" t="str">
        <f>IF(OR(ISNUMBER(SEARCH("LDC", Table6[[#This Row],[instruction]]))), "ind. const", "")</f>
        <v/>
      </c>
      <c r="V7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Row],[s5]]))),U716=""), "cmb. const", "")</f>
        <v/>
      </c>
      <c r="Y716">
        <f>IF(Table6[[#This Row],[pipeline]]="fma",Table6[[#This Row],[delay]],0)</f>
        <v>0</v>
      </c>
      <c r="Z716">
        <f>IF(AND(Table6[[#This Row],[pipeline]]="fma",W716="new"),290,0)</f>
        <v>0</v>
      </c>
      <c r="AK716" s="34"/>
    </row>
    <row r="717" spans="1:37" ht="17" x14ac:dyDescent="0.2">
      <c r="A717" s="31">
        <f>IF(Table6[[#This Row],[instruction]]&lt;&gt;"",MAX($A$6:A716)+1," ")</f>
        <v>712</v>
      </c>
      <c r="B717" s="32" t="s">
        <v>485</v>
      </c>
      <c r="C717" t="s">
        <v>738</v>
      </c>
      <c r="D717" s="31" t="s">
        <v>23</v>
      </c>
      <c r="E717" s="31" t="s">
        <v>440</v>
      </c>
      <c r="F717" s="31" t="s">
        <v>79</v>
      </c>
      <c r="G717" s="31" t="s">
        <v>514</v>
      </c>
      <c r="K717" s="2" t="str">
        <f t="shared" si="11"/>
        <v>alu</v>
      </c>
      <c r="L717" cm="1">
        <f t="array" ref="L7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17" t="str">
        <f>IF(OR(ISNUMBER(SEARCH("imad", Table6[[#This Row],[instruction]])), ISNUMBER(SEARCH("ffma", Table6[[#This Row],[instruction]])), ISNUMBER(SEARCH("fmul", Table6[[#This Row],[instruction]]))), "fma", "")</f>
        <v/>
      </c>
      <c r="P7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7" t="str">
        <f>IF(OR(ISNUMBER(SEARCH("s2r", Table6[[#This Row],[instruction]])),ISNUMBER(SEARCH("s2ur", Table6[[#This Row],[instruction]]))), "special", "")</f>
        <v/>
      </c>
      <c r="S717" t="str">
        <f>IF(OR(ISNUMBER(SEARCH("stg", Table6[[#This Row],[instruction]])),ISNUMBER(SEARCH("ldg", Table6[[#This Row],[instruction]]))), "global", "")</f>
        <v/>
      </c>
      <c r="T717" t="str">
        <f>IF(OR(ISNUMBER(SEARCH("sts", Table6[[#This Row],[instruction]])),ISNUMBER(SEARCH("lds", Table6[[#This Row],[instruction]]))), "shared", "")</f>
        <v/>
      </c>
      <c r="U717" t="str">
        <f>IF(OR(ISNUMBER(SEARCH("LDC", Table6[[#This Row],[instruction]]))), "ind. const", "")</f>
        <v/>
      </c>
      <c r="V7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Row],[s5]]))),U717=""), "cmb. const", "")</f>
        <v/>
      </c>
      <c r="Y717">
        <f>IF(Table6[[#This Row],[pipeline]]="fma",Table6[[#This Row],[delay]],0)</f>
        <v>0</v>
      </c>
      <c r="Z717">
        <f>IF(AND(Table6[[#This Row],[pipeline]]="fma",W717="new"),290,0)</f>
        <v>0</v>
      </c>
      <c r="AK717" s="34"/>
    </row>
    <row r="718" spans="1:37" ht="17" x14ac:dyDescent="0.2">
      <c r="A718" s="31">
        <f>IF(Table6[[#This Row],[instruction]]&lt;&gt;"",MAX($A$6:A717)+1," ")</f>
        <v>713</v>
      </c>
      <c r="B718" s="32" t="s">
        <v>485</v>
      </c>
      <c r="C718" t="s">
        <v>47</v>
      </c>
      <c r="D718" s="31" t="s">
        <v>430</v>
      </c>
      <c r="E718" s="31" t="s">
        <v>60</v>
      </c>
      <c r="F718" s="31" t="s">
        <v>79</v>
      </c>
      <c r="G718" s="31" t="s">
        <v>502</v>
      </c>
      <c r="K718" s="2" t="str">
        <f t="shared" si="11"/>
        <v>alu</v>
      </c>
      <c r="L718" cm="1">
        <f t="array" ref="L7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18" t="str">
        <f>IF(OR(ISNUMBER(SEARCH("imad", Table6[[#This Row],[instruction]])), ISNUMBER(SEARCH("ffma", Table6[[#This Row],[instruction]])), ISNUMBER(SEARCH("fmul", Table6[[#This Row],[instruction]]))), "fma", "")</f>
        <v/>
      </c>
      <c r="P7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8" t="str">
        <f>IF(OR(ISNUMBER(SEARCH("s2r", Table6[[#This Row],[instruction]])),ISNUMBER(SEARCH("s2ur", Table6[[#This Row],[instruction]]))), "special", "")</f>
        <v/>
      </c>
      <c r="S718" t="str">
        <f>IF(OR(ISNUMBER(SEARCH("stg", Table6[[#This Row],[instruction]])),ISNUMBER(SEARCH("ldg", Table6[[#This Row],[instruction]]))), "global", "")</f>
        <v/>
      </c>
      <c r="T718" t="str">
        <f>IF(OR(ISNUMBER(SEARCH("sts", Table6[[#This Row],[instruction]])),ISNUMBER(SEARCH("lds", Table6[[#This Row],[instruction]]))), "shared", "")</f>
        <v/>
      </c>
      <c r="U718" t="str">
        <f>IF(OR(ISNUMBER(SEARCH("LDC", Table6[[#This Row],[instruction]]))), "ind. const", "")</f>
        <v/>
      </c>
      <c r="V7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Row],[s5]]))),U718=""), "cmb. const", "")</f>
        <v/>
      </c>
      <c r="Y718">
        <f>IF(Table6[[#This Row],[pipeline]]="fma",Table6[[#This Row],[delay]],0)</f>
        <v>0</v>
      </c>
      <c r="Z718">
        <f>IF(AND(Table6[[#This Row],[pipeline]]="fma",W718="new"),290,0)</f>
        <v>0</v>
      </c>
      <c r="AK718" s="34"/>
    </row>
    <row r="719" spans="1:37" ht="17" x14ac:dyDescent="0.2">
      <c r="A719" s="31">
        <f>IF(Table6[[#This Row],[instruction]]&lt;&gt;"",MAX($A$6:A718)+1," ")</f>
        <v>714</v>
      </c>
      <c r="B719" s="32" t="s">
        <v>485</v>
      </c>
      <c r="C719" t="s">
        <v>47</v>
      </c>
      <c r="D719" s="31" t="s">
        <v>577</v>
      </c>
      <c r="E719" s="31" t="s">
        <v>27</v>
      </c>
      <c r="F719" s="31" t="s">
        <v>79</v>
      </c>
      <c r="G719" s="31" t="s">
        <v>502</v>
      </c>
      <c r="K719" s="2" t="str">
        <f t="shared" si="11"/>
        <v>alu</v>
      </c>
      <c r="L719" cm="1">
        <f t="array" ref="L7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19" t="str">
        <f>IF(OR(ISNUMBER(SEARCH("imad", Table6[[#This Row],[instruction]])), ISNUMBER(SEARCH("ffma", Table6[[#This Row],[instruction]])), ISNUMBER(SEARCH("fmul", Table6[[#This Row],[instruction]]))), "fma", "")</f>
        <v/>
      </c>
      <c r="P7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19" t="str">
        <f>IF(OR(ISNUMBER(SEARCH("s2r", Table6[[#This Row],[instruction]])),ISNUMBER(SEARCH("s2ur", Table6[[#This Row],[instruction]]))), "special", "")</f>
        <v/>
      </c>
      <c r="S719" t="str">
        <f>IF(OR(ISNUMBER(SEARCH("stg", Table6[[#This Row],[instruction]])),ISNUMBER(SEARCH("ldg", Table6[[#This Row],[instruction]]))), "global", "")</f>
        <v/>
      </c>
      <c r="T719" t="str">
        <f>IF(OR(ISNUMBER(SEARCH("sts", Table6[[#This Row],[instruction]])),ISNUMBER(SEARCH("lds", Table6[[#This Row],[instruction]]))), "shared", "")</f>
        <v/>
      </c>
      <c r="U719" t="str">
        <f>IF(OR(ISNUMBER(SEARCH("LDC", Table6[[#This Row],[instruction]]))), "ind. const", "")</f>
        <v/>
      </c>
      <c r="V7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Row],[s5]]))),U719=""), "cmb. const", "")</f>
        <v/>
      </c>
      <c r="Y719">
        <f>IF(Table6[[#This Row],[pipeline]]="fma",Table6[[#This Row],[delay]],0)</f>
        <v>0</v>
      </c>
      <c r="Z719">
        <f>IF(AND(Table6[[#This Row],[pipeline]]="fma",W719="new"),290,0)</f>
        <v>0</v>
      </c>
      <c r="AK719" s="34"/>
    </row>
    <row r="720" spans="1:37" ht="17" x14ac:dyDescent="0.2">
      <c r="A720" s="31">
        <f>IF(Table6[[#This Row],[instruction]]&lt;&gt;"",MAX($A$6:A719)+1," ")</f>
        <v>715</v>
      </c>
      <c r="B720" s="32" t="s">
        <v>485</v>
      </c>
      <c r="C720" t="s">
        <v>47</v>
      </c>
      <c r="D720" s="31" t="s">
        <v>440</v>
      </c>
      <c r="E720" s="31" t="s">
        <v>440</v>
      </c>
      <c r="F720" s="31" t="s">
        <v>79</v>
      </c>
      <c r="G720" s="31" t="s">
        <v>502</v>
      </c>
      <c r="K720" s="2" t="str">
        <f t="shared" si="11"/>
        <v>alu</v>
      </c>
      <c r="L720" cm="1">
        <f t="array" ref="L7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20" t="str">
        <f>IF(OR(ISNUMBER(SEARCH("imad", Table6[[#This Row],[instruction]])), ISNUMBER(SEARCH("ffma", Table6[[#This Row],[instruction]])), ISNUMBER(SEARCH("fmul", Table6[[#This Row],[instruction]]))), "fma", "")</f>
        <v/>
      </c>
      <c r="P7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0" t="str">
        <f>IF(OR(ISNUMBER(SEARCH("s2r", Table6[[#This Row],[instruction]])),ISNUMBER(SEARCH("s2ur", Table6[[#This Row],[instruction]]))), "special", "")</f>
        <v/>
      </c>
      <c r="S720" t="str">
        <f>IF(OR(ISNUMBER(SEARCH("stg", Table6[[#This Row],[instruction]])),ISNUMBER(SEARCH("ldg", Table6[[#This Row],[instruction]]))), "global", "")</f>
        <v/>
      </c>
      <c r="T720" t="str">
        <f>IF(OR(ISNUMBER(SEARCH("sts", Table6[[#This Row],[instruction]])),ISNUMBER(SEARCH("lds", Table6[[#This Row],[instruction]]))), "shared", "")</f>
        <v/>
      </c>
      <c r="U720" t="str">
        <f>IF(OR(ISNUMBER(SEARCH("LDC", Table6[[#This Row],[instruction]]))), "ind. const", "")</f>
        <v/>
      </c>
      <c r="V7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Row],[s5]]))),U720=""), "cmb. const", "")</f>
        <v/>
      </c>
      <c r="Y720">
        <f>IF(Table6[[#This Row],[pipeline]]="fma",Table6[[#This Row],[delay]],0)</f>
        <v>0</v>
      </c>
      <c r="Z720">
        <f>IF(AND(Table6[[#This Row],[pipeline]]="fma",W720="new"),290,0)</f>
        <v>0</v>
      </c>
      <c r="AK720" s="34"/>
    </row>
    <row r="721" spans="1:37" ht="17" x14ac:dyDescent="0.2">
      <c r="A721" s="31">
        <f>IF(Table6[[#This Row],[instruction]]&lt;&gt;"",MAX($A$6:A720)+1," ")</f>
        <v>716</v>
      </c>
      <c r="B721" s="32" t="s">
        <v>485</v>
      </c>
      <c r="C721" t="s">
        <v>738</v>
      </c>
      <c r="D721" s="31" t="s">
        <v>71</v>
      </c>
      <c r="E721" s="31" t="s">
        <v>60</v>
      </c>
      <c r="F721" s="31" t="s">
        <v>79</v>
      </c>
      <c r="G721" s="31" t="s">
        <v>545</v>
      </c>
      <c r="K721" s="2" t="str">
        <f t="shared" si="11"/>
        <v>alu</v>
      </c>
      <c r="L721" cm="1">
        <f t="array" ref="L7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21" t="str">
        <f>IF(OR(ISNUMBER(SEARCH("imad", Table6[[#This Row],[instruction]])), ISNUMBER(SEARCH("ffma", Table6[[#This Row],[instruction]])), ISNUMBER(SEARCH("fmul", Table6[[#This Row],[instruction]]))), "fma", "")</f>
        <v/>
      </c>
      <c r="P7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1" t="str">
        <f>IF(OR(ISNUMBER(SEARCH("s2r", Table6[[#This Row],[instruction]])),ISNUMBER(SEARCH("s2ur", Table6[[#This Row],[instruction]]))), "special", "")</f>
        <v/>
      </c>
      <c r="S721" t="str">
        <f>IF(OR(ISNUMBER(SEARCH("stg", Table6[[#This Row],[instruction]])),ISNUMBER(SEARCH("ldg", Table6[[#This Row],[instruction]]))), "global", "")</f>
        <v/>
      </c>
      <c r="T721" t="str">
        <f>IF(OR(ISNUMBER(SEARCH("sts", Table6[[#This Row],[instruction]])),ISNUMBER(SEARCH("lds", Table6[[#This Row],[instruction]]))), "shared", "")</f>
        <v/>
      </c>
      <c r="U721" t="str">
        <f>IF(OR(ISNUMBER(SEARCH("LDC", Table6[[#This Row],[instruction]]))), "ind. const", "")</f>
        <v/>
      </c>
      <c r="V7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Row],[s5]]))),U721=""), "cmb. const", "")</f>
        <v/>
      </c>
      <c r="Y721">
        <f>IF(Table6[[#This Row],[pipeline]]="fma",Table6[[#This Row],[delay]],0)</f>
        <v>0</v>
      </c>
      <c r="Z721">
        <f>IF(AND(Table6[[#This Row],[pipeline]]="fma",W721="new"),290,0)</f>
        <v>0</v>
      </c>
      <c r="AK721" s="34"/>
    </row>
    <row r="722" spans="1:37" ht="17" x14ac:dyDescent="0.2">
      <c r="A722" s="31">
        <f>IF(Table6[[#This Row],[instruction]]&lt;&gt;"",MAX($A$6:A721)+1," ")</f>
        <v>717</v>
      </c>
      <c r="B722" s="32" t="s">
        <v>485</v>
      </c>
      <c r="C722" t="s">
        <v>738</v>
      </c>
      <c r="D722" s="31" t="s">
        <v>614</v>
      </c>
      <c r="E722" s="31" t="s">
        <v>27</v>
      </c>
      <c r="F722" s="31" t="s">
        <v>79</v>
      </c>
      <c r="G722" s="31" t="s">
        <v>520</v>
      </c>
      <c r="K722" s="2" t="str">
        <f t="shared" si="11"/>
        <v>alu</v>
      </c>
      <c r="L722" cm="1">
        <f t="array" ref="L7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22" t="str">
        <f>IF(OR(ISNUMBER(SEARCH("imad", Table6[[#This Row],[instruction]])), ISNUMBER(SEARCH("ffma", Table6[[#This Row],[instruction]])), ISNUMBER(SEARCH("fmul", Table6[[#This Row],[instruction]]))), "fma", "")</f>
        <v/>
      </c>
      <c r="P7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2" t="str">
        <f>IF(OR(ISNUMBER(SEARCH("s2r", Table6[[#This Row],[instruction]])),ISNUMBER(SEARCH("s2ur", Table6[[#This Row],[instruction]]))), "special", "")</f>
        <v/>
      </c>
      <c r="S722" t="str">
        <f>IF(OR(ISNUMBER(SEARCH("stg", Table6[[#This Row],[instruction]])),ISNUMBER(SEARCH("ldg", Table6[[#This Row],[instruction]]))), "global", "")</f>
        <v/>
      </c>
      <c r="T722" t="str">
        <f>IF(OR(ISNUMBER(SEARCH("sts", Table6[[#This Row],[instruction]])),ISNUMBER(SEARCH("lds", Table6[[#This Row],[instruction]]))), "shared", "")</f>
        <v/>
      </c>
      <c r="U722" t="str">
        <f>IF(OR(ISNUMBER(SEARCH("LDC", Table6[[#This Row],[instruction]]))), "ind. const", "")</f>
        <v/>
      </c>
      <c r="V7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Row],[s5]]))),U722=""), "cmb. const", "")</f>
        <v/>
      </c>
      <c r="Y722">
        <f>IF(Table6[[#This Row],[pipeline]]="fma",Table6[[#This Row],[delay]],0)</f>
        <v>0</v>
      </c>
      <c r="Z722">
        <f>IF(AND(Table6[[#This Row],[pipeline]]="fma",W722="new"),290,0)</f>
        <v>0</v>
      </c>
      <c r="AK722" s="34"/>
    </row>
    <row r="723" spans="1:37" ht="17" x14ac:dyDescent="0.2">
      <c r="A723" s="31">
        <f>IF(Table6[[#This Row],[instruction]]&lt;&gt;"",MAX($A$6:A722)+1," ")</f>
        <v>718</v>
      </c>
      <c r="B723" s="32" t="s">
        <v>485</v>
      </c>
      <c r="C723" t="s">
        <v>738</v>
      </c>
      <c r="D723" s="31" t="s">
        <v>436</v>
      </c>
      <c r="E723" s="31" t="s">
        <v>7</v>
      </c>
      <c r="F723" s="31" t="s">
        <v>79</v>
      </c>
      <c r="G723" s="31" t="s">
        <v>503</v>
      </c>
      <c r="K723" s="2" t="str">
        <f t="shared" si="11"/>
        <v>alu</v>
      </c>
      <c r="L723" cm="1">
        <f t="array" ref="L7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23" t="str">
        <f>IF(OR(ISNUMBER(SEARCH("imad", Table6[[#This Row],[instruction]])), ISNUMBER(SEARCH("ffma", Table6[[#This Row],[instruction]])), ISNUMBER(SEARCH("fmul", Table6[[#This Row],[instruction]]))), "fma", "")</f>
        <v/>
      </c>
      <c r="P7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3" t="str">
        <f>IF(OR(ISNUMBER(SEARCH("s2r", Table6[[#This Row],[instruction]])),ISNUMBER(SEARCH("s2ur", Table6[[#This Row],[instruction]]))), "special", "")</f>
        <v/>
      </c>
      <c r="S723" t="str">
        <f>IF(OR(ISNUMBER(SEARCH("stg", Table6[[#This Row],[instruction]])),ISNUMBER(SEARCH("ldg", Table6[[#This Row],[instruction]]))), "global", "")</f>
        <v/>
      </c>
      <c r="T723" t="str">
        <f>IF(OR(ISNUMBER(SEARCH("sts", Table6[[#This Row],[instruction]])),ISNUMBER(SEARCH("lds", Table6[[#This Row],[instruction]]))), "shared", "")</f>
        <v/>
      </c>
      <c r="U723" t="str">
        <f>IF(OR(ISNUMBER(SEARCH("LDC", Table6[[#This Row],[instruction]]))), "ind. const", "")</f>
        <v/>
      </c>
      <c r="V7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Row],[s5]]))),U723=""), "cmb. const", "")</f>
        <v/>
      </c>
      <c r="Y723">
        <f>IF(Table6[[#This Row],[pipeline]]="fma",Table6[[#This Row],[delay]],0)</f>
        <v>0</v>
      </c>
      <c r="Z723">
        <f>IF(AND(Table6[[#This Row],[pipeline]]="fma",W723="new"),290,0)</f>
        <v>0</v>
      </c>
      <c r="AK723" s="34"/>
    </row>
    <row r="724" spans="1:37" ht="17" x14ac:dyDescent="0.2">
      <c r="A724" s="31">
        <f>IF(Table6[[#This Row],[instruction]]&lt;&gt;"",MAX($A$6:A723)+1," ")</f>
        <v>719</v>
      </c>
      <c r="B724" s="32" t="s">
        <v>485</v>
      </c>
      <c r="C724" t="s">
        <v>26</v>
      </c>
      <c r="D724" s="31" t="s">
        <v>84</v>
      </c>
      <c r="E724" s="31" t="s">
        <v>78</v>
      </c>
      <c r="F724" s="31" t="s">
        <v>430</v>
      </c>
      <c r="G724" s="31" t="s">
        <v>468</v>
      </c>
      <c r="H724" s="31" t="s">
        <v>502</v>
      </c>
      <c r="K724" s="2" t="str">
        <f t="shared" si="11"/>
        <v>alu</v>
      </c>
      <c r="L724" cm="1">
        <f t="array" ref="L7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4" t="str">
        <f>IF(OR(ISNUMBER(SEARCH("imad", Table6[[#This Row],[instruction]])), ISNUMBER(SEARCH("ffma", Table6[[#This Row],[instruction]])), ISNUMBER(SEARCH("fmul", Table6[[#This Row],[instruction]]))), "fma", "")</f>
        <v/>
      </c>
      <c r="P7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4" t="str">
        <f>IF(OR(ISNUMBER(SEARCH("s2r", Table6[[#This Row],[instruction]])),ISNUMBER(SEARCH("s2ur", Table6[[#This Row],[instruction]]))), "special", "")</f>
        <v/>
      </c>
      <c r="S724" t="str">
        <f>IF(OR(ISNUMBER(SEARCH("stg", Table6[[#This Row],[instruction]])),ISNUMBER(SEARCH("ldg", Table6[[#This Row],[instruction]]))), "global", "")</f>
        <v/>
      </c>
      <c r="T724" t="str">
        <f>IF(OR(ISNUMBER(SEARCH("sts", Table6[[#This Row],[instruction]])),ISNUMBER(SEARCH("lds", Table6[[#This Row],[instruction]]))), "shared", "")</f>
        <v/>
      </c>
      <c r="U724" t="str">
        <f>IF(OR(ISNUMBER(SEARCH("LDC", Table6[[#This Row],[instruction]]))), "ind. const", "")</f>
        <v/>
      </c>
      <c r="V7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Row],[s5]]))),U724=""), "cmb. const", "")</f>
        <v>cmb. const</v>
      </c>
      <c r="Y724">
        <f>IF(Table6[[#This Row],[pipeline]]="fma",Table6[[#This Row],[delay]],0)</f>
        <v>0</v>
      </c>
      <c r="Z724">
        <f>IF(AND(Table6[[#This Row],[pipeline]]="fma",W724="new"),290,0)</f>
        <v>0</v>
      </c>
      <c r="AK724" s="34"/>
    </row>
    <row r="725" spans="1:37" ht="17" x14ac:dyDescent="0.2">
      <c r="A725" s="31">
        <f>IF(Table6[[#This Row],[instruction]]&lt;&gt;"",MAX($A$6:A724)+1," ")</f>
        <v>720</v>
      </c>
      <c r="B725" s="32" t="s">
        <v>485</v>
      </c>
      <c r="C725" t="s">
        <v>26</v>
      </c>
      <c r="D725" s="31" t="s">
        <v>61</v>
      </c>
      <c r="E725" s="31" t="s">
        <v>74</v>
      </c>
      <c r="F725" s="31" t="s">
        <v>577</v>
      </c>
      <c r="G725" s="31" t="s">
        <v>468</v>
      </c>
      <c r="H725" s="31" t="s">
        <v>502</v>
      </c>
      <c r="K725" s="2" t="str">
        <f t="shared" si="11"/>
        <v>alu</v>
      </c>
      <c r="L725" cm="1">
        <f t="array" ref="L7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5" t="str">
        <f>IF(OR(ISNUMBER(SEARCH("imad", Table6[[#This Row],[instruction]])), ISNUMBER(SEARCH("ffma", Table6[[#This Row],[instruction]])), ISNUMBER(SEARCH("fmul", Table6[[#This Row],[instruction]]))), "fma", "")</f>
        <v/>
      </c>
      <c r="P7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5" t="str">
        <f>IF(OR(ISNUMBER(SEARCH("s2r", Table6[[#This Row],[instruction]])),ISNUMBER(SEARCH("s2ur", Table6[[#This Row],[instruction]]))), "special", "")</f>
        <v/>
      </c>
      <c r="S725" t="str">
        <f>IF(OR(ISNUMBER(SEARCH("stg", Table6[[#This Row],[instruction]])),ISNUMBER(SEARCH("ldg", Table6[[#This Row],[instruction]]))), "global", "")</f>
        <v/>
      </c>
      <c r="T725" t="str">
        <f>IF(OR(ISNUMBER(SEARCH("sts", Table6[[#This Row],[instruction]])),ISNUMBER(SEARCH("lds", Table6[[#This Row],[instruction]]))), "shared", "")</f>
        <v/>
      </c>
      <c r="U725" t="str">
        <f>IF(OR(ISNUMBER(SEARCH("LDC", Table6[[#This Row],[instruction]]))), "ind. const", "")</f>
        <v/>
      </c>
      <c r="V7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Row],[s5]]))),U725=""), "cmb. const", "")</f>
        <v>cmb. const</v>
      </c>
      <c r="Y725">
        <f>IF(Table6[[#This Row],[pipeline]]="fma",Table6[[#This Row],[delay]],0)</f>
        <v>0</v>
      </c>
      <c r="Z725">
        <f>IF(AND(Table6[[#This Row],[pipeline]]="fma",W725="new"),290,0)</f>
        <v>0</v>
      </c>
      <c r="AK725" s="34"/>
    </row>
    <row r="726" spans="1:37" ht="17" x14ac:dyDescent="0.2">
      <c r="A726" s="31">
        <f>IF(Table6[[#This Row],[instruction]]&lt;&gt;"",MAX($A$6:A725)+1," ")</f>
        <v>721</v>
      </c>
      <c r="B726" s="32" t="s">
        <v>485</v>
      </c>
      <c r="C726" t="s">
        <v>26</v>
      </c>
      <c r="D726" s="31" t="s">
        <v>58</v>
      </c>
      <c r="E726" s="31" t="s">
        <v>533</v>
      </c>
      <c r="F726" s="31" t="s">
        <v>654</v>
      </c>
      <c r="G726" s="31" t="s">
        <v>468</v>
      </c>
      <c r="H726" s="31" t="s">
        <v>502</v>
      </c>
      <c r="K726" s="2" t="str">
        <f t="shared" si="11"/>
        <v>alu</v>
      </c>
      <c r="L726" cm="1">
        <f t="array" ref="L7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6" t="str">
        <f>IF(OR(ISNUMBER(SEARCH("imad", Table6[[#This Row],[instruction]])), ISNUMBER(SEARCH("ffma", Table6[[#This Row],[instruction]])), ISNUMBER(SEARCH("fmul", Table6[[#This Row],[instruction]]))), "fma", "")</f>
        <v/>
      </c>
      <c r="P7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6" t="str">
        <f>IF(OR(ISNUMBER(SEARCH("s2r", Table6[[#This Row],[instruction]])),ISNUMBER(SEARCH("s2ur", Table6[[#This Row],[instruction]]))), "special", "")</f>
        <v/>
      </c>
      <c r="S726" t="str">
        <f>IF(OR(ISNUMBER(SEARCH("stg", Table6[[#This Row],[instruction]])),ISNUMBER(SEARCH("ldg", Table6[[#This Row],[instruction]]))), "global", "")</f>
        <v/>
      </c>
      <c r="T726" t="str">
        <f>IF(OR(ISNUMBER(SEARCH("sts", Table6[[#This Row],[instruction]])),ISNUMBER(SEARCH("lds", Table6[[#This Row],[instruction]]))), "shared", "")</f>
        <v/>
      </c>
      <c r="U726" t="str">
        <f>IF(OR(ISNUMBER(SEARCH("LDC", Table6[[#This Row],[instruction]]))), "ind. const", "")</f>
        <v/>
      </c>
      <c r="V7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Row],[s5]]))),U726=""), "cmb. const", "")</f>
        <v>cmb. const</v>
      </c>
      <c r="Y726">
        <f>IF(Table6[[#This Row],[pipeline]]="fma",Table6[[#This Row],[delay]],0)</f>
        <v>0</v>
      </c>
      <c r="Z726">
        <f>IF(AND(Table6[[#This Row],[pipeline]]="fma",W726="new"),290,0)</f>
        <v>0</v>
      </c>
      <c r="AK726" s="34"/>
    </row>
    <row r="727" spans="1:37" ht="17" x14ac:dyDescent="0.2">
      <c r="A727" s="31">
        <f>IF(Table6[[#This Row],[instruction]]&lt;&gt;"",MAX($A$6:A726)+1," ")</f>
        <v>722</v>
      </c>
      <c r="B727" s="32" t="s">
        <v>485</v>
      </c>
      <c r="C727" t="s">
        <v>26</v>
      </c>
      <c r="D727" s="31" t="s">
        <v>4</v>
      </c>
      <c r="E727" s="31" t="s">
        <v>531</v>
      </c>
      <c r="F727" s="31" t="s">
        <v>440</v>
      </c>
      <c r="G727" s="31" t="s">
        <v>468</v>
      </c>
      <c r="H727" s="31" t="s">
        <v>502</v>
      </c>
      <c r="K727" s="2" t="str">
        <f t="shared" si="11"/>
        <v>alu</v>
      </c>
      <c r="L727" cm="1">
        <f t="array" ref="L7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7" t="str">
        <f>IF(OR(ISNUMBER(SEARCH("imad", Table6[[#This Row],[instruction]])), ISNUMBER(SEARCH("ffma", Table6[[#This Row],[instruction]])), ISNUMBER(SEARCH("fmul", Table6[[#This Row],[instruction]]))), "fma", "")</f>
        <v/>
      </c>
      <c r="P7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7" t="str">
        <f>IF(OR(ISNUMBER(SEARCH("s2r", Table6[[#This Row],[instruction]])),ISNUMBER(SEARCH("s2ur", Table6[[#This Row],[instruction]]))), "special", "")</f>
        <v/>
      </c>
      <c r="S727" t="str">
        <f>IF(OR(ISNUMBER(SEARCH("stg", Table6[[#This Row],[instruction]])),ISNUMBER(SEARCH("ldg", Table6[[#This Row],[instruction]]))), "global", "")</f>
        <v/>
      </c>
      <c r="T727" t="str">
        <f>IF(OR(ISNUMBER(SEARCH("sts", Table6[[#This Row],[instruction]])),ISNUMBER(SEARCH("lds", Table6[[#This Row],[instruction]]))), "shared", "")</f>
        <v/>
      </c>
      <c r="U727" t="str">
        <f>IF(OR(ISNUMBER(SEARCH("LDC", Table6[[#This Row],[instruction]]))), "ind. const", "")</f>
        <v/>
      </c>
      <c r="V7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Row],[s5]]))),U727=""), "cmb. const", "")</f>
        <v>cmb. const</v>
      </c>
      <c r="Y727">
        <f>IF(Table6[[#This Row],[pipeline]]="fma",Table6[[#This Row],[delay]],0)</f>
        <v>0</v>
      </c>
      <c r="Z727">
        <f>IF(AND(Table6[[#This Row],[pipeline]]="fma",W727="new"),290,0)</f>
        <v>0</v>
      </c>
      <c r="AK727" s="34"/>
    </row>
    <row r="728" spans="1:37" ht="17" x14ac:dyDescent="0.2">
      <c r="A728" s="31">
        <f>IF(Table6[[#This Row],[instruction]]&lt;&gt;"",MAX($A$6:A727)+1," ")</f>
        <v>723</v>
      </c>
      <c r="B728" s="32" t="s">
        <v>485</v>
      </c>
      <c r="C728" t="s">
        <v>438</v>
      </c>
      <c r="D728" s="31" t="s">
        <v>82</v>
      </c>
      <c r="E728" s="31" t="s">
        <v>71</v>
      </c>
      <c r="F728" s="31" t="s">
        <v>469</v>
      </c>
      <c r="G728" s="31" t="s">
        <v>8</v>
      </c>
      <c r="H728" s="31" t="s">
        <v>78</v>
      </c>
      <c r="I728" s="31" t="s">
        <v>506</v>
      </c>
      <c r="K728" s="2" t="str">
        <f t="shared" si="11"/>
        <v>alu</v>
      </c>
      <c r="L728" cm="1">
        <f t="array" ref="L7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8" t="str">
        <f>IF(OR(ISNUMBER(SEARCH("imad", Table6[[#This Row],[instruction]])), ISNUMBER(SEARCH("ffma", Table6[[#This Row],[instruction]])), ISNUMBER(SEARCH("fmul", Table6[[#This Row],[instruction]]))), "fma", "")</f>
        <v/>
      </c>
      <c r="P7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8" t="str">
        <f>IF(OR(ISNUMBER(SEARCH("s2r", Table6[[#This Row],[instruction]])),ISNUMBER(SEARCH("s2ur", Table6[[#This Row],[instruction]]))), "special", "")</f>
        <v/>
      </c>
      <c r="S728" t="str">
        <f>IF(OR(ISNUMBER(SEARCH("stg", Table6[[#This Row],[instruction]])),ISNUMBER(SEARCH("ldg", Table6[[#This Row],[instruction]]))), "global", "")</f>
        <v/>
      </c>
      <c r="T728" t="str">
        <f>IF(OR(ISNUMBER(SEARCH("sts", Table6[[#This Row],[instruction]])),ISNUMBER(SEARCH("lds", Table6[[#This Row],[instruction]]))), "shared", "")</f>
        <v/>
      </c>
      <c r="U728" t="str">
        <f>IF(OR(ISNUMBER(SEARCH("LDC", Table6[[#This Row],[instruction]]))), "ind. const", "")</f>
        <v/>
      </c>
      <c r="V7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Row],[s5]]))),U728=""), "cmb. const", "")</f>
        <v>cmb. const</v>
      </c>
      <c r="W728" s="2" t="s">
        <v>481</v>
      </c>
      <c r="Y728">
        <f>IF(Table6[[#This Row],[pipeline]]="fma",Table6[[#This Row],[delay]],0)</f>
        <v>0</v>
      </c>
      <c r="Z728">
        <f>IF(AND(Table6[[#This Row],[pipeline]]="fma",W728="new"),290,0)</f>
        <v>0</v>
      </c>
      <c r="AK728" s="34"/>
    </row>
    <row r="729" spans="1:37" ht="17" x14ac:dyDescent="0.2">
      <c r="A729" s="31">
        <f>IF(Table6[[#This Row],[instruction]]&lt;&gt;"",MAX($A$6:A728)+1," ")</f>
        <v>724</v>
      </c>
      <c r="B729" s="32" t="s">
        <v>485</v>
      </c>
      <c r="C729" t="s">
        <v>438</v>
      </c>
      <c r="D729" s="31" t="s">
        <v>60</v>
      </c>
      <c r="E729" s="31" t="s">
        <v>614</v>
      </c>
      <c r="F729" s="31" t="s">
        <v>469</v>
      </c>
      <c r="G729" s="31" t="s">
        <v>8</v>
      </c>
      <c r="H729" s="31" t="s">
        <v>74</v>
      </c>
      <c r="I729" s="31" t="s">
        <v>506</v>
      </c>
      <c r="K729" s="2" t="str">
        <f t="shared" si="11"/>
        <v>alu</v>
      </c>
      <c r="L729" cm="1">
        <f t="array" ref="L7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29" t="str">
        <f>IF(OR(ISNUMBER(SEARCH("imad", Table6[[#This Row],[instruction]])), ISNUMBER(SEARCH("ffma", Table6[[#This Row],[instruction]])), ISNUMBER(SEARCH("fmul", Table6[[#This Row],[instruction]]))), "fma", "")</f>
        <v/>
      </c>
      <c r="P7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29" t="str">
        <f>IF(OR(ISNUMBER(SEARCH("s2r", Table6[[#This Row],[instruction]])),ISNUMBER(SEARCH("s2ur", Table6[[#This Row],[instruction]]))), "special", "")</f>
        <v/>
      </c>
      <c r="S729" t="str">
        <f>IF(OR(ISNUMBER(SEARCH("stg", Table6[[#This Row],[instruction]])),ISNUMBER(SEARCH("ldg", Table6[[#This Row],[instruction]]))), "global", "")</f>
        <v/>
      </c>
      <c r="T729" t="str">
        <f>IF(OR(ISNUMBER(SEARCH("sts", Table6[[#This Row],[instruction]])),ISNUMBER(SEARCH("lds", Table6[[#This Row],[instruction]]))), "shared", "")</f>
        <v/>
      </c>
      <c r="U729" t="str">
        <f>IF(OR(ISNUMBER(SEARCH("LDC", Table6[[#This Row],[instruction]]))), "ind. const", "")</f>
        <v/>
      </c>
      <c r="V7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Row],[s5]]))),U729=""), "cmb. const", "")</f>
        <v>cmb. const</v>
      </c>
      <c r="W729" s="2" t="s">
        <v>481</v>
      </c>
      <c r="Y729">
        <f>IF(Table6[[#This Row],[pipeline]]="fma",Table6[[#This Row],[delay]],0)</f>
        <v>0</v>
      </c>
      <c r="Z729">
        <f>IF(AND(Table6[[#This Row],[pipeline]]="fma",W729="new"),290,0)</f>
        <v>0</v>
      </c>
      <c r="AK729" s="34"/>
    </row>
    <row r="730" spans="1:37" ht="17" x14ac:dyDescent="0.2">
      <c r="A730" s="31">
        <f>IF(Table6[[#This Row],[instruction]]&lt;&gt;"",MAX($A$6:A729)+1," ")</f>
        <v>725</v>
      </c>
      <c r="B730" s="32" t="s">
        <v>485</v>
      </c>
      <c r="C730" t="s">
        <v>438</v>
      </c>
      <c r="D730" s="31" t="s">
        <v>27</v>
      </c>
      <c r="E730" s="31" t="s">
        <v>436</v>
      </c>
      <c r="F730" s="31" t="s">
        <v>469</v>
      </c>
      <c r="G730" s="31" t="s">
        <v>8</v>
      </c>
      <c r="H730" s="31" t="s">
        <v>533</v>
      </c>
      <c r="I730" s="31" t="s">
        <v>506</v>
      </c>
      <c r="K730" s="2" t="str">
        <f t="shared" si="11"/>
        <v>alu</v>
      </c>
      <c r="L730" cm="1">
        <f t="array" ref="L7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30" t="str">
        <f>IF(OR(ISNUMBER(SEARCH("imad", Table6[[#This Row],[instruction]])), ISNUMBER(SEARCH("ffma", Table6[[#This Row],[instruction]])), ISNUMBER(SEARCH("fmul", Table6[[#This Row],[instruction]]))), "fma", "")</f>
        <v/>
      </c>
      <c r="P7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0" t="str">
        <f>IF(OR(ISNUMBER(SEARCH("s2r", Table6[[#This Row],[instruction]])),ISNUMBER(SEARCH("s2ur", Table6[[#This Row],[instruction]]))), "special", "")</f>
        <v/>
      </c>
      <c r="S730" t="str">
        <f>IF(OR(ISNUMBER(SEARCH("stg", Table6[[#This Row],[instruction]])),ISNUMBER(SEARCH("ldg", Table6[[#This Row],[instruction]]))), "global", "")</f>
        <v/>
      </c>
      <c r="T730" t="str">
        <f>IF(OR(ISNUMBER(SEARCH("sts", Table6[[#This Row],[instruction]])),ISNUMBER(SEARCH("lds", Table6[[#This Row],[instruction]]))), "shared", "")</f>
        <v/>
      </c>
      <c r="U730" t="str">
        <f>IF(OR(ISNUMBER(SEARCH("LDC", Table6[[#This Row],[instruction]]))), "ind. const", "")</f>
        <v/>
      </c>
      <c r="V7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Row],[s5]]))),U730=""), "cmb. const", "")</f>
        <v>cmb. const</v>
      </c>
      <c r="W730" s="2" t="s">
        <v>481</v>
      </c>
      <c r="Y730">
        <f>IF(Table6[[#This Row],[pipeline]]="fma",Table6[[#This Row],[delay]],0)</f>
        <v>0</v>
      </c>
      <c r="Z730">
        <f>IF(AND(Table6[[#This Row],[pipeline]]="fma",W730="new"),290,0)</f>
        <v>0</v>
      </c>
      <c r="AK730" s="34"/>
    </row>
    <row r="731" spans="1:37" ht="17" x14ac:dyDescent="0.2">
      <c r="A731" s="31">
        <f>IF(Table6[[#This Row],[instruction]]&lt;&gt;"",MAX($A$6:A730)+1," ")</f>
        <v>726</v>
      </c>
      <c r="B731" s="32" t="s">
        <v>485</v>
      </c>
      <c r="C731" t="s">
        <v>438</v>
      </c>
      <c r="D731" s="31" t="s">
        <v>7</v>
      </c>
      <c r="E731" s="31" t="s">
        <v>23</v>
      </c>
      <c r="F731" s="31" t="s">
        <v>469</v>
      </c>
      <c r="G731" s="31" t="s">
        <v>8</v>
      </c>
      <c r="H731" s="31" t="s">
        <v>531</v>
      </c>
      <c r="I731" s="31" t="s">
        <v>506</v>
      </c>
      <c r="K731" s="2" t="str">
        <f t="shared" si="11"/>
        <v>alu</v>
      </c>
      <c r="L731" cm="1">
        <f t="array" ref="L7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31" t="str">
        <f>IF(OR(ISNUMBER(SEARCH("imad", Table6[[#This Row],[instruction]])), ISNUMBER(SEARCH("ffma", Table6[[#This Row],[instruction]])), ISNUMBER(SEARCH("fmul", Table6[[#This Row],[instruction]]))), "fma", "")</f>
        <v/>
      </c>
      <c r="P7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1" t="str">
        <f>IF(OR(ISNUMBER(SEARCH("s2r", Table6[[#This Row],[instruction]])),ISNUMBER(SEARCH("s2ur", Table6[[#This Row],[instruction]]))), "special", "")</f>
        <v/>
      </c>
      <c r="S731" t="str">
        <f>IF(OR(ISNUMBER(SEARCH("stg", Table6[[#This Row],[instruction]])),ISNUMBER(SEARCH("ldg", Table6[[#This Row],[instruction]]))), "global", "")</f>
        <v/>
      </c>
      <c r="T731" t="str">
        <f>IF(OR(ISNUMBER(SEARCH("sts", Table6[[#This Row],[instruction]])),ISNUMBER(SEARCH("lds", Table6[[#This Row],[instruction]]))), "shared", "")</f>
        <v/>
      </c>
      <c r="U731" t="str">
        <f>IF(OR(ISNUMBER(SEARCH("LDC", Table6[[#This Row],[instruction]]))), "ind. const", "")</f>
        <v/>
      </c>
      <c r="V7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Row],[s5]]))),U731=""), "cmb. const", "")</f>
        <v>cmb. const</v>
      </c>
      <c r="W731" s="2" t="s">
        <v>481</v>
      </c>
      <c r="Y731">
        <f>IF(Table6[[#This Row],[pipeline]]="fma",Table6[[#This Row],[delay]],0)</f>
        <v>0</v>
      </c>
      <c r="Z731">
        <f>IF(AND(Table6[[#This Row],[pipeline]]="fma",W731="new"),290,0)</f>
        <v>0</v>
      </c>
      <c r="AK731" s="34"/>
    </row>
    <row r="732" spans="1:37" ht="17" x14ac:dyDescent="0.2">
      <c r="A732" s="31">
        <f>IF(Table6[[#This Row],[instruction]]&lt;&gt;"",MAX($A$6:A731)+1," ")</f>
        <v>727</v>
      </c>
      <c r="B732" s="32" t="s">
        <v>580</v>
      </c>
      <c r="C732" t="s">
        <v>359</v>
      </c>
      <c r="D732" s="31" t="s">
        <v>749</v>
      </c>
      <c r="K732" s="2" t="str">
        <f t="shared" si="11"/>
        <v>cba</v>
      </c>
      <c r="L732" cm="1">
        <f t="array" ref="L7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32" t="str">
        <f>IF(OR(ISNUMBER(SEARCH("imad", Table6[[#This Row],[instruction]])), ISNUMBER(SEARCH("ffma", Table6[[#This Row],[instruction]])), ISNUMBER(SEARCH("fmul", Table6[[#This Row],[instruction]]))), "fma", "")</f>
        <v/>
      </c>
      <c r="P7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32" t="str">
        <f>IF(OR(ISNUMBER(SEARCH("s2r", Table6[[#This Row],[instruction]])),ISNUMBER(SEARCH("s2ur", Table6[[#This Row],[instruction]]))), "special", "")</f>
        <v/>
      </c>
      <c r="S732" t="str">
        <f>IF(OR(ISNUMBER(SEARCH("stg", Table6[[#This Row],[instruction]])),ISNUMBER(SEARCH("ldg", Table6[[#This Row],[instruction]]))), "global", "")</f>
        <v/>
      </c>
      <c r="T732" t="str">
        <f>IF(OR(ISNUMBER(SEARCH("sts", Table6[[#This Row],[instruction]])),ISNUMBER(SEARCH("lds", Table6[[#This Row],[instruction]]))), "shared", "")</f>
        <v/>
      </c>
      <c r="U732" t="str">
        <f>IF(OR(ISNUMBER(SEARCH("LDC", Table6[[#This Row],[instruction]]))), "ind. const", "")</f>
        <v/>
      </c>
      <c r="V7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Row],[s5]]))),U732=""), "cmb. const", "")</f>
        <v/>
      </c>
      <c r="Y732">
        <f>IF(Table6[[#This Row],[pipeline]]="fma",Table6[[#This Row],[delay]],0)</f>
        <v>0</v>
      </c>
      <c r="Z732">
        <f>IF(AND(Table6[[#This Row],[pipeline]]="fma",W732="new"),290,0)</f>
        <v>0</v>
      </c>
      <c r="AK732" s="34"/>
    </row>
    <row r="733" spans="1:37" ht="17" x14ac:dyDescent="0.2">
      <c r="A733" s="31">
        <f>IF(Table6[[#This Row],[instruction]]&lt;&gt;"",MAX($A$6:A732)+1," ")</f>
        <v>728</v>
      </c>
      <c r="B733" s="32" t="s">
        <v>485</v>
      </c>
      <c r="C733" t="s">
        <v>740</v>
      </c>
      <c r="D733" s="31" t="s">
        <v>50</v>
      </c>
      <c r="E733" s="31" t="s">
        <v>51</v>
      </c>
      <c r="F733" s="31" t="s">
        <v>8</v>
      </c>
      <c r="G733" s="31" t="s">
        <v>741</v>
      </c>
      <c r="H733" s="31" t="s">
        <v>494</v>
      </c>
      <c r="K733" s="2" t="str">
        <f>IF(O733&lt;&gt;"", O733, IF(P733&lt;&gt;"", P733, IF(R733&lt;&gt;"", R733, IF(S733&lt;&gt;"", S733, IF(T733&lt;&gt;"", T733, IF(U733&lt;&gt;"", U733, IF(Q733&lt;&gt;"", Q733, "")))))))</f>
        <v>alu</v>
      </c>
      <c r="L733" cm="1">
        <f t="array" ref="L7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33" t="str">
        <f>IF(OR(ISNUMBER(SEARCH("imad", Table6[[#This Row],[instruction]])), ISNUMBER(SEARCH("ffma", Table6[[#This Row],[instruction]])), ISNUMBER(SEARCH("fmul", Table6[[#This Row],[instruction]]))), "fma", "")</f>
        <v/>
      </c>
      <c r="P7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3" t="str">
        <f>IF(OR(ISNUMBER(SEARCH("s2r", Table6[[#This Row],[instruction]])),ISNUMBER(SEARCH("s2ur", Table6[[#This Row],[instruction]]))), "special", "")</f>
        <v/>
      </c>
      <c r="S733" t="str">
        <f>IF(OR(ISNUMBER(SEARCH("stg", Table6[[#This Row],[instruction]])),ISNUMBER(SEARCH("ldg", Table6[[#This Row],[instruction]]))), "global", "")</f>
        <v/>
      </c>
      <c r="T733" t="str">
        <f>IF(OR(ISNUMBER(SEARCH("sts", Table6[[#This Row],[instruction]])),ISNUMBER(SEARCH("lds", Table6[[#This Row],[instruction]]))), "shared", "")</f>
        <v/>
      </c>
      <c r="U733" t="str">
        <f>IF(OR(ISNUMBER(SEARCH("LDC", Table6[[#This Row],[instruction]]))), "ind. const", "")</f>
        <v/>
      </c>
      <c r="V7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Row],[s5]]))),U733=""), "cmb. const", "")</f>
        <v>cmb. const</v>
      </c>
      <c r="Y733">
        <f>IF(Table6[[#This Row],[pipeline]]="fma",Table6[[#This Row],[delay]],0)</f>
        <v>0</v>
      </c>
      <c r="Z733">
        <f>IF(AND(Table6[[#This Row],[pipeline]]="fma",W733="new"),290,0)</f>
        <v>0</v>
      </c>
      <c r="AK733" s="34"/>
    </row>
    <row r="734" spans="1:37" ht="17" x14ac:dyDescent="0.2">
      <c r="A734" s="31">
        <f>IF(Table6[[#This Row],[instruction]]&lt;&gt;"",MAX($A$6:A733)+1," ")</f>
        <v>729</v>
      </c>
      <c r="B734" s="32" t="s">
        <v>86</v>
      </c>
      <c r="C734" t="s">
        <v>359</v>
      </c>
      <c r="D734" s="31" t="s">
        <v>750</v>
      </c>
      <c r="K734" s="2" t="str">
        <f t="shared" si="11"/>
        <v>cba</v>
      </c>
      <c r="L734" cm="1">
        <f t="array" ref="L7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34" t="str">
        <f>IF(OR(ISNUMBER(SEARCH("imad", Table6[[#This Row],[instruction]])), ISNUMBER(SEARCH("ffma", Table6[[#This Row],[instruction]])), ISNUMBER(SEARCH("fmul", Table6[[#This Row],[instruction]]))), "fma", "")</f>
        <v/>
      </c>
      <c r="P7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34" t="str">
        <f>IF(OR(ISNUMBER(SEARCH("s2r", Table6[[#This Row],[instruction]])),ISNUMBER(SEARCH("s2ur", Table6[[#This Row],[instruction]]))), "special", "")</f>
        <v/>
      </c>
      <c r="S734" t="str">
        <f>IF(OR(ISNUMBER(SEARCH("stg", Table6[[#This Row],[instruction]])),ISNUMBER(SEARCH("ldg", Table6[[#This Row],[instruction]]))), "global", "")</f>
        <v/>
      </c>
      <c r="T734" t="str">
        <f>IF(OR(ISNUMBER(SEARCH("sts", Table6[[#This Row],[instruction]])),ISNUMBER(SEARCH("lds", Table6[[#This Row],[instruction]]))), "shared", "")</f>
        <v/>
      </c>
      <c r="U734" t="str">
        <f>IF(OR(ISNUMBER(SEARCH("LDC", Table6[[#This Row],[instruction]]))), "ind. const", "")</f>
        <v/>
      </c>
      <c r="V7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Row],[s5]]))),U734=""), "cmb. const", "")</f>
        <v/>
      </c>
      <c r="Y734">
        <f>IF(Table6[[#This Row],[pipeline]]="fma",Table6[[#This Row],[delay]],0)</f>
        <v>0</v>
      </c>
      <c r="Z734">
        <f>IF(AND(Table6[[#This Row],[pipeline]]="fma",W734="new"),290,0)</f>
        <v>0</v>
      </c>
      <c r="AK734" s="34"/>
    </row>
    <row r="735" spans="1:37" ht="17" x14ac:dyDescent="0.2">
      <c r="A735" s="31">
        <f>IF(Table6[[#This Row],[instruction]]&lt;&gt;"",MAX($A$6:A734)+1," ")</f>
        <v>730</v>
      </c>
      <c r="B735" s="32" t="s">
        <v>485</v>
      </c>
      <c r="C735" t="s">
        <v>49</v>
      </c>
      <c r="D735" s="31" t="s">
        <v>50</v>
      </c>
      <c r="E735" s="31" t="s">
        <v>51</v>
      </c>
      <c r="F735" s="31" t="s">
        <v>46</v>
      </c>
      <c r="G735" s="31" t="s">
        <v>442</v>
      </c>
      <c r="H735" s="31" t="s">
        <v>494</v>
      </c>
      <c r="K735" s="2" t="str">
        <f t="shared" si="11"/>
        <v>alu</v>
      </c>
      <c r="L735" cm="1">
        <f t="array" ref="L7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5" t="str">
        <f>IF(OR(ISNUMBER(SEARCH("imad", Table6[[#This Row],[instruction]])), ISNUMBER(SEARCH("ffma", Table6[[#This Row],[instruction]])), ISNUMBER(SEARCH("fmul", Table6[[#This Row],[instruction]]))), "fma", "")</f>
        <v/>
      </c>
      <c r="P7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5" t="str">
        <f>IF(OR(ISNUMBER(SEARCH("s2r", Table6[[#This Row],[instruction]])),ISNUMBER(SEARCH("s2ur", Table6[[#This Row],[instruction]]))), "special", "")</f>
        <v/>
      </c>
      <c r="S735" t="str">
        <f>IF(OR(ISNUMBER(SEARCH("stg", Table6[[#This Row],[instruction]])),ISNUMBER(SEARCH("ldg", Table6[[#This Row],[instruction]]))), "global", "")</f>
        <v/>
      </c>
      <c r="T735" t="str">
        <f>IF(OR(ISNUMBER(SEARCH("sts", Table6[[#This Row],[instruction]])),ISNUMBER(SEARCH("lds", Table6[[#This Row],[instruction]]))), "shared", "")</f>
        <v/>
      </c>
      <c r="U735" t="str">
        <f>IF(OR(ISNUMBER(SEARCH("LDC", Table6[[#This Row],[instruction]]))), "ind. const", "")</f>
        <v/>
      </c>
      <c r="V7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Row],[s5]]))),U735=""), "cmb. const", "")</f>
        <v>cmb. const</v>
      </c>
      <c r="W735" s="2" t="s">
        <v>481</v>
      </c>
      <c r="Y735">
        <f>IF(Table6[[#This Row],[pipeline]]="fma",Table6[[#This Row],[delay]],0)</f>
        <v>0</v>
      </c>
      <c r="Z735">
        <f>IF(AND(Table6[[#This Row],[pipeline]]="fma",W735="new"),290,0)</f>
        <v>0</v>
      </c>
      <c r="AK735" s="34"/>
    </row>
    <row r="736" spans="1:37" ht="17" x14ac:dyDescent="0.2">
      <c r="A736" s="31">
        <f>IF(Table6[[#This Row],[instruction]]&lt;&gt;"",MAX($A$6:A735)+1," ")</f>
        <v>731</v>
      </c>
      <c r="B736" s="32" t="s">
        <v>485</v>
      </c>
      <c r="C736" t="s">
        <v>49</v>
      </c>
      <c r="D736" s="31" t="s">
        <v>78</v>
      </c>
      <c r="E736" s="31" t="s">
        <v>51</v>
      </c>
      <c r="F736" s="31" t="s">
        <v>447</v>
      </c>
      <c r="G736" s="31" t="s">
        <v>442</v>
      </c>
      <c r="H736" s="31" t="s">
        <v>494</v>
      </c>
      <c r="K736" s="2" t="str">
        <f t="shared" si="11"/>
        <v>alu</v>
      </c>
      <c r="L736" cm="1">
        <f t="array" ref="L7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6" t="str">
        <f>IF(OR(ISNUMBER(SEARCH("imad", Table6[[#This Row],[instruction]])), ISNUMBER(SEARCH("ffma", Table6[[#This Row],[instruction]])), ISNUMBER(SEARCH("fmul", Table6[[#This Row],[instruction]]))), "fma", "")</f>
        <v/>
      </c>
      <c r="P7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6" t="str">
        <f>IF(OR(ISNUMBER(SEARCH("s2r", Table6[[#This Row],[instruction]])),ISNUMBER(SEARCH("s2ur", Table6[[#This Row],[instruction]]))), "special", "")</f>
        <v/>
      </c>
      <c r="S736" t="str">
        <f>IF(OR(ISNUMBER(SEARCH("stg", Table6[[#This Row],[instruction]])),ISNUMBER(SEARCH("ldg", Table6[[#This Row],[instruction]]))), "global", "")</f>
        <v/>
      </c>
      <c r="T736" t="str">
        <f>IF(OR(ISNUMBER(SEARCH("sts", Table6[[#This Row],[instruction]])),ISNUMBER(SEARCH("lds", Table6[[#This Row],[instruction]]))), "shared", "")</f>
        <v/>
      </c>
      <c r="U736" t="str">
        <f>IF(OR(ISNUMBER(SEARCH("LDC", Table6[[#This Row],[instruction]]))), "ind. const", "")</f>
        <v/>
      </c>
      <c r="V7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Row],[s5]]))),U736=""), "cmb. const", "")</f>
        <v>cmb. const</v>
      </c>
      <c r="W736" s="2" t="s">
        <v>481</v>
      </c>
      <c r="Y736">
        <f>IF(Table6[[#This Row],[pipeline]]="fma",Table6[[#This Row],[delay]],0)</f>
        <v>0</v>
      </c>
      <c r="Z736">
        <f>IF(AND(Table6[[#This Row],[pipeline]]="fma",W736="new"),290,0)</f>
        <v>0</v>
      </c>
      <c r="AK736" s="34"/>
    </row>
    <row r="737" spans="1:37" ht="17" x14ac:dyDescent="0.2">
      <c r="A737" s="31">
        <f>IF(Table6[[#This Row],[instruction]]&lt;&gt;"",MAX($A$6:A736)+1," ")</f>
        <v>732</v>
      </c>
      <c r="B737" s="32" t="s">
        <v>485</v>
      </c>
      <c r="C737" t="s">
        <v>49</v>
      </c>
      <c r="D737" s="31" t="s">
        <v>74</v>
      </c>
      <c r="E737" s="31" t="s">
        <v>51</v>
      </c>
      <c r="F737" s="31" t="s">
        <v>567</v>
      </c>
      <c r="G737" s="31" t="s">
        <v>442</v>
      </c>
      <c r="H737" s="31" t="s">
        <v>494</v>
      </c>
      <c r="K737" s="2" t="str">
        <f t="shared" si="11"/>
        <v>alu</v>
      </c>
      <c r="L737" cm="1">
        <f t="array" ref="L7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7" t="str">
        <f>IF(OR(ISNUMBER(SEARCH("imad", Table6[[#This Row],[instruction]])), ISNUMBER(SEARCH("ffma", Table6[[#This Row],[instruction]])), ISNUMBER(SEARCH("fmul", Table6[[#This Row],[instruction]]))), "fma", "")</f>
        <v/>
      </c>
      <c r="P7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7" t="str">
        <f>IF(OR(ISNUMBER(SEARCH("s2r", Table6[[#This Row],[instruction]])),ISNUMBER(SEARCH("s2ur", Table6[[#This Row],[instruction]]))), "special", "")</f>
        <v/>
      </c>
      <c r="S737" t="str">
        <f>IF(OR(ISNUMBER(SEARCH("stg", Table6[[#This Row],[instruction]])),ISNUMBER(SEARCH("ldg", Table6[[#This Row],[instruction]]))), "global", "")</f>
        <v/>
      </c>
      <c r="T737" t="str">
        <f>IF(OR(ISNUMBER(SEARCH("sts", Table6[[#This Row],[instruction]])),ISNUMBER(SEARCH("lds", Table6[[#This Row],[instruction]]))), "shared", "")</f>
        <v/>
      </c>
      <c r="U737" t="str">
        <f>IF(OR(ISNUMBER(SEARCH("LDC", Table6[[#This Row],[instruction]]))), "ind. const", "")</f>
        <v/>
      </c>
      <c r="V7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Row],[s5]]))),U737=""), "cmb. const", "")</f>
        <v>cmb. const</v>
      </c>
      <c r="W737" s="2" t="s">
        <v>481</v>
      </c>
      <c r="Y737">
        <f>IF(Table6[[#This Row],[pipeline]]="fma",Table6[[#This Row],[delay]],0)</f>
        <v>0</v>
      </c>
      <c r="Z737">
        <f>IF(AND(Table6[[#This Row],[pipeline]]="fma",W737="new"),290,0)</f>
        <v>0</v>
      </c>
      <c r="AK737" s="34"/>
    </row>
    <row r="738" spans="1:37" ht="17" x14ac:dyDescent="0.2">
      <c r="A738" s="31">
        <f>IF(Table6[[#This Row],[instruction]]&lt;&gt;"",MAX($A$6:A737)+1," ")</f>
        <v>733</v>
      </c>
      <c r="B738" s="32" t="s">
        <v>580</v>
      </c>
      <c r="C738" t="s">
        <v>59</v>
      </c>
      <c r="D738" s="31" t="s">
        <v>600</v>
      </c>
      <c r="E738" s="31" t="s">
        <v>600</v>
      </c>
      <c r="F738" s="31" t="s">
        <v>743</v>
      </c>
      <c r="K738" s="2" t="str">
        <f t="shared" si="11"/>
        <v>fma</v>
      </c>
      <c r="L738" cm="1">
        <f t="array" ref="L7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8" t="str">
        <f>IF(OR(ISNUMBER(SEARCH("imad", Table6[[#This Row],[instruction]])), ISNUMBER(SEARCH("ffma", Table6[[#This Row],[instruction]])), ISNUMBER(SEARCH("fmul", Table6[[#This Row],[instruction]]))), "fma", "")</f>
        <v>fma</v>
      </c>
      <c r="P7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8" t="str">
        <f>IF(OR(ISNUMBER(SEARCH("s2r", Table6[[#This Row],[instruction]])),ISNUMBER(SEARCH("s2ur", Table6[[#This Row],[instruction]]))), "special", "")</f>
        <v/>
      </c>
      <c r="S738" t="str">
        <f>IF(OR(ISNUMBER(SEARCH("stg", Table6[[#This Row],[instruction]])),ISNUMBER(SEARCH("ldg", Table6[[#This Row],[instruction]]))), "global", "")</f>
        <v/>
      </c>
      <c r="T738" t="str">
        <f>IF(OR(ISNUMBER(SEARCH("sts", Table6[[#This Row],[instruction]])),ISNUMBER(SEARCH("lds", Table6[[#This Row],[instruction]]))), "shared", "")</f>
        <v/>
      </c>
      <c r="U738" t="str">
        <f>IF(OR(ISNUMBER(SEARCH("LDC", Table6[[#This Row],[instruction]]))), "ind. const", "")</f>
        <v/>
      </c>
      <c r="V7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Row],[s5]]))),U738=""), "cmb. const", "")</f>
        <v>cmb. const</v>
      </c>
      <c r="Y738">
        <f>IF(Table6[[#This Row],[pipeline]]="fma",Table6[[#This Row],[delay]],0)</f>
        <v>4</v>
      </c>
      <c r="Z738">
        <f>IF(AND(Table6[[#This Row],[pipeline]]="fma",W738="new"),290,0)</f>
        <v>0</v>
      </c>
      <c r="AK738" s="34"/>
    </row>
    <row r="739" spans="1:37" ht="17" x14ac:dyDescent="0.2">
      <c r="A739" s="31">
        <f>IF(Table6[[#This Row],[instruction]]&lt;&gt;"",MAX($A$6:A738)+1," ")</f>
        <v>734</v>
      </c>
      <c r="B739" s="32" t="s">
        <v>644</v>
      </c>
      <c r="C739" t="s">
        <v>59</v>
      </c>
      <c r="D739" s="31" t="s">
        <v>23</v>
      </c>
      <c r="E739" s="31" t="s">
        <v>608</v>
      </c>
      <c r="F739" s="31" t="s">
        <v>743</v>
      </c>
      <c r="K739" s="2" t="str">
        <f t="shared" si="11"/>
        <v>fma</v>
      </c>
      <c r="L739" cm="1">
        <f t="array" ref="L7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39" t="str">
        <f>IF(OR(ISNUMBER(SEARCH("imad", Table6[[#This Row],[instruction]])), ISNUMBER(SEARCH("ffma", Table6[[#This Row],[instruction]])), ISNUMBER(SEARCH("fmul", Table6[[#This Row],[instruction]]))), "fma", "")</f>
        <v>fma</v>
      </c>
      <c r="P7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39" t="str">
        <f>IF(OR(ISNUMBER(SEARCH("s2r", Table6[[#This Row],[instruction]])),ISNUMBER(SEARCH("s2ur", Table6[[#This Row],[instruction]]))), "special", "")</f>
        <v/>
      </c>
      <c r="S739" t="str">
        <f>IF(OR(ISNUMBER(SEARCH("stg", Table6[[#This Row],[instruction]])),ISNUMBER(SEARCH("ldg", Table6[[#This Row],[instruction]]))), "global", "")</f>
        <v/>
      </c>
      <c r="T739" t="str">
        <f>IF(OR(ISNUMBER(SEARCH("sts", Table6[[#This Row],[instruction]])),ISNUMBER(SEARCH("lds", Table6[[#This Row],[instruction]]))), "shared", "")</f>
        <v/>
      </c>
      <c r="U739" t="str">
        <f>IF(OR(ISNUMBER(SEARCH("LDC", Table6[[#This Row],[instruction]]))), "ind. const", "")</f>
        <v/>
      </c>
      <c r="V7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Row],[s5]]))),U739=""), "cmb. const", "")</f>
        <v>cmb. const</v>
      </c>
      <c r="Y739">
        <f>IF(Table6[[#This Row],[pipeline]]="fma",Table6[[#This Row],[delay]],0)</f>
        <v>4</v>
      </c>
      <c r="Z739">
        <f>IF(AND(Table6[[#This Row],[pipeline]]="fma",W739="new"),290,0)</f>
        <v>0</v>
      </c>
      <c r="AK739" s="34"/>
    </row>
    <row r="740" spans="1:37" ht="17" x14ac:dyDescent="0.2">
      <c r="A740" s="31">
        <f>IF(Table6[[#This Row],[instruction]]&lt;&gt;"",MAX($A$6:A739)+1," ")</f>
        <v>735</v>
      </c>
      <c r="B740" s="32" t="s">
        <v>582</v>
      </c>
      <c r="C740" t="s">
        <v>59</v>
      </c>
      <c r="D740" s="31" t="s">
        <v>613</v>
      </c>
      <c r="E740" s="31" t="s">
        <v>613</v>
      </c>
      <c r="F740" s="31" t="s">
        <v>743</v>
      </c>
      <c r="K740" s="2" t="str">
        <f t="shared" si="11"/>
        <v>fma</v>
      </c>
      <c r="L740" cm="1">
        <f t="array" ref="L7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40" t="str">
        <f>IF(OR(ISNUMBER(SEARCH("imad", Table6[[#This Row],[instruction]])), ISNUMBER(SEARCH("ffma", Table6[[#This Row],[instruction]])), ISNUMBER(SEARCH("fmul", Table6[[#This Row],[instruction]]))), "fma", "")</f>
        <v>fma</v>
      </c>
      <c r="P7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0" t="str">
        <f>IF(OR(ISNUMBER(SEARCH("s2r", Table6[[#This Row],[instruction]])),ISNUMBER(SEARCH("s2ur", Table6[[#This Row],[instruction]]))), "special", "")</f>
        <v/>
      </c>
      <c r="S740" t="str">
        <f>IF(OR(ISNUMBER(SEARCH("stg", Table6[[#This Row],[instruction]])),ISNUMBER(SEARCH("ldg", Table6[[#This Row],[instruction]]))), "global", "")</f>
        <v/>
      </c>
      <c r="T740" t="str">
        <f>IF(OR(ISNUMBER(SEARCH("sts", Table6[[#This Row],[instruction]])),ISNUMBER(SEARCH("lds", Table6[[#This Row],[instruction]]))), "shared", "")</f>
        <v/>
      </c>
      <c r="U740" t="str">
        <f>IF(OR(ISNUMBER(SEARCH("LDC", Table6[[#This Row],[instruction]]))), "ind. const", "")</f>
        <v/>
      </c>
      <c r="V7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Row],[s5]]))),U740=""), "cmb. const", "")</f>
        <v>cmb. const</v>
      </c>
      <c r="Y740">
        <f>IF(Table6[[#This Row],[pipeline]]="fma",Table6[[#This Row],[delay]],0)</f>
        <v>4</v>
      </c>
      <c r="Z740">
        <f>IF(AND(Table6[[#This Row],[pipeline]]="fma",W740="new"),290,0)</f>
        <v>0</v>
      </c>
      <c r="AK740" s="34"/>
    </row>
    <row r="741" spans="1:37" ht="17" x14ac:dyDescent="0.2">
      <c r="A741" s="31">
        <f>IF(Table6[[#This Row],[instruction]]&lt;&gt;"",MAX($A$6:A740)+1," ")</f>
        <v>736</v>
      </c>
      <c r="B741" s="32" t="s">
        <v>580</v>
      </c>
      <c r="C741" t="s">
        <v>28</v>
      </c>
      <c r="D741" s="31" t="s">
        <v>744</v>
      </c>
      <c r="E741" s="31" t="s">
        <v>668</v>
      </c>
      <c r="K741" s="2" t="str">
        <f t="shared" si="11"/>
        <v>global</v>
      </c>
      <c r="L741" cm="1">
        <f t="array" ref="L7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1" t="str">
        <f>IF(OR(ISNUMBER(SEARCH("imad", Table6[[#This Row],[instruction]])), ISNUMBER(SEARCH("ffma", Table6[[#This Row],[instruction]])), ISNUMBER(SEARCH("fmul", Table6[[#This Row],[instruction]]))), "fma", "")</f>
        <v/>
      </c>
      <c r="P7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1" t="str">
        <f>IF(OR(ISNUMBER(SEARCH("s2r", Table6[[#This Row],[instruction]])),ISNUMBER(SEARCH("s2ur", Table6[[#This Row],[instruction]]))), "special", "")</f>
        <v/>
      </c>
      <c r="S741" t="str">
        <f>IF(OR(ISNUMBER(SEARCH("stg", Table6[[#This Row],[instruction]])),ISNUMBER(SEARCH("ldg", Table6[[#This Row],[instruction]]))), "global", "")</f>
        <v>global</v>
      </c>
      <c r="T741" t="str">
        <f>IF(OR(ISNUMBER(SEARCH("sts", Table6[[#This Row],[instruction]])),ISNUMBER(SEARCH("lds", Table6[[#This Row],[instruction]]))), "shared", "")</f>
        <v/>
      </c>
      <c r="U741" t="str">
        <f>IF(OR(ISNUMBER(SEARCH("LDC", Table6[[#This Row],[instruction]]))), "ind. const", "")</f>
        <v/>
      </c>
      <c r="V7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Row],[s5]]))),U741=""), "cmb. const", "")</f>
        <v/>
      </c>
      <c r="Y741">
        <f>IF(Table6[[#This Row],[pipeline]]="fma",Table6[[#This Row],[delay]],0)</f>
        <v>0</v>
      </c>
      <c r="Z741">
        <f>IF(AND(Table6[[#This Row],[pipeline]]="fma",W741="new"),290,0)</f>
        <v>0</v>
      </c>
      <c r="AK741" s="34"/>
    </row>
    <row r="742" spans="1:37" ht="17" x14ac:dyDescent="0.2">
      <c r="A742" s="31">
        <f>IF(Table6[[#This Row],[instruction]]&lt;&gt;"",MAX($A$6:A741)+1," ")</f>
        <v>737</v>
      </c>
      <c r="B742" s="32" t="s">
        <v>485</v>
      </c>
      <c r="C742" t="s">
        <v>49</v>
      </c>
      <c r="D742" s="31" t="s">
        <v>50</v>
      </c>
      <c r="E742" s="31" t="s">
        <v>51</v>
      </c>
      <c r="F742" s="31" t="s">
        <v>588</v>
      </c>
      <c r="G742" s="31" t="s">
        <v>442</v>
      </c>
      <c r="H742" s="31" t="s">
        <v>494</v>
      </c>
      <c r="K742" s="2" t="str">
        <f t="shared" si="11"/>
        <v>alu</v>
      </c>
      <c r="L742" cm="1">
        <f t="array" ref="L7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42" t="str">
        <f>IF(OR(ISNUMBER(SEARCH("imad", Table6[[#This Row],[instruction]])), ISNUMBER(SEARCH("ffma", Table6[[#This Row],[instruction]])), ISNUMBER(SEARCH("fmul", Table6[[#This Row],[instruction]]))), "fma", "")</f>
        <v/>
      </c>
      <c r="P7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2" t="str">
        <f>IF(OR(ISNUMBER(SEARCH("s2r", Table6[[#This Row],[instruction]])),ISNUMBER(SEARCH("s2ur", Table6[[#This Row],[instruction]]))), "special", "")</f>
        <v/>
      </c>
      <c r="S742" t="str">
        <f>IF(OR(ISNUMBER(SEARCH("stg", Table6[[#This Row],[instruction]])),ISNUMBER(SEARCH("ldg", Table6[[#This Row],[instruction]]))), "global", "")</f>
        <v/>
      </c>
      <c r="T742" t="str">
        <f>IF(OR(ISNUMBER(SEARCH("sts", Table6[[#This Row],[instruction]])),ISNUMBER(SEARCH("lds", Table6[[#This Row],[instruction]]))), "shared", "")</f>
        <v/>
      </c>
      <c r="U742" t="str">
        <f>IF(OR(ISNUMBER(SEARCH("LDC", Table6[[#This Row],[instruction]]))), "ind. const", "")</f>
        <v/>
      </c>
      <c r="V7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Row],[s5]]))),U742=""), "cmb. const", "")</f>
        <v>cmb. const</v>
      </c>
      <c r="W742" s="2" t="s">
        <v>481</v>
      </c>
      <c r="Y742">
        <f>IF(Table6[[#This Row],[pipeline]]="fma",Table6[[#This Row],[delay]],0)</f>
        <v>0</v>
      </c>
      <c r="Z742">
        <f>IF(AND(Table6[[#This Row],[pipeline]]="fma",W742="new"),290,0)</f>
        <v>0</v>
      </c>
      <c r="AK742" s="34"/>
    </row>
    <row r="743" spans="1:37" ht="17" x14ac:dyDescent="0.2">
      <c r="A743" s="31">
        <f>IF(Table6[[#This Row],[instruction]]&lt;&gt;"",MAX($A$6:A742)+1," ")</f>
        <v>738</v>
      </c>
      <c r="B743" s="32" t="s">
        <v>644</v>
      </c>
      <c r="C743" t="s">
        <v>28</v>
      </c>
      <c r="D743" s="31" t="s">
        <v>446</v>
      </c>
      <c r="E743" s="31" t="s">
        <v>514</v>
      </c>
      <c r="K743" s="2" t="str">
        <f t="shared" si="11"/>
        <v>global</v>
      </c>
      <c r="L743" cm="1">
        <f t="array" ref="L7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3" t="str">
        <f>IF(OR(ISNUMBER(SEARCH("imad", Table6[[#This Row],[instruction]])), ISNUMBER(SEARCH("ffma", Table6[[#This Row],[instruction]])), ISNUMBER(SEARCH("fmul", Table6[[#This Row],[instruction]]))), "fma", "")</f>
        <v/>
      </c>
      <c r="P7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3" t="str">
        <f>IF(OR(ISNUMBER(SEARCH("s2r", Table6[[#This Row],[instruction]])),ISNUMBER(SEARCH("s2ur", Table6[[#This Row],[instruction]]))), "special", "")</f>
        <v/>
      </c>
      <c r="S743" t="str">
        <f>IF(OR(ISNUMBER(SEARCH("stg", Table6[[#This Row],[instruction]])),ISNUMBER(SEARCH("ldg", Table6[[#This Row],[instruction]]))), "global", "")</f>
        <v>global</v>
      </c>
      <c r="T743" t="str">
        <f>IF(OR(ISNUMBER(SEARCH("sts", Table6[[#This Row],[instruction]])),ISNUMBER(SEARCH("lds", Table6[[#This Row],[instruction]]))), "shared", "")</f>
        <v/>
      </c>
      <c r="U743" t="str">
        <f>IF(OR(ISNUMBER(SEARCH("LDC", Table6[[#This Row],[instruction]]))), "ind. const", "")</f>
        <v/>
      </c>
      <c r="V7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Row],[s5]]))),U743=""), "cmb. const", "")</f>
        <v/>
      </c>
      <c r="Y743">
        <f>IF(Table6[[#This Row],[pipeline]]="fma",Table6[[#This Row],[delay]],0)</f>
        <v>0</v>
      </c>
      <c r="Z743">
        <f>IF(AND(Table6[[#This Row],[pipeline]]="fma",W743="new"),290,0)</f>
        <v>0</v>
      </c>
      <c r="AK743" s="34"/>
    </row>
    <row r="744" spans="1:37" ht="17" x14ac:dyDescent="0.2">
      <c r="A744" s="31">
        <f>IF(Table6[[#This Row],[instruction]]&lt;&gt;"",MAX($A$6:A743)+1," ")</f>
        <v>739</v>
      </c>
      <c r="B744" s="32" t="s">
        <v>582</v>
      </c>
      <c r="C744" t="s">
        <v>28</v>
      </c>
      <c r="D744" s="31" t="s">
        <v>745</v>
      </c>
      <c r="E744" s="31" t="s">
        <v>684</v>
      </c>
      <c r="K744" s="2" t="str">
        <f t="shared" si="11"/>
        <v>global</v>
      </c>
      <c r="L744" cm="1">
        <f t="array" ref="L7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4" t="str">
        <f>IF(OR(ISNUMBER(SEARCH("imad", Table6[[#This Row],[instruction]])), ISNUMBER(SEARCH("ffma", Table6[[#This Row],[instruction]])), ISNUMBER(SEARCH("fmul", Table6[[#This Row],[instruction]]))), "fma", "")</f>
        <v/>
      </c>
      <c r="P7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4" t="str">
        <f>IF(OR(ISNUMBER(SEARCH("s2r", Table6[[#This Row],[instruction]])),ISNUMBER(SEARCH("s2ur", Table6[[#This Row],[instruction]]))), "special", "")</f>
        <v/>
      </c>
      <c r="S744" t="str">
        <f>IF(OR(ISNUMBER(SEARCH("stg", Table6[[#This Row],[instruction]])),ISNUMBER(SEARCH("ldg", Table6[[#This Row],[instruction]]))), "global", "")</f>
        <v>global</v>
      </c>
      <c r="T744" t="str">
        <f>IF(OR(ISNUMBER(SEARCH("sts", Table6[[#This Row],[instruction]])),ISNUMBER(SEARCH("lds", Table6[[#This Row],[instruction]]))), "shared", "")</f>
        <v/>
      </c>
      <c r="U744" t="str">
        <f>IF(OR(ISNUMBER(SEARCH("LDC", Table6[[#This Row],[instruction]]))), "ind. const", "")</f>
        <v/>
      </c>
      <c r="V7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Row],[s5]]))),U744=""), "cmb. const", "")</f>
        <v/>
      </c>
      <c r="Y744">
        <f>IF(Table6[[#This Row],[pipeline]]="fma",Table6[[#This Row],[delay]],0)</f>
        <v>0</v>
      </c>
      <c r="Z744">
        <f>IF(AND(Table6[[#This Row],[pipeline]]="fma",W744="new"),290,0)</f>
        <v>0</v>
      </c>
      <c r="AK744" s="34"/>
    </row>
    <row r="745" spans="1:37" ht="17" x14ac:dyDescent="0.2">
      <c r="A745" s="31">
        <f>IF(Table6[[#This Row],[instruction]]&lt;&gt;"",MAX($A$6:A744)+1," ")</f>
        <v>740</v>
      </c>
      <c r="B745" s="32" t="s">
        <v>86</v>
      </c>
      <c r="C745" t="s">
        <v>359</v>
      </c>
      <c r="D745" s="31" t="s">
        <v>747</v>
      </c>
      <c r="K745" s="2" t="str">
        <f t="shared" si="11"/>
        <v>cba</v>
      </c>
      <c r="L745" cm="1">
        <f t="array" ref="L7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5" t="str">
        <f>IF(OR(ISNUMBER(SEARCH("imad", Table6[[#This Row],[instruction]])), ISNUMBER(SEARCH("ffma", Table6[[#This Row],[instruction]])), ISNUMBER(SEARCH("fmul", Table6[[#This Row],[instruction]]))), "fma", "")</f>
        <v/>
      </c>
      <c r="P7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45" t="str">
        <f>IF(OR(ISNUMBER(SEARCH("s2r", Table6[[#This Row],[instruction]])),ISNUMBER(SEARCH("s2ur", Table6[[#This Row],[instruction]]))), "special", "")</f>
        <v/>
      </c>
      <c r="S745" t="str">
        <f>IF(OR(ISNUMBER(SEARCH("stg", Table6[[#This Row],[instruction]])),ISNUMBER(SEARCH("ldg", Table6[[#This Row],[instruction]]))), "global", "")</f>
        <v/>
      </c>
      <c r="T745" t="str">
        <f>IF(OR(ISNUMBER(SEARCH("sts", Table6[[#This Row],[instruction]])),ISNUMBER(SEARCH("lds", Table6[[#This Row],[instruction]]))), "shared", "")</f>
        <v/>
      </c>
      <c r="U745" t="str">
        <f>IF(OR(ISNUMBER(SEARCH("LDC", Table6[[#This Row],[instruction]]))), "ind. const", "")</f>
        <v/>
      </c>
      <c r="V7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Row],[s5]]))),U745=""), "cmb. const", "")</f>
        <v/>
      </c>
      <c r="Y745">
        <f>IF(Table6[[#This Row],[pipeline]]="fma",Table6[[#This Row],[delay]],0)</f>
        <v>0</v>
      </c>
      <c r="Z745">
        <f>IF(AND(Table6[[#This Row],[pipeline]]="fma",W745="new"),290,0)</f>
        <v>0</v>
      </c>
      <c r="AK745" s="34"/>
    </row>
    <row r="746" spans="1:37" ht="17" x14ac:dyDescent="0.2">
      <c r="A746" s="31">
        <f>IF(Table6[[#This Row],[instruction]]&lt;&gt;"",MAX($A$6:A745)+1," ")</f>
        <v>741</v>
      </c>
      <c r="B746" s="32" t="s">
        <v>485</v>
      </c>
      <c r="C746" t="s">
        <v>59</v>
      </c>
      <c r="D746" s="31" t="s">
        <v>23</v>
      </c>
      <c r="E746" s="31" t="s">
        <v>605</v>
      </c>
      <c r="F746" s="31" t="s">
        <v>743</v>
      </c>
      <c r="K746" s="2" t="str">
        <f t="shared" si="11"/>
        <v>fma</v>
      </c>
      <c r="L746" cm="1">
        <f t="array" ref="L7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46" t="str">
        <f>IF(OR(ISNUMBER(SEARCH("imad", Table6[[#This Row],[instruction]])), ISNUMBER(SEARCH("ffma", Table6[[#This Row],[instruction]])), ISNUMBER(SEARCH("fmul", Table6[[#This Row],[instruction]]))), "fma", "")</f>
        <v>fma</v>
      </c>
      <c r="P7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6" t="str">
        <f>IF(OR(ISNUMBER(SEARCH("s2r", Table6[[#This Row],[instruction]])),ISNUMBER(SEARCH("s2ur", Table6[[#This Row],[instruction]]))), "special", "")</f>
        <v/>
      </c>
      <c r="S746" t="str">
        <f>IF(OR(ISNUMBER(SEARCH("stg", Table6[[#This Row],[instruction]])),ISNUMBER(SEARCH("ldg", Table6[[#This Row],[instruction]]))), "global", "")</f>
        <v/>
      </c>
      <c r="T746" t="str">
        <f>IF(OR(ISNUMBER(SEARCH("sts", Table6[[#This Row],[instruction]])),ISNUMBER(SEARCH("lds", Table6[[#This Row],[instruction]]))), "shared", "")</f>
        <v/>
      </c>
      <c r="U746" t="str">
        <f>IF(OR(ISNUMBER(SEARCH("LDC", Table6[[#This Row],[instruction]]))), "ind. const", "")</f>
        <v/>
      </c>
      <c r="V7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Row],[s5]]))),U746=""), "cmb. const", "")</f>
        <v>cmb. const</v>
      </c>
      <c r="Y746">
        <f>IF(Table6[[#This Row],[pipeline]]="fma",Table6[[#This Row],[delay]],0)</f>
        <v>4</v>
      </c>
      <c r="Z746">
        <f>IF(AND(Table6[[#This Row],[pipeline]]="fma",W746="new"),290,0)</f>
        <v>0</v>
      </c>
      <c r="AK746" s="34"/>
    </row>
    <row r="747" spans="1:37" ht="17" x14ac:dyDescent="0.2">
      <c r="A747" s="31">
        <f>IF(Table6[[#This Row],[instruction]]&lt;&gt;"",MAX($A$6:A746)+1," ")</f>
        <v>742</v>
      </c>
      <c r="B747" s="32" t="s">
        <v>485</v>
      </c>
      <c r="C747" t="s">
        <v>28</v>
      </c>
      <c r="D747" s="31" t="s">
        <v>29</v>
      </c>
      <c r="E747" s="31" t="s">
        <v>514</v>
      </c>
      <c r="K747" s="2" t="str">
        <f t="shared" si="11"/>
        <v>global</v>
      </c>
      <c r="L747" cm="1">
        <f t="array" ref="L7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7" t="str">
        <f>IF(OR(ISNUMBER(SEARCH("imad", Table6[[#This Row],[instruction]])), ISNUMBER(SEARCH("ffma", Table6[[#This Row],[instruction]])), ISNUMBER(SEARCH("fmul", Table6[[#This Row],[instruction]]))), "fma", "")</f>
        <v/>
      </c>
      <c r="P7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7" t="str">
        <f>IF(OR(ISNUMBER(SEARCH("s2r", Table6[[#This Row],[instruction]])),ISNUMBER(SEARCH("s2ur", Table6[[#This Row],[instruction]]))), "special", "")</f>
        <v/>
      </c>
      <c r="S747" t="str">
        <f>IF(OR(ISNUMBER(SEARCH("stg", Table6[[#This Row],[instruction]])),ISNUMBER(SEARCH("ldg", Table6[[#This Row],[instruction]]))), "global", "")</f>
        <v>global</v>
      </c>
      <c r="T747" t="str">
        <f>IF(OR(ISNUMBER(SEARCH("sts", Table6[[#This Row],[instruction]])),ISNUMBER(SEARCH("lds", Table6[[#This Row],[instruction]]))), "shared", "")</f>
        <v/>
      </c>
      <c r="U747" t="str">
        <f>IF(OR(ISNUMBER(SEARCH("LDC", Table6[[#This Row],[instruction]]))), "ind. const", "")</f>
        <v/>
      </c>
      <c r="V7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Row],[s5]]))),U747=""), "cmb. const", "")</f>
        <v/>
      </c>
      <c r="Y747">
        <f>IF(Table6[[#This Row],[pipeline]]="fma",Table6[[#This Row],[delay]],0)</f>
        <v>0</v>
      </c>
      <c r="Z747">
        <f>IF(AND(Table6[[#This Row],[pipeline]]="fma",W747="new"),290,0)</f>
        <v>0</v>
      </c>
      <c r="AK747" s="34"/>
    </row>
    <row r="748" spans="1:37" ht="17" x14ac:dyDescent="0.2">
      <c r="A748" s="31">
        <f>IF(Table6[[#This Row],[instruction]]&lt;&gt;"",MAX($A$6:A747)+1," ")</f>
        <v>743</v>
      </c>
      <c r="B748" s="32" t="s">
        <v>485</v>
      </c>
      <c r="C748" t="s">
        <v>72</v>
      </c>
      <c r="D748" s="31" t="s">
        <v>552</v>
      </c>
      <c r="K748" s="2" t="str">
        <f t="shared" si="11"/>
        <v>cba</v>
      </c>
      <c r="L748" cm="1">
        <f t="array" ref="L7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48" t="str">
        <f>IF(OR(ISNUMBER(SEARCH("imad", Table6[[#This Row],[instruction]])), ISNUMBER(SEARCH("ffma", Table6[[#This Row],[instruction]])), ISNUMBER(SEARCH("fmul", Table6[[#This Row],[instruction]]))), "fma", "")</f>
        <v/>
      </c>
      <c r="P7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48" t="str">
        <f>IF(OR(ISNUMBER(SEARCH("s2r", Table6[[#This Row],[instruction]])),ISNUMBER(SEARCH("s2ur", Table6[[#This Row],[instruction]]))), "special", "")</f>
        <v/>
      </c>
      <c r="S748" t="str">
        <f>IF(OR(ISNUMBER(SEARCH("stg", Table6[[#This Row],[instruction]])),ISNUMBER(SEARCH("ldg", Table6[[#This Row],[instruction]]))), "global", "")</f>
        <v/>
      </c>
      <c r="T748" t="str">
        <f>IF(OR(ISNUMBER(SEARCH("sts", Table6[[#This Row],[instruction]])),ISNUMBER(SEARCH("lds", Table6[[#This Row],[instruction]]))), "shared", "")</f>
        <v/>
      </c>
      <c r="U748" t="str">
        <f>IF(OR(ISNUMBER(SEARCH("LDC", Table6[[#This Row],[instruction]]))), "ind. const", "")</f>
        <v/>
      </c>
      <c r="V7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Row],[s5]]))),U748=""), "cmb. const", "")</f>
        <v/>
      </c>
      <c r="Y748">
        <f>IF(Table6[[#This Row],[pipeline]]="fma",Table6[[#This Row],[delay]],0)</f>
        <v>0</v>
      </c>
      <c r="Z748">
        <f>IF(AND(Table6[[#This Row],[pipeline]]="fma",W748="new"),290,0)</f>
        <v>0</v>
      </c>
      <c r="AK748" s="34"/>
    </row>
    <row r="749" spans="1:37" ht="17" x14ac:dyDescent="0.2">
      <c r="A749" s="31">
        <f>IF(Table6[[#This Row],[instruction]]&lt;&gt;"",MAX($A$6:A748)+1," ")</f>
        <v>744</v>
      </c>
      <c r="B749" s="32" t="s">
        <v>485</v>
      </c>
      <c r="C749" t="s">
        <v>26</v>
      </c>
      <c r="D749" s="31" t="s">
        <v>23</v>
      </c>
      <c r="E749" s="31" t="s">
        <v>19</v>
      </c>
      <c r="F749" s="31" t="s">
        <v>79</v>
      </c>
      <c r="G749" s="31" t="s">
        <v>502</v>
      </c>
      <c r="K749" s="2" t="str">
        <f t="shared" si="11"/>
        <v>alu</v>
      </c>
      <c r="L749" cm="1">
        <f t="array" ref="L7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49" t="str">
        <f>IF(OR(ISNUMBER(SEARCH("imad", Table6[[#This Row],[instruction]])), ISNUMBER(SEARCH("ffma", Table6[[#This Row],[instruction]])), ISNUMBER(SEARCH("fmul", Table6[[#This Row],[instruction]]))), "fma", "")</f>
        <v/>
      </c>
      <c r="P7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49" t="str">
        <f>IF(OR(ISNUMBER(SEARCH("s2r", Table6[[#This Row],[instruction]])),ISNUMBER(SEARCH("s2ur", Table6[[#This Row],[instruction]]))), "special", "")</f>
        <v/>
      </c>
      <c r="S749" t="str">
        <f>IF(OR(ISNUMBER(SEARCH("stg", Table6[[#This Row],[instruction]])),ISNUMBER(SEARCH("ldg", Table6[[#This Row],[instruction]]))), "global", "")</f>
        <v/>
      </c>
      <c r="T749" t="str">
        <f>IF(OR(ISNUMBER(SEARCH("sts", Table6[[#This Row],[instruction]])),ISNUMBER(SEARCH("lds", Table6[[#This Row],[instruction]]))), "shared", "")</f>
        <v/>
      </c>
      <c r="U749" t="str">
        <f>IF(OR(ISNUMBER(SEARCH("LDC", Table6[[#This Row],[instruction]]))), "ind. const", "")</f>
        <v/>
      </c>
      <c r="V7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Row],[s5]]))),U749=""), "cmb. const", "")</f>
        <v/>
      </c>
      <c r="Y749">
        <f>IF(Table6[[#This Row],[pipeline]]="fma",Table6[[#This Row],[delay]],0)</f>
        <v>0</v>
      </c>
      <c r="Z749">
        <f>IF(AND(Table6[[#This Row],[pipeline]]="fma",W749="new"),290,0)</f>
        <v>0</v>
      </c>
      <c r="AK749" s="34"/>
    </row>
    <row r="750" spans="1:37" ht="17" x14ac:dyDescent="0.2">
      <c r="A750" s="31">
        <f>IF(Table6[[#This Row],[instruction]]&lt;&gt;"",MAX($A$6:A749)+1," ")</f>
        <v>745</v>
      </c>
      <c r="B750" s="32" t="s">
        <v>485</v>
      </c>
      <c r="C750" t="s">
        <v>67</v>
      </c>
      <c r="D750" s="31" t="s">
        <v>68</v>
      </c>
      <c r="E750" s="31" t="s">
        <v>751</v>
      </c>
      <c r="K750" s="2" t="str">
        <f t="shared" si="11"/>
        <v>cba</v>
      </c>
      <c r="L750" cm="1">
        <f t="array" ref="L7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50" t="str">
        <f>IF(OR(ISNUMBER(SEARCH("imad", Table6[[#This Row],[instruction]])), ISNUMBER(SEARCH("ffma", Table6[[#This Row],[instruction]])), ISNUMBER(SEARCH("fmul", Table6[[#This Row],[instruction]]))), "fma", "")</f>
        <v/>
      </c>
      <c r="P7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50" t="str">
        <f>IF(OR(ISNUMBER(SEARCH("s2r", Table6[[#This Row],[instruction]])),ISNUMBER(SEARCH("s2ur", Table6[[#This Row],[instruction]]))), "special", "")</f>
        <v/>
      </c>
      <c r="S750" t="str">
        <f>IF(OR(ISNUMBER(SEARCH("stg", Table6[[#This Row],[instruction]])),ISNUMBER(SEARCH("ldg", Table6[[#This Row],[instruction]]))), "global", "")</f>
        <v/>
      </c>
      <c r="T750" t="str">
        <f>IF(OR(ISNUMBER(SEARCH("sts", Table6[[#This Row],[instruction]])),ISNUMBER(SEARCH("lds", Table6[[#This Row],[instruction]]))), "shared", "")</f>
        <v/>
      </c>
      <c r="U750" t="str">
        <f>IF(OR(ISNUMBER(SEARCH("LDC", Table6[[#This Row],[instruction]]))), "ind. const", "")</f>
        <v/>
      </c>
      <c r="V7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Row],[s5]]))),U750=""), "cmb. const", "")</f>
        <v/>
      </c>
      <c r="Y750">
        <f>IF(Table6[[#This Row],[pipeline]]="fma",Table6[[#This Row],[delay]],0)</f>
        <v>0</v>
      </c>
      <c r="Z750">
        <f>IF(AND(Table6[[#This Row],[pipeline]]="fma",W750="new"),290,0)</f>
        <v>0</v>
      </c>
      <c r="AK750" s="34"/>
    </row>
    <row r="751" spans="1:37" ht="17" x14ac:dyDescent="0.2">
      <c r="A751" s="31">
        <f>IF(Table6[[#This Row],[instruction]]&lt;&gt;"",MAX($A$6:A750)+1," ")</f>
        <v>746</v>
      </c>
      <c r="B751" s="32" t="s">
        <v>485</v>
      </c>
      <c r="C751" t="s">
        <v>49</v>
      </c>
      <c r="D751" s="31" t="s">
        <v>50</v>
      </c>
      <c r="E751" s="31" t="s">
        <v>51</v>
      </c>
      <c r="F751" s="31" t="s">
        <v>23</v>
      </c>
      <c r="G751" s="31" t="s">
        <v>18</v>
      </c>
      <c r="H751" s="31" t="s">
        <v>494</v>
      </c>
      <c r="K751" s="2" t="str">
        <f t="shared" si="11"/>
        <v>alu</v>
      </c>
      <c r="L751" cm="1">
        <f t="array" ref="L7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1" t="str">
        <f>IF(OR(ISNUMBER(SEARCH("imad", Table6[[#This Row],[instruction]])), ISNUMBER(SEARCH("ffma", Table6[[#This Row],[instruction]])), ISNUMBER(SEARCH("fmul", Table6[[#This Row],[instruction]]))), "fma", "")</f>
        <v/>
      </c>
      <c r="P7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1" t="str">
        <f>IF(OR(ISNUMBER(SEARCH("s2r", Table6[[#This Row],[instruction]])),ISNUMBER(SEARCH("s2ur", Table6[[#This Row],[instruction]]))), "special", "")</f>
        <v/>
      </c>
      <c r="S751" t="str">
        <f>IF(OR(ISNUMBER(SEARCH("stg", Table6[[#This Row],[instruction]])),ISNUMBER(SEARCH("ldg", Table6[[#This Row],[instruction]]))), "global", "")</f>
        <v/>
      </c>
      <c r="T751" t="str">
        <f>IF(OR(ISNUMBER(SEARCH("sts", Table6[[#This Row],[instruction]])),ISNUMBER(SEARCH("lds", Table6[[#This Row],[instruction]]))), "shared", "")</f>
        <v/>
      </c>
      <c r="U751" t="str">
        <f>IF(OR(ISNUMBER(SEARCH("LDC", Table6[[#This Row],[instruction]]))), "ind. const", "")</f>
        <v/>
      </c>
      <c r="V7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Row],[s5]]))),U751=""), "cmb. const", "")</f>
        <v>cmb. const</v>
      </c>
      <c r="W751" s="2" t="s">
        <v>481</v>
      </c>
      <c r="Y751">
        <f>IF(Table6[[#This Row],[pipeline]]="fma",Table6[[#This Row],[delay]],0)</f>
        <v>0</v>
      </c>
      <c r="Z751">
        <f>IF(AND(Table6[[#This Row],[pipeline]]="fma",W751="new"),290,0)</f>
        <v>0</v>
      </c>
      <c r="AK751" s="34"/>
    </row>
    <row r="752" spans="1:37" ht="17" x14ac:dyDescent="0.2">
      <c r="A752" s="31">
        <f>IF(Table6[[#This Row],[instruction]]&lt;&gt;"",MAX($A$6:A751)+1," ")</f>
        <v>747</v>
      </c>
      <c r="B752" s="32" t="s">
        <v>86</v>
      </c>
      <c r="C752" t="s">
        <v>359</v>
      </c>
      <c r="D752" s="31" t="s">
        <v>752</v>
      </c>
      <c r="K752" s="2" t="str">
        <f t="shared" si="11"/>
        <v>cba</v>
      </c>
      <c r="L752" cm="1">
        <f t="array" ref="L7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52" t="str">
        <f>IF(OR(ISNUMBER(SEARCH("imad", Table6[[#This Row],[instruction]])), ISNUMBER(SEARCH("ffma", Table6[[#This Row],[instruction]])), ISNUMBER(SEARCH("fmul", Table6[[#This Row],[instruction]]))), "fma", "")</f>
        <v/>
      </c>
      <c r="P7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752" t="str">
        <f>IF(OR(ISNUMBER(SEARCH("s2r", Table6[[#This Row],[instruction]])),ISNUMBER(SEARCH("s2ur", Table6[[#This Row],[instruction]]))), "special", "")</f>
        <v/>
      </c>
      <c r="S752" t="str">
        <f>IF(OR(ISNUMBER(SEARCH("stg", Table6[[#This Row],[instruction]])),ISNUMBER(SEARCH("ldg", Table6[[#This Row],[instruction]]))), "global", "")</f>
        <v/>
      </c>
      <c r="T752" t="str">
        <f>IF(OR(ISNUMBER(SEARCH("sts", Table6[[#This Row],[instruction]])),ISNUMBER(SEARCH("lds", Table6[[#This Row],[instruction]]))), "shared", "")</f>
        <v/>
      </c>
      <c r="U752" t="str">
        <f>IF(OR(ISNUMBER(SEARCH("LDC", Table6[[#This Row],[instruction]]))), "ind. const", "")</f>
        <v/>
      </c>
      <c r="V7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Row],[s5]]))),U752=""), "cmb. const", "")</f>
        <v/>
      </c>
      <c r="Y752">
        <f>IF(Table6[[#This Row],[pipeline]]="fma",Table6[[#This Row],[delay]],0)</f>
        <v>0</v>
      </c>
      <c r="Z752">
        <f>IF(AND(Table6[[#This Row],[pipeline]]="fma",W752="new"),290,0)</f>
        <v>0</v>
      </c>
      <c r="AK752" s="34"/>
    </row>
    <row r="753" spans="1:37" ht="17" x14ac:dyDescent="0.2">
      <c r="A753" s="31">
        <f>IF(Table6[[#This Row],[instruction]]&lt;&gt;"",MAX($A$6:A752)+1," ")</f>
        <v>748</v>
      </c>
      <c r="B753" s="32" t="s">
        <v>485</v>
      </c>
      <c r="C753" t="s">
        <v>0</v>
      </c>
      <c r="D753" s="31" t="s">
        <v>4</v>
      </c>
      <c r="E753" s="31" t="s">
        <v>488</v>
      </c>
      <c r="K753" s="2" t="str">
        <f t="shared" si="11"/>
        <v/>
      </c>
      <c r="L753" cm="1">
        <f t="array" ref="L7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53" t="str">
        <f>IF(OR(ISNUMBER(SEARCH("imad", Table6[[#This Row],[instruction]])), ISNUMBER(SEARCH("ffma", Table6[[#This Row],[instruction]])), ISNUMBER(SEARCH("fmul", Table6[[#This Row],[instruction]]))), "fma", "")</f>
        <v/>
      </c>
      <c r="P7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3" t="str">
        <f>IF(OR(ISNUMBER(SEARCH("s2r", Table6[[#This Row],[instruction]])),ISNUMBER(SEARCH("s2ur", Table6[[#This Row],[instruction]]))), "special", "")</f>
        <v/>
      </c>
      <c r="S753" t="str">
        <f>IF(OR(ISNUMBER(SEARCH("stg", Table6[[#This Row],[instruction]])),ISNUMBER(SEARCH("ldg", Table6[[#This Row],[instruction]]))), "global", "")</f>
        <v/>
      </c>
      <c r="T753" t="str">
        <f>IF(OR(ISNUMBER(SEARCH("sts", Table6[[#This Row],[instruction]])),ISNUMBER(SEARCH("lds", Table6[[#This Row],[instruction]]))), "shared", "")</f>
        <v/>
      </c>
      <c r="U753" t="str">
        <f>IF(OR(ISNUMBER(SEARCH("LDC", Table6[[#This Row],[instruction]]))), "ind. const", "")</f>
        <v/>
      </c>
      <c r="V7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Row],[s5]]))),U753=""), "cmb. const", "")</f>
        <v>cmb. const</v>
      </c>
      <c r="W753" s="2" t="s">
        <v>481</v>
      </c>
      <c r="Y753">
        <f>IF(Table6[[#This Row],[pipeline]]="fma",Table6[[#This Row],[delay]],0)</f>
        <v>0</v>
      </c>
      <c r="Z753">
        <f>IF(AND(Table6[[#This Row],[pipeline]]="fma",W753="new"),290,0)</f>
        <v>0</v>
      </c>
      <c r="AK753" s="34"/>
    </row>
    <row r="754" spans="1:37" ht="17" x14ac:dyDescent="0.2">
      <c r="A754" s="31">
        <f>IF(Table6[[#This Row],[instruction]]&lt;&gt;"",MAX($A$6:A753)+1," ")</f>
        <v>749</v>
      </c>
      <c r="B754" s="32" t="s">
        <v>485</v>
      </c>
      <c r="C754" t="s">
        <v>45</v>
      </c>
      <c r="D754" s="31" t="s">
        <v>27</v>
      </c>
      <c r="E754" s="31" t="s">
        <v>8</v>
      </c>
      <c r="F754" s="31" t="s">
        <v>8</v>
      </c>
      <c r="G754" s="31" t="s">
        <v>732</v>
      </c>
      <c r="K754" s="2" t="str">
        <f t="shared" si="11"/>
        <v>fma</v>
      </c>
      <c r="L754" cm="1">
        <f t="array" ref="L7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4" t="str">
        <f>IF(OR(ISNUMBER(SEARCH("imad", Table6[[#This Row],[instruction]])), ISNUMBER(SEARCH("ffma", Table6[[#This Row],[instruction]])), ISNUMBER(SEARCH("fmul", Table6[[#This Row],[instruction]]))), "fma", "")</f>
        <v>fma</v>
      </c>
      <c r="P7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4" t="str">
        <f>IF(OR(ISNUMBER(SEARCH("s2r", Table6[[#This Row],[instruction]])),ISNUMBER(SEARCH("s2ur", Table6[[#This Row],[instruction]]))), "special", "")</f>
        <v/>
      </c>
      <c r="S754" t="str">
        <f>IF(OR(ISNUMBER(SEARCH("stg", Table6[[#This Row],[instruction]])),ISNUMBER(SEARCH("ldg", Table6[[#This Row],[instruction]]))), "global", "")</f>
        <v/>
      </c>
      <c r="T754" t="str">
        <f>IF(OR(ISNUMBER(SEARCH("sts", Table6[[#This Row],[instruction]])),ISNUMBER(SEARCH("lds", Table6[[#This Row],[instruction]]))), "shared", "")</f>
        <v/>
      </c>
      <c r="U754" t="str">
        <f>IF(OR(ISNUMBER(SEARCH("LDC", Table6[[#This Row],[instruction]]))), "ind. const", "")</f>
        <v/>
      </c>
      <c r="V7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Row],[s5]]))),U754=""), "cmb. const", "")</f>
        <v>cmb. const</v>
      </c>
      <c r="W754" s="2" t="s">
        <v>481</v>
      </c>
      <c r="Y754">
        <f>IF(Table6[[#This Row],[pipeline]]="fma",Table6[[#This Row],[delay]],0)</f>
        <v>4</v>
      </c>
      <c r="Z754">
        <f>IF(AND(Table6[[#This Row],[pipeline]]="fma",W754="new"),290,0)</f>
        <v>0</v>
      </c>
      <c r="AK754" s="34"/>
    </row>
    <row r="755" spans="1:37" ht="17" x14ac:dyDescent="0.2">
      <c r="A755" s="31">
        <f>IF(Table6[[#This Row],[instruction]]&lt;&gt;"",MAX($A$6:A754)+1," ")</f>
        <v>750</v>
      </c>
      <c r="B755" s="32" t="s">
        <v>485</v>
      </c>
      <c r="C755" t="s">
        <v>0</v>
      </c>
      <c r="D755" s="31" t="s">
        <v>58</v>
      </c>
      <c r="E755" s="31" t="s">
        <v>490</v>
      </c>
      <c r="K755" s="2" t="str">
        <f t="shared" si="11"/>
        <v/>
      </c>
      <c r="L755" cm="1">
        <f t="array" ref="L7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55" t="str">
        <f>IF(OR(ISNUMBER(SEARCH("imad", Table6[[#This Row],[instruction]])), ISNUMBER(SEARCH("ffma", Table6[[#This Row],[instruction]])), ISNUMBER(SEARCH("fmul", Table6[[#This Row],[instruction]]))), "fma", "")</f>
        <v/>
      </c>
      <c r="P7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5" t="str">
        <f>IF(OR(ISNUMBER(SEARCH("s2r", Table6[[#This Row],[instruction]])),ISNUMBER(SEARCH("s2ur", Table6[[#This Row],[instruction]]))), "special", "")</f>
        <v/>
      </c>
      <c r="S755" t="str">
        <f>IF(OR(ISNUMBER(SEARCH("stg", Table6[[#This Row],[instruction]])),ISNUMBER(SEARCH("ldg", Table6[[#This Row],[instruction]]))), "global", "")</f>
        <v/>
      </c>
      <c r="T755" t="str">
        <f>IF(OR(ISNUMBER(SEARCH("sts", Table6[[#This Row],[instruction]])),ISNUMBER(SEARCH("lds", Table6[[#This Row],[instruction]]))), "shared", "")</f>
        <v/>
      </c>
      <c r="U755" t="str">
        <f>IF(OR(ISNUMBER(SEARCH("LDC", Table6[[#This Row],[instruction]]))), "ind. const", "")</f>
        <v/>
      </c>
      <c r="V7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Row],[s5]]))),U755=""), "cmb. const", "")</f>
        <v>cmb. const</v>
      </c>
      <c r="W755" s="2" t="s">
        <v>481</v>
      </c>
      <c r="Y755">
        <f>IF(Table6[[#This Row],[pipeline]]="fma",Table6[[#This Row],[delay]],0)</f>
        <v>0</v>
      </c>
      <c r="Z755">
        <f>IF(AND(Table6[[#This Row],[pipeline]]="fma",W755="new"),290,0)</f>
        <v>0</v>
      </c>
      <c r="AK755" s="34"/>
    </row>
    <row r="756" spans="1:37" ht="17" x14ac:dyDescent="0.2">
      <c r="A756" s="31">
        <f>IF(Table6[[#This Row],[instruction]]&lt;&gt;"",MAX($A$6:A755)+1," ")</f>
        <v>751</v>
      </c>
      <c r="B756" s="32" t="s">
        <v>485</v>
      </c>
      <c r="C756" t="s">
        <v>14</v>
      </c>
      <c r="D756" s="31" t="s">
        <v>84</v>
      </c>
      <c r="E756" s="31" t="s">
        <v>46</v>
      </c>
      <c r="F756" s="31" t="s">
        <v>731</v>
      </c>
      <c r="G756" s="31" t="s">
        <v>502</v>
      </c>
      <c r="K756" s="2" t="str">
        <f t="shared" si="11"/>
        <v>fma</v>
      </c>
      <c r="L756" cm="1">
        <f t="array" ref="L7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6" t="str">
        <f>IF(OR(ISNUMBER(SEARCH("imad", Table6[[#This Row],[instruction]])), ISNUMBER(SEARCH("ffma", Table6[[#This Row],[instruction]])), ISNUMBER(SEARCH("fmul", Table6[[#This Row],[instruction]]))), "fma", "")</f>
        <v>fma</v>
      </c>
      <c r="P7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6" t="str">
        <f>IF(OR(ISNUMBER(SEARCH("s2r", Table6[[#This Row],[instruction]])),ISNUMBER(SEARCH("s2ur", Table6[[#This Row],[instruction]]))), "special", "")</f>
        <v/>
      </c>
      <c r="S756" t="str">
        <f>IF(OR(ISNUMBER(SEARCH("stg", Table6[[#This Row],[instruction]])),ISNUMBER(SEARCH("ldg", Table6[[#This Row],[instruction]]))), "global", "")</f>
        <v/>
      </c>
      <c r="T756" t="str">
        <f>IF(OR(ISNUMBER(SEARCH("sts", Table6[[#This Row],[instruction]])),ISNUMBER(SEARCH("lds", Table6[[#This Row],[instruction]]))), "shared", "")</f>
        <v/>
      </c>
      <c r="U756" t="str">
        <f>IF(OR(ISNUMBER(SEARCH("LDC", Table6[[#This Row],[instruction]]))), "ind. const", "")</f>
        <v/>
      </c>
      <c r="V7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Row],[s5]]))),U756=""), "cmb. const", "")</f>
        <v>cmb. const</v>
      </c>
      <c r="W756" s="2" t="s">
        <v>481</v>
      </c>
      <c r="Y756">
        <f>IF(Table6[[#This Row],[pipeline]]="fma",Table6[[#This Row],[delay]],0)</f>
        <v>4</v>
      </c>
      <c r="Z756">
        <f>IF(AND(Table6[[#This Row],[pipeline]]="fma",W756="new"),290,0)</f>
        <v>0</v>
      </c>
      <c r="AK756" s="34"/>
    </row>
    <row r="757" spans="1:37" ht="17" x14ac:dyDescent="0.2">
      <c r="A757" s="31">
        <f>IF(Table6[[#This Row],[instruction]]&lt;&gt;"",MAX($A$6:A756)+1," ")</f>
        <v>752</v>
      </c>
      <c r="B757" s="32" t="s">
        <v>485</v>
      </c>
      <c r="C757" t="s">
        <v>463</v>
      </c>
      <c r="D757" s="31" t="s">
        <v>50</v>
      </c>
      <c r="E757" s="31" t="s">
        <v>51</v>
      </c>
      <c r="F757" s="31" t="s">
        <v>4</v>
      </c>
      <c r="G757" s="31" t="s">
        <v>75</v>
      </c>
      <c r="H757" s="31" t="s">
        <v>494</v>
      </c>
      <c r="K757" s="2" t="str">
        <f t="shared" si="11"/>
        <v>alu</v>
      </c>
      <c r="L757" cm="1">
        <f t="array" ref="L7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7" t="str">
        <f>IF(OR(ISNUMBER(SEARCH("imad", Table6[[#This Row],[instruction]])), ISNUMBER(SEARCH("ffma", Table6[[#This Row],[instruction]])), ISNUMBER(SEARCH("fmul", Table6[[#This Row],[instruction]]))), "fma", "")</f>
        <v/>
      </c>
      <c r="P7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7" t="str">
        <f>IF(OR(ISNUMBER(SEARCH("s2r", Table6[[#This Row],[instruction]])),ISNUMBER(SEARCH("s2ur", Table6[[#This Row],[instruction]]))), "special", "")</f>
        <v/>
      </c>
      <c r="S757" t="str">
        <f>IF(OR(ISNUMBER(SEARCH("stg", Table6[[#This Row],[instruction]])),ISNUMBER(SEARCH("ldg", Table6[[#This Row],[instruction]]))), "global", "")</f>
        <v/>
      </c>
      <c r="T757" t="str">
        <f>IF(OR(ISNUMBER(SEARCH("sts", Table6[[#This Row],[instruction]])),ISNUMBER(SEARCH("lds", Table6[[#This Row],[instruction]]))), "shared", "")</f>
        <v/>
      </c>
      <c r="U757" t="str">
        <f>IF(OR(ISNUMBER(SEARCH("LDC", Table6[[#This Row],[instruction]]))), "ind. const", "")</f>
        <v/>
      </c>
      <c r="V7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Row],[s5]]))),U757=""), "cmb. const", "")</f>
        <v/>
      </c>
      <c r="Y757">
        <f>IF(Table6[[#This Row],[pipeline]]="fma",Table6[[#This Row],[delay]],0)</f>
        <v>0</v>
      </c>
      <c r="Z757">
        <f>IF(AND(Table6[[#This Row],[pipeline]]="fma",W757="new"),290,0)</f>
        <v>0</v>
      </c>
      <c r="AK757" s="34"/>
    </row>
    <row r="758" spans="1:37" ht="17" x14ac:dyDescent="0.2">
      <c r="A758" s="31">
        <f>IF(Table6[[#This Row],[instruction]]&lt;&gt;"",MAX($A$6:A757)+1," ")</f>
        <v>753</v>
      </c>
      <c r="B758" s="32" t="s">
        <v>485</v>
      </c>
      <c r="C758" t="s">
        <v>45</v>
      </c>
      <c r="D758" s="31" t="s">
        <v>4</v>
      </c>
      <c r="E758" s="31" t="s">
        <v>8</v>
      </c>
      <c r="F758" s="31" t="s">
        <v>8</v>
      </c>
      <c r="G758" s="31" t="s">
        <v>514</v>
      </c>
      <c r="K758" s="2" t="str">
        <f t="shared" si="11"/>
        <v>fma</v>
      </c>
      <c r="L758" cm="1">
        <f t="array" ref="L7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8" t="str">
        <f>IF(OR(ISNUMBER(SEARCH("imad", Table6[[#This Row],[instruction]])), ISNUMBER(SEARCH("ffma", Table6[[#This Row],[instruction]])), ISNUMBER(SEARCH("fmul", Table6[[#This Row],[instruction]]))), "fma", "")</f>
        <v>fma</v>
      </c>
      <c r="P7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8" t="str">
        <f>IF(OR(ISNUMBER(SEARCH("s2r", Table6[[#This Row],[instruction]])),ISNUMBER(SEARCH("s2ur", Table6[[#This Row],[instruction]]))), "special", "")</f>
        <v/>
      </c>
      <c r="S758" t="str">
        <f>IF(OR(ISNUMBER(SEARCH("stg", Table6[[#This Row],[instruction]])),ISNUMBER(SEARCH("ldg", Table6[[#This Row],[instruction]]))), "global", "")</f>
        <v/>
      </c>
      <c r="T758" t="str">
        <f>IF(OR(ISNUMBER(SEARCH("sts", Table6[[#This Row],[instruction]])),ISNUMBER(SEARCH("lds", Table6[[#This Row],[instruction]]))), "shared", "")</f>
        <v/>
      </c>
      <c r="U758" t="str">
        <f>IF(OR(ISNUMBER(SEARCH("LDC", Table6[[#This Row],[instruction]]))), "ind. const", "")</f>
        <v/>
      </c>
      <c r="V7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Row],[s5]]))),U758=""), "cmb. const", "")</f>
        <v/>
      </c>
      <c r="Y758">
        <f>IF(Table6[[#This Row],[pipeline]]="fma",Table6[[#This Row],[delay]],0)</f>
        <v>4</v>
      </c>
      <c r="Z758">
        <f>IF(AND(Table6[[#This Row],[pipeline]]="fma",W758="new"),290,0)</f>
        <v>0</v>
      </c>
      <c r="AK758" s="34"/>
    </row>
    <row r="759" spans="1:37" ht="17" x14ac:dyDescent="0.2">
      <c r="A759" s="31">
        <f>IF(Table6[[#This Row],[instruction]]&lt;&gt;"",MAX($A$6:A758)+1," ")</f>
        <v>754</v>
      </c>
      <c r="B759" s="32" t="s">
        <v>485</v>
      </c>
      <c r="C759" t="s">
        <v>463</v>
      </c>
      <c r="D759" s="31" t="s">
        <v>78</v>
      </c>
      <c r="E759" s="31" t="s">
        <v>51</v>
      </c>
      <c r="F759" s="31" t="s">
        <v>58</v>
      </c>
      <c r="G759" s="31" t="s">
        <v>75</v>
      </c>
      <c r="H759" s="31" t="s">
        <v>494</v>
      </c>
      <c r="K759" s="2" t="str">
        <f t="shared" si="11"/>
        <v>alu</v>
      </c>
      <c r="L759" cm="1">
        <f t="array" ref="L7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59" t="str">
        <f>IF(OR(ISNUMBER(SEARCH("imad", Table6[[#This Row],[instruction]])), ISNUMBER(SEARCH("ffma", Table6[[#This Row],[instruction]])), ISNUMBER(SEARCH("fmul", Table6[[#This Row],[instruction]]))), "fma", "")</f>
        <v/>
      </c>
      <c r="P7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59" t="str">
        <f>IF(OR(ISNUMBER(SEARCH("s2r", Table6[[#This Row],[instruction]])),ISNUMBER(SEARCH("s2ur", Table6[[#This Row],[instruction]]))), "special", "")</f>
        <v/>
      </c>
      <c r="S759" t="str">
        <f>IF(OR(ISNUMBER(SEARCH("stg", Table6[[#This Row],[instruction]])),ISNUMBER(SEARCH("ldg", Table6[[#This Row],[instruction]]))), "global", "")</f>
        <v/>
      </c>
      <c r="T759" t="str">
        <f>IF(OR(ISNUMBER(SEARCH("sts", Table6[[#This Row],[instruction]])),ISNUMBER(SEARCH("lds", Table6[[#This Row],[instruction]]))), "shared", "")</f>
        <v/>
      </c>
      <c r="U759" t="str">
        <f>IF(OR(ISNUMBER(SEARCH("LDC", Table6[[#This Row],[instruction]]))), "ind. const", "")</f>
        <v/>
      </c>
      <c r="V7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Row],[s5]]))),U759=""), "cmb. const", "")</f>
        <v/>
      </c>
      <c r="Y759">
        <f>IF(Table6[[#This Row],[pipeline]]="fma",Table6[[#This Row],[delay]],0)</f>
        <v>0</v>
      </c>
      <c r="Z759">
        <f>IF(AND(Table6[[#This Row],[pipeline]]="fma",W759="new"),290,0)</f>
        <v>0</v>
      </c>
      <c r="AK759" s="34"/>
    </row>
    <row r="760" spans="1:37" ht="17" x14ac:dyDescent="0.2">
      <c r="A760" s="31">
        <f>IF(Table6[[#This Row],[instruction]]&lt;&gt;"",MAX($A$6:A759)+1," ")</f>
        <v>755</v>
      </c>
      <c r="B760" s="32" t="s">
        <v>485</v>
      </c>
      <c r="C760" t="s">
        <v>26</v>
      </c>
      <c r="D760" s="31" t="s">
        <v>447</v>
      </c>
      <c r="E760" s="31" t="s">
        <v>46</v>
      </c>
      <c r="F760" s="31" t="s">
        <v>459</v>
      </c>
      <c r="G760" s="31" t="s">
        <v>502</v>
      </c>
      <c r="K760" s="2" t="str">
        <f t="shared" si="11"/>
        <v>alu</v>
      </c>
      <c r="L760" cm="1">
        <f t="array" ref="L7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60" t="str">
        <f>IF(OR(ISNUMBER(SEARCH("imad", Table6[[#This Row],[instruction]])), ISNUMBER(SEARCH("ffma", Table6[[#This Row],[instruction]])), ISNUMBER(SEARCH("fmul", Table6[[#This Row],[instruction]]))), "fma", "")</f>
        <v/>
      </c>
      <c r="P7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0" t="str">
        <f>IF(OR(ISNUMBER(SEARCH("s2r", Table6[[#This Row],[instruction]])),ISNUMBER(SEARCH("s2ur", Table6[[#This Row],[instruction]]))), "special", "")</f>
        <v/>
      </c>
      <c r="S760" t="str">
        <f>IF(OR(ISNUMBER(SEARCH("stg", Table6[[#This Row],[instruction]])),ISNUMBER(SEARCH("ldg", Table6[[#This Row],[instruction]]))), "global", "")</f>
        <v/>
      </c>
      <c r="T760" t="str">
        <f>IF(OR(ISNUMBER(SEARCH("sts", Table6[[#This Row],[instruction]])),ISNUMBER(SEARCH("lds", Table6[[#This Row],[instruction]]))), "shared", "")</f>
        <v/>
      </c>
      <c r="U760" t="str">
        <f>IF(OR(ISNUMBER(SEARCH("LDC", Table6[[#This Row],[instruction]]))), "ind. const", "")</f>
        <v/>
      </c>
      <c r="V7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Row],[s5]]))),U760=""), "cmb. const", "")</f>
        <v/>
      </c>
      <c r="Y760">
        <f>IF(Table6[[#This Row],[pipeline]]="fma",Table6[[#This Row],[delay]],0)</f>
        <v>0</v>
      </c>
      <c r="Z760">
        <f>IF(AND(Table6[[#This Row],[pipeline]]="fma",W760="new"),290,0)</f>
        <v>0</v>
      </c>
      <c r="AK760" s="34"/>
    </row>
    <row r="761" spans="1:37" ht="17" x14ac:dyDescent="0.2">
      <c r="A761" s="31">
        <f>IF(Table6[[#This Row],[instruction]]&lt;&gt;"",MAX($A$6:A760)+1," ")</f>
        <v>756</v>
      </c>
      <c r="B761" s="32" t="s">
        <v>485</v>
      </c>
      <c r="C761" t="s">
        <v>26</v>
      </c>
      <c r="D761" s="31" t="s">
        <v>651</v>
      </c>
      <c r="E761" s="31" t="s">
        <v>46</v>
      </c>
      <c r="F761" s="31" t="s">
        <v>75</v>
      </c>
      <c r="G761" s="31" t="s">
        <v>502</v>
      </c>
      <c r="K761" s="2" t="str">
        <f t="shared" si="11"/>
        <v>alu</v>
      </c>
      <c r="L761" cm="1">
        <f t="array" ref="L7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61" t="str">
        <f>IF(OR(ISNUMBER(SEARCH("imad", Table6[[#This Row],[instruction]])), ISNUMBER(SEARCH("ffma", Table6[[#This Row],[instruction]])), ISNUMBER(SEARCH("fmul", Table6[[#This Row],[instruction]]))), "fma", "")</f>
        <v/>
      </c>
      <c r="P7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1" t="str">
        <f>IF(OR(ISNUMBER(SEARCH("s2r", Table6[[#This Row],[instruction]])),ISNUMBER(SEARCH("s2ur", Table6[[#This Row],[instruction]]))), "special", "")</f>
        <v/>
      </c>
      <c r="S761" t="str">
        <f>IF(OR(ISNUMBER(SEARCH("stg", Table6[[#This Row],[instruction]])),ISNUMBER(SEARCH("ldg", Table6[[#This Row],[instruction]]))), "global", "")</f>
        <v/>
      </c>
      <c r="T761" t="str">
        <f>IF(OR(ISNUMBER(SEARCH("sts", Table6[[#This Row],[instruction]])),ISNUMBER(SEARCH("lds", Table6[[#This Row],[instruction]]))), "shared", "")</f>
        <v/>
      </c>
      <c r="U761" t="str">
        <f>IF(OR(ISNUMBER(SEARCH("LDC", Table6[[#This Row],[instruction]]))), "ind. const", "")</f>
        <v/>
      </c>
      <c r="V7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Row],[s5]]))),U761=""), "cmb. const", "")</f>
        <v/>
      </c>
      <c r="Y761">
        <f>IF(Table6[[#This Row],[pipeline]]="fma",Table6[[#This Row],[delay]],0)</f>
        <v>0</v>
      </c>
      <c r="Z761">
        <f>IF(AND(Table6[[#This Row],[pipeline]]="fma",W761="new"),290,0)</f>
        <v>0</v>
      </c>
      <c r="AK761" s="34"/>
    </row>
    <row r="762" spans="1:37" ht="17" x14ac:dyDescent="0.2">
      <c r="A762" s="31">
        <f>IF(Table6[[#This Row],[instruction]]&lt;&gt;"",MAX($A$6:A761)+1," ")</f>
        <v>757</v>
      </c>
      <c r="B762" s="32" t="s">
        <v>485</v>
      </c>
      <c r="C762" t="s">
        <v>26</v>
      </c>
      <c r="D762" s="31" t="s">
        <v>567</v>
      </c>
      <c r="E762" s="31" t="s">
        <v>46</v>
      </c>
      <c r="F762" s="31" t="s">
        <v>79</v>
      </c>
      <c r="G762" s="31" t="s">
        <v>502</v>
      </c>
      <c r="K762" s="2" t="str">
        <f t="shared" si="11"/>
        <v>alu</v>
      </c>
      <c r="L762" cm="1">
        <f t="array" ref="L7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62" t="str">
        <f>IF(OR(ISNUMBER(SEARCH("imad", Table6[[#This Row],[instruction]])), ISNUMBER(SEARCH("ffma", Table6[[#This Row],[instruction]])), ISNUMBER(SEARCH("fmul", Table6[[#This Row],[instruction]]))), "fma", "")</f>
        <v/>
      </c>
      <c r="P7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2" t="str">
        <f>IF(OR(ISNUMBER(SEARCH("s2r", Table6[[#This Row],[instruction]])),ISNUMBER(SEARCH("s2ur", Table6[[#This Row],[instruction]]))), "special", "")</f>
        <v/>
      </c>
      <c r="S762" t="str">
        <f>IF(OR(ISNUMBER(SEARCH("stg", Table6[[#This Row],[instruction]])),ISNUMBER(SEARCH("ldg", Table6[[#This Row],[instruction]]))), "global", "")</f>
        <v/>
      </c>
      <c r="T762" t="str">
        <f>IF(OR(ISNUMBER(SEARCH("sts", Table6[[#This Row],[instruction]])),ISNUMBER(SEARCH("lds", Table6[[#This Row],[instruction]]))), "shared", "")</f>
        <v/>
      </c>
      <c r="U762" t="str">
        <f>IF(OR(ISNUMBER(SEARCH("LDC", Table6[[#This Row],[instruction]]))), "ind. const", "")</f>
        <v/>
      </c>
      <c r="V7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Row],[s5]]))),U762=""), "cmb. const", "")</f>
        <v/>
      </c>
      <c r="Y762">
        <f>IF(Table6[[#This Row],[pipeline]]="fma",Table6[[#This Row],[delay]],0)</f>
        <v>0</v>
      </c>
      <c r="Z762">
        <f>IF(AND(Table6[[#This Row],[pipeline]]="fma",W762="new"),290,0)</f>
        <v>0</v>
      </c>
      <c r="AK762" s="34"/>
    </row>
    <row r="763" spans="1:37" ht="17" x14ac:dyDescent="0.2">
      <c r="A763" s="31">
        <f>IF(Table6[[#This Row],[instruction]]&lt;&gt;"",MAX($A$6:A762)+1," ")</f>
        <v>758</v>
      </c>
      <c r="B763" s="32" t="s">
        <v>485</v>
      </c>
      <c r="C763" t="s">
        <v>14</v>
      </c>
      <c r="D763" s="31" t="s">
        <v>82</v>
      </c>
      <c r="E763" s="31" t="s">
        <v>447</v>
      </c>
      <c r="F763" s="31" t="s">
        <v>731</v>
      </c>
      <c r="G763" s="31" t="s">
        <v>502</v>
      </c>
      <c r="K763" s="2" t="str">
        <f t="shared" si="11"/>
        <v>fma</v>
      </c>
      <c r="L763" cm="1">
        <f t="array" ref="L7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3" t="str">
        <f>IF(OR(ISNUMBER(SEARCH("imad", Table6[[#This Row],[instruction]])), ISNUMBER(SEARCH("ffma", Table6[[#This Row],[instruction]])), ISNUMBER(SEARCH("fmul", Table6[[#This Row],[instruction]]))), "fma", "")</f>
        <v>fma</v>
      </c>
      <c r="P7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3" t="str">
        <f>IF(OR(ISNUMBER(SEARCH("s2r", Table6[[#This Row],[instruction]])),ISNUMBER(SEARCH("s2ur", Table6[[#This Row],[instruction]]))), "special", "")</f>
        <v/>
      </c>
      <c r="S763" t="str">
        <f>IF(OR(ISNUMBER(SEARCH("stg", Table6[[#This Row],[instruction]])),ISNUMBER(SEARCH("ldg", Table6[[#This Row],[instruction]]))), "global", "")</f>
        <v/>
      </c>
      <c r="T763" t="str">
        <f>IF(OR(ISNUMBER(SEARCH("sts", Table6[[#This Row],[instruction]])),ISNUMBER(SEARCH("lds", Table6[[#This Row],[instruction]]))), "shared", "")</f>
        <v/>
      </c>
      <c r="U763" t="str">
        <f>IF(OR(ISNUMBER(SEARCH("LDC", Table6[[#This Row],[instruction]]))), "ind. const", "")</f>
        <v/>
      </c>
      <c r="V7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Row],[s5]]))),U763=""), "cmb. const", "")</f>
        <v>cmb. const</v>
      </c>
      <c r="W763" s="2" t="s">
        <v>481</v>
      </c>
      <c r="Y763">
        <f>IF(Table6[[#This Row],[pipeline]]="fma",Table6[[#This Row],[delay]],0)</f>
        <v>4</v>
      </c>
      <c r="Z763">
        <f>IF(AND(Table6[[#This Row],[pipeline]]="fma",W763="new"),290,0)</f>
        <v>0</v>
      </c>
      <c r="AK763" s="34"/>
    </row>
    <row r="764" spans="1:37" ht="17" x14ac:dyDescent="0.2">
      <c r="A764" s="31">
        <f>IF(Table6[[#This Row],[instruction]]&lt;&gt;"",MAX($A$6:A763)+1," ")</f>
        <v>759</v>
      </c>
      <c r="B764" s="32" t="s">
        <v>485</v>
      </c>
      <c r="C764" t="s">
        <v>14</v>
      </c>
      <c r="D764" s="31" t="s">
        <v>61</v>
      </c>
      <c r="E764" s="31" t="s">
        <v>651</v>
      </c>
      <c r="F764" s="31" t="s">
        <v>731</v>
      </c>
      <c r="G764" s="31" t="s">
        <v>502</v>
      </c>
      <c r="K764" s="2" t="str">
        <f t="shared" si="11"/>
        <v>fma</v>
      </c>
      <c r="L764" cm="1">
        <f t="array" ref="L7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4" t="str">
        <f>IF(OR(ISNUMBER(SEARCH("imad", Table6[[#This Row],[instruction]])), ISNUMBER(SEARCH("ffma", Table6[[#This Row],[instruction]])), ISNUMBER(SEARCH("fmul", Table6[[#This Row],[instruction]]))), "fma", "")</f>
        <v>fma</v>
      </c>
      <c r="P7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4" t="str">
        <f>IF(OR(ISNUMBER(SEARCH("s2r", Table6[[#This Row],[instruction]])),ISNUMBER(SEARCH("s2ur", Table6[[#This Row],[instruction]]))), "special", "")</f>
        <v/>
      </c>
      <c r="S764" t="str">
        <f>IF(OR(ISNUMBER(SEARCH("stg", Table6[[#This Row],[instruction]])),ISNUMBER(SEARCH("ldg", Table6[[#This Row],[instruction]]))), "global", "")</f>
        <v/>
      </c>
      <c r="T764" t="str">
        <f>IF(OR(ISNUMBER(SEARCH("sts", Table6[[#This Row],[instruction]])),ISNUMBER(SEARCH("lds", Table6[[#This Row],[instruction]]))), "shared", "")</f>
        <v/>
      </c>
      <c r="U764" t="str">
        <f>IF(OR(ISNUMBER(SEARCH("LDC", Table6[[#This Row],[instruction]]))), "ind. const", "")</f>
        <v/>
      </c>
      <c r="V7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Row],[s5]]))),U764=""), "cmb. const", "")</f>
        <v>cmb. const</v>
      </c>
      <c r="W764" s="2" t="s">
        <v>481</v>
      </c>
      <c r="Y764">
        <f>IF(Table6[[#This Row],[pipeline]]="fma",Table6[[#This Row],[delay]],0)</f>
        <v>4</v>
      </c>
      <c r="Z764">
        <f>IF(AND(Table6[[#This Row],[pipeline]]="fma",W764="new"),290,0)</f>
        <v>0</v>
      </c>
      <c r="AK764" s="34"/>
    </row>
    <row r="765" spans="1:37" ht="17" x14ac:dyDescent="0.2">
      <c r="A765" s="31">
        <f>IF(Table6[[#This Row],[instruction]]&lt;&gt;"",MAX($A$6:A764)+1," ")</f>
        <v>760</v>
      </c>
      <c r="B765" s="32" t="s">
        <v>86</v>
      </c>
      <c r="C765" t="s">
        <v>509</v>
      </c>
      <c r="D765" s="31" t="s">
        <v>7</v>
      </c>
      <c r="E765" s="31" t="s">
        <v>23</v>
      </c>
      <c r="F765" s="31" t="s">
        <v>510</v>
      </c>
      <c r="G765" s="31" t="s">
        <v>502</v>
      </c>
      <c r="K765" s="2" t="str">
        <f t="shared" si="11"/>
        <v>fma</v>
      </c>
      <c r="L765" cm="1">
        <f t="array" ref="L7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5" t="str">
        <f>IF(OR(ISNUMBER(SEARCH("imad", Table6[[#This Row],[instruction]])), ISNUMBER(SEARCH("ffma", Table6[[#This Row],[instruction]])), ISNUMBER(SEARCH("fmul", Table6[[#This Row],[instruction]]))), "fma", "")</f>
        <v>fma</v>
      </c>
      <c r="P7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5" t="str">
        <f>IF(OR(ISNUMBER(SEARCH("s2r", Table6[[#This Row],[instruction]])),ISNUMBER(SEARCH("s2ur", Table6[[#This Row],[instruction]]))), "special", "")</f>
        <v/>
      </c>
      <c r="S765" t="str">
        <f>IF(OR(ISNUMBER(SEARCH("stg", Table6[[#This Row],[instruction]])),ISNUMBER(SEARCH("ldg", Table6[[#This Row],[instruction]]))), "global", "")</f>
        <v/>
      </c>
      <c r="T765" t="str">
        <f>IF(OR(ISNUMBER(SEARCH("sts", Table6[[#This Row],[instruction]])),ISNUMBER(SEARCH("lds", Table6[[#This Row],[instruction]]))), "shared", "")</f>
        <v/>
      </c>
      <c r="U765" t="str">
        <f>IF(OR(ISNUMBER(SEARCH("LDC", Table6[[#This Row],[instruction]]))), "ind. const", "")</f>
        <v/>
      </c>
      <c r="V7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Row],[s5]]))),U765=""), "cmb. const", "")</f>
        <v>cmb. const</v>
      </c>
      <c r="W765" s="2" t="s">
        <v>481</v>
      </c>
      <c r="Y765">
        <f>IF(Table6[[#This Row],[pipeline]]="fma",Table6[[#This Row],[delay]],0)</f>
        <v>4</v>
      </c>
      <c r="Z765">
        <f>IF(AND(Table6[[#This Row],[pipeline]]="fma",W765="new"),290,0)</f>
        <v>0</v>
      </c>
      <c r="AK765" s="34"/>
    </row>
    <row r="766" spans="1:37" ht="17" x14ac:dyDescent="0.2">
      <c r="A766" s="31">
        <f>IF(Table6[[#This Row],[instruction]]&lt;&gt;"",MAX($A$6:A765)+1," ")</f>
        <v>761</v>
      </c>
      <c r="B766" s="32" t="s">
        <v>86</v>
      </c>
      <c r="C766" t="s">
        <v>90</v>
      </c>
      <c r="D766" s="31" t="s">
        <v>4</v>
      </c>
      <c r="E766" s="31" t="s">
        <v>8</v>
      </c>
      <c r="F766" s="31" t="s">
        <v>513</v>
      </c>
      <c r="G766" s="31" t="s">
        <v>537</v>
      </c>
      <c r="K766" s="2" t="str">
        <f t="shared" si="11"/>
        <v>alu</v>
      </c>
      <c r="L766" cm="1">
        <f t="array" ref="L7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6" t="str">
        <f>IF(OR(ISNUMBER(SEARCH("imad", Table6[[#This Row],[instruction]])), ISNUMBER(SEARCH("ffma", Table6[[#This Row],[instruction]])), ISNUMBER(SEARCH("fmul", Table6[[#This Row],[instruction]]))), "fma", "")</f>
        <v/>
      </c>
      <c r="P7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6" t="str">
        <f>IF(OR(ISNUMBER(SEARCH("s2r", Table6[[#This Row],[instruction]])),ISNUMBER(SEARCH("s2ur", Table6[[#This Row],[instruction]]))), "special", "")</f>
        <v/>
      </c>
      <c r="S766" t="str">
        <f>IF(OR(ISNUMBER(SEARCH("stg", Table6[[#This Row],[instruction]])),ISNUMBER(SEARCH("ldg", Table6[[#This Row],[instruction]]))), "global", "")</f>
        <v/>
      </c>
      <c r="T766" t="str">
        <f>IF(OR(ISNUMBER(SEARCH("sts", Table6[[#This Row],[instruction]])),ISNUMBER(SEARCH("lds", Table6[[#This Row],[instruction]]))), "shared", "")</f>
        <v/>
      </c>
      <c r="U766" t="str">
        <f>IF(OR(ISNUMBER(SEARCH("LDC", Table6[[#This Row],[instruction]]))), "ind. const", "")</f>
        <v/>
      </c>
      <c r="V7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Row],[s5]]))),U766=""), "cmb. const", "")</f>
        <v>cmb. const</v>
      </c>
      <c r="W766" s="2" t="s">
        <v>481</v>
      </c>
      <c r="Y766">
        <f>IF(Table6[[#This Row],[pipeline]]="fma",Table6[[#This Row],[delay]],0)</f>
        <v>0</v>
      </c>
      <c r="Z766">
        <f>IF(AND(Table6[[#This Row],[pipeline]]="fma",W766="new"),290,0)</f>
        <v>0</v>
      </c>
      <c r="AK766" s="34"/>
    </row>
    <row r="767" spans="1:37" ht="17" x14ac:dyDescent="0.2">
      <c r="A767" s="31">
        <f>IF(Table6[[#This Row],[instruction]]&lt;&gt;"",MAX($A$6:A766)+1," ")</f>
        <v>762</v>
      </c>
      <c r="B767" s="32" t="s">
        <v>485</v>
      </c>
      <c r="C767" t="s">
        <v>463</v>
      </c>
      <c r="D767" s="31" t="s">
        <v>50</v>
      </c>
      <c r="E767" s="31" t="s">
        <v>51</v>
      </c>
      <c r="F767" s="31" t="s">
        <v>27</v>
      </c>
      <c r="G767" s="31" t="s">
        <v>75</v>
      </c>
      <c r="H767" s="31" t="s">
        <v>494</v>
      </c>
      <c r="K767" s="2" t="str">
        <f t="shared" si="11"/>
        <v>alu</v>
      </c>
      <c r="L767" cm="1">
        <f t="array" ref="L7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7" t="str">
        <f>IF(OR(ISNUMBER(SEARCH("imad", Table6[[#This Row],[instruction]])), ISNUMBER(SEARCH("ffma", Table6[[#This Row],[instruction]])), ISNUMBER(SEARCH("fmul", Table6[[#This Row],[instruction]]))), "fma", "")</f>
        <v/>
      </c>
      <c r="P7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7" t="str">
        <f>IF(OR(ISNUMBER(SEARCH("s2r", Table6[[#This Row],[instruction]])),ISNUMBER(SEARCH("s2ur", Table6[[#This Row],[instruction]]))), "special", "")</f>
        <v/>
      </c>
      <c r="S767" t="str">
        <f>IF(OR(ISNUMBER(SEARCH("stg", Table6[[#This Row],[instruction]])),ISNUMBER(SEARCH("ldg", Table6[[#This Row],[instruction]]))), "global", "")</f>
        <v/>
      </c>
      <c r="T767" t="str">
        <f>IF(OR(ISNUMBER(SEARCH("sts", Table6[[#This Row],[instruction]])),ISNUMBER(SEARCH("lds", Table6[[#This Row],[instruction]]))), "shared", "")</f>
        <v/>
      </c>
      <c r="U767" t="str">
        <f>IF(OR(ISNUMBER(SEARCH("LDC", Table6[[#This Row],[instruction]]))), "ind. const", "")</f>
        <v/>
      </c>
      <c r="V7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Row],[s5]]))),U767=""), "cmb. const", "")</f>
        <v/>
      </c>
      <c r="Y767">
        <f>IF(Table6[[#This Row],[pipeline]]="fma",Table6[[#This Row],[delay]],0)</f>
        <v>0</v>
      </c>
      <c r="Z767">
        <f>IF(AND(Table6[[#This Row],[pipeline]]="fma",W767="new"),290,0)</f>
        <v>0</v>
      </c>
      <c r="AK767" s="34"/>
    </row>
    <row r="768" spans="1:37" ht="17" x14ac:dyDescent="0.2">
      <c r="A768" s="31">
        <f>IF(Table6[[#This Row],[instruction]]&lt;&gt;"",MAX($A$6:A767)+1," ")</f>
        <v>763</v>
      </c>
      <c r="B768" s="32" t="s">
        <v>485</v>
      </c>
      <c r="C768" t="s">
        <v>26</v>
      </c>
      <c r="D768" s="31" t="s">
        <v>58</v>
      </c>
      <c r="E768" s="31" t="e">
        <f>-S11</f>
        <v>#VALUE!</v>
      </c>
      <c r="F768" s="31" t="s">
        <v>8</v>
      </c>
      <c r="G768" s="31" t="s">
        <v>502</v>
      </c>
      <c r="K768" s="2" t="str">
        <f t="shared" si="11"/>
        <v>alu</v>
      </c>
      <c r="L768" cm="1">
        <f t="array" ref="L7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68" t="str">
        <f>IF(OR(ISNUMBER(SEARCH("imad", Table6[[#This Row],[instruction]])), ISNUMBER(SEARCH("ffma", Table6[[#This Row],[instruction]])), ISNUMBER(SEARCH("fmul", Table6[[#This Row],[instruction]]))), "fma", "")</f>
        <v/>
      </c>
      <c r="P7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8" t="str">
        <f>IF(OR(ISNUMBER(SEARCH("s2r", Table6[[#This Row],[instruction]])),ISNUMBER(SEARCH("s2ur", Table6[[#This Row],[instruction]]))), "special", "")</f>
        <v/>
      </c>
      <c r="S768" t="str">
        <f>IF(OR(ISNUMBER(SEARCH("stg", Table6[[#This Row],[instruction]])),ISNUMBER(SEARCH("ldg", Table6[[#This Row],[instruction]]))), "global", "")</f>
        <v/>
      </c>
      <c r="T768" t="str">
        <f>IF(OR(ISNUMBER(SEARCH("sts", Table6[[#This Row],[instruction]])),ISNUMBER(SEARCH("lds", Table6[[#This Row],[instruction]]))), "shared", "")</f>
        <v/>
      </c>
      <c r="U768" t="str">
        <f>IF(OR(ISNUMBER(SEARCH("LDC", Table6[[#This Row],[instruction]]))), "ind. const", "")</f>
        <v/>
      </c>
      <c r="V7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Row],[s5]]))),U768=""), "cmb. const", "")</f>
        <v/>
      </c>
      <c r="Y768">
        <f>IF(Table6[[#This Row],[pipeline]]="fma",Table6[[#This Row],[delay]],0)</f>
        <v>0</v>
      </c>
      <c r="Z768">
        <f>IF(AND(Table6[[#This Row],[pipeline]]="fma",W768="new"),290,0)</f>
        <v>0</v>
      </c>
      <c r="AK768" s="34"/>
    </row>
    <row r="769" spans="1:37" ht="17" x14ac:dyDescent="0.2">
      <c r="A769" s="31">
        <f>IF(Table6[[#This Row],[instruction]]&lt;&gt;"",MAX($A$6:A768)+1," ")</f>
        <v>764</v>
      </c>
      <c r="B769" s="32" t="s">
        <v>485</v>
      </c>
      <c r="C769" t="s">
        <v>14</v>
      </c>
      <c r="D769" s="31" t="s">
        <v>4</v>
      </c>
      <c r="E769" s="31" t="s">
        <v>4</v>
      </c>
      <c r="F769" s="31" t="s">
        <v>733</v>
      </c>
      <c r="G769" s="31" t="s">
        <v>502</v>
      </c>
      <c r="K769" s="2" t="str">
        <f t="shared" si="11"/>
        <v>fma</v>
      </c>
      <c r="L769" cm="1">
        <f t="array" ref="L7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69" t="str">
        <f>IF(OR(ISNUMBER(SEARCH("imad", Table6[[#This Row],[instruction]])), ISNUMBER(SEARCH("ffma", Table6[[#This Row],[instruction]])), ISNUMBER(SEARCH("fmul", Table6[[#This Row],[instruction]]))), "fma", "")</f>
        <v>fma</v>
      </c>
      <c r="P7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69" t="str">
        <f>IF(OR(ISNUMBER(SEARCH("s2r", Table6[[#This Row],[instruction]])),ISNUMBER(SEARCH("s2ur", Table6[[#This Row],[instruction]]))), "special", "")</f>
        <v/>
      </c>
      <c r="S769" t="str">
        <f>IF(OR(ISNUMBER(SEARCH("stg", Table6[[#This Row],[instruction]])),ISNUMBER(SEARCH("ldg", Table6[[#This Row],[instruction]]))), "global", "")</f>
        <v/>
      </c>
      <c r="T769" t="str">
        <f>IF(OR(ISNUMBER(SEARCH("sts", Table6[[#This Row],[instruction]])),ISNUMBER(SEARCH("lds", Table6[[#This Row],[instruction]]))), "shared", "")</f>
        <v/>
      </c>
      <c r="U769" t="str">
        <f>IF(OR(ISNUMBER(SEARCH("LDC", Table6[[#This Row],[instruction]]))), "ind. const", "")</f>
        <v/>
      </c>
      <c r="V7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Row],[s5]]))),U769=""), "cmb. const", "")</f>
        <v>cmb. const</v>
      </c>
      <c r="Y769">
        <f>IF(Table6[[#This Row],[pipeline]]="fma",Table6[[#This Row],[delay]],0)</f>
        <v>4</v>
      </c>
      <c r="Z769">
        <f>IF(AND(Table6[[#This Row],[pipeline]]="fma",W769="new"),290,0)</f>
        <v>0</v>
      </c>
      <c r="AK769" s="34"/>
    </row>
    <row r="770" spans="1:37" ht="17" x14ac:dyDescent="0.2">
      <c r="A770" s="31">
        <f>IF(Table6[[#This Row],[instruction]]&lt;&gt;"",MAX($A$6:A769)+1," ")</f>
        <v>765</v>
      </c>
      <c r="B770" s="32" t="s">
        <v>485</v>
      </c>
      <c r="C770" t="s">
        <v>14</v>
      </c>
      <c r="D770" s="31" t="s">
        <v>58</v>
      </c>
      <c r="E770" s="31" t="s">
        <v>58</v>
      </c>
      <c r="F770" s="31" t="s">
        <v>518</v>
      </c>
      <c r="G770" s="31" t="s">
        <v>514</v>
      </c>
      <c r="K770" s="2" t="str">
        <f t="shared" si="11"/>
        <v>fma</v>
      </c>
      <c r="L770" cm="1">
        <f t="array" ref="L7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0" t="str">
        <f>IF(OR(ISNUMBER(SEARCH("imad", Table6[[#This Row],[instruction]])), ISNUMBER(SEARCH("ffma", Table6[[#This Row],[instruction]])), ISNUMBER(SEARCH("fmul", Table6[[#This Row],[instruction]]))), "fma", "")</f>
        <v>fma</v>
      </c>
      <c r="P7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0" t="str">
        <f>IF(OR(ISNUMBER(SEARCH("s2r", Table6[[#This Row],[instruction]])),ISNUMBER(SEARCH("s2ur", Table6[[#This Row],[instruction]]))), "special", "")</f>
        <v/>
      </c>
      <c r="S770" t="str">
        <f>IF(OR(ISNUMBER(SEARCH("stg", Table6[[#This Row],[instruction]])),ISNUMBER(SEARCH("ldg", Table6[[#This Row],[instruction]]))), "global", "")</f>
        <v/>
      </c>
      <c r="T770" t="str">
        <f>IF(OR(ISNUMBER(SEARCH("sts", Table6[[#This Row],[instruction]])),ISNUMBER(SEARCH("lds", Table6[[#This Row],[instruction]]))), "shared", "")</f>
        <v/>
      </c>
      <c r="U770" t="str">
        <f>IF(OR(ISNUMBER(SEARCH("LDC", Table6[[#This Row],[instruction]]))), "ind. const", "")</f>
        <v/>
      </c>
      <c r="V7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Row],[s5]]))),U770=""), "cmb. const", "")</f>
        <v>cmb. const</v>
      </c>
      <c r="W770" s="2" t="s">
        <v>481</v>
      </c>
      <c r="Y770">
        <f>IF(Table6[[#This Row],[pipeline]]="fma",Table6[[#This Row],[delay]],0)</f>
        <v>4</v>
      </c>
      <c r="Z770">
        <f>IF(AND(Table6[[#This Row],[pipeline]]="fma",W770="new"),290,0)</f>
        <v>0</v>
      </c>
      <c r="AK770" s="34"/>
    </row>
    <row r="771" spans="1:37" ht="17" x14ac:dyDescent="0.2">
      <c r="A771" s="31">
        <f>IF(Table6[[#This Row],[instruction]]&lt;&gt;"",MAX($A$6:A770)+1," ")</f>
        <v>766</v>
      </c>
      <c r="B771" s="32" t="s">
        <v>85</v>
      </c>
      <c r="C771" t="s">
        <v>509</v>
      </c>
      <c r="D771" s="31" t="s">
        <v>7</v>
      </c>
      <c r="E771" s="31" t="s">
        <v>58</v>
      </c>
      <c r="F771" s="31" t="s">
        <v>519</v>
      </c>
      <c r="G771" s="31" t="s">
        <v>502</v>
      </c>
      <c r="K771" s="2" t="str">
        <f t="shared" si="11"/>
        <v>fma</v>
      </c>
      <c r="L771" cm="1">
        <f t="array" ref="L7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1" t="str">
        <f>IF(OR(ISNUMBER(SEARCH("imad", Table6[[#This Row],[instruction]])), ISNUMBER(SEARCH("ffma", Table6[[#This Row],[instruction]])), ISNUMBER(SEARCH("fmul", Table6[[#This Row],[instruction]]))), "fma", "")</f>
        <v>fma</v>
      </c>
      <c r="P7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1" t="str">
        <f>IF(OR(ISNUMBER(SEARCH("s2r", Table6[[#This Row],[instruction]])),ISNUMBER(SEARCH("s2ur", Table6[[#This Row],[instruction]]))), "special", "")</f>
        <v/>
      </c>
      <c r="S771" t="str">
        <f>IF(OR(ISNUMBER(SEARCH("stg", Table6[[#This Row],[instruction]])),ISNUMBER(SEARCH("ldg", Table6[[#This Row],[instruction]]))), "global", "")</f>
        <v/>
      </c>
      <c r="T771" t="str">
        <f>IF(OR(ISNUMBER(SEARCH("sts", Table6[[#This Row],[instruction]])),ISNUMBER(SEARCH("lds", Table6[[#This Row],[instruction]]))), "shared", "")</f>
        <v/>
      </c>
      <c r="U771" t="str">
        <f>IF(OR(ISNUMBER(SEARCH("LDC", Table6[[#This Row],[instruction]]))), "ind. const", "")</f>
        <v/>
      </c>
      <c r="V7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Row],[s5]]))),U771=""), "cmb. const", "")</f>
        <v>cmb. const</v>
      </c>
      <c r="W771" s="2" t="s">
        <v>481</v>
      </c>
      <c r="Y771">
        <f>IF(Table6[[#This Row],[pipeline]]="fma",Table6[[#This Row],[delay]],0)</f>
        <v>4</v>
      </c>
      <c r="Z771">
        <f>IF(AND(Table6[[#This Row],[pipeline]]="fma",W771="new"),290,0)</f>
        <v>0</v>
      </c>
      <c r="AK771" s="34"/>
    </row>
    <row r="772" spans="1:37" ht="17" x14ac:dyDescent="0.2">
      <c r="A772" s="31">
        <f>IF(Table6[[#This Row],[instruction]]&lt;&gt;"",MAX($A$6:A771)+1," ")</f>
        <v>767</v>
      </c>
      <c r="B772" s="32" t="s">
        <v>485</v>
      </c>
      <c r="C772" t="s">
        <v>0</v>
      </c>
      <c r="D772" s="31" t="s">
        <v>23</v>
      </c>
      <c r="E772" s="31" t="s">
        <v>503</v>
      </c>
      <c r="K772" s="2" t="str">
        <f t="shared" si="11"/>
        <v/>
      </c>
      <c r="L772" cm="1">
        <f t="array" ref="L7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772" t="str">
        <f>IF(OR(ISNUMBER(SEARCH("imad", Table6[[#This Row],[instruction]])), ISNUMBER(SEARCH("ffma", Table6[[#This Row],[instruction]])), ISNUMBER(SEARCH("fmul", Table6[[#This Row],[instruction]]))), "fma", "")</f>
        <v/>
      </c>
      <c r="P7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2" t="str">
        <f>IF(OR(ISNUMBER(SEARCH("s2r", Table6[[#This Row],[instruction]])),ISNUMBER(SEARCH("s2ur", Table6[[#This Row],[instruction]]))), "special", "")</f>
        <v/>
      </c>
      <c r="S772" t="str">
        <f>IF(OR(ISNUMBER(SEARCH("stg", Table6[[#This Row],[instruction]])),ISNUMBER(SEARCH("ldg", Table6[[#This Row],[instruction]]))), "global", "")</f>
        <v/>
      </c>
      <c r="T772" t="str">
        <f>IF(OR(ISNUMBER(SEARCH("sts", Table6[[#This Row],[instruction]])),ISNUMBER(SEARCH("lds", Table6[[#This Row],[instruction]]))), "shared", "")</f>
        <v/>
      </c>
      <c r="U772" t="str">
        <f>IF(OR(ISNUMBER(SEARCH("LDC", Table6[[#This Row],[instruction]]))), "ind. const", "")</f>
        <v/>
      </c>
      <c r="V7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Row],[s5]]))),U772=""), "cmb. const", "")</f>
        <v/>
      </c>
      <c r="Y772">
        <f>IF(Table6[[#This Row],[pipeline]]="fma",Table6[[#This Row],[delay]],0)</f>
        <v>0</v>
      </c>
      <c r="Z772">
        <f>IF(AND(Table6[[#This Row],[pipeline]]="fma",W772="new"),290,0)</f>
        <v>0</v>
      </c>
      <c r="AK772" s="34"/>
    </row>
    <row r="773" spans="1:37" ht="17" x14ac:dyDescent="0.2">
      <c r="A773" s="31">
        <f>IF(Table6[[#This Row],[instruction]]&lt;&gt;"",MAX($A$6:A772)+1," ")</f>
        <v>768</v>
      </c>
      <c r="B773" s="32" t="s">
        <v>85</v>
      </c>
      <c r="C773" t="s">
        <v>90</v>
      </c>
      <c r="D773" s="31" t="s">
        <v>23</v>
      </c>
      <c r="E773" s="31" t="s">
        <v>8</v>
      </c>
      <c r="F773" s="31" t="s">
        <v>521</v>
      </c>
      <c r="G773" s="31" t="s">
        <v>537</v>
      </c>
      <c r="K773" s="2" t="str">
        <f t="shared" si="11"/>
        <v>alu</v>
      </c>
      <c r="L773" cm="1">
        <f t="array" ref="L7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3" t="str">
        <f>IF(OR(ISNUMBER(SEARCH("imad", Table6[[#This Row],[instruction]])), ISNUMBER(SEARCH("ffma", Table6[[#This Row],[instruction]])), ISNUMBER(SEARCH("fmul", Table6[[#This Row],[instruction]]))), "fma", "")</f>
        <v/>
      </c>
      <c r="P7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3" t="str">
        <f>IF(OR(ISNUMBER(SEARCH("s2r", Table6[[#This Row],[instruction]])),ISNUMBER(SEARCH("s2ur", Table6[[#This Row],[instruction]]))), "special", "")</f>
        <v/>
      </c>
      <c r="S773" t="str">
        <f>IF(OR(ISNUMBER(SEARCH("stg", Table6[[#This Row],[instruction]])),ISNUMBER(SEARCH("ldg", Table6[[#This Row],[instruction]]))), "global", "")</f>
        <v/>
      </c>
      <c r="T773" t="str">
        <f>IF(OR(ISNUMBER(SEARCH("sts", Table6[[#This Row],[instruction]])),ISNUMBER(SEARCH("lds", Table6[[#This Row],[instruction]]))), "shared", "")</f>
        <v/>
      </c>
      <c r="U773" t="str">
        <f>IF(OR(ISNUMBER(SEARCH("LDC", Table6[[#This Row],[instruction]]))), "ind. const", "")</f>
        <v/>
      </c>
      <c r="V7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Row],[s5]]))),U773=""), "cmb. const", "")</f>
        <v>cmb. const</v>
      </c>
      <c r="W773" s="2" t="s">
        <v>481</v>
      </c>
      <c r="Y773">
        <f>IF(Table6[[#This Row],[pipeline]]="fma",Table6[[#This Row],[delay]],0)</f>
        <v>0</v>
      </c>
      <c r="Z773">
        <f>IF(AND(Table6[[#This Row],[pipeline]]="fma",W773="new"),290,0)</f>
        <v>0</v>
      </c>
      <c r="AK773" s="34"/>
    </row>
    <row r="774" spans="1:37" ht="17" x14ac:dyDescent="0.2">
      <c r="A774" s="31">
        <f>IF(Table6[[#This Row],[instruction]]&lt;&gt;"",MAX($A$6:A773)+1," ")</f>
        <v>769</v>
      </c>
      <c r="B774" s="32" t="s">
        <v>485</v>
      </c>
      <c r="C774" t="s">
        <v>26</v>
      </c>
      <c r="D774" s="31" t="s">
        <v>7</v>
      </c>
      <c r="E774" s="31" t="e">
        <f>-S10</f>
        <v>#VALUE!</v>
      </c>
      <c r="F774" s="31" t="s">
        <v>8</v>
      </c>
      <c r="G774" s="31" t="s">
        <v>502</v>
      </c>
      <c r="K774" s="2" t="str">
        <f t="shared" ref="K774:K837" si="12">IF(O774&lt;&gt;"", O774, IF(P774&lt;&gt;"", P774, IF(R774&lt;&gt;"", R774, IF(S774&lt;&gt;"", S774, IF(T774&lt;&gt;"", T774, IF(U774&lt;&gt;"", U774, IF(Q774&lt;&gt;"", Q774, "")))))))</f>
        <v>alu</v>
      </c>
      <c r="L774" cm="1">
        <f t="array" ref="L7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74" t="str">
        <f>IF(OR(ISNUMBER(SEARCH("imad", Table6[[#This Row],[instruction]])), ISNUMBER(SEARCH("ffma", Table6[[#This Row],[instruction]])), ISNUMBER(SEARCH("fmul", Table6[[#This Row],[instruction]]))), "fma", "")</f>
        <v/>
      </c>
      <c r="P7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4" t="str">
        <f>IF(OR(ISNUMBER(SEARCH("s2r", Table6[[#This Row],[instruction]])),ISNUMBER(SEARCH("s2ur", Table6[[#This Row],[instruction]]))), "special", "")</f>
        <v/>
      </c>
      <c r="S774" t="str">
        <f>IF(OR(ISNUMBER(SEARCH("stg", Table6[[#This Row],[instruction]])),ISNUMBER(SEARCH("ldg", Table6[[#This Row],[instruction]]))), "global", "")</f>
        <v/>
      </c>
      <c r="T774" t="str">
        <f>IF(OR(ISNUMBER(SEARCH("sts", Table6[[#This Row],[instruction]])),ISNUMBER(SEARCH("lds", Table6[[#This Row],[instruction]]))), "shared", "")</f>
        <v/>
      </c>
      <c r="U774" t="str">
        <f>IF(OR(ISNUMBER(SEARCH("LDC", Table6[[#This Row],[instruction]]))), "ind. const", "")</f>
        <v/>
      </c>
      <c r="V7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Row],[s5]]))),U774=""), "cmb. const", "")</f>
        <v/>
      </c>
      <c r="Y774">
        <f>IF(Table6[[#This Row],[pipeline]]="fma",Table6[[#This Row],[delay]],0)</f>
        <v>0</v>
      </c>
      <c r="Z774">
        <f>IF(AND(Table6[[#This Row],[pipeline]]="fma",W774="new"),290,0)</f>
        <v>0</v>
      </c>
      <c r="AK774" s="34"/>
    </row>
    <row r="775" spans="1:37" ht="17" x14ac:dyDescent="0.2">
      <c r="A775" s="31">
        <f>IF(Table6[[#This Row],[instruction]]&lt;&gt;"",MAX($A$6:A774)+1," ")</f>
        <v>770</v>
      </c>
      <c r="B775" s="32" t="s">
        <v>485</v>
      </c>
      <c r="C775" t="s">
        <v>14</v>
      </c>
      <c r="D775" s="31" t="s">
        <v>4</v>
      </c>
      <c r="E775" s="31" t="s">
        <v>23</v>
      </c>
      <c r="F775" s="31" t="s">
        <v>734</v>
      </c>
      <c r="G775" s="31" t="s">
        <v>593</v>
      </c>
      <c r="K775" s="2" t="str">
        <f t="shared" si="12"/>
        <v>fma</v>
      </c>
      <c r="L775" cm="1">
        <f t="array" ref="L7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5" t="str">
        <f>IF(OR(ISNUMBER(SEARCH("imad", Table6[[#This Row],[instruction]])), ISNUMBER(SEARCH("ffma", Table6[[#This Row],[instruction]])), ISNUMBER(SEARCH("fmul", Table6[[#This Row],[instruction]]))), "fma", "")</f>
        <v>fma</v>
      </c>
      <c r="P7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5" t="str">
        <f>IF(OR(ISNUMBER(SEARCH("s2r", Table6[[#This Row],[instruction]])),ISNUMBER(SEARCH("s2ur", Table6[[#This Row],[instruction]]))), "special", "")</f>
        <v/>
      </c>
      <c r="S775" t="str">
        <f>IF(OR(ISNUMBER(SEARCH("stg", Table6[[#This Row],[instruction]])),ISNUMBER(SEARCH("ldg", Table6[[#This Row],[instruction]]))), "global", "")</f>
        <v/>
      </c>
      <c r="T775" t="str">
        <f>IF(OR(ISNUMBER(SEARCH("sts", Table6[[#This Row],[instruction]])),ISNUMBER(SEARCH("lds", Table6[[#This Row],[instruction]]))), "shared", "")</f>
        <v/>
      </c>
      <c r="U775" t="str">
        <f>IF(OR(ISNUMBER(SEARCH("LDC", Table6[[#This Row],[instruction]]))), "ind. const", "")</f>
        <v/>
      </c>
      <c r="V7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Row],[s5]]))),U775=""), "cmb. const", "")</f>
        <v>cmb. const</v>
      </c>
      <c r="W775" s="2" t="s">
        <v>481</v>
      </c>
      <c r="Y775">
        <f>IF(Table6[[#This Row],[pipeline]]="fma",Table6[[#This Row],[delay]],0)</f>
        <v>4</v>
      </c>
      <c r="Z775">
        <f>IF(AND(Table6[[#This Row],[pipeline]]="fma",W775="new"),290,0)</f>
        <v>0</v>
      </c>
      <c r="AK775" s="34"/>
    </row>
    <row r="776" spans="1:37" ht="17" x14ac:dyDescent="0.2">
      <c r="A776" s="31">
        <f>IF(Table6[[#This Row],[instruction]]&lt;&gt;"",MAX($A$6:A775)+1," ")</f>
        <v>771</v>
      </c>
      <c r="B776" s="32" t="s">
        <v>485</v>
      </c>
      <c r="C776" t="s">
        <v>14</v>
      </c>
      <c r="D776" s="31" t="s">
        <v>23</v>
      </c>
      <c r="E776" s="31" t="s">
        <v>7</v>
      </c>
      <c r="F776" s="31" t="s">
        <v>528</v>
      </c>
      <c r="G776" s="31" t="s">
        <v>503</v>
      </c>
      <c r="K776" s="2" t="str">
        <f t="shared" si="12"/>
        <v>fma</v>
      </c>
      <c r="L776" cm="1">
        <f t="array" ref="L7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6" t="str">
        <f>IF(OR(ISNUMBER(SEARCH("imad", Table6[[#This Row],[instruction]])), ISNUMBER(SEARCH("ffma", Table6[[#This Row],[instruction]])), ISNUMBER(SEARCH("fmul", Table6[[#This Row],[instruction]]))), "fma", "")</f>
        <v>fma</v>
      </c>
      <c r="P7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6" t="str">
        <f>IF(OR(ISNUMBER(SEARCH("s2r", Table6[[#This Row],[instruction]])),ISNUMBER(SEARCH("s2ur", Table6[[#This Row],[instruction]]))), "special", "")</f>
        <v/>
      </c>
      <c r="S776" t="str">
        <f>IF(OR(ISNUMBER(SEARCH("stg", Table6[[#This Row],[instruction]])),ISNUMBER(SEARCH("ldg", Table6[[#This Row],[instruction]]))), "global", "")</f>
        <v/>
      </c>
      <c r="T776" t="str">
        <f>IF(OR(ISNUMBER(SEARCH("sts", Table6[[#This Row],[instruction]])),ISNUMBER(SEARCH("lds", Table6[[#This Row],[instruction]]))), "shared", "")</f>
        <v/>
      </c>
      <c r="U776" t="str">
        <f>IF(OR(ISNUMBER(SEARCH("LDC", Table6[[#This Row],[instruction]]))), "ind. const", "")</f>
        <v/>
      </c>
      <c r="V7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Row],[s5]]))),U776=""), "cmb. const", "")</f>
        <v>cmb. const</v>
      </c>
      <c r="W776" s="2" t="s">
        <v>481</v>
      </c>
      <c r="Y776">
        <f>IF(Table6[[#This Row],[pipeline]]="fma",Table6[[#This Row],[delay]],0)</f>
        <v>4</v>
      </c>
      <c r="Z776">
        <f>IF(AND(Table6[[#This Row],[pipeline]]="fma",W776="new"),290,0)</f>
        <v>0</v>
      </c>
      <c r="AK776" s="34"/>
    </row>
    <row r="777" spans="1:37" ht="17" x14ac:dyDescent="0.2">
      <c r="A777" s="31">
        <f>IF(Table6[[#This Row],[instruction]]&lt;&gt;"",MAX($A$6:A776)+1," ")</f>
        <v>772</v>
      </c>
      <c r="B777" s="32" t="s">
        <v>485</v>
      </c>
      <c r="C777" t="s">
        <v>14</v>
      </c>
      <c r="D777" s="31" t="s">
        <v>58</v>
      </c>
      <c r="E777" s="31" t="s">
        <v>567</v>
      </c>
      <c r="F777" s="31" t="s">
        <v>731</v>
      </c>
      <c r="G777" s="31" t="s">
        <v>502</v>
      </c>
      <c r="K777" s="2" t="str">
        <f t="shared" si="12"/>
        <v>fma</v>
      </c>
      <c r="L777" cm="1">
        <f t="array" ref="L7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7" t="str">
        <f>IF(OR(ISNUMBER(SEARCH("imad", Table6[[#This Row],[instruction]])), ISNUMBER(SEARCH("ffma", Table6[[#This Row],[instruction]])), ISNUMBER(SEARCH("fmul", Table6[[#This Row],[instruction]]))), "fma", "")</f>
        <v>fma</v>
      </c>
      <c r="P7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7" t="str">
        <f>IF(OR(ISNUMBER(SEARCH("s2r", Table6[[#This Row],[instruction]])),ISNUMBER(SEARCH("s2ur", Table6[[#This Row],[instruction]]))), "special", "")</f>
        <v/>
      </c>
      <c r="S777" t="str">
        <f>IF(OR(ISNUMBER(SEARCH("stg", Table6[[#This Row],[instruction]])),ISNUMBER(SEARCH("ldg", Table6[[#This Row],[instruction]]))), "global", "")</f>
        <v/>
      </c>
      <c r="T777" t="str">
        <f>IF(OR(ISNUMBER(SEARCH("sts", Table6[[#This Row],[instruction]])),ISNUMBER(SEARCH("lds", Table6[[#This Row],[instruction]]))), "shared", "")</f>
        <v/>
      </c>
      <c r="U777" t="str">
        <f>IF(OR(ISNUMBER(SEARCH("LDC", Table6[[#This Row],[instruction]]))), "ind. const", "")</f>
        <v/>
      </c>
      <c r="V7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Row],[s5]]))),U777=""), "cmb. const", "")</f>
        <v>cmb. const</v>
      </c>
      <c r="W777" s="2" t="s">
        <v>481</v>
      </c>
      <c r="Y777">
        <f>IF(Table6[[#This Row],[pipeline]]="fma",Table6[[#This Row],[delay]],0)</f>
        <v>4</v>
      </c>
      <c r="Z777">
        <f>IF(AND(Table6[[#This Row],[pipeline]]="fma",W777="new"),290,0)</f>
        <v>0</v>
      </c>
      <c r="AK777" s="34"/>
    </row>
    <row r="778" spans="1:37" ht="17" x14ac:dyDescent="0.2">
      <c r="A778" s="31">
        <f>IF(Table6[[#This Row],[instruction]]&lt;&gt;"",MAX($A$6:A777)+1," ")</f>
        <v>773</v>
      </c>
      <c r="B778" s="32" t="s">
        <v>485</v>
      </c>
      <c r="C778" t="s">
        <v>14</v>
      </c>
      <c r="D778" s="31" t="s">
        <v>23</v>
      </c>
      <c r="E778" s="31" t="s">
        <v>23</v>
      </c>
      <c r="F778" s="31" t="s">
        <v>735</v>
      </c>
      <c r="G778" s="31" t="s">
        <v>593</v>
      </c>
      <c r="K778" s="2" t="str">
        <f t="shared" si="12"/>
        <v>fma</v>
      </c>
      <c r="L778" cm="1">
        <f t="array" ref="L7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8" t="str">
        <f>IF(OR(ISNUMBER(SEARCH("imad", Table6[[#This Row],[instruction]])), ISNUMBER(SEARCH("ffma", Table6[[#This Row],[instruction]])), ISNUMBER(SEARCH("fmul", Table6[[#This Row],[instruction]]))), "fma", "")</f>
        <v>fma</v>
      </c>
      <c r="P7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8" t="str">
        <f>IF(OR(ISNUMBER(SEARCH("s2r", Table6[[#This Row],[instruction]])),ISNUMBER(SEARCH("s2ur", Table6[[#This Row],[instruction]]))), "special", "")</f>
        <v/>
      </c>
      <c r="S778" t="str">
        <f>IF(OR(ISNUMBER(SEARCH("stg", Table6[[#This Row],[instruction]])),ISNUMBER(SEARCH("ldg", Table6[[#This Row],[instruction]]))), "global", "")</f>
        <v/>
      </c>
      <c r="T778" t="str">
        <f>IF(OR(ISNUMBER(SEARCH("sts", Table6[[#This Row],[instruction]])),ISNUMBER(SEARCH("lds", Table6[[#This Row],[instruction]]))), "shared", "")</f>
        <v/>
      </c>
      <c r="U778" t="str">
        <f>IF(OR(ISNUMBER(SEARCH("LDC", Table6[[#This Row],[instruction]]))), "ind. const", "")</f>
        <v/>
      </c>
      <c r="V7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Row],[s5]]))),U778=""), "cmb. const", "")</f>
        <v>cmb. const</v>
      </c>
      <c r="W778" s="2" t="s">
        <v>481</v>
      </c>
      <c r="Y778">
        <f>IF(Table6[[#This Row],[pipeline]]="fma",Table6[[#This Row],[delay]],0)</f>
        <v>4</v>
      </c>
      <c r="Z778">
        <f>IF(AND(Table6[[#This Row],[pipeline]]="fma",W778="new"),290,0)</f>
        <v>0</v>
      </c>
      <c r="AK778" s="34"/>
    </row>
    <row r="779" spans="1:37" ht="17" x14ac:dyDescent="0.2">
      <c r="A779" s="31">
        <f>IF(Table6[[#This Row],[instruction]]&lt;&gt;"",MAX($A$6:A778)+1," ")</f>
        <v>774</v>
      </c>
      <c r="B779" s="32" t="s">
        <v>485</v>
      </c>
      <c r="C779" t="s">
        <v>427</v>
      </c>
      <c r="D779" s="31" t="s">
        <v>4</v>
      </c>
      <c r="E779" s="31" t="s">
        <v>8</v>
      </c>
      <c r="F779" s="31" t="s">
        <v>428</v>
      </c>
      <c r="G779" s="31" t="s">
        <v>514</v>
      </c>
      <c r="K779" s="2" t="str">
        <f t="shared" si="12"/>
        <v>alu</v>
      </c>
      <c r="L779" cm="1">
        <f t="array" ref="L7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79" t="str">
        <f>IF(OR(ISNUMBER(SEARCH("imad", Table6[[#This Row],[instruction]])), ISNUMBER(SEARCH("ffma", Table6[[#This Row],[instruction]])), ISNUMBER(SEARCH("fmul", Table6[[#This Row],[instruction]]))), "fma", "")</f>
        <v/>
      </c>
      <c r="P7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79" t="str">
        <f>IF(OR(ISNUMBER(SEARCH("s2r", Table6[[#This Row],[instruction]])),ISNUMBER(SEARCH("s2ur", Table6[[#This Row],[instruction]]))), "special", "")</f>
        <v/>
      </c>
      <c r="S779" t="str">
        <f>IF(OR(ISNUMBER(SEARCH("stg", Table6[[#This Row],[instruction]])),ISNUMBER(SEARCH("ldg", Table6[[#This Row],[instruction]]))), "global", "")</f>
        <v/>
      </c>
      <c r="T779" t="str">
        <f>IF(OR(ISNUMBER(SEARCH("sts", Table6[[#This Row],[instruction]])),ISNUMBER(SEARCH("lds", Table6[[#This Row],[instruction]]))), "shared", "")</f>
        <v/>
      </c>
      <c r="U779" t="str">
        <f>IF(OR(ISNUMBER(SEARCH("LDC", Table6[[#This Row],[instruction]]))), "ind. const", "")</f>
        <v/>
      </c>
      <c r="V7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Row],[s5]]))),U779=""), "cmb. const", "")</f>
        <v/>
      </c>
      <c r="Y779">
        <f>IF(Table6[[#This Row],[pipeline]]="fma",Table6[[#This Row],[delay]],0)</f>
        <v>0</v>
      </c>
      <c r="Z779">
        <f>IF(AND(Table6[[#This Row],[pipeline]]="fma",W779="new"),290,0)</f>
        <v>0</v>
      </c>
      <c r="AK779" s="34"/>
    </row>
    <row r="780" spans="1:37" ht="17" x14ac:dyDescent="0.2">
      <c r="A780" s="31">
        <f>IF(Table6[[#This Row],[instruction]]&lt;&gt;"",MAX($A$6:A779)+1," ")</f>
        <v>775</v>
      </c>
      <c r="B780" s="32" t="s">
        <v>485</v>
      </c>
      <c r="C780" t="s">
        <v>26</v>
      </c>
      <c r="D780" s="31" t="s">
        <v>430</v>
      </c>
      <c r="E780" s="31" t="s">
        <v>531</v>
      </c>
      <c r="F780" s="31" t="s">
        <v>82</v>
      </c>
      <c r="G780" s="31" t="s">
        <v>23</v>
      </c>
      <c r="H780" s="31" t="s">
        <v>502</v>
      </c>
      <c r="K780" s="2" t="str">
        <f t="shared" si="12"/>
        <v>alu</v>
      </c>
      <c r="L780" cm="1">
        <f t="array" ref="L7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80" t="str">
        <f>IF(OR(ISNUMBER(SEARCH("imad", Table6[[#This Row],[instruction]])), ISNUMBER(SEARCH("ffma", Table6[[#This Row],[instruction]])), ISNUMBER(SEARCH("fmul", Table6[[#This Row],[instruction]]))), "fma", "")</f>
        <v/>
      </c>
      <c r="P7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0" t="str">
        <f>IF(OR(ISNUMBER(SEARCH("s2r", Table6[[#This Row],[instruction]])),ISNUMBER(SEARCH("s2ur", Table6[[#This Row],[instruction]]))), "special", "")</f>
        <v/>
      </c>
      <c r="S780" t="str">
        <f>IF(OR(ISNUMBER(SEARCH("stg", Table6[[#This Row],[instruction]])),ISNUMBER(SEARCH("ldg", Table6[[#This Row],[instruction]]))), "global", "")</f>
        <v/>
      </c>
      <c r="T780" t="str">
        <f>IF(OR(ISNUMBER(SEARCH("sts", Table6[[#This Row],[instruction]])),ISNUMBER(SEARCH("lds", Table6[[#This Row],[instruction]]))), "shared", "")</f>
        <v/>
      </c>
      <c r="U780" t="str">
        <f>IF(OR(ISNUMBER(SEARCH("LDC", Table6[[#This Row],[instruction]]))), "ind. const", "")</f>
        <v/>
      </c>
      <c r="V7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Row],[s5]]))),U780=""), "cmb. const", "")</f>
        <v/>
      </c>
      <c r="Y780">
        <f>IF(Table6[[#This Row],[pipeline]]="fma",Table6[[#This Row],[delay]],0)</f>
        <v>0</v>
      </c>
      <c r="Z780">
        <f>IF(AND(Table6[[#This Row],[pipeline]]="fma",W780="new"),290,0)</f>
        <v>0</v>
      </c>
      <c r="AK780" s="34"/>
    </row>
    <row r="781" spans="1:37" ht="17" x14ac:dyDescent="0.2">
      <c r="A781" s="31">
        <f>IF(Table6[[#This Row],[instruction]]&lt;&gt;"",MAX($A$6:A780)+1," ")</f>
        <v>776</v>
      </c>
      <c r="B781" s="32" t="s">
        <v>485</v>
      </c>
      <c r="C781" t="s">
        <v>26</v>
      </c>
      <c r="D781" s="31" t="s">
        <v>60</v>
      </c>
      <c r="E781" s="31" t="s">
        <v>78</v>
      </c>
      <c r="F781" s="31" t="s">
        <v>84</v>
      </c>
      <c r="G781" s="31" t="s">
        <v>23</v>
      </c>
      <c r="H781" s="31" t="s">
        <v>502</v>
      </c>
      <c r="K781" s="2" t="str">
        <f t="shared" si="12"/>
        <v>alu</v>
      </c>
      <c r="L781" cm="1">
        <f t="array" ref="L7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81" t="str">
        <f>IF(OR(ISNUMBER(SEARCH("imad", Table6[[#This Row],[instruction]])), ISNUMBER(SEARCH("ffma", Table6[[#This Row],[instruction]])), ISNUMBER(SEARCH("fmul", Table6[[#This Row],[instruction]]))), "fma", "")</f>
        <v/>
      </c>
      <c r="P7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1" t="str">
        <f>IF(OR(ISNUMBER(SEARCH("s2r", Table6[[#This Row],[instruction]])),ISNUMBER(SEARCH("s2ur", Table6[[#This Row],[instruction]]))), "special", "")</f>
        <v/>
      </c>
      <c r="S781" t="str">
        <f>IF(OR(ISNUMBER(SEARCH("stg", Table6[[#This Row],[instruction]])),ISNUMBER(SEARCH("ldg", Table6[[#This Row],[instruction]]))), "global", "")</f>
        <v/>
      </c>
      <c r="T781" t="str">
        <f>IF(OR(ISNUMBER(SEARCH("sts", Table6[[#This Row],[instruction]])),ISNUMBER(SEARCH("lds", Table6[[#This Row],[instruction]]))), "shared", "")</f>
        <v/>
      </c>
      <c r="U781" t="str">
        <f>IF(OR(ISNUMBER(SEARCH("LDC", Table6[[#This Row],[instruction]]))), "ind. const", "")</f>
        <v/>
      </c>
      <c r="V7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Row],[s5]]))),U781=""), "cmb. const", "")</f>
        <v/>
      </c>
      <c r="Y781">
        <f>IF(Table6[[#This Row],[pipeline]]="fma",Table6[[#This Row],[delay]],0)</f>
        <v>0</v>
      </c>
      <c r="Z781">
        <f>IF(AND(Table6[[#This Row],[pipeline]]="fma",W781="new"),290,0)</f>
        <v>0</v>
      </c>
      <c r="AK781" s="34"/>
    </row>
    <row r="782" spans="1:37" ht="17" x14ac:dyDescent="0.2">
      <c r="A782" s="31">
        <f>IF(Table6[[#This Row],[instruction]]&lt;&gt;"",MAX($A$6:A781)+1," ")</f>
        <v>777</v>
      </c>
      <c r="B782" s="32" t="s">
        <v>485</v>
      </c>
      <c r="C782" t="s">
        <v>26</v>
      </c>
      <c r="D782" s="31" t="s">
        <v>27</v>
      </c>
      <c r="E782" s="31" t="s">
        <v>74</v>
      </c>
      <c r="F782" s="31" t="s">
        <v>61</v>
      </c>
      <c r="G782" s="31" t="s">
        <v>23</v>
      </c>
      <c r="H782" s="31" t="s">
        <v>502</v>
      </c>
      <c r="K782" s="2" t="str">
        <f t="shared" si="12"/>
        <v>alu</v>
      </c>
      <c r="L782" cm="1">
        <f t="array" ref="L7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82" t="str">
        <f>IF(OR(ISNUMBER(SEARCH("imad", Table6[[#This Row],[instruction]])), ISNUMBER(SEARCH("ffma", Table6[[#This Row],[instruction]])), ISNUMBER(SEARCH("fmul", Table6[[#This Row],[instruction]]))), "fma", "")</f>
        <v/>
      </c>
      <c r="P7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2" t="str">
        <f>IF(OR(ISNUMBER(SEARCH("s2r", Table6[[#This Row],[instruction]])),ISNUMBER(SEARCH("s2ur", Table6[[#This Row],[instruction]]))), "special", "")</f>
        <v/>
      </c>
      <c r="S782" t="str">
        <f>IF(OR(ISNUMBER(SEARCH("stg", Table6[[#This Row],[instruction]])),ISNUMBER(SEARCH("ldg", Table6[[#This Row],[instruction]]))), "global", "")</f>
        <v/>
      </c>
      <c r="T782" t="str">
        <f>IF(OR(ISNUMBER(SEARCH("sts", Table6[[#This Row],[instruction]])),ISNUMBER(SEARCH("lds", Table6[[#This Row],[instruction]]))), "shared", "")</f>
        <v/>
      </c>
      <c r="U782" t="str">
        <f>IF(OR(ISNUMBER(SEARCH("LDC", Table6[[#This Row],[instruction]]))), "ind. const", "")</f>
        <v/>
      </c>
      <c r="V7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Row],[s5]]))),U782=""), "cmb. const", "")</f>
        <v/>
      </c>
      <c r="Y782">
        <f>IF(Table6[[#This Row],[pipeline]]="fma",Table6[[#This Row],[delay]],0)</f>
        <v>0</v>
      </c>
      <c r="Z782">
        <f>IF(AND(Table6[[#This Row],[pipeline]]="fma",W782="new"),290,0)</f>
        <v>0</v>
      </c>
      <c r="AK782" s="34"/>
    </row>
    <row r="783" spans="1:37" ht="17" x14ac:dyDescent="0.2">
      <c r="A783" s="31">
        <f>IF(Table6[[#This Row],[instruction]]&lt;&gt;"",MAX($A$6:A782)+1," ")</f>
        <v>778</v>
      </c>
      <c r="B783" s="32" t="s">
        <v>485</v>
      </c>
      <c r="C783" t="s">
        <v>26</v>
      </c>
      <c r="D783" s="31" t="s">
        <v>7</v>
      </c>
      <c r="E783" s="31" t="s">
        <v>533</v>
      </c>
      <c r="F783" s="31" t="s">
        <v>58</v>
      </c>
      <c r="G783" s="31" t="s">
        <v>23</v>
      </c>
      <c r="H783" s="31" t="s">
        <v>502</v>
      </c>
      <c r="K783" s="2" t="str">
        <f t="shared" si="12"/>
        <v>alu</v>
      </c>
      <c r="L783" cm="1">
        <f t="array" ref="L7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83" t="str">
        <f>IF(OR(ISNUMBER(SEARCH("imad", Table6[[#This Row],[instruction]])), ISNUMBER(SEARCH("ffma", Table6[[#This Row],[instruction]])), ISNUMBER(SEARCH("fmul", Table6[[#This Row],[instruction]]))), "fma", "")</f>
        <v/>
      </c>
      <c r="P7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3" t="str">
        <f>IF(OR(ISNUMBER(SEARCH("s2r", Table6[[#This Row],[instruction]])),ISNUMBER(SEARCH("s2ur", Table6[[#This Row],[instruction]]))), "special", "")</f>
        <v/>
      </c>
      <c r="S783" t="str">
        <f>IF(OR(ISNUMBER(SEARCH("stg", Table6[[#This Row],[instruction]])),ISNUMBER(SEARCH("ldg", Table6[[#This Row],[instruction]]))), "global", "")</f>
        <v/>
      </c>
      <c r="T783" t="str">
        <f>IF(OR(ISNUMBER(SEARCH("sts", Table6[[#This Row],[instruction]])),ISNUMBER(SEARCH("lds", Table6[[#This Row],[instruction]]))), "shared", "")</f>
        <v/>
      </c>
      <c r="U783" t="str">
        <f>IF(OR(ISNUMBER(SEARCH("LDC", Table6[[#This Row],[instruction]]))), "ind. const", "")</f>
        <v/>
      </c>
      <c r="V7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Row],[s5]]))),U783=""), "cmb. const", "")</f>
        <v/>
      </c>
      <c r="Y783">
        <f>IF(Table6[[#This Row],[pipeline]]="fma",Table6[[#This Row],[delay]],0)</f>
        <v>0</v>
      </c>
      <c r="Z783">
        <f>IF(AND(Table6[[#This Row],[pipeline]]="fma",W783="new"),290,0)</f>
        <v>0</v>
      </c>
      <c r="AK783" s="34"/>
    </row>
    <row r="784" spans="1:37" ht="17" x14ac:dyDescent="0.2">
      <c r="A784" s="31">
        <f>IF(Table6[[#This Row],[instruction]]&lt;&gt;"",MAX($A$6:A783)+1," ")</f>
        <v>779</v>
      </c>
      <c r="B784" s="32" t="s">
        <v>485</v>
      </c>
      <c r="C784" t="s">
        <v>736</v>
      </c>
      <c r="D784" s="31" t="s">
        <v>23</v>
      </c>
      <c r="E784" s="31" t="s">
        <v>82</v>
      </c>
      <c r="F784" s="31" t="s">
        <v>4</v>
      </c>
      <c r="G784" s="31" t="s">
        <v>75</v>
      </c>
      <c r="H784" s="31" t="s">
        <v>737</v>
      </c>
      <c r="K784" s="2" t="str">
        <f t="shared" si="12"/>
        <v>alu</v>
      </c>
      <c r="L784" cm="1">
        <f t="array" ref="L7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84" t="str">
        <f>IF(OR(ISNUMBER(SEARCH("imad", Table6[[#This Row],[instruction]])), ISNUMBER(SEARCH("ffma", Table6[[#This Row],[instruction]])), ISNUMBER(SEARCH("fmul", Table6[[#This Row],[instruction]]))), "fma", "")</f>
        <v/>
      </c>
      <c r="P7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4" t="str">
        <f>IF(OR(ISNUMBER(SEARCH("s2r", Table6[[#This Row],[instruction]])),ISNUMBER(SEARCH("s2ur", Table6[[#This Row],[instruction]]))), "special", "")</f>
        <v/>
      </c>
      <c r="S784" t="str">
        <f>IF(OR(ISNUMBER(SEARCH("stg", Table6[[#This Row],[instruction]])),ISNUMBER(SEARCH("ldg", Table6[[#This Row],[instruction]]))), "global", "")</f>
        <v/>
      </c>
      <c r="T784" t="str">
        <f>IF(OR(ISNUMBER(SEARCH("sts", Table6[[#This Row],[instruction]])),ISNUMBER(SEARCH("lds", Table6[[#This Row],[instruction]]))), "shared", "")</f>
        <v/>
      </c>
      <c r="U784" t="str">
        <f>IF(OR(ISNUMBER(SEARCH("LDC", Table6[[#This Row],[instruction]]))), "ind. const", "")</f>
        <v/>
      </c>
      <c r="V7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Row],[s5]]))),U784=""), "cmb. const", "")</f>
        <v/>
      </c>
      <c r="Y784">
        <f>IF(Table6[[#This Row],[pipeline]]="fma",Table6[[#This Row],[delay]],0)</f>
        <v>0</v>
      </c>
      <c r="Z784">
        <f>IF(AND(Table6[[#This Row],[pipeline]]="fma",W784="new"),290,0)</f>
        <v>0</v>
      </c>
      <c r="AK784" s="34"/>
    </row>
    <row r="785" spans="1:37" ht="17" x14ac:dyDescent="0.2">
      <c r="A785" s="31">
        <f>IF(Table6[[#This Row],[instruction]]&lt;&gt;"",MAX($A$6:A784)+1," ")</f>
        <v>780</v>
      </c>
      <c r="B785" s="32" t="s">
        <v>485</v>
      </c>
      <c r="C785" t="s">
        <v>89</v>
      </c>
      <c r="D785" s="31" t="s">
        <v>614</v>
      </c>
      <c r="E785" s="31" t="s">
        <v>27</v>
      </c>
      <c r="F785" s="31" t="s">
        <v>53</v>
      </c>
      <c r="G785" s="31" t="s">
        <v>502</v>
      </c>
      <c r="K785" s="2" t="str">
        <f t="shared" si="12"/>
        <v>fma</v>
      </c>
      <c r="L785" cm="1">
        <f t="array" ref="L7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85" t="str">
        <f>IF(OR(ISNUMBER(SEARCH("imad", Table6[[#This Row],[instruction]])), ISNUMBER(SEARCH("ffma", Table6[[#This Row],[instruction]])), ISNUMBER(SEARCH("fmul", Table6[[#This Row],[instruction]]))), "fma", "")</f>
        <v>fma</v>
      </c>
      <c r="P7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7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5" t="str">
        <f>IF(OR(ISNUMBER(SEARCH("s2r", Table6[[#This Row],[instruction]])),ISNUMBER(SEARCH("s2ur", Table6[[#This Row],[instruction]]))), "special", "")</f>
        <v/>
      </c>
      <c r="S785" t="str">
        <f>IF(OR(ISNUMBER(SEARCH("stg", Table6[[#This Row],[instruction]])),ISNUMBER(SEARCH("ldg", Table6[[#This Row],[instruction]]))), "global", "")</f>
        <v/>
      </c>
      <c r="T785" t="str">
        <f>IF(OR(ISNUMBER(SEARCH("sts", Table6[[#This Row],[instruction]])),ISNUMBER(SEARCH("lds", Table6[[#This Row],[instruction]]))), "shared", "")</f>
        <v/>
      </c>
      <c r="U785" t="str">
        <f>IF(OR(ISNUMBER(SEARCH("LDC", Table6[[#This Row],[instruction]]))), "ind. const", "")</f>
        <v/>
      </c>
      <c r="V7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Row],[s5]]))),U785=""), "cmb. const", "")</f>
        <v/>
      </c>
      <c r="Y785">
        <f>IF(Table6[[#This Row],[pipeline]]="fma",Table6[[#This Row],[delay]],0)</f>
        <v>4</v>
      </c>
      <c r="Z785">
        <f>IF(AND(Table6[[#This Row],[pipeline]]="fma",W785="new"),290,0)</f>
        <v>0</v>
      </c>
      <c r="AK785" s="34"/>
    </row>
    <row r="786" spans="1:37" ht="17" x14ac:dyDescent="0.2">
      <c r="A786" s="31">
        <f>IF(Table6[[#This Row],[instruction]]&lt;&gt;"",MAX($A$6:A785)+1," ")</f>
        <v>781</v>
      </c>
      <c r="B786" s="32" t="s">
        <v>485</v>
      </c>
      <c r="C786" t="s">
        <v>736</v>
      </c>
      <c r="D786" s="31" t="s">
        <v>84</v>
      </c>
      <c r="E786" s="31" t="s">
        <v>84</v>
      </c>
      <c r="F786" s="31" t="s">
        <v>4</v>
      </c>
      <c r="G786" s="31" t="s">
        <v>75</v>
      </c>
      <c r="H786" s="31" t="s">
        <v>602</v>
      </c>
      <c r="K786" s="2" t="str">
        <f t="shared" si="12"/>
        <v>alu</v>
      </c>
      <c r="L786" cm="1">
        <f t="array" ref="L7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86" t="str">
        <f>IF(OR(ISNUMBER(SEARCH("imad", Table6[[#This Row],[instruction]])), ISNUMBER(SEARCH("ffma", Table6[[#This Row],[instruction]])), ISNUMBER(SEARCH("fmul", Table6[[#This Row],[instruction]]))), "fma", "")</f>
        <v/>
      </c>
      <c r="P7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6" t="str">
        <f>IF(OR(ISNUMBER(SEARCH("s2r", Table6[[#This Row],[instruction]])),ISNUMBER(SEARCH("s2ur", Table6[[#This Row],[instruction]]))), "special", "")</f>
        <v/>
      </c>
      <c r="S786" t="str">
        <f>IF(OR(ISNUMBER(SEARCH("stg", Table6[[#This Row],[instruction]])),ISNUMBER(SEARCH("ldg", Table6[[#This Row],[instruction]]))), "global", "")</f>
        <v/>
      </c>
      <c r="T786" t="str">
        <f>IF(OR(ISNUMBER(SEARCH("sts", Table6[[#This Row],[instruction]])),ISNUMBER(SEARCH("lds", Table6[[#This Row],[instruction]]))), "shared", "")</f>
        <v/>
      </c>
      <c r="U786" t="str">
        <f>IF(OR(ISNUMBER(SEARCH("LDC", Table6[[#This Row],[instruction]]))), "ind. const", "")</f>
        <v/>
      </c>
      <c r="V7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Row],[s5]]))),U786=""), "cmb. const", "")</f>
        <v/>
      </c>
      <c r="Y786">
        <f>IF(Table6[[#This Row],[pipeline]]="fma",Table6[[#This Row],[delay]],0)</f>
        <v>0</v>
      </c>
      <c r="Z786">
        <f>IF(AND(Table6[[#This Row],[pipeline]]="fma",W786="new"),290,0)</f>
        <v>0</v>
      </c>
      <c r="AK786" s="34"/>
    </row>
    <row r="787" spans="1:37" ht="17" x14ac:dyDescent="0.2">
      <c r="A787" s="31">
        <f>IF(Table6[[#This Row],[instruction]]&lt;&gt;"",MAX($A$6:A786)+1," ")</f>
        <v>782</v>
      </c>
      <c r="B787" s="32" t="s">
        <v>485</v>
      </c>
      <c r="C787" t="s">
        <v>736</v>
      </c>
      <c r="D787" s="31" t="s">
        <v>61</v>
      </c>
      <c r="E787" s="31" t="s">
        <v>61</v>
      </c>
      <c r="F787" s="31" t="s">
        <v>4</v>
      </c>
      <c r="G787" s="31" t="s">
        <v>75</v>
      </c>
      <c r="H787" s="31" t="s">
        <v>643</v>
      </c>
      <c r="K787" s="2" t="str">
        <f t="shared" si="12"/>
        <v>alu</v>
      </c>
      <c r="L787" cm="1">
        <f t="array" ref="L7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87" t="str">
        <f>IF(OR(ISNUMBER(SEARCH("imad", Table6[[#This Row],[instruction]])), ISNUMBER(SEARCH("ffma", Table6[[#This Row],[instruction]])), ISNUMBER(SEARCH("fmul", Table6[[#This Row],[instruction]]))), "fma", "")</f>
        <v/>
      </c>
      <c r="P7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7" t="str">
        <f>IF(OR(ISNUMBER(SEARCH("s2r", Table6[[#This Row],[instruction]])),ISNUMBER(SEARCH("s2ur", Table6[[#This Row],[instruction]]))), "special", "")</f>
        <v/>
      </c>
      <c r="S787" t="str">
        <f>IF(OR(ISNUMBER(SEARCH("stg", Table6[[#This Row],[instruction]])),ISNUMBER(SEARCH("ldg", Table6[[#This Row],[instruction]]))), "global", "")</f>
        <v/>
      </c>
      <c r="T787" t="str">
        <f>IF(OR(ISNUMBER(SEARCH("sts", Table6[[#This Row],[instruction]])),ISNUMBER(SEARCH("lds", Table6[[#This Row],[instruction]]))), "shared", "")</f>
        <v/>
      </c>
      <c r="U787" t="str">
        <f>IF(OR(ISNUMBER(SEARCH("LDC", Table6[[#This Row],[instruction]]))), "ind. const", "")</f>
        <v/>
      </c>
      <c r="V7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Row],[s5]]))),U787=""), "cmb. const", "")</f>
        <v/>
      </c>
      <c r="Y787">
        <f>IF(Table6[[#This Row],[pipeline]]="fma",Table6[[#This Row],[delay]],0)</f>
        <v>0</v>
      </c>
      <c r="Z787">
        <f>IF(AND(Table6[[#This Row],[pipeline]]="fma",W787="new"),290,0)</f>
        <v>0</v>
      </c>
      <c r="AK787" s="34"/>
    </row>
    <row r="788" spans="1:37" ht="17" x14ac:dyDescent="0.2">
      <c r="A788" s="31">
        <f>IF(Table6[[#This Row],[instruction]]&lt;&gt;"",MAX($A$6:A787)+1," ")</f>
        <v>783</v>
      </c>
      <c r="B788" s="32" t="s">
        <v>485</v>
      </c>
      <c r="C788" t="s">
        <v>736</v>
      </c>
      <c r="D788" s="31" t="s">
        <v>58</v>
      </c>
      <c r="E788" s="31" t="s">
        <v>58</v>
      </c>
      <c r="F788" s="31" t="s">
        <v>4</v>
      </c>
      <c r="G788" s="31" t="s">
        <v>75</v>
      </c>
      <c r="H788" s="31" t="s">
        <v>645</v>
      </c>
      <c r="K788" s="2" t="str">
        <f t="shared" si="12"/>
        <v>alu</v>
      </c>
      <c r="L788" cm="1">
        <f t="array" ref="L7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788" t="str">
        <f>IF(OR(ISNUMBER(SEARCH("imad", Table6[[#This Row],[instruction]])), ISNUMBER(SEARCH("ffma", Table6[[#This Row],[instruction]])), ISNUMBER(SEARCH("fmul", Table6[[#This Row],[instruction]]))), "fma", "")</f>
        <v/>
      </c>
      <c r="P7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8" t="str">
        <f>IF(OR(ISNUMBER(SEARCH("s2r", Table6[[#This Row],[instruction]])),ISNUMBER(SEARCH("s2ur", Table6[[#This Row],[instruction]]))), "special", "")</f>
        <v/>
      </c>
      <c r="S788" t="str">
        <f>IF(OR(ISNUMBER(SEARCH("stg", Table6[[#This Row],[instruction]])),ISNUMBER(SEARCH("ldg", Table6[[#This Row],[instruction]]))), "global", "")</f>
        <v/>
      </c>
      <c r="T788" t="str">
        <f>IF(OR(ISNUMBER(SEARCH("sts", Table6[[#This Row],[instruction]])),ISNUMBER(SEARCH("lds", Table6[[#This Row],[instruction]]))), "shared", "")</f>
        <v/>
      </c>
      <c r="U788" t="str">
        <f>IF(OR(ISNUMBER(SEARCH("LDC", Table6[[#This Row],[instruction]]))), "ind. const", "")</f>
        <v/>
      </c>
      <c r="V7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Row],[s5]]))),U788=""), "cmb. const", "")</f>
        <v/>
      </c>
      <c r="Y788">
        <f>IF(Table6[[#This Row],[pipeline]]="fma",Table6[[#This Row],[delay]],0)</f>
        <v>0</v>
      </c>
      <c r="Z788">
        <f>IF(AND(Table6[[#This Row],[pipeline]]="fma",W788="new"),290,0)</f>
        <v>0</v>
      </c>
      <c r="AK788" s="34"/>
    </row>
    <row r="789" spans="1:37" ht="17" x14ac:dyDescent="0.2">
      <c r="A789" s="31">
        <f>IF(Table6[[#This Row],[instruction]]&lt;&gt;"",MAX($A$6:A788)+1," ")</f>
        <v>784</v>
      </c>
      <c r="B789" s="32" t="s">
        <v>485</v>
      </c>
      <c r="C789" t="s">
        <v>738</v>
      </c>
      <c r="D789" s="31" t="s">
        <v>23</v>
      </c>
      <c r="E789" s="31" t="s">
        <v>430</v>
      </c>
      <c r="F789" s="31" t="s">
        <v>79</v>
      </c>
      <c r="G789" s="31" t="s">
        <v>514</v>
      </c>
      <c r="K789" s="2" t="str">
        <f t="shared" si="12"/>
        <v>alu</v>
      </c>
      <c r="L789" cm="1">
        <f t="array" ref="L7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89" t="str">
        <f>IF(OR(ISNUMBER(SEARCH("imad", Table6[[#This Row],[instruction]])), ISNUMBER(SEARCH("ffma", Table6[[#This Row],[instruction]])), ISNUMBER(SEARCH("fmul", Table6[[#This Row],[instruction]]))), "fma", "")</f>
        <v/>
      </c>
      <c r="P7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89" t="str">
        <f>IF(OR(ISNUMBER(SEARCH("s2r", Table6[[#This Row],[instruction]])),ISNUMBER(SEARCH("s2ur", Table6[[#This Row],[instruction]]))), "special", "")</f>
        <v/>
      </c>
      <c r="S789" t="str">
        <f>IF(OR(ISNUMBER(SEARCH("stg", Table6[[#This Row],[instruction]])),ISNUMBER(SEARCH("ldg", Table6[[#This Row],[instruction]]))), "global", "")</f>
        <v/>
      </c>
      <c r="T789" t="str">
        <f>IF(OR(ISNUMBER(SEARCH("sts", Table6[[#This Row],[instruction]])),ISNUMBER(SEARCH("lds", Table6[[#This Row],[instruction]]))), "shared", "")</f>
        <v/>
      </c>
      <c r="U789" t="str">
        <f>IF(OR(ISNUMBER(SEARCH("LDC", Table6[[#This Row],[instruction]]))), "ind. const", "")</f>
        <v/>
      </c>
      <c r="V7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Row],[s5]]))),U789=""), "cmb. const", "")</f>
        <v/>
      </c>
      <c r="Y789">
        <f>IF(Table6[[#This Row],[pipeline]]="fma",Table6[[#This Row],[delay]],0)</f>
        <v>0</v>
      </c>
      <c r="Z789">
        <f>IF(AND(Table6[[#This Row],[pipeline]]="fma",W789="new"),290,0)</f>
        <v>0</v>
      </c>
      <c r="AK789" s="34"/>
    </row>
    <row r="790" spans="1:37" ht="17" x14ac:dyDescent="0.2">
      <c r="A790" s="31">
        <f>IF(Table6[[#This Row],[instruction]]&lt;&gt;"",MAX($A$6:A789)+1," ")</f>
        <v>785</v>
      </c>
      <c r="B790" s="32" t="s">
        <v>485</v>
      </c>
      <c r="C790" t="s">
        <v>47</v>
      </c>
      <c r="D790" s="31" t="s">
        <v>440</v>
      </c>
      <c r="E790" s="31" t="s">
        <v>60</v>
      </c>
      <c r="F790" s="31" t="s">
        <v>79</v>
      </c>
      <c r="G790" s="31" t="s">
        <v>502</v>
      </c>
      <c r="K790" s="2" t="str">
        <f t="shared" si="12"/>
        <v>alu</v>
      </c>
      <c r="L790" cm="1">
        <f t="array" ref="L7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0" t="str">
        <f>IF(OR(ISNUMBER(SEARCH("imad", Table6[[#This Row],[instruction]])), ISNUMBER(SEARCH("ffma", Table6[[#This Row],[instruction]])), ISNUMBER(SEARCH("fmul", Table6[[#This Row],[instruction]]))), "fma", "")</f>
        <v/>
      </c>
      <c r="P7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0" t="str">
        <f>IF(OR(ISNUMBER(SEARCH("s2r", Table6[[#This Row],[instruction]])),ISNUMBER(SEARCH("s2ur", Table6[[#This Row],[instruction]]))), "special", "")</f>
        <v/>
      </c>
      <c r="S790" t="str">
        <f>IF(OR(ISNUMBER(SEARCH("stg", Table6[[#This Row],[instruction]])),ISNUMBER(SEARCH("ldg", Table6[[#This Row],[instruction]]))), "global", "")</f>
        <v/>
      </c>
      <c r="T790" t="str">
        <f>IF(OR(ISNUMBER(SEARCH("sts", Table6[[#This Row],[instruction]])),ISNUMBER(SEARCH("lds", Table6[[#This Row],[instruction]]))), "shared", "")</f>
        <v/>
      </c>
      <c r="U790" t="str">
        <f>IF(OR(ISNUMBER(SEARCH("LDC", Table6[[#This Row],[instruction]]))), "ind. const", "")</f>
        <v/>
      </c>
      <c r="V7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Row],[s5]]))),U790=""), "cmb. const", "")</f>
        <v/>
      </c>
      <c r="Y790">
        <f>IF(Table6[[#This Row],[pipeline]]="fma",Table6[[#This Row],[delay]],0)</f>
        <v>0</v>
      </c>
      <c r="Z790">
        <f>IF(AND(Table6[[#This Row],[pipeline]]="fma",W790="new"),290,0)</f>
        <v>0</v>
      </c>
      <c r="AK790" s="34"/>
    </row>
    <row r="791" spans="1:37" ht="17" x14ac:dyDescent="0.2">
      <c r="A791" s="31">
        <f>IF(Table6[[#This Row],[instruction]]&lt;&gt;"",MAX($A$6:A790)+1," ")</f>
        <v>786</v>
      </c>
      <c r="B791" s="32" t="s">
        <v>485</v>
      </c>
      <c r="C791" t="s">
        <v>47</v>
      </c>
      <c r="D791" s="31" t="s">
        <v>654</v>
      </c>
      <c r="E791" s="31" t="s">
        <v>7</v>
      </c>
      <c r="F791" s="31" t="s">
        <v>79</v>
      </c>
      <c r="G791" s="31" t="s">
        <v>502</v>
      </c>
      <c r="K791" s="2" t="str">
        <f t="shared" si="12"/>
        <v>alu</v>
      </c>
      <c r="L791" cm="1">
        <f t="array" ref="L79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1" t="str">
        <f>IF(OR(ISNUMBER(SEARCH("imad", Table6[[#This Row],[instruction]])), ISNUMBER(SEARCH("ffma", Table6[[#This Row],[instruction]])), ISNUMBER(SEARCH("fmul", Table6[[#This Row],[instruction]]))), "fma", "")</f>
        <v/>
      </c>
      <c r="P7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1" t="str">
        <f>IF(OR(ISNUMBER(SEARCH("s2r", Table6[[#This Row],[instruction]])),ISNUMBER(SEARCH("s2ur", Table6[[#This Row],[instruction]]))), "special", "")</f>
        <v/>
      </c>
      <c r="S791" t="str">
        <f>IF(OR(ISNUMBER(SEARCH("stg", Table6[[#This Row],[instruction]])),ISNUMBER(SEARCH("ldg", Table6[[#This Row],[instruction]]))), "global", "")</f>
        <v/>
      </c>
      <c r="T791" t="str">
        <f>IF(OR(ISNUMBER(SEARCH("sts", Table6[[#This Row],[instruction]])),ISNUMBER(SEARCH("lds", Table6[[#This Row],[instruction]]))), "shared", "")</f>
        <v/>
      </c>
      <c r="U791" t="str">
        <f>IF(OR(ISNUMBER(SEARCH("LDC", Table6[[#This Row],[instruction]]))), "ind. const", "")</f>
        <v/>
      </c>
      <c r="V7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Row],[s5]]))),U791=""), "cmb. const", "")</f>
        <v/>
      </c>
      <c r="Y791">
        <f>IF(Table6[[#This Row],[pipeline]]="fma",Table6[[#This Row],[delay]],0)</f>
        <v>0</v>
      </c>
      <c r="Z791">
        <f>IF(AND(Table6[[#This Row],[pipeline]]="fma",W791="new"),290,0)</f>
        <v>0</v>
      </c>
      <c r="AK791" s="34"/>
    </row>
    <row r="792" spans="1:37" ht="17" x14ac:dyDescent="0.2">
      <c r="A792" s="31">
        <f>IF(Table6[[#This Row],[instruction]]&lt;&gt;"",MAX($A$6:A791)+1," ")</f>
        <v>787</v>
      </c>
      <c r="B792" s="32" t="s">
        <v>485</v>
      </c>
      <c r="C792" t="s">
        <v>47</v>
      </c>
      <c r="D792" s="31" t="s">
        <v>430</v>
      </c>
      <c r="E792" s="31" t="s">
        <v>430</v>
      </c>
      <c r="F792" s="31" t="s">
        <v>79</v>
      </c>
      <c r="G792" s="31" t="s">
        <v>502</v>
      </c>
      <c r="K792" s="2" t="str">
        <f t="shared" si="12"/>
        <v>alu</v>
      </c>
      <c r="L792" cm="1">
        <f t="array" ref="L79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2" t="str">
        <f>IF(OR(ISNUMBER(SEARCH("imad", Table6[[#This Row],[instruction]])), ISNUMBER(SEARCH("ffma", Table6[[#This Row],[instruction]])), ISNUMBER(SEARCH("fmul", Table6[[#This Row],[instruction]]))), "fma", "")</f>
        <v/>
      </c>
      <c r="P79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2" t="str">
        <f>IF(OR(ISNUMBER(SEARCH("s2r", Table6[[#This Row],[instruction]])),ISNUMBER(SEARCH("s2ur", Table6[[#This Row],[instruction]]))), "special", "")</f>
        <v/>
      </c>
      <c r="S792" t="str">
        <f>IF(OR(ISNUMBER(SEARCH("stg", Table6[[#This Row],[instruction]])),ISNUMBER(SEARCH("ldg", Table6[[#This Row],[instruction]]))), "global", "")</f>
        <v/>
      </c>
      <c r="T792" t="str">
        <f>IF(OR(ISNUMBER(SEARCH("sts", Table6[[#This Row],[instruction]])),ISNUMBER(SEARCH("lds", Table6[[#This Row],[instruction]]))), "shared", "")</f>
        <v/>
      </c>
      <c r="U792" t="str">
        <f>IF(OR(ISNUMBER(SEARCH("LDC", Table6[[#This Row],[instruction]]))), "ind. const", "")</f>
        <v/>
      </c>
      <c r="V79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Row],[s5]]))),U792=""), "cmb. const", "")</f>
        <v/>
      </c>
      <c r="Y792">
        <f>IF(Table6[[#This Row],[pipeline]]="fma",Table6[[#This Row],[delay]],0)</f>
        <v>0</v>
      </c>
      <c r="Z792">
        <f>IF(AND(Table6[[#This Row],[pipeline]]="fma",W792="new"),290,0)</f>
        <v>0</v>
      </c>
      <c r="AK792" s="34"/>
    </row>
    <row r="793" spans="1:37" ht="17" x14ac:dyDescent="0.2">
      <c r="A793" s="31">
        <f>IF(Table6[[#This Row],[instruction]]&lt;&gt;"",MAX($A$6:A792)+1," ")</f>
        <v>788</v>
      </c>
      <c r="B793" s="32" t="s">
        <v>485</v>
      </c>
      <c r="C793" t="s">
        <v>738</v>
      </c>
      <c r="D793" s="31" t="s">
        <v>71</v>
      </c>
      <c r="E793" s="31" t="s">
        <v>60</v>
      </c>
      <c r="F793" s="31" t="s">
        <v>79</v>
      </c>
      <c r="G793" s="31" t="s">
        <v>545</v>
      </c>
      <c r="K793" s="2" t="str">
        <f t="shared" si="12"/>
        <v>alu</v>
      </c>
      <c r="L793" cm="1">
        <f t="array" ref="L79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3" t="str">
        <f>IF(OR(ISNUMBER(SEARCH("imad", Table6[[#This Row],[instruction]])), ISNUMBER(SEARCH("ffma", Table6[[#This Row],[instruction]])), ISNUMBER(SEARCH("fmul", Table6[[#This Row],[instruction]]))), "fma", "")</f>
        <v/>
      </c>
      <c r="P79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3" t="str">
        <f>IF(OR(ISNUMBER(SEARCH("s2r", Table6[[#This Row],[instruction]])),ISNUMBER(SEARCH("s2ur", Table6[[#This Row],[instruction]]))), "special", "")</f>
        <v/>
      </c>
      <c r="S793" t="str">
        <f>IF(OR(ISNUMBER(SEARCH("stg", Table6[[#This Row],[instruction]])),ISNUMBER(SEARCH("ldg", Table6[[#This Row],[instruction]]))), "global", "")</f>
        <v/>
      </c>
      <c r="T793" t="str">
        <f>IF(OR(ISNUMBER(SEARCH("sts", Table6[[#This Row],[instruction]])),ISNUMBER(SEARCH("lds", Table6[[#This Row],[instruction]]))), "shared", "")</f>
        <v/>
      </c>
      <c r="U793" t="str">
        <f>IF(OR(ISNUMBER(SEARCH("LDC", Table6[[#This Row],[instruction]]))), "ind. const", "")</f>
        <v/>
      </c>
      <c r="V79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Row],[s5]]))),U793=""), "cmb. const", "")</f>
        <v/>
      </c>
      <c r="Y793">
        <f>IF(Table6[[#This Row],[pipeline]]="fma",Table6[[#This Row],[delay]],0)</f>
        <v>0</v>
      </c>
      <c r="Z793">
        <f>IF(AND(Table6[[#This Row],[pipeline]]="fma",W793="new"),290,0)</f>
        <v>0</v>
      </c>
      <c r="AK793" s="34"/>
    </row>
    <row r="794" spans="1:37" ht="17" x14ac:dyDescent="0.2">
      <c r="A794" s="31">
        <f>IF(Table6[[#This Row],[instruction]]&lt;&gt;"",MAX($A$6:A793)+1," ")</f>
        <v>789</v>
      </c>
      <c r="B794" s="32" t="s">
        <v>485</v>
      </c>
      <c r="C794" t="s">
        <v>738</v>
      </c>
      <c r="D794" s="31" t="s">
        <v>588</v>
      </c>
      <c r="E794" s="31" t="s">
        <v>27</v>
      </c>
      <c r="F794" s="31" t="s">
        <v>79</v>
      </c>
      <c r="G794" s="31" t="s">
        <v>520</v>
      </c>
      <c r="K794" s="2" t="str">
        <f t="shared" si="12"/>
        <v>alu</v>
      </c>
      <c r="L794" cm="1">
        <f t="array" ref="L79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4" t="str">
        <f>IF(OR(ISNUMBER(SEARCH("imad", Table6[[#This Row],[instruction]])), ISNUMBER(SEARCH("ffma", Table6[[#This Row],[instruction]])), ISNUMBER(SEARCH("fmul", Table6[[#This Row],[instruction]]))), "fma", "")</f>
        <v/>
      </c>
      <c r="P79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4" t="str">
        <f>IF(OR(ISNUMBER(SEARCH("s2r", Table6[[#This Row],[instruction]])),ISNUMBER(SEARCH("s2ur", Table6[[#This Row],[instruction]]))), "special", "")</f>
        <v/>
      </c>
      <c r="S794" t="str">
        <f>IF(OR(ISNUMBER(SEARCH("stg", Table6[[#This Row],[instruction]])),ISNUMBER(SEARCH("ldg", Table6[[#This Row],[instruction]]))), "global", "")</f>
        <v/>
      </c>
      <c r="T794" t="str">
        <f>IF(OR(ISNUMBER(SEARCH("sts", Table6[[#This Row],[instruction]])),ISNUMBER(SEARCH("lds", Table6[[#This Row],[instruction]]))), "shared", "")</f>
        <v/>
      </c>
      <c r="U794" t="str">
        <f>IF(OR(ISNUMBER(SEARCH("LDC", Table6[[#This Row],[instruction]]))), "ind. const", "")</f>
        <v/>
      </c>
      <c r="V79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Row],[s5]]))),U794=""), "cmb. const", "")</f>
        <v/>
      </c>
      <c r="Y794">
        <f>IF(Table6[[#This Row],[pipeline]]="fma",Table6[[#This Row],[delay]],0)</f>
        <v>0</v>
      </c>
      <c r="Z794">
        <f>IF(AND(Table6[[#This Row],[pipeline]]="fma",W794="new"),290,0)</f>
        <v>0</v>
      </c>
      <c r="AK794" s="34"/>
    </row>
    <row r="795" spans="1:37" ht="17" x14ac:dyDescent="0.2">
      <c r="A795" s="31">
        <f>IF(Table6[[#This Row],[instruction]]&lt;&gt;"",MAX($A$6:A794)+1," ")</f>
        <v>790</v>
      </c>
      <c r="B795" s="32" t="s">
        <v>485</v>
      </c>
      <c r="C795" t="s">
        <v>738</v>
      </c>
      <c r="D795" s="31" t="s">
        <v>577</v>
      </c>
      <c r="E795" s="31" t="s">
        <v>7</v>
      </c>
      <c r="F795" s="31" t="s">
        <v>79</v>
      </c>
      <c r="G795" s="31" t="s">
        <v>503</v>
      </c>
      <c r="K795" s="2" t="str">
        <f t="shared" si="12"/>
        <v>alu</v>
      </c>
      <c r="L795" cm="1">
        <f t="array" ref="L79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795" t="str">
        <f>IF(OR(ISNUMBER(SEARCH("imad", Table6[[#This Row],[instruction]])), ISNUMBER(SEARCH("ffma", Table6[[#This Row],[instruction]])), ISNUMBER(SEARCH("fmul", Table6[[#This Row],[instruction]]))), "fma", "")</f>
        <v/>
      </c>
      <c r="P79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5" t="str">
        <f>IF(OR(ISNUMBER(SEARCH("s2r", Table6[[#This Row],[instruction]])),ISNUMBER(SEARCH("s2ur", Table6[[#This Row],[instruction]]))), "special", "")</f>
        <v/>
      </c>
      <c r="S795" t="str">
        <f>IF(OR(ISNUMBER(SEARCH("stg", Table6[[#This Row],[instruction]])),ISNUMBER(SEARCH("ldg", Table6[[#This Row],[instruction]]))), "global", "")</f>
        <v/>
      </c>
      <c r="T795" t="str">
        <f>IF(OR(ISNUMBER(SEARCH("sts", Table6[[#This Row],[instruction]])),ISNUMBER(SEARCH("lds", Table6[[#This Row],[instruction]]))), "shared", "")</f>
        <v/>
      </c>
      <c r="U795" t="str">
        <f>IF(OR(ISNUMBER(SEARCH("LDC", Table6[[#This Row],[instruction]]))), "ind. const", "")</f>
        <v/>
      </c>
      <c r="V79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Row],[s5]]))),U795=""), "cmb. const", "")</f>
        <v/>
      </c>
      <c r="Y795">
        <f>IF(Table6[[#This Row],[pipeline]]="fma",Table6[[#This Row],[delay]],0)</f>
        <v>0</v>
      </c>
      <c r="Z795">
        <f>IF(AND(Table6[[#This Row],[pipeline]]="fma",W795="new"),290,0)</f>
        <v>0</v>
      </c>
      <c r="AK795" s="34"/>
    </row>
    <row r="796" spans="1:37" ht="17" x14ac:dyDescent="0.2">
      <c r="A796" s="31">
        <f>IF(Table6[[#This Row],[instruction]]&lt;&gt;"",MAX($A$6:A795)+1," ")</f>
        <v>791</v>
      </c>
      <c r="B796" s="32" t="s">
        <v>485</v>
      </c>
      <c r="C796" t="s">
        <v>26</v>
      </c>
      <c r="D796" s="31" t="s">
        <v>84</v>
      </c>
      <c r="E796" s="31" t="s">
        <v>78</v>
      </c>
      <c r="F796" s="31" t="s">
        <v>440</v>
      </c>
      <c r="G796" s="31" t="s">
        <v>468</v>
      </c>
      <c r="H796" s="31" t="s">
        <v>502</v>
      </c>
      <c r="K796" s="2" t="str">
        <f t="shared" si="12"/>
        <v>alu</v>
      </c>
      <c r="L796" cm="1">
        <f t="array" ref="L79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96" t="str">
        <f>IF(OR(ISNUMBER(SEARCH("imad", Table6[[#This Row],[instruction]])), ISNUMBER(SEARCH("ffma", Table6[[#This Row],[instruction]])), ISNUMBER(SEARCH("fmul", Table6[[#This Row],[instruction]]))), "fma", "")</f>
        <v/>
      </c>
      <c r="P79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6" t="str">
        <f>IF(OR(ISNUMBER(SEARCH("s2r", Table6[[#This Row],[instruction]])),ISNUMBER(SEARCH("s2ur", Table6[[#This Row],[instruction]]))), "special", "")</f>
        <v/>
      </c>
      <c r="S796" t="str">
        <f>IF(OR(ISNUMBER(SEARCH("stg", Table6[[#This Row],[instruction]])),ISNUMBER(SEARCH("ldg", Table6[[#This Row],[instruction]]))), "global", "")</f>
        <v/>
      </c>
      <c r="T796" t="str">
        <f>IF(OR(ISNUMBER(SEARCH("sts", Table6[[#This Row],[instruction]])),ISNUMBER(SEARCH("lds", Table6[[#This Row],[instruction]]))), "shared", "")</f>
        <v/>
      </c>
      <c r="U796" t="str">
        <f>IF(OR(ISNUMBER(SEARCH("LDC", Table6[[#This Row],[instruction]]))), "ind. const", "")</f>
        <v/>
      </c>
      <c r="V79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Row],[s5]]))),U796=""), "cmb. const", "")</f>
        <v>cmb. const</v>
      </c>
      <c r="Y796">
        <f>IF(Table6[[#This Row],[pipeline]]="fma",Table6[[#This Row],[delay]],0)</f>
        <v>0</v>
      </c>
      <c r="Z796">
        <f>IF(AND(Table6[[#This Row],[pipeline]]="fma",W796="new"),290,0)</f>
        <v>0</v>
      </c>
      <c r="AK796" s="34"/>
    </row>
    <row r="797" spans="1:37" ht="17" x14ac:dyDescent="0.2">
      <c r="A797" s="31">
        <f>IF(Table6[[#This Row],[instruction]]&lt;&gt;"",MAX($A$6:A796)+1," ")</f>
        <v>792</v>
      </c>
      <c r="B797" s="32" t="s">
        <v>485</v>
      </c>
      <c r="C797" t="s">
        <v>26</v>
      </c>
      <c r="D797" s="31" t="s">
        <v>61</v>
      </c>
      <c r="E797" s="31" t="s">
        <v>74</v>
      </c>
      <c r="F797" s="31" t="s">
        <v>614</v>
      </c>
      <c r="G797" s="31" t="s">
        <v>468</v>
      </c>
      <c r="H797" s="31" t="s">
        <v>502</v>
      </c>
      <c r="K797" s="2" t="str">
        <f t="shared" si="12"/>
        <v>alu</v>
      </c>
      <c r="L797" cm="1">
        <f t="array" ref="L79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97" t="str">
        <f>IF(OR(ISNUMBER(SEARCH("imad", Table6[[#This Row],[instruction]])), ISNUMBER(SEARCH("ffma", Table6[[#This Row],[instruction]])), ISNUMBER(SEARCH("fmul", Table6[[#This Row],[instruction]]))), "fma", "")</f>
        <v/>
      </c>
      <c r="P79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7" t="str">
        <f>IF(OR(ISNUMBER(SEARCH("s2r", Table6[[#This Row],[instruction]])),ISNUMBER(SEARCH("s2ur", Table6[[#This Row],[instruction]]))), "special", "")</f>
        <v/>
      </c>
      <c r="S797" t="str">
        <f>IF(OR(ISNUMBER(SEARCH("stg", Table6[[#This Row],[instruction]])),ISNUMBER(SEARCH("ldg", Table6[[#This Row],[instruction]]))), "global", "")</f>
        <v/>
      </c>
      <c r="T797" t="str">
        <f>IF(OR(ISNUMBER(SEARCH("sts", Table6[[#This Row],[instruction]])),ISNUMBER(SEARCH("lds", Table6[[#This Row],[instruction]]))), "shared", "")</f>
        <v/>
      </c>
      <c r="U797" t="str">
        <f>IF(OR(ISNUMBER(SEARCH("LDC", Table6[[#This Row],[instruction]]))), "ind. const", "")</f>
        <v/>
      </c>
      <c r="V79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Row],[s5]]))),U797=""), "cmb. const", "")</f>
        <v>cmb. const</v>
      </c>
      <c r="Y797">
        <f>IF(Table6[[#This Row],[pipeline]]="fma",Table6[[#This Row],[delay]],0)</f>
        <v>0</v>
      </c>
      <c r="Z797">
        <f>IF(AND(Table6[[#This Row],[pipeline]]="fma",W797="new"),290,0)</f>
        <v>0</v>
      </c>
      <c r="AK797" s="34"/>
    </row>
    <row r="798" spans="1:37" ht="17" x14ac:dyDescent="0.2">
      <c r="A798" s="31">
        <f>IF(Table6[[#This Row],[instruction]]&lt;&gt;"",MAX($A$6:A797)+1," ")</f>
        <v>793</v>
      </c>
      <c r="B798" s="32" t="s">
        <v>485</v>
      </c>
      <c r="C798" t="s">
        <v>26</v>
      </c>
      <c r="D798" s="31" t="s">
        <v>58</v>
      </c>
      <c r="E798" s="31" t="s">
        <v>533</v>
      </c>
      <c r="F798" s="31" t="s">
        <v>654</v>
      </c>
      <c r="G798" s="31" t="s">
        <v>468</v>
      </c>
      <c r="H798" s="31" t="s">
        <v>502</v>
      </c>
      <c r="K798" s="2" t="str">
        <f t="shared" si="12"/>
        <v>alu</v>
      </c>
      <c r="L798" cm="1">
        <f t="array" ref="L79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98" t="str">
        <f>IF(OR(ISNUMBER(SEARCH("imad", Table6[[#This Row],[instruction]])), ISNUMBER(SEARCH("ffma", Table6[[#This Row],[instruction]])), ISNUMBER(SEARCH("fmul", Table6[[#This Row],[instruction]]))), "fma", "")</f>
        <v/>
      </c>
      <c r="P79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8" t="str">
        <f>IF(OR(ISNUMBER(SEARCH("s2r", Table6[[#This Row],[instruction]])),ISNUMBER(SEARCH("s2ur", Table6[[#This Row],[instruction]]))), "special", "")</f>
        <v/>
      </c>
      <c r="S798" t="str">
        <f>IF(OR(ISNUMBER(SEARCH("stg", Table6[[#This Row],[instruction]])),ISNUMBER(SEARCH("ldg", Table6[[#This Row],[instruction]]))), "global", "")</f>
        <v/>
      </c>
      <c r="T798" t="str">
        <f>IF(OR(ISNUMBER(SEARCH("sts", Table6[[#This Row],[instruction]])),ISNUMBER(SEARCH("lds", Table6[[#This Row],[instruction]]))), "shared", "")</f>
        <v/>
      </c>
      <c r="U798" t="str">
        <f>IF(OR(ISNUMBER(SEARCH("LDC", Table6[[#This Row],[instruction]]))), "ind. const", "")</f>
        <v/>
      </c>
      <c r="V79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Row],[s5]]))),U798=""), "cmb. const", "")</f>
        <v>cmb. const</v>
      </c>
      <c r="Y798">
        <f>IF(Table6[[#This Row],[pipeline]]="fma",Table6[[#This Row],[delay]],0)</f>
        <v>0</v>
      </c>
      <c r="Z798">
        <f>IF(AND(Table6[[#This Row],[pipeline]]="fma",W798="new"),290,0)</f>
        <v>0</v>
      </c>
      <c r="AK798" s="34"/>
    </row>
    <row r="799" spans="1:37" ht="17" x14ac:dyDescent="0.2">
      <c r="A799" s="31">
        <f>IF(Table6[[#This Row],[instruction]]&lt;&gt;"",MAX($A$6:A798)+1," ")</f>
        <v>794</v>
      </c>
      <c r="B799" s="32" t="s">
        <v>485</v>
      </c>
      <c r="C799" t="s">
        <v>26</v>
      </c>
      <c r="D799" s="31" t="s">
        <v>4</v>
      </c>
      <c r="E799" s="31" t="s">
        <v>531</v>
      </c>
      <c r="F799" s="31" t="s">
        <v>430</v>
      </c>
      <c r="G799" s="31" t="s">
        <v>468</v>
      </c>
      <c r="H799" s="31" t="s">
        <v>502</v>
      </c>
      <c r="K799" s="2" t="str">
        <f t="shared" si="12"/>
        <v>alu</v>
      </c>
      <c r="L799" cm="1">
        <f t="array" ref="L79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799" t="str">
        <f>IF(OR(ISNUMBER(SEARCH("imad", Table6[[#This Row],[instruction]])), ISNUMBER(SEARCH("ffma", Table6[[#This Row],[instruction]])), ISNUMBER(SEARCH("fmul", Table6[[#This Row],[instruction]]))), "fma", "")</f>
        <v/>
      </c>
      <c r="P79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79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799" t="str">
        <f>IF(OR(ISNUMBER(SEARCH("s2r", Table6[[#This Row],[instruction]])),ISNUMBER(SEARCH("s2ur", Table6[[#This Row],[instruction]]))), "special", "")</f>
        <v/>
      </c>
      <c r="S799" t="str">
        <f>IF(OR(ISNUMBER(SEARCH("stg", Table6[[#This Row],[instruction]])),ISNUMBER(SEARCH("ldg", Table6[[#This Row],[instruction]]))), "global", "")</f>
        <v/>
      </c>
      <c r="T799" t="str">
        <f>IF(OR(ISNUMBER(SEARCH("sts", Table6[[#This Row],[instruction]])),ISNUMBER(SEARCH("lds", Table6[[#This Row],[instruction]]))), "shared", "")</f>
        <v/>
      </c>
      <c r="U799" t="str">
        <f>IF(OR(ISNUMBER(SEARCH("LDC", Table6[[#This Row],[instruction]]))), "ind. const", "")</f>
        <v/>
      </c>
      <c r="V79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Row],[s5]]))),U799=""), "cmb. const", "")</f>
        <v>cmb. const</v>
      </c>
      <c r="Y799">
        <f>IF(Table6[[#This Row],[pipeline]]="fma",Table6[[#This Row],[delay]],0)</f>
        <v>0</v>
      </c>
      <c r="Z799">
        <f>IF(AND(Table6[[#This Row],[pipeline]]="fma",W799="new"),290,0)</f>
        <v>0</v>
      </c>
      <c r="AK799" s="34"/>
    </row>
    <row r="800" spans="1:37" ht="17" x14ac:dyDescent="0.2">
      <c r="A800" s="31">
        <f>IF(Table6[[#This Row],[instruction]]&lt;&gt;"",MAX($A$6:A799)+1," ")</f>
        <v>795</v>
      </c>
      <c r="B800" s="32" t="s">
        <v>485</v>
      </c>
      <c r="C800" t="s">
        <v>438</v>
      </c>
      <c r="D800" s="31" t="s">
        <v>82</v>
      </c>
      <c r="E800" s="31" t="s">
        <v>71</v>
      </c>
      <c r="F800" s="31" t="s">
        <v>469</v>
      </c>
      <c r="G800" s="31" t="s">
        <v>8</v>
      </c>
      <c r="H800" s="31" t="s">
        <v>78</v>
      </c>
      <c r="I800" s="31" t="s">
        <v>506</v>
      </c>
      <c r="K800" s="2" t="str">
        <f t="shared" si="12"/>
        <v>alu</v>
      </c>
      <c r="L800" cm="1">
        <f t="array" ref="L80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00" t="str">
        <f>IF(OR(ISNUMBER(SEARCH("imad", Table6[[#This Row],[instruction]])), ISNUMBER(SEARCH("ffma", Table6[[#This Row],[instruction]])), ISNUMBER(SEARCH("fmul", Table6[[#This Row],[instruction]]))), "fma", "")</f>
        <v/>
      </c>
      <c r="P80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0" t="str">
        <f>IF(OR(ISNUMBER(SEARCH("s2r", Table6[[#This Row],[instruction]])),ISNUMBER(SEARCH("s2ur", Table6[[#This Row],[instruction]]))), "special", "")</f>
        <v/>
      </c>
      <c r="S800" t="str">
        <f>IF(OR(ISNUMBER(SEARCH("stg", Table6[[#This Row],[instruction]])),ISNUMBER(SEARCH("ldg", Table6[[#This Row],[instruction]]))), "global", "")</f>
        <v/>
      </c>
      <c r="T800" t="str">
        <f>IF(OR(ISNUMBER(SEARCH("sts", Table6[[#This Row],[instruction]])),ISNUMBER(SEARCH("lds", Table6[[#This Row],[instruction]]))), "shared", "")</f>
        <v/>
      </c>
      <c r="U800" t="str">
        <f>IF(OR(ISNUMBER(SEARCH("LDC", Table6[[#This Row],[instruction]]))), "ind. const", "")</f>
        <v/>
      </c>
      <c r="V80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Row],[s5]]))),U800=""), "cmb. const", "")</f>
        <v>cmb. const</v>
      </c>
      <c r="Y800">
        <f>IF(Table6[[#This Row],[pipeline]]="fma",Table6[[#This Row],[delay]],0)</f>
        <v>0</v>
      </c>
      <c r="Z800">
        <f>IF(AND(Table6[[#This Row],[pipeline]]="fma",W800="new"),290,0)</f>
        <v>0</v>
      </c>
      <c r="AK800" s="34"/>
    </row>
    <row r="801" spans="1:37" ht="17" x14ac:dyDescent="0.2">
      <c r="A801" s="31">
        <f>IF(Table6[[#This Row],[instruction]]&lt;&gt;"",MAX($A$6:A800)+1," ")</f>
        <v>796</v>
      </c>
      <c r="B801" s="32" t="s">
        <v>485</v>
      </c>
      <c r="C801" t="s">
        <v>438</v>
      </c>
      <c r="D801" s="31" t="s">
        <v>60</v>
      </c>
      <c r="E801" s="31" t="s">
        <v>588</v>
      </c>
      <c r="F801" s="31" t="s">
        <v>469</v>
      </c>
      <c r="G801" s="31" t="s">
        <v>8</v>
      </c>
      <c r="H801" s="31" t="s">
        <v>74</v>
      </c>
      <c r="I801" s="31" t="s">
        <v>506</v>
      </c>
      <c r="K801" s="2" t="str">
        <f t="shared" si="12"/>
        <v>alu</v>
      </c>
      <c r="L801" cm="1">
        <f t="array" ref="L80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01" t="str">
        <f>IF(OR(ISNUMBER(SEARCH("imad", Table6[[#This Row],[instruction]])), ISNUMBER(SEARCH("ffma", Table6[[#This Row],[instruction]])), ISNUMBER(SEARCH("fmul", Table6[[#This Row],[instruction]]))), "fma", "")</f>
        <v/>
      </c>
      <c r="P80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1" t="str">
        <f>IF(OR(ISNUMBER(SEARCH("s2r", Table6[[#This Row],[instruction]])),ISNUMBER(SEARCH("s2ur", Table6[[#This Row],[instruction]]))), "special", "")</f>
        <v/>
      </c>
      <c r="S801" t="str">
        <f>IF(OR(ISNUMBER(SEARCH("stg", Table6[[#This Row],[instruction]])),ISNUMBER(SEARCH("ldg", Table6[[#This Row],[instruction]]))), "global", "")</f>
        <v/>
      </c>
      <c r="T801" t="str">
        <f>IF(OR(ISNUMBER(SEARCH("sts", Table6[[#This Row],[instruction]])),ISNUMBER(SEARCH("lds", Table6[[#This Row],[instruction]]))), "shared", "")</f>
        <v/>
      </c>
      <c r="U801" t="str">
        <f>IF(OR(ISNUMBER(SEARCH("LDC", Table6[[#This Row],[instruction]]))), "ind. const", "")</f>
        <v/>
      </c>
      <c r="V80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Row],[s5]]))),U801=""), "cmb. const", "")</f>
        <v>cmb. const</v>
      </c>
      <c r="Y801">
        <f>IF(Table6[[#This Row],[pipeline]]="fma",Table6[[#This Row],[delay]],0)</f>
        <v>0</v>
      </c>
      <c r="Z801">
        <f>IF(AND(Table6[[#This Row],[pipeline]]="fma",W801="new"),290,0)</f>
        <v>0</v>
      </c>
      <c r="AK801" s="34"/>
    </row>
    <row r="802" spans="1:37" ht="17" x14ac:dyDescent="0.2">
      <c r="A802" s="31">
        <f>IF(Table6[[#This Row],[instruction]]&lt;&gt;"",MAX($A$6:A801)+1," ")</f>
        <v>797</v>
      </c>
      <c r="B802" s="32" t="s">
        <v>485</v>
      </c>
      <c r="C802" t="s">
        <v>438</v>
      </c>
      <c r="D802" s="31" t="s">
        <v>27</v>
      </c>
      <c r="E802" s="31" t="s">
        <v>577</v>
      </c>
      <c r="F802" s="31" t="s">
        <v>469</v>
      </c>
      <c r="G802" s="31" t="s">
        <v>8</v>
      </c>
      <c r="H802" s="31" t="s">
        <v>533</v>
      </c>
      <c r="I802" s="31" t="s">
        <v>506</v>
      </c>
      <c r="K802" s="2" t="str">
        <f t="shared" si="12"/>
        <v>alu</v>
      </c>
      <c r="L802" cm="1">
        <f t="array" ref="L80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02" t="str">
        <f>IF(OR(ISNUMBER(SEARCH("imad", Table6[[#This Row],[instruction]])), ISNUMBER(SEARCH("ffma", Table6[[#This Row],[instruction]])), ISNUMBER(SEARCH("fmul", Table6[[#This Row],[instruction]]))), "fma", "")</f>
        <v/>
      </c>
      <c r="P80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2" t="str">
        <f>IF(OR(ISNUMBER(SEARCH("s2r", Table6[[#This Row],[instruction]])),ISNUMBER(SEARCH("s2ur", Table6[[#This Row],[instruction]]))), "special", "")</f>
        <v/>
      </c>
      <c r="S802" t="str">
        <f>IF(OR(ISNUMBER(SEARCH("stg", Table6[[#This Row],[instruction]])),ISNUMBER(SEARCH("ldg", Table6[[#This Row],[instruction]]))), "global", "")</f>
        <v/>
      </c>
      <c r="T802" t="str">
        <f>IF(OR(ISNUMBER(SEARCH("sts", Table6[[#This Row],[instruction]])),ISNUMBER(SEARCH("lds", Table6[[#This Row],[instruction]]))), "shared", "")</f>
        <v/>
      </c>
      <c r="U802" t="str">
        <f>IF(OR(ISNUMBER(SEARCH("LDC", Table6[[#This Row],[instruction]]))), "ind. const", "")</f>
        <v/>
      </c>
      <c r="V80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Row],[s5]]))),U802=""), "cmb. const", "")</f>
        <v>cmb. const</v>
      </c>
      <c r="Y802">
        <f>IF(Table6[[#This Row],[pipeline]]="fma",Table6[[#This Row],[delay]],0)</f>
        <v>0</v>
      </c>
      <c r="Z802">
        <f>IF(AND(Table6[[#This Row],[pipeline]]="fma",W802="new"),290,0)</f>
        <v>0</v>
      </c>
      <c r="AK802" s="34"/>
    </row>
    <row r="803" spans="1:37" ht="17" x14ac:dyDescent="0.2">
      <c r="A803" s="31">
        <f>IF(Table6[[#This Row],[instruction]]&lt;&gt;"",MAX($A$6:A802)+1," ")</f>
        <v>798</v>
      </c>
      <c r="B803" s="32" t="s">
        <v>485</v>
      </c>
      <c r="C803" t="s">
        <v>438</v>
      </c>
      <c r="D803" s="31" t="s">
        <v>7</v>
      </c>
      <c r="E803" s="31" t="s">
        <v>23</v>
      </c>
      <c r="F803" s="31" t="s">
        <v>469</v>
      </c>
      <c r="G803" s="31" t="s">
        <v>8</v>
      </c>
      <c r="H803" s="31" t="s">
        <v>531</v>
      </c>
      <c r="I803" s="31" t="s">
        <v>506</v>
      </c>
      <c r="K803" s="2" t="str">
        <f t="shared" si="12"/>
        <v>alu</v>
      </c>
      <c r="L803" cm="1">
        <f t="array" ref="L80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03" t="str">
        <f>IF(OR(ISNUMBER(SEARCH("imad", Table6[[#This Row],[instruction]])), ISNUMBER(SEARCH("ffma", Table6[[#This Row],[instruction]])), ISNUMBER(SEARCH("fmul", Table6[[#This Row],[instruction]]))), "fma", "")</f>
        <v/>
      </c>
      <c r="P80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3" t="str">
        <f>IF(OR(ISNUMBER(SEARCH("s2r", Table6[[#This Row],[instruction]])),ISNUMBER(SEARCH("s2ur", Table6[[#This Row],[instruction]]))), "special", "")</f>
        <v/>
      </c>
      <c r="S803" t="str">
        <f>IF(OR(ISNUMBER(SEARCH("stg", Table6[[#This Row],[instruction]])),ISNUMBER(SEARCH("ldg", Table6[[#This Row],[instruction]]))), "global", "")</f>
        <v/>
      </c>
      <c r="T803" t="str">
        <f>IF(OR(ISNUMBER(SEARCH("sts", Table6[[#This Row],[instruction]])),ISNUMBER(SEARCH("lds", Table6[[#This Row],[instruction]]))), "shared", "")</f>
        <v/>
      </c>
      <c r="U803" t="str">
        <f>IF(OR(ISNUMBER(SEARCH("LDC", Table6[[#This Row],[instruction]]))), "ind. const", "")</f>
        <v/>
      </c>
      <c r="V80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Row],[s5]]))),U803=""), "cmb. const", "")</f>
        <v>cmb. const</v>
      </c>
      <c r="Y803">
        <f>IF(Table6[[#This Row],[pipeline]]="fma",Table6[[#This Row],[delay]],0)</f>
        <v>0</v>
      </c>
      <c r="Z803">
        <f>IF(AND(Table6[[#This Row],[pipeline]]="fma",W803="new"),290,0)</f>
        <v>0</v>
      </c>
      <c r="AK803" s="34"/>
    </row>
    <row r="804" spans="1:37" ht="17" x14ac:dyDescent="0.2">
      <c r="A804" s="31">
        <f>IF(Table6[[#This Row],[instruction]]&lt;&gt;"",MAX($A$6:A803)+1," ")</f>
        <v>799</v>
      </c>
      <c r="B804" s="32" t="s">
        <v>580</v>
      </c>
      <c r="C804" t="s">
        <v>359</v>
      </c>
      <c r="D804" s="31" t="s">
        <v>753</v>
      </c>
      <c r="K804" s="2" t="str">
        <f t="shared" si="12"/>
        <v>cba</v>
      </c>
      <c r="L804" cm="1">
        <f t="array" ref="L80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04" t="str">
        <f>IF(OR(ISNUMBER(SEARCH("imad", Table6[[#This Row],[instruction]])), ISNUMBER(SEARCH("ffma", Table6[[#This Row],[instruction]])), ISNUMBER(SEARCH("fmul", Table6[[#This Row],[instruction]]))), "fma", "")</f>
        <v/>
      </c>
      <c r="P80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0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04" t="str">
        <f>IF(OR(ISNUMBER(SEARCH("s2r", Table6[[#This Row],[instruction]])),ISNUMBER(SEARCH("s2ur", Table6[[#This Row],[instruction]]))), "special", "")</f>
        <v/>
      </c>
      <c r="S804" t="str">
        <f>IF(OR(ISNUMBER(SEARCH("stg", Table6[[#This Row],[instruction]])),ISNUMBER(SEARCH("ldg", Table6[[#This Row],[instruction]]))), "global", "")</f>
        <v/>
      </c>
      <c r="T804" t="str">
        <f>IF(OR(ISNUMBER(SEARCH("sts", Table6[[#This Row],[instruction]])),ISNUMBER(SEARCH("lds", Table6[[#This Row],[instruction]]))), "shared", "")</f>
        <v/>
      </c>
      <c r="U804" t="str">
        <f>IF(OR(ISNUMBER(SEARCH("LDC", Table6[[#This Row],[instruction]]))), "ind. const", "")</f>
        <v/>
      </c>
      <c r="V80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Row],[s5]]))),U804=""), "cmb. const", "")</f>
        <v/>
      </c>
      <c r="Y804">
        <f>IF(Table6[[#This Row],[pipeline]]="fma",Table6[[#This Row],[delay]],0)</f>
        <v>0</v>
      </c>
      <c r="Z804">
        <f>IF(AND(Table6[[#This Row],[pipeline]]="fma",W804="new"),290,0)</f>
        <v>0</v>
      </c>
      <c r="AK804" s="34"/>
    </row>
    <row r="805" spans="1:37" ht="17" x14ac:dyDescent="0.2">
      <c r="A805" s="31">
        <f>IF(Table6[[#This Row],[instruction]]&lt;&gt;"",MAX($A$6:A804)+1," ")</f>
        <v>800</v>
      </c>
      <c r="B805" s="32" t="s">
        <v>485</v>
      </c>
      <c r="C805" t="s">
        <v>740</v>
      </c>
      <c r="D805" s="31" t="s">
        <v>50</v>
      </c>
      <c r="E805" s="31" t="s">
        <v>51</v>
      </c>
      <c r="F805" s="31" t="s">
        <v>8</v>
      </c>
      <c r="G805" s="31" t="s">
        <v>741</v>
      </c>
      <c r="H805" s="31" t="s">
        <v>494</v>
      </c>
      <c r="K805" s="2" t="str">
        <f t="shared" si="12"/>
        <v>alu</v>
      </c>
      <c r="L805" cm="1">
        <f t="array" ref="L80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05" t="str">
        <f>IF(OR(ISNUMBER(SEARCH("imad", Table6[[#This Row],[instruction]])), ISNUMBER(SEARCH("ffma", Table6[[#This Row],[instruction]])), ISNUMBER(SEARCH("fmul", Table6[[#This Row],[instruction]]))), "fma", "")</f>
        <v/>
      </c>
      <c r="P80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5" t="str">
        <f>IF(OR(ISNUMBER(SEARCH("s2r", Table6[[#This Row],[instruction]])),ISNUMBER(SEARCH("s2ur", Table6[[#This Row],[instruction]]))), "special", "")</f>
        <v/>
      </c>
      <c r="S805" t="str">
        <f>IF(OR(ISNUMBER(SEARCH("stg", Table6[[#This Row],[instruction]])),ISNUMBER(SEARCH("ldg", Table6[[#This Row],[instruction]]))), "global", "")</f>
        <v/>
      </c>
      <c r="T805" t="str">
        <f>IF(OR(ISNUMBER(SEARCH("sts", Table6[[#This Row],[instruction]])),ISNUMBER(SEARCH("lds", Table6[[#This Row],[instruction]]))), "shared", "")</f>
        <v/>
      </c>
      <c r="U805" t="str">
        <f>IF(OR(ISNUMBER(SEARCH("LDC", Table6[[#This Row],[instruction]]))), "ind. const", "")</f>
        <v/>
      </c>
      <c r="V80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Row],[s5]]))),U805=""), "cmb. const", "")</f>
        <v>cmb. const</v>
      </c>
      <c r="Y805">
        <f>IF(Table6[[#This Row],[pipeline]]="fma",Table6[[#This Row],[delay]],0)</f>
        <v>0</v>
      </c>
      <c r="Z805">
        <f>IF(AND(Table6[[#This Row],[pipeline]]="fma",W805="new"),290,0)</f>
        <v>0</v>
      </c>
      <c r="AK805" s="34"/>
    </row>
    <row r="806" spans="1:37" ht="17" x14ac:dyDescent="0.2">
      <c r="A806" s="31">
        <f>IF(Table6[[#This Row],[instruction]]&lt;&gt;"",MAX($A$6:A805)+1," ")</f>
        <v>801</v>
      </c>
      <c r="B806" s="32" t="s">
        <v>86</v>
      </c>
      <c r="C806" t="s">
        <v>359</v>
      </c>
      <c r="D806" s="31" t="s">
        <v>754</v>
      </c>
      <c r="K806" s="2" t="str">
        <f t="shared" si="12"/>
        <v>cba</v>
      </c>
      <c r="L806" cm="1">
        <f t="array" ref="L80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06" t="str">
        <f>IF(OR(ISNUMBER(SEARCH("imad", Table6[[#This Row],[instruction]])), ISNUMBER(SEARCH("ffma", Table6[[#This Row],[instruction]])), ISNUMBER(SEARCH("fmul", Table6[[#This Row],[instruction]]))), "fma", "")</f>
        <v/>
      </c>
      <c r="P80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0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06" t="str">
        <f>IF(OR(ISNUMBER(SEARCH("s2r", Table6[[#This Row],[instruction]])),ISNUMBER(SEARCH("s2ur", Table6[[#This Row],[instruction]]))), "special", "")</f>
        <v/>
      </c>
      <c r="S806" t="str">
        <f>IF(OR(ISNUMBER(SEARCH("stg", Table6[[#This Row],[instruction]])),ISNUMBER(SEARCH("ldg", Table6[[#This Row],[instruction]]))), "global", "")</f>
        <v/>
      </c>
      <c r="T806" t="str">
        <f>IF(OR(ISNUMBER(SEARCH("sts", Table6[[#This Row],[instruction]])),ISNUMBER(SEARCH("lds", Table6[[#This Row],[instruction]]))), "shared", "")</f>
        <v/>
      </c>
      <c r="U806" t="str">
        <f>IF(OR(ISNUMBER(SEARCH("LDC", Table6[[#This Row],[instruction]]))), "ind. const", "")</f>
        <v/>
      </c>
      <c r="V80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Row],[s5]]))),U806=""), "cmb. const", "")</f>
        <v/>
      </c>
      <c r="Y806">
        <f>IF(Table6[[#This Row],[pipeline]]="fma",Table6[[#This Row],[delay]],0)</f>
        <v>0</v>
      </c>
      <c r="Z806">
        <f>IF(AND(Table6[[#This Row],[pipeline]]="fma",W806="new"),290,0)</f>
        <v>0</v>
      </c>
      <c r="AK806" s="34"/>
    </row>
    <row r="807" spans="1:37" ht="17" x14ac:dyDescent="0.2">
      <c r="A807" s="31">
        <f>IF(Table6[[#This Row],[instruction]]&lt;&gt;"",MAX($A$6:A806)+1," ")</f>
        <v>802</v>
      </c>
      <c r="B807" s="32" t="s">
        <v>485</v>
      </c>
      <c r="C807" t="s">
        <v>49</v>
      </c>
      <c r="D807" s="31" t="s">
        <v>50</v>
      </c>
      <c r="E807" s="31" t="s">
        <v>51</v>
      </c>
      <c r="F807" s="31" t="s">
        <v>46</v>
      </c>
      <c r="G807" s="31" t="s">
        <v>442</v>
      </c>
      <c r="H807" s="31" t="s">
        <v>494</v>
      </c>
      <c r="K807" s="2" t="str">
        <f t="shared" si="12"/>
        <v>alu</v>
      </c>
      <c r="L807" cm="1">
        <f t="array" ref="L80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07" t="str">
        <f>IF(OR(ISNUMBER(SEARCH("imad", Table6[[#This Row],[instruction]])), ISNUMBER(SEARCH("ffma", Table6[[#This Row],[instruction]])), ISNUMBER(SEARCH("fmul", Table6[[#This Row],[instruction]]))), "fma", "")</f>
        <v/>
      </c>
      <c r="P80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7" t="str">
        <f>IF(OR(ISNUMBER(SEARCH("s2r", Table6[[#This Row],[instruction]])),ISNUMBER(SEARCH("s2ur", Table6[[#This Row],[instruction]]))), "special", "")</f>
        <v/>
      </c>
      <c r="S807" t="str">
        <f>IF(OR(ISNUMBER(SEARCH("stg", Table6[[#This Row],[instruction]])),ISNUMBER(SEARCH("ldg", Table6[[#This Row],[instruction]]))), "global", "")</f>
        <v/>
      </c>
      <c r="T807" t="str">
        <f>IF(OR(ISNUMBER(SEARCH("sts", Table6[[#This Row],[instruction]])),ISNUMBER(SEARCH("lds", Table6[[#This Row],[instruction]]))), "shared", "")</f>
        <v/>
      </c>
      <c r="U807" t="str">
        <f>IF(OR(ISNUMBER(SEARCH("LDC", Table6[[#This Row],[instruction]]))), "ind. const", "")</f>
        <v/>
      </c>
      <c r="V80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Row],[s5]]))),U807=""), "cmb. const", "")</f>
        <v>cmb. const</v>
      </c>
      <c r="W807" s="2" t="s">
        <v>481</v>
      </c>
      <c r="Y807">
        <f>IF(Table6[[#This Row],[pipeline]]="fma",Table6[[#This Row],[delay]],0)</f>
        <v>0</v>
      </c>
      <c r="Z807">
        <f>IF(AND(Table6[[#This Row],[pipeline]]="fma",W807="new"),290,0)</f>
        <v>0</v>
      </c>
      <c r="AK807" s="34"/>
    </row>
    <row r="808" spans="1:37" ht="17" x14ac:dyDescent="0.2">
      <c r="A808" s="31">
        <f>IF(Table6[[#This Row],[instruction]]&lt;&gt;"",MAX($A$6:A807)+1," ")</f>
        <v>803</v>
      </c>
      <c r="B808" s="32" t="s">
        <v>485</v>
      </c>
      <c r="C808" t="s">
        <v>49</v>
      </c>
      <c r="D808" s="31" t="s">
        <v>78</v>
      </c>
      <c r="E808" s="31" t="s">
        <v>51</v>
      </c>
      <c r="F808" s="31" t="s">
        <v>651</v>
      </c>
      <c r="G808" s="31" t="s">
        <v>442</v>
      </c>
      <c r="H808" s="31" t="s">
        <v>494</v>
      </c>
      <c r="K808" s="2" t="str">
        <f t="shared" si="12"/>
        <v>alu</v>
      </c>
      <c r="L808" cm="1">
        <f t="array" ref="L80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08" t="str">
        <f>IF(OR(ISNUMBER(SEARCH("imad", Table6[[#This Row],[instruction]])), ISNUMBER(SEARCH("ffma", Table6[[#This Row],[instruction]])), ISNUMBER(SEARCH("fmul", Table6[[#This Row],[instruction]]))), "fma", "")</f>
        <v/>
      </c>
      <c r="P80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8" t="str">
        <f>IF(OR(ISNUMBER(SEARCH("s2r", Table6[[#This Row],[instruction]])),ISNUMBER(SEARCH("s2ur", Table6[[#This Row],[instruction]]))), "special", "")</f>
        <v/>
      </c>
      <c r="S808" t="str">
        <f>IF(OR(ISNUMBER(SEARCH("stg", Table6[[#This Row],[instruction]])),ISNUMBER(SEARCH("ldg", Table6[[#This Row],[instruction]]))), "global", "")</f>
        <v/>
      </c>
      <c r="T808" t="str">
        <f>IF(OR(ISNUMBER(SEARCH("sts", Table6[[#This Row],[instruction]])),ISNUMBER(SEARCH("lds", Table6[[#This Row],[instruction]]))), "shared", "")</f>
        <v/>
      </c>
      <c r="U808" t="str">
        <f>IF(OR(ISNUMBER(SEARCH("LDC", Table6[[#This Row],[instruction]]))), "ind. const", "")</f>
        <v/>
      </c>
      <c r="V80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Row],[s5]]))),U808=""), "cmb. const", "")</f>
        <v>cmb. const</v>
      </c>
      <c r="W808" s="2" t="s">
        <v>481</v>
      </c>
      <c r="Y808">
        <f>IF(Table6[[#This Row],[pipeline]]="fma",Table6[[#This Row],[delay]],0)</f>
        <v>0</v>
      </c>
      <c r="Z808">
        <f>IF(AND(Table6[[#This Row],[pipeline]]="fma",W808="new"),290,0)</f>
        <v>0</v>
      </c>
      <c r="AK808" s="34"/>
    </row>
    <row r="809" spans="1:37" ht="17" x14ac:dyDescent="0.2">
      <c r="A809" s="31">
        <f>IF(Table6[[#This Row],[instruction]]&lt;&gt;"",MAX($A$6:A808)+1," ")</f>
        <v>804</v>
      </c>
      <c r="B809" s="32" t="s">
        <v>485</v>
      </c>
      <c r="C809" t="s">
        <v>49</v>
      </c>
      <c r="D809" s="31" t="s">
        <v>74</v>
      </c>
      <c r="E809" s="31" t="s">
        <v>51</v>
      </c>
      <c r="F809" s="31" t="s">
        <v>567</v>
      </c>
      <c r="G809" s="31" t="s">
        <v>442</v>
      </c>
      <c r="H809" s="31" t="s">
        <v>494</v>
      </c>
      <c r="K809" s="2" t="str">
        <f t="shared" si="12"/>
        <v>alu</v>
      </c>
      <c r="L809" cm="1">
        <f t="array" ref="L80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09" t="str">
        <f>IF(OR(ISNUMBER(SEARCH("imad", Table6[[#This Row],[instruction]])), ISNUMBER(SEARCH("ffma", Table6[[#This Row],[instruction]])), ISNUMBER(SEARCH("fmul", Table6[[#This Row],[instruction]]))), "fma", "")</f>
        <v/>
      </c>
      <c r="P80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0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09" t="str">
        <f>IF(OR(ISNUMBER(SEARCH("s2r", Table6[[#This Row],[instruction]])),ISNUMBER(SEARCH("s2ur", Table6[[#This Row],[instruction]]))), "special", "")</f>
        <v/>
      </c>
      <c r="S809" t="str">
        <f>IF(OR(ISNUMBER(SEARCH("stg", Table6[[#This Row],[instruction]])),ISNUMBER(SEARCH("ldg", Table6[[#This Row],[instruction]]))), "global", "")</f>
        <v/>
      </c>
      <c r="T809" t="str">
        <f>IF(OR(ISNUMBER(SEARCH("sts", Table6[[#This Row],[instruction]])),ISNUMBER(SEARCH("lds", Table6[[#This Row],[instruction]]))), "shared", "")</f>
        <v/>
      </c>
      <c r="U809" t="str">
        <f>IF(OR(ISNUMBER(SEARCH("LDC", Table6[[#This Row],[instruction]]))), "ind. const", "")</f>
        <v/>
      </c>
      <c r="V80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Row],[s5]]))),U809=""), "cmb. const", "")</f>
        <v>cmb. const</v>
      </c>
      <c r="W809" s="2" t="s">
        <v>481</v>
      </c>
      <c r="Y809">
        <f>IF(Table6[[#This Row],[pipeline]]="fma",Table6[[#This Row],[delay]],0)</f>
        <v>0</v>
      </c>
      <c r="Z809">
        <f>IF(AND(Table6[[#This Row],[pipeline]]="fma",W809="new"),290,0)</f>
        <v>0</v>
      </c>
      <c r="AK809" s="34"/>
    </row>
    <row r="810" spans="1:37" ht="17" x14ac:dyDescent="0.2">
      <c r="A810" s="31">
        <f>IF(Table6[[#This Row],[instruction]]&lt;&gt;"",MAX($A$6:A809)+1," ")</f>
        <v>805</v>
      </c>
      <c r="B810" s="32" t="s">
        <v>580</v>
      </c>
      <c r="C810" t="s">
        <v>59</v>
      </c>
      <c r="D810" s="31" t="s">
        <v>612</v>
      </c>
      <c r="E810" s="31" t="s">
        <v>612</v>
      </c>
      <c r="F810" s="31" t="s">
        <v>743</v>
      </c>
      <c r="K810" s="2" t="str">
        <f t="shared" si="12"/>
        <v>fma</v>
      </c>
      <c r="L810" cm="1">
        <f t="array" ref="L81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0" t="str">
        <f>IF(OR(ISNUMBER(SEARCH("imad", Table6[[#This Row],[instruction]])), ISNUMBER(SEARCH("ffma", Table6[[#This Row],[instruction]])), ISNUMBER(SEARCH("fmul", Table6[[#This Row],[instruction]]))), "fma", "")</f>
        <v>fma</v>
      </c>
      <c r="P81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0" t="str">
        <f>IF(OR(ISNUMBER(SEARCH("s2r", Table6[[#This Row],[instruction]])),ISNUMBER(SEARCH("s2ur", Table6[[#This Row],[instruction]]))), "special", "")</f>
        <v/>
      </c>
      <c r="S810" t="str">
        <f>IF(OR(ISNUMBER(SEARCH("stg", Table6[[#This Row],[instruction]])),ISNUMBER(SEARCH("ldg", Table6[[#This Row],[instruction]]))), "global", "")</f>
        <v/>
      </c>
      <c r="T810" t="str">
        <f>IF(OR(ISNUMBER(SEARCH("sts", Table6[[#This Row],[instruction]])),ISNUMBER(SEARCH("lds", Table6[[#This Row],[instruction]]))), "shared", "")</f>
        <v/>
      </c>
      <c r="U810" t="str">
        <f>IF(OR(ISNUMBER(SEARCH("LDC", Table6[[#This Row],[instruction]]))), "ind. const", "")</f>
        <v/>
      </c>
      <c r="V81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Row],[s5]]))),U810=""), "cmb. const", "")</f>
        <v>cmb. const</v>
      </c>
      <c r="Y810">
        <f>IF(Table6[[#This Row],[pipeline]]="fma",Table6[[#This Row],[delay]],0)</f>
        <v>4</v>
      </c>
      <c r="Z810">
        <f>IF(AND(Table6[[#This Row],[pipeline]]="fma",W810="new"),290,0)</f>
        <v>0</v>
      </c>
      <c r="AK810" s="34"/>
    </row>
    <row r="811" spans="1:37" ht="17" x14ac:dyDescent="0.2">
      <c r="A811" s="31">
        <f>IF(Table6[[#This Row],[instruction]]&lt;&gt;"",MAX($A$6:A810)+1," ")</f>
        <v>806</v>
      </c>
      <c r="B811" s="32" t="s">
        <v>644</v>
      </c>
      <c r="C811" t="s">
        <v>59</v>
      </c>
      <c r="D811" s="31" t="s">
        <v>609</v>
      </c>
      <c r="E811" s="31" t="s">
        <v>609</v>
      </c>
      <c r="F811" s="31" t="s">
        <v>743</v>
      </c>
      <c r="K811" s="2" t="str">
        <f t="shared" si="12"/>
        <v>fma</v>
      </c>
      <c r="L811" cm="1">
        <f t="array" ref="L81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1" t="str">
        <f>IF(OR(ISNUMBER(SEARCH("imad", Table6[[#This Row],[instruction]])), ISNUMBER(SEARCH("ffma", Table6[[#This Row],[instruction]])), ISNUMBER(SEARCH("fmul", Table6[[#This Row],[instruction]]))), "fma", "")</f>
        <v>fma</v>
      </c>
      <c r="P81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1" t="str">
        <f>IF(OR(ISNUMBER(SEARCH("s2r", Table6[[#This Row],[instruction]])),ISNUMBER(SEARCH("s2ur", Table6[[#This Row],[instruction]]))), "special", "")</f>
        <v/>
      </c>
      <c r="S811" t="str">
        <f>IF(OR(ISNUMBER(SEARCH("stg", Table6[[#This Row],[instruction]])),ISNUMBER(SEARCH("ldg", Table6[[#This Row],[instruction]]))), "global", "")</f>
        <v/>
      </c>
      <c r="T811" t="str">
        <f>IF(OR(ISNUMBER(SEARCH("sts", Table6[[#This Row],[instruction]])),ISNUMBER(SEARCH("lds", Table6[[#This Row],[instruction]]))), "shared", "")</f>
        <v/>
      </c>
      <c r="U811" t="str">
        <f>IF(OR(ISNUMBER(SEARCH("LDC", Table6[[#This Row],[instruction]]))), "ind. const", "")</f>
        <v/>
      </c>
      <c r="V81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Row],[s5]]))),U811=""), "cmb. const", "")</f>
        <v>cmb. const</v>
      </c>
      <c r="Y811">
        <f>IF(Table6[[#This Row],[pipeline]]="fma",Table6[[#This Row],[delay]],0)</f>
        <v>4</v>
      </c>
      <c r="Z811">
        <f>IF(AND(Table6[[#This Row],[pipeline]]="fma",W811="new"),290,0)</f>
        <v>0</v>
      </c>
      <c r="AK811" s="34"/>
    </row>
    <row r="812" spans="1:37" ht="17" x14ac:dyDescent="0.2">
      <c r="A812" s="31">
        <f>IF(Table6[[#This Row],[instruction]]&lt;&gt;"",MAX($A$6:A811)+1," ")</f>
        <v>807</v>
      </c>
      <c r="B812" s="32" t="s">
        <v>582</v>
      </c>
      <c r="C812" t="s">
        <v>59</v>
      </c>
      <c r="D812" s="31" t="s">
        <v>671</v>
      </c>
      <c r="E812" s="31" t="s">
        <v>671</v>
      </c>
      <c r="F812" s="31" t="s">
        <v>743</v>
      </c>
      <c r="K812" s="2" t="str">
        <f t="shared" si="12"/>
        <v>fma</v>
      </c>
      <c r="L812" cm="1">
        <f t="array" ref="L81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2" t="str">
        <f>IF(OR(ISNUMBER(SEARCH("imad", Table6[[#This Row],[instruction]])), ISNUMBER(SEARCH("ffma", Table6[[#This Row],[instruction]])), ISNUMBER(SEARCH("fmul", Table6[[#This Row],[instruction]]))), "fma", "")</f>
        <v>fma</v>
      </c>
      <c r="P81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2" t="str">
        <f>IF(OR(ISNUMBER(SEARCH("s2r", Table6[[#This Row],[instruction]])),ISNUMBER(SEARCH("s2ur", Table6[[#This Row],[instruction]]))), "special", "")</f>
        <v/>
      </c>
      <c r="S812" t="str">
        <f>IF(OR(ISNUMBER(SEARCH("stg", Table6[[#This Row],[instruction]])),ISNUMBER(SEARCH("ldg", Table6[[#This Row],[instruction]]))), "global", "")</f>
        <v/>
      </c>
      <c r="T812" t="str">
        <f>IF(OR(ISNUMBER(SEARCH("sts", Table6[[#This Row],[instruction]])),ISNUMBER(SEARCH("lds", Table6[[#This Row],[instruction]]))), "shared", "")</f>
        <v/>
      </c>
      <c r="U812" t="str">
        <f>IF(OR(ISNUMBER(SEARCH("LDC", Table6[[#This Row],[instruction]]))), "ind. const", "")</f>
        <v/>
      </c>
      <c r="V81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Row],[s5]]))),U812=""), "cmb. const", "")</f>
        <v>cmb. const</v>
      </c>
      <c r="Y812">
        <f>IF(Table6[[#This Row],[pipeline]]="fma",Table6[[#This Row],[delay]],0)</f>
        <v>4</v>
      </c>
      <c r="Z812">
        <f>IF(AND(Table6[[#This Row],[pipeline]]="fma",W812="new"),290,0)</f>
        <v>0</v>
      </c>
      <c r="AK812" s="34"/>
    </row>
    <row r="813" spans="1:37" ht="17" x14ac:dyDescent="0.2">
      <c r="A813" s="31">
        <f>IF(Table6[[#This Row],[instruction]]&lt;&gt;"",MAX($A$6:A812)+1," ")</f>
        <v>808</v>
      </c>
      <c r="B813" s="32" t="s">
        <v>580</v>
      </c>
      <c r="C813" t="s">
        <v>28</v>
      </c>
      <c r="D813" s="31" t="s">
        <v>744</v>
      </c>
      <c r="E813" s="31" t="s">
        <v>669</v>
      </c>
      <c r="K813" s="2" t="str">
        <f t="shared" si="12"/>
        <v>global</v>
      </c>
      <c r="L813" cm="1">
        <f t="array" ref="L81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13" t="str">
        <f>IF(OR(ISNUMBER(SEARCH("imad", Table6[[#This Row],[instruction]])), ISNUMBER(SEARCH("ffma", Table6[[#This Row],[instruction]])), ISNUMBER(SEARCH("fmul", Table6[[#This Row],[instruction]]))), "fma", "")</f>
        <v/>
      </c>
      <c r="P81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3" t="str">
        <f>IF(OR(ISNUMBER(SEARCH("s2r", Table6[[#This Row],[instruction]])),ISNUMBER(SEARCH("s2ur", Table6[[#This Row],[instruction]]))), "special", "")</f>
        <v/>
      </c>
      <c r="S813" t="str">
        <f>IF(OR(ISNUMBER(SEARCH("stg", Table6[[#This Row],[instruction]])),ISNUMBER(SEARCH("ldg", Table6[[#This Row],[instruction]]))), "global", "")</f>
        <v>global</v>
      </c>
      <c r="T813" t="str">
        <f>IF(OR(ISNUMBER(SEARCH("sts", Table6[[#This Row],[instruction]])),ISNUMBER(SEARCH("lds", Table6[[#This Row],[instruction]]))), "shared", "")</f>
        <v/>
      </c>
      <c r="U813" t="str">
        <f>IF(OR(ISNUMBER(SEARCH("LDC", Table6[[#This Row],[instruction]]))), "ind. const", "")</f>
        <v/>
      </c>
      <c r="V81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Row],[s5]]))),U813=""), "cmb. const", "")</f>
        <v/>
      </c>
      <c r="Y813">
        <f>IF(Table6[[#This Row],[pipeline]]="fma",Table6[[#This Row],[delay]],0)</f>
        <v>0</v>
      </c>
      <c r="Z813">
        <f>IF(AND(Table6[[#This Row],[pipeline]]="fma",W813="new"),290,0)</f>
        <v>0</v>
      </c>
      <c r="AK813" s="34"/>
    </row>
    <row r="814" spans="1:37" ht="17" x14ac:dyDescent="0.2">
      <c r="A814" s="31">
        <f>IF(Table6[[#This Row],[instruction]]&lt;&gt;"",MAX($A$6:A813)+1," ")</f>
        <v>809</v>
      </c>
      <c r="B814" s="32" t="s">
        <v>485</v>
      </c>
      <c r="C814" t="s">
        <v>49</v>
      </c>
      <c r="D814" s="31" t="s">
        <v>50</v>
      </c>
      <c r="E814" s="31" t="s">
        <v>51</v>
      </c>
      <c r="F814" s="31" t="s">
        <v>447</v>
      </c>
      <c r="G814" s="31" t="s">
        <v>442</v>
      </c>
      <c r="H814" s="31" t="s">
        <v>494</v>
      </c>
      <c r="K814" s="2" t="str">
        <f t="shared" si="12"/>
        <v>alu</v>
      </c>
      <c r="L814" cm="1">
        <f t="array" ref="L81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4" t="str">
        <f>IF(OR(ISNUMBER(SEARCH("imad", Table6[[#This Row],[instruction]])), ISNUMBER(SEARCH("ffma", Table6[[#This Row],[instruction]])), ISNUMBER(SEARCH("fmul", Table6[[#This Row],[instruction]]))), "fma", "")</f>
        <v/>
      </c>
      <c r="P81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1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4" t="str">
        <f>IF(OR(ISNUMBER(SEARCH("s2r", Table6[[#This Row],[instruction]])),ISNUMBER(SEARCH("s2ur", Table6[[#This Row],[instruction]]))), "special", "")</f>
        <v/>
      </c>
      <c r="S814" t="str">
        <f>IF(OR(ISNUMBER(SEARCH("stg", Table6[[#This Row],[instruction]])),ISNUMBER(SEARCH("ldg", Table6[[#This Row],[instruction]]))), "global", "")</f>
        <v/>
      </c>
      <c r="T814" t="str">
        <f>IF(OR(ISNUMBER(SEARCH("sts", Table6[[#This Row],[instruction]])),ISNUMBER(SEARCH("lds", Table6[[#This Row],[instruction]]))), "shared", "")</f>
        <v/>
      </c>
      <c r="U814" t="str">
        <f>IF(OR(ISNUMBER(SEARCH("LDC", Table6[[#This Row],[instruction]]))), "ind. const", "")</f>
        <v/>
      </c>
      <c r="V81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Row],[s5]]))),U814=""), "cmb. const", "")</f>
        <v>cmb. const</v>
      </c>
      <c r="W814" s="2" t="s">
        <v>481</v>
      </c>
      <c r="Y814">
        <f>IF(Table6[[#This Row],[pipeline]]="fma",Table6[[#This Row],[delay]],0)</f>
        <v>0</v>
      </c>
      <c r="Z814">
        <f>IF(AND(Table6[[#This Row],[pipeline]]="fma",W814="new"),290,0)</f>
        <v>0</v>
      </c>
      <c r="AK814" s="34"/>
    </row>
    <row r="815" spans="1:37" ht="17" x14ac:dyDescent="0.2">
      <c r="A815" s="31">
        <f>IF(Table6[[#This Row],[instruction]]&lt;&gt;"",MAX($A$6:A814)+1," ")</f>
        <v>810</v>
      </c>
      <c r="B815" s="32" t="s">
        <v>644</v>
      </c>
      <c r="C815" t="s">
        <v>28</v>
      </c>
      <c r="D815" s="31" t="s">
        <v>446</v>
      </c>
      <c r="E815" s="31" t="s">
        <v>670</v>
      </c>
      <c r="K815" s="2" t="str">
        <f t="shared" si="12"/>
        <v>global</v>
      </c>
      <c r="L815" cm="1">
        <f t="array" ref="L81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15" t="str">
        <f>IF(OR(ISNUMBER(SEARCH("imad", Table6[[#This Row],[instruction]])), ISNUMBER(SEARCH("ffma", Table6[[#This Row],[instruction]])), ISNUMBER(SEARCH("fmul", Table6[[#This Row],[instruction]]))), "fma", "")</f>
        <v/>
      </c>
      <c r="P81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5" t="str">
        <f>IF(OR(ISNUMBER(SEARCH("s2r", Table6[[#This Row],[instruction]])),ISNUMBER(SEARCH("s2ur", Table6[[#This Row],[instruction]]))), "special", "")</f>
        <v/>
      </c>
      <c r="S815" t="str">
        <f>IF(OR(ISNUMBER(SEARCH("stg", Table6[[#This Row],[instruction]])),ISNUMBER(SEARCH("ldg", Table6[[#This Row],[instruction]]))), "global", "")</f>
        <v>global</v>
      </c>
      <c r="T815" t="str">
        <f>IF(OR(ISNUMBER(SEARCH("sts", Table6[[#This Row],[instruction]])),ISNUMBER(SEARCH("lds", Table6[[#This Row],[instruction]]))), "shared", "")</f>
        <v/>
      </c>
      <c r="U815" t="str">
        <f>IF(OR(ISNUMBER(SEARCH("LDC", Table6[[#This Row],[instruction]]))), "ind. const", "")</f>
        <v/>
      </c>
      <c r="V81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Row],[s5]]))),U815=""), "cmb. const", "")</f>
        <v/>
      </c>
      <c r="Y815">
        <f>IF(Table6[[#This Row],[pipeline]]="fma",Table6[[#This Row],[delay]],0)</f>
        <v>0</v>
      </c>
      <c r="Z815">
        <f>IF(AND(Table6[[#This Row],[pipeline]]="fma",W815="new"),290,0)</f>
        <v>0</v>
      </c>
      <c r="AK815" s="34"/>
    </row>
    <row r="816" spans="1:37" ht="17" x14ac:dyDescent="0.2">
      <c r="A816" s="31">
        <f>IF(Table6[[#This Row],[instruction]]&lt;&gt;"",MAX($A$6:A815)+1," ")</f>
        <v>811</v>
      </c>
      <c r="B816" s="32" t="s">
        <v>582</v>
      </c>
      <c r="C816" t="s">
        <v>28</v>
      </c>
      <c r="D816" s="31" t="s">
        <v>745</v>
      </c>
      <c r="E816" s="31" t="s">
        <v>672</v>
      </c>
      <c r="K816" s="2" t="str">
        <f t="shared" si="12"/>
        <v>global</v>
      </c>
      <c r="L816" cm="1">
        <f t="array" ref="L81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16" t="str">
        <f>IF(OR(ISNUMBER(SEARCH("imad", Table6[[#This Row],[instruction]])), ISNUMBER(SEARCH("ffma", Table6[[#This Row],[instruction]])), ISNUMBER(SEARCH("fmul", Table6[[#This Row],[instruction]]))), "fma", "")</f>
        <v/>
      </c>
      <c r="P81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6" t="str">
        <f>IF(OR(ISNUMBER(SEARCH("s2r", Table6[[#This Row],[instruction]])),ISNUMBER(SEARCH("s2ur", Table6[[#This Row],[instruction]]))), "special", "")</f>
        <v/>
      </c>
      <c r="S816" t="str">
        <f>IF(OR(ISNUMBER(SEARCH("stg", Table6[[#This Row],[instruction]])),ISNUMBER(SEARCH("ldg", Table6[[#This Row],[instruction]]))), "global", "")</f>
        <v>global</v>
      </c>
      <c r="T816" t="str">
        <f>IF(OR(ISNUMBER(SEARCH("sts", Table6[[#This Row],[instruction]])),ISNUMBER(SEARCH("lds", Table6[[#This Row],[instruction]]))), "shared", "")</f>
        <v/>
      </c>
      <c r="U816" t="str">
        <f>IF(OR(ISNUMBER(SEARCH("LDC", Table6[[#This Row],[instruction]]))), "ind. const", "")</f>
        <v/>
      </c>
      <c r="V81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Row],[s5]]))),U816=""), "cmb. const", "")</f>
        <v/>
      </c>
      <c r="Y816">
        <f>IF(Table6[[#This Row],[pipeline]]="fma",Table6[[#This Row],[delay]],0)</f>
        <v>0</v>
      </c>
      <c r="Z816">
        <f>IF(AND(Table6[[#This Row],[pipeline]]="fma",W816="new"),290,0)</f>
        <v>0</v>
      </c>
      <c r="AK816" s="34"/>
    </row>
    <row r="817" spans="1:37" ht="17" x14ac:dyDescent="0.2">
      <c r="A817" s="31">
        <f>IF(Table6[[#This Row],[instruction]]&lt;&gt;"",MAX($A$6:A816)+1," ")</f>
        <v>812</v>
      </c>
      <c r="B817" s="32" t="s">
        <v>86</v>
      </c>
      <c r="C817" t="s">
        <v>359</v>
      </c>
      <c r="D817" s="31" t="s">
        <v>752</v>
      </c>
      <c r="K817" s="2" t="str">
        <f t="shared" si="12"/>
        <v>cba</v>
      </c>
      <c r="L817" cm="1">
        <f t="array" ref="L81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17" t="str">
        <f>IF(OR(ISNUMBER(SEARCH("imad", Table6[[#This Row],[instruction]])), ISNUMBER(SEARCH("ffma", Table6[[#This Row],[instruction]])), ISNUMBER(SEARCH("fmul", Table6[[#This Row],[instruction]]))), "fma", "")</f>
        <v/>
      </c>
      <c r="P81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17" t="str">
        <f>IF(OR(ISNUMBER(SEARCH("s2r", Table6[[#This Row],[instruction]])),ISNUMBER(SEARCH("s2ur", Table6[[#This Row],[instruction]]))), "special", "")</f>
        <v/>
      </c>
      <c r="S817" t="str">
        <f>IF(OR(ISNUMBER(SEARCH("stg", Table6[[#This Row],[instruction]])),ISNUMBER(SEARCH("ldg", Table6[[#This Row],[instruction]]))), "global", "")</f>
        <v/>
      </c>
      <c r="T817" t="str">
        <f>IF(OR(ISNUMBER(SEARCH("sts", Table6[[#This Row],[instruction]])),ISNUMBER(SEARCH("lds", Table6[[#This Row],[instruction]]))), "shared", "")</f>
        <v/>
      </c>
      <c r="U817" t="str">
        <f>IF(OR(ISNUMBER(SEARCH("LDC", Table6[[#This Row],[instruction]]))), "ind. const", "")</f>
        <v/>
      </c>
      <c r="V81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Row],[s5]]))),U817=""), "cmb. const", "")</f>
        <v/>
      </c>
      <c r="Y817">
        <f>IF(Table6[[#This Row],[pipeline]]="fma",Table6[[#This Row],[delay]],0)</f>
        <v>0</v>
      </c>
      <c r="Z817">
        <f>IF(AND(Table6[[#This Row],[pipeline]]="fma",W817="new"),290,0)</f>
        <v>0</v>
      </c>
      <c r="AK817" s="34"/>
    </row>
    <row r="818" spans="1:37" ht="17" x14ac:dyDescent="0.2">
      <c r="A818" s="31">
        <f>IF(Table6[[#This Row],[instruction]]&lt;&gt;"",MAX($A$6:A817)+1," ")</f>
        <v>813</v>
      </c>
      <c r="B818" s="32" t="s">
        <v>485</v>
      </c>
      <c r="C818" t="s">
        <v>59</v>
      </c>
      <c r="D818" s="31" t="s">
        <v>708</v>
      </c>
      <c r="E818" s="31" t="s">
        <v>708</v>
      </c>
      <c r="F818" s="31" t="s">
        <v>743</v>
      </c>
      <c r="K818" s="2" t="str">
        <f t="shared" si="12"/>
        <v>fma</v>
      </c>
      <c r="L818" cm="1">
        <f t="array" ref="L81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18" t="str">
        <f>IF(OR(ISNUMBER(SEARCH("imad", Table6[[#This Row],[instruction]])), ISNUMBER(SEARCH("ffma", Table6[[#This Row],[instruction]])), ISNUMBER(SEARCH("fmul", Table6[[#This Row],[instruction]]))), "fma", "")</f>
        <v>fma</v>
      </c>
      <c r="P81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8" t="str">
        <f>IF(OR(ISNUMBER(SEARCH("s2r", Table6[[#This Row],[instruction]])),ISNUMBER(SEARCH("s2ur", Table6[[#This Row],[instruction]]))), "special", "")</f>
        <v/>
      </c>
      <c r="S818" t="str">
        <f>IF(OR(ISNUMBER(SEARCH("stg", Table6[[#This Row],[instruction]])),ISNUMBER(SEARCH("ldg", Table6[[#This Row],[instruction]]))), "global", "")</f>
        <v/>
      </c>
      <c r="T818" t="str">
        <f>IF(OR(ISNUMBER(SEARCH("sts", Table6[[#This Row],[instruction]])),ISNUMBER(SEARCH("lds", Table6[[#This Row],[instruction]]))), "shared", "")</f>
        <v/>
      </c>
      <c r="U818" t="str">
        <f>IF(OR(ISNUMBER(SEARCH("LDC", Table6[[#This Row],[instruction]]))), "ind. const", "")</f>
        <v/>
      </c>
      <c r="V81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Row],[s5]]))),U818=""), "cmb. const", "")</f>
        <v>cmb. const</v>
      </c>
      <c r="Y818">
        <f>IF(Table6[[#This Row],[pipeline]]="fma",Table6[[#This Row],[delay]],0)</f>
        <v>4</v>
      </c>
      <c r="Z818">
        <f>IF(AND(Table6[[#This Row],[pipeline]]="fma",W818="new"),290,0)</f>
        <v>0</v>
      </c>
      <c r="AK818" s="34"/>
    </row>
    <row r="819" spans="1:37" ht="17" x14ac:dyDescent="0.2">
      <c r="A819" s="31">
        <f>IF(Table6[[#This Row],[instruction]]&lt;&gt;"",MAX($A$6:A818)+1," ")</f>
        <v>814</v>
      </c>
      <c r="B819" s="32" t="s">
        <v>485</v>
      </c>
      <c r="C819" t="s">
        <v>28</v>
      </c>
      <c r="D819" s="31" t="s">
        <v>29</v>
      </c>
      <c r="E819" s="31" t="s">
        <v>674</v>
      </c>
      <c r="K819" s="2" t="str">
        <f t="shared" si="12"/>
        <v>global</v>
      </c>
      <c r="L819" cm="1">
        <f t="array" ref="L81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19" t="str">
        <f>IF(OR(ISNUMBER(SEARCH("imad", Table6[[#This Row],[instruction]])), ISNUMBER(SEARCH("ffma", Table6[[#This Row],[instruction]])), ISNUMBER(SEARCH("fmul", Table6[[#This Row],[instruction]]))), "fma", "")</f>
        <v/>
      </c>
      <c r="P81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1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19" t="str">
        <f>IF(OR(ISNUMBER(SEARCH("s2r", Table6[[#This Row],[instruction]])),ISNUMBER(SEARCH("s2ur", Table6[[#This Row],[instruction]]))), "special", "")</f>
        <v/>
      </c>
      <c r="S819" t="str">
        <f>IF(OR(ISNUMBER(SEARCH("stg", Table6[[#This Row],[instruction]])),ISNUMBER(SEARCH("ldg", Table6[[#This Row],[instruction]]))), "global", "")</f>
        <v>global</v>
      </c>
      <c r="T819" t="str">
        <f>IF(OR(ISNUMBER(SEARCH("sts", Table6[[#This Row],[instruction]])),ISNUMBER(SEARCH("lds", Table6[[#This Row],[instruction]]))), "shared", "")</f>
        <v/>
      </c>
      <c r="U819" t="str">
        <f>IF(OR(ISNUMBER(SEARCH("LDC", Table6[[#This Row],[instruction]]))), "ind. const", "")</f>
        <v/>
      </c>
      <c r="V81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Row],[s5]]))),U819=""), "cmb. const", "")</f>
        <v/>
      </c>
      <c r="Y819">
        <f>IF(Table6[[#This Row],[pipeline]]="fma",Table6[[#This Row],[delay]],0)</f>
        <v>0</v>
      </c>
      <c r="Z819">
        <f>IF(AND(Table6[[#This Row],[pipeline]]="fma",W819="new"),290,0)</f>
        <v>0</v>
      </c>
      <c r="AK819" s="34"/>
    </row>
    <row r="820" spans="1:37" ht="17" x14ac:dyDescent="0.2">
      <c r="A820" s="31">
        <f>IF(Table6[[#This Row],[instruction]]&lt;&gt;"",MAX($A$6:A819)+1," ")</f>
        <v>815</v>
      </c>
      <c r="B820" s="32" t="s">
        <v>485</v>
      </c>
      <c r="C820" t="s">
        <v>72</v>
      </c>
      <c r="D820" s="31" t="s">
        <v>552</v>
      </c>
      <c r="K820" s="2" t="str">
        <f t="shared" si="12"/>
        <v>cba</v>
      </c>
      <c r="L820" cm="1">
        <f t="array" ref="L82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20" t="str">
        <f>IF(OR(ISNUMBER(SEARCH("imad", Table6[[#This Row],[instruction]])), ISNUMBER(SEARCH("ffma", Table6[[#This Row],[instruction]])), ISNUMBER(SEARCH("fmul", Table6[[#This Row],[instruction]]))), "fma", "")</f>
        <v/>
      </c>
      <c r="P82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20" t="str">
        <f>IF(OR(ISNUMBER(SEARCH("s2r", Table6[[#This Row],[instruction]])),ISNUMBER(SEARCH("s2ur", Table6[[#This Row],[instruction]]))), "special", "")</f>
        <v/>
      </c>
      <c r="S820" t="str">
        <f>IF(OR(ISNUMBER(SEARCH("stg", Table6[[#This Row],[instruction]])),ISNUMBER(SEARCH("ldg", Table6[[#This Row],[instruction]]))), "global", "")</f>
        <v/>
      </c>
      <c r="T820" t="str">
        <f>IF(OR(ISNUMBER(SEARCH("sts", Table6[[#This Row],[instruction]])),ISNUMBER(SEARCH("lds", Table6[[#This Row],[instruction]]))), "shared", "")</f>
        <v/>
      </c>
      <c r="U820" t="str">
        <f>IF(OR(ISNUMBER(SEARCH("LDC", Table6[[#This Row],[instruction]]))), "ind. const", "")</f>
        <v/>
      </c>
      <c r="V82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Row],[s5]]))),U820=""), "cmb. const", "")</f>
        <v/>
      </c>
      <c r="Y820">
        <f>IF(Table6[[#This Row],[pipeline]]="fma",Table6[[#This Row],[delay]],0)</f>
        <v>0</v>
      </c>
      <c r="Z820">
        <f>IF(AND(Table6[[#This Row],[pipeline]]="fma",W820="new"),290,0)</f>
        <v>0</v>
      </c>
      <c r="AK820" s="34"/>
    </row>
    <row r="821" spans="1:37" ht="17" x14ac:dyDescent="0.2">
      <c r="A821" s="31">
        <f>IF(Table6[[#This Row],[instruction]]&lt;&gt;"",MAX($A$6:A820)+1," ")</f>
        <v>816</v>
      </c>
      <c r="B821" s="32" t="s">
        <v>485</v>
      </c>
      <c r="C821" t="s">
        <v>26</v>
      </c>
      <c r="D821" s="31" t="s">
        <v>19</v>
      </c>
      <c r="E821" s="31" t="s">
        <v>19</v>
      </c>
      <c r="F821" s="31" t="s">
        <v>459</v>
      </c>
      <c r="G821" s="31" t="s">
        <v>502</v>
      </c>
      <c r="K821" s="2" t="str">
        <f t="shared" si="12"/>
        <v>alu</v>
      </c>
      <c r="L821" cm="1">
        <f t="array" ref="L82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21" t="str">
        <f>IF(OR(ISNUMBER(SEARCH("imad", Table6[[#This Row],[instruction]])), ISNUMBER(SEARCH("ffma", Table6[[#This Row],[instruction]])), ISNUMBER(SEARCH("fmul", Table6[[#This Row],[instruction]]))), "fma", "")</f>
        <v/>
      </c>
      <c r="P82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2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1" t="str">
        <f>IF(OR(ISNUMBER(SEARCH("s2r", Table6[[#This Row],[instruction]])),ISNUMBER(SEARCH("s2ur", Table6[[#This Row],[instruction]]))), "special", "")</f>
        <v/>
      </c>
      <c r="S821" t="str">
        <f>IF(OR(ISNUMBER(SEARCH("stg", Table6[[#This Row],[instruction]])),ISNUMBER(SEARCH("ldg", Table6[[#This Row],[instruction]]))), "global", "")</f>
        <v/>
      </c>
      <c r="T821" t="str">
        <f>IF(OR(ISNUMBER(SEARCH("sts", Table6[[#This Row],[instruction]])),ISNUMBER(SEARCH("lds", Table6[[#This Row],[instruction]]))), "shared", "")</f>
        <v/>
      </c>
      <c r="U821" t="str">
        <f>IF(OR(ISNUMBER(SEARCH("LDC", Table6[[#This Row],[instruction]]))), "ind. const", "")</f>
        <v/>
      </c>
      <c r="V82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Row],[s5]]))),U821=""), "cmb. const", "")</f>
        <v/>
      </c>
      <c r="Y821">
        <f>IF(Table6[[#This Row],[pipeline]]="fma",Table6[[#This Row],[delay]],0)</f>
        <v>0</v>
      </c>
      <c r="Z821">
        <f>IF(AND(Table6[[#This Row],[pipeline]]="fma",W821="new"),290,0)</f>
        <v>0</v>
      </c>
      <c r="AK821" s="34"/>
    </row>
    <row r="822" spans="1:37" ht="17" x14ac:dyDescent="0.2">
      <c r="A822" s="31">
        <f>IF(Table6[[#This Row],[instruction]]&lt;&gt;"",MAX($A$6:A821)+1," ")</f>
        <v>817</v>
      </c>
      <c r="B822" s="32" t="s">
        <v>485</v>
      </c>
      <c r="C822" t="s">
        <v>49</v>
      </c>
      <c r="D822" s="31" t="s">
        <v>50</v>
      </c>
      <c r="E822" s="31" t="s">
        <v>51</v>
      </c>
      <c r="F822" s="31" t="s">
        <v>19</v>
      </c>
      <c r="G822" s="31" t="s">
        <v>18</v>
      </c>
      <c r="H822" s="31" t="s">
        <v>494</v>
      </c>
      <c r="K822" s="2" t="str">
        <f t="shared" si="12"/>
        <v>alu</v>
      </c>
      <c r="L822" cm="1">
        <f t="array" ref="L82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22" t="str">
        <f>IF(OR(ISNUMBER(SEARCH("imad", Table6[[#This Row],[instruction]])), ISNUMBER(SEARCH("ffma", Table6[[#This Row],[instruction]])), ISNUMBER(SEARCH("fmul", Table6[[#This Row],[instruction]]))), "fma", "")</f>
        <v/>
      </c>
      <c r="P82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2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2" t="str">
        <f>IF(OR(ISNUMBER(SEARCH("s2r", Table6[[#This Row],[instruction]])),ISNUMBER(SEARCH("s2ur", Table6[[#This Row],[instruction]]))), "special", "")</f>
        <v/>
      </c>
      <c r="S822" t="str">
        <f>IF(OR(ISNUMBER(SEARCH("stg", Table6[[#This Row],[instruction]])),ISNUMBER(SEARCH("ldg", Table6[[#This Row],[instruction]]))), "global", "")</f>
        <v/>
      </c>
      <c r="T822" t="str">
        <f>IF(OR(ISNUMBER(SEARCH("sts", Table6[[#This Row],[instruction]])),ISNUMBER(SEARCH("lds", Table6[[#This Row],[instruction]]))), "shared", "")</f>
        <v/>
      </c>
      <c r="U822" t="str">
        <f>IF(OR(ISNUMBER(SEARCH("LDC", Table6[[#This Row],[instruction]]))), "ind. const", "")</f>
        <v/>
      </c>
      <c r="V82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Row],[s5]]))),U822=""), "cmb. const", "")</f>
        <v>cmb. const</v>
      </c>
      <c r="W822" s="2" t="s">
        <v>481</v>
      </c>
      <c r="Y822">
        <f>IF(Table6[[#This Row],[pipeline]]="fma",Table6[[#This Row],[delay]],0)</f>
        <v>0</v>
      </c>
      <c r="Z822">
        <f>IF(AND(Table6[[#This Row],[pipeline]]="fma",W822="new"),290,0)</f>
        <v>0</v>
      </c>
      <c r="AK822" s="34"/>
    </row>
    <row r="823" spans="1:37" ht="17" x14ac:dyDescent="0.2">
      <c r="A823" s="31">
        <f>IF(Table6[[#This Row],[instruction]]&lt;&gt;"",MAX($A$6:A822)+1," ")</f>
        <v>818</v>
      </c>
      <c r="B823" s="32" t="s">
        <v>86</v>
      </c>
      <c r="C823" s="57" t="s">
        <v>485</v>
      </c>
      <c r="D823" s="31" t="s">
        <v>755</v>
      </c>
      <c r="K823" s="2" t="str">
        <f t="shared" si="12"/>
        <v/>
      </c>
      <c r="L823" cm="1">
        <f t="array" ref="L82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823" t="s">
        <v>770</v>
      </c>
      <c r="O823" t="str">
        <f>IF(OR(ISNUMBER(SEARCH("imad", Table6[[#This Row],[instruction]])), ISNUMBER(SEARCH("ffma", Table6[[#This Row],[instruction]])), ISNUMBER(SEARCH("fmul", Table6[[#This Row],[instruction]]))), "fma", "")</f>
        <v/>
      </c>
      <c r="P82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3" t="str">
        <f>IF(OR(ISNUMBER(SEARCH("s2r", Table6[[#This Row],[instruction]])),ISNUMBER(SEARCH("s2ur", Table6[[#This Row],[instruction]]))), "special", "")</f>
        <v/>
      </c>
      <c r="S823" t="str">
        <f>IF(OR(ISNUMBER(SEARCH("stg", Table6[[#This Row],[instruction]])),ISNUMBER(SEARCH("ldg", Table6[[#This Row],[instruction]]))), "global", "")</f>
        <v/>
      </c>
      <c r="T823" t="str">
        <f>IF(OR(ISNUMBER(SEARCH("sts", Table6[[#This Row],[instruction]])),ISNUMBER(SEARCH("lds", Table6[[#This Row],[instruction]]))), "shared", "")</f>
        <v/>
      </c>
      <c r="U823" t="str">
        <f>IF(OR(ISNUMBER(SEARCH("LDC", Table6[[#This Row],[instruction]]))), "ind. const", "")</f>
        <v/>
      </c>
      <c r="V82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Row],[s5]]))),U823=""), "cmb. const", "")</f>
        <v/>
      </c>
      <c r="Y823">
        <f>IF(Table6[[#This Row],[pipeline]]="fma",Table6[[#This Row],[delay]],0)</f>
        <v>0</v>
      </c>
      <c r="Z823">
        <f>IF(AND(Table6[[#This Row],[pipeline]]="fma",W823="new"),290,0)</f>
        <v>0</v>
      </c>
      <c r="AK823" s="34"/>
    </row>
    <row r="824" spans="1:37" ht="17" x14ac:dyDescent="0.2">
      <c r="A824" s="31">
        <f>IF(Table6[[#This Row],[instruction]]&lt;&gt;"",MAX($A$6:A823)+1," ")</f>
        <v>819</v>
      </c>
      <c r="B824" s="32" t="s">
        <v>485</v>
      </c>
      <c r="C824" t="s">
        <v>0</v>
      </c>
      <c r="D824" s="31" t="s">
        <v>23</v>
      </c>
      <c r="E824" s="31" t="s">
        <v>488</v>
      </c>
      <c r="K824" s="2" t="str">
        <f t="shared" si="12"/>
        <v/>
      </c>
      <c r="L824" cm="1">
        <f t="array" ref="L82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24" t="str">
        <f>IF(OR(ISNUMBER(SEARCH("imad", Table6[[#This Row],[instruction]])), ISNUMBER(SEARCH("ffma", Table6[[#This Row],[instruction]])), ISNUMBER(SEARCH("fmul", Table6[[#This Row],[instruction]]))), "fma", "")</f>
        <v/>
      </c>
      <c r="P82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4" t="str">
        <f>IF(OR(ISNUMBER(SEARCH("s2r", Table6[[#This Row],[instruction]])),ISNUMBER(SEARCH("s2ur", Table6[[#This Row],[instruction]]))), "special", "")</f>
        <v/>
      </c>
      <c r="S824" t="str">
        <f>IF(OR(ISNUMBER(SEARCH("stg", Table6[[#This Row],[instruction]])),ISNUMBER(SEARCH("ldg", Table6[[#This Row],[instruction]]))), "global", "")</f>
        <v/>
      </c>
      <c r="T824" t="str">
        <f>IF(OR(ISNUMBER(SEARCH("sts", Table6[[#This Row],[instruction]])),ISNUMBER(SEARCH("lds", Table6[[#This Row],[instruction]]))), "shared", "")</f>
        <v/>
      </c>
      <c r="U824" t="str">
        <f>IF(OR(ISNUMBER(SEARCH("LDC", Table6[[#This Row],[instruction]]))), "ind. const", "")</f>
        <v/>
      </c>
      <c r="V82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Row],[s5]]))),U824=""), "cmb. const", "")</f>
        <v>cmb. const</v>
      </c>
      <c r="W824" s="2" t="s">
        <v>481</v>
      </c>
      <c r="Y824">
        <f>IF(Table6[[#This Row],[pipeline]]="fma",Table6[[#This Row],[delay]],0)</f>
        <v>0</v>
      </c>
      <c r="Z824">
        <f>IF(AND(Table6[[#This Row],[pipeline]]="fma",W824="new"),290,0)</f>
        <v>0</v>
      </c>
      <c r="AK824" s="34"/>
    </row>
    <row r="825" spans="1:37" ht="17" x14ac:dyDescent="0.2">
      <c r="A825" s="31">
        <f>IF(Table6[[#This Row],[instruction]]&lt;&gt;"",MAX($A$6:A824)+1," ")</f>
        <v>820</v>
      </c>
      <c r="B825" s="32" t="s">
        <v>485</v>
      </c>
      <c r="C825" t="s">
        <v>45</v>
      </c>
      <c r="D825" s="31" t="s">
        <v>7</v>
      </c>
      <c r="E825" s="31" t="s">
        <v>8</v>
      </c>
      <c r="F825" s="31" t="s">
        <v>8</v>
      </c>
      <c r="G825" s="31" t="s">
        <v>490</v>
      </c>
      <c r="K825" s="2" t="str">
        <f t="shared" si="12"/>
        <v>fma</v>
      </c>
      <c r="L825" cm="1">
        <f t="array" ref="L82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25" t="str">
        <f>IF(OR(ISNUMBER(SEARCH("imad", Table6[[#This Row],[instruction]])), ISNUMBER(SEARCH("ffma", Table6[[#This Row],[instruction]])), ISNUMBER(SEARCH("fmul", Table6[[#This Row],[instruction]]))), "fma", "")</f>
        <v>fma</v>
      </c>
      <c r="P82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5" t="str">
        <f>IF(OR(ISNUMBER(SEARCH("s2r", Table6[[#This Row],[instruction]])),ISNUMBER(SEARCH("s2ur", Table6[[#This Row],[instruction]]))), "special", "")</f>
        <v/>
      </c>
      <c r="S825" t="str">
        <f>IF(OR(ISNUMBER(SEARCH("stg", Table6[[#This Row],[instruction]])),ISNUMBER(SEARCH("ldg", Table6[[#This Row],[instruction]]))), "global", "")</f>
        <v/>
      </c>
      <c r="T825" t="str">
        <f>IF(OR(ISNUMBER(SEARCH("sts", Table6[[#This Row],[instruction]])),ISNUMBER(SEARCH("lds", Table6[[#This Row],[instruction]]))), "shared", "")</f>
        <v/>
      </c>
      <c r="U825" t="str">
        <f>IF(OR(ISNUMBER(SEARCH("LDC", Table6[[#This Row],[instruction]]))), "ind. const", "")</f>
        <v/>
      </c>
      <c r="V82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Row],[s5]]))),U825=""), "cmb. const", "")</f>
        <v>cmb. const</v>
      </c>
      <c r="W825" s="2" t="s">
        <v>481</v>
      </c>
      <c r="Y825">
        <f>IF(Table6[[#This Row],[pipeline]]="fma",Table6[[#This Row],[delay]],0)</f>
        <v>4</v>
      </c>
      <c r="Z825">
        <f>IF(AND(Table6[[#This Row],[pipeline]]="fma",W825="new"),290,0)</f>
        <v>0</v>
      </c>
      <c r="AK825" s="34"/>
    </row>
    <row r="826" spans="1:37" ht="17" x14ac:dyDescent="0.2">
      <c r="A826" s="31">
        <f>IF(Table6[[#This Row],[instruction]]&lt;&gt;"",MAX($A$6:A825)+1," ")</f>
        <v>821</v>
      </c>
      <c r="B826" s="32" t="s">
        <v>485</v>
      </c>
      <c r="C826" t="s">
        <v>26</v>
      </c>
      <c r="D826" s="31" t="s">
        <v>71</v>
      </c>
      <c r="E826" s="31" t="s">
        <v>46</v>
      </c>
      <c r="F826" s="31" t="s">
        <v>75</v>
      </c>
      <c r="G826" s="31" t="s">
        <v>502</v>
      </c>
      <c r="K826" s="2" t="str">
        <f t="shared" si="12"/>
        <v>alu</v>
      </c>
      <c r="L826" cm="1">
        <f t="array" ref="L82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26" t="str">
        <f>IF(OR(ISNUMBER(SEARCH("imad", Table6[[#This Row],[instruction]])), ISNUMBER(SEARCH("ffma", Table6[[#This Row],[instruction]])), ISNUMBER(SEARCH("fmul", Table6[[#This Row],[instruction]]))), "fma", "")</f>
        <v/>
      </c>
      <c r="P82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2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6" t="str">
        <f>IF(OR(ISNUMBER(SEARCH("s2r", Table6[[#This Row],[instruction]])),ISNUMBER(SEARCH("s2ur", Table6[[#This Row],[instruction]]))), "special", "")</f>
        <v/>
      </c>
      <c r="S826" t="str">
        <f>IF(OR(ISNUMBER(SEARCH("stg", Table6[[#This Row],[instruction]])),ISNUMBER(SEARCH("ldg", Table6[[#This Row],[instruction]]))), "global", "")</f>
        <v/>
      </c>
      <c r="T826" t="str">
        <f>IF(OR(ISNUMBER(SEARCH("sts", Table6[[#This Row],[instruction]])),ISNUMBER(SEARCH("lds", Table6[[#This Row],[instruction]]))), "shared", "")</f>
        <v/>
      </c>
      <c r="U826" t="str">
        <f>IF(OR(ISNUMBER(SEARCH("LDC", Table6[[#This Row],[instruction]]))), "ind. const", "")</f>
        <v/>
      </c>
      <c r="V82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Row],[s5]]))),U826=""), "cmb. const", "")</f>
        <v/>
      </c>
      <c r="Y826">
        <f>IF(Table6[[#This Row],[pipeline]]="fma",Table6[[#This Row],[delay]],0)</f>
        <v>0</v>
      </c>
      <c r="Z826">
        <f>IF(AND(Table6[[#This Row],[pipeline]]="fma",W826="new"),290,0)</f>
        <v>0</v>
      </c>
      <c r="AK826" s="34"/>
    </row>
    <row r="827" spans="1:37" ht="17" x14ac:dyDescent="0.2">
      <c r="A827" s="31">
        <f>IF(Table6[[#This Row],[instruction]]&lt;&gt;"",MAX($A$6:A826)+1," ")</f>
        <v>822</v>
      </c>
      <c r="B827" s="32" t="s">
        <v>485</v>
      </c>
      <c r="C827" t="s">
        <v>14</v>
      </c>
      <c r="D827" s="31" t="s">
        <v>60</v>
      </c>
      <c r="E827" s="31" t="s">
        <v>46</v>
      </c>
      <c r="F827" s="31" t="s">
        <v>731</v>
      </c>
      <c r="G827" s="31" t="s">
        <v>502</v>
      </c>
      <c r="K827" s="2" t="str">
        <f t="shared" si="12"/>
        <v>fma</v>
      </c>
      <c r="L827" cm="1">
        <f t="array" ref="L82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27" t="str">
        <f>IF(OR(ISNUMBER(SEARCH("imad", Table6[[#This Row],[instruction]])), ISNUMBER(SEARCH("ffma", Table6[[#This Row],[instruction]])), ISNUMBER(SEARCH("fmul", Table6[[#This Row],[instruction]]))), "fma", "")</f>
        <v>fma</v>
      </c>
      <c r="P82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7" t="str">
        <f>IF(OR(ISNUMBER(SEARCH("s2r", Table6[[#This Row],[instruction]])),ISNUMBER(SEARCH("s2ur", Table6[[#This Row],[instruction]]))), "special", "")</f>
        <v/>
      </c>
      <c r="S827" t="str">
        <f>IF(OR(ISNUMBER(SEARCH("stg", Table6[[#This Row],[instruction]])),ISNUMBER(SEARCH("ldg", Table6[[#This Row],[instruction]]))), "global", "")</f>
        <v/>
      </c>
      <c r="T827" t="str">
        <f>IF(OR(ISNUMBER(SEARCH("sts", Table6[[#This Row],[instruction]])),ISNUMBER(SEARCH("lds", Table6[[#This Row],[instruction]]))), "shared", "")</f>
        <v/>
      </c>
      <c r="U827" t="str">
        <f>IF(OR(ISNUMBER(SEARCH("LDC", Table6[[#This Row],[instruction]]))), "ind. const", "")</f>
        <v/>
      </c>
      <c r="V82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Row],[s5]]))),U827=""), "cmb. const", "")</f>
        <v>cmb. const</v>
      </c>
      <c r="W827" s="2" t="s">
        <v>481</v>
      </c>
      <c r="Y827">
        <f>IF(Table6[[#This Row],[pipeline]]="fma",Table6[[#This Row],[delay]],0)</f>
        <v>4</v>
      </c>
      <c r="Z827">
        <f>IF(AND(Table6[[#This Row],[pipeline]]="fma",W827="new"),290,0)</f>
        <v>0</v>
      </c>
      <c r="AK827" s="34"/>
    </row>
    <row r="828" spans="1:37" ht="17" x14ac:dyDescent="0.2">
      <c r="A828" s="31">
        <f>IF(Table6[[#This Row],[instruction]]&lt;&gt;"",MAX($A$6:A827)+1," ")</f>
        <v>823</v>
      </c>
      <c r="B828" s="32" t="s">
        <v>485</v>
      </c>
      <c r="C828" t="s">
        <v>463</v>
      </c>
      <c r="D828" s="31" t="s">
        <v>50</v>
      </c>
      <c r="E828" s="31" t="s">
        <v>51</v>
      </c>
      <c r="F828" s="31" t="s">
        <v>23</v>
      </c>
      <c r="G828" s="31" t="s">
        <v>75</v>
      </c>
      <c r="H828" s="31" t="s">
        <v>494</v>
      </c>
      <c r="K828" s="2" t="str">
        <f t="shared" si="12"/>
        <v>alu</v>
      </c>
      <c r="L828" cm="1">
        <f t="array" ref="L82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28" t="str">
        <f>IF(OR(ISNUMBER(SEARCH("imad", Table6[[#This Row],[instruction]])), ISNUMBER(SEARCH("ffma", Table6[[#This Row],[instruction]])), ISNUMBER(SEARCH("fmul", Table6[[#This Row],[instruction]]))), "fma", "")</f>
        <v/>
      </c>
      <c r="P82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2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8" t="str">
        <f>IF(OR(ISNUMBER(SEARCH("s2r", Table6[[#This Row],[instruction]])),ISNUMBER(SEARCH("s2ur", Table6[[#This Row],[instruction]]))), "special", "")</f>
        <v/>
      </c>
      <c r="S828" t="str">
        <f>IF(OR(ISNUMBER(SEARCH("stg", Table6[[#This Row],[instruction]])),ISNUMBER(SEARCH("ldg", Table6[[#This Row],[instruction]]))), "global", "")</f>
        <v/>
      </c>
      <c r="T828" t="str">
        <f>IF(OR(ISNUMBER(SEARCH("sts", Table6[[#This Row],[instruction]])),ISNUMBER(SEARCH("lds", Table6[[#This Row],[instruction]]))), "shared", "")</f>
        <v/>
      </c>
      <c r="U828" t="str">
        <f>IF(OR(ISNUMBER(SEARCH("LDC", Table6[[#This Row],[instruction]]))), "ind. const", "")</f>
        <v/>
      </c>
      <c r="V82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Row],[s5]]))),U828=""), "cmb. const", "")</f>
        <v/>
      </c>
      <c r="Y828">
        <f>IF(Table6[[#This Row],[pipeline]]="fma",Table6[[#This Row],[delay]],0)</f>
        <v>0</v>
      </c>
      <c r="Z828">
        <f>IF(AND(Table6[[#This Row],[pipeline]]="fma",W828="new"),290,0)</f>
        <v>0</v>
      </c>
      <c r="AK828" s="34"/>
    </row>
    <row r="829" spans="1:37" ht="17" x14ac:dyDescent="0.2">
      <c r="A829" s="31">
        <f>IF(Table6[[#This Row],[instruction]]&lt;&gt;"",MAX($A$6:A828)+1," ")</f>
        <v>824</v>
      </c>
      <c r="B829" s="32" t="s">
        <v>485</v>
      </c>
      <c r="C829" t="s">
        <v>0</v>
      </c>
      <c r="D829" s="31" t="s">
        <v>23</v>
      </c>
      <c r="E829" s="31" t="s">
        <v>508</v>
      </c>
      <c r="K829" s="2" t="str">
        <f t="shared" si="12"/>
        <v/>
      </c>
      <c r="L829" cm="1">
        <f t="array" ref="L82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29" t="str">
        <f>IF(OR(ISNUMBER(SEARCH("imad", Table6[[#This Row],[instruction]])), ISNUMBER(SEARCH("ffma", Table6[[#This Row],[instruction]])), ISNUMBER(SEARCH("fmul", Table6[[#This Row],[instruction]]))), "fma", "")</f>
        <v/>
      </c>
      <c r="P82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2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29" t="str">
        <f>IF(OR(ISNUMBER(SEARCH("s2r", Table6[[#This Row],[instruction]])),ISNUMBER(SEARCH("s2ur", Table6[[#This Row],[instruction]]))), "special", "")</f>
        <v/>
      </c>
      <c r="S829" t="str">
        <f>IF(OR(ISNUMBER(SEARCH("stg", Table6[[#This Row],[instruction]])),ISNUMBER(SEARCH("ldg", Table6[[#This Row],[instruction]]))), "global", "")</f>
        <v/>
      </c>
      <c r="T829" t="str">
        <f>IF(OR(ISNUMBER(SEARCH("sts", Table6[[#This Row],[instruction]])),ISNUMBER(SEARCH("lds", Table6[[#This Row],[instruction]]))), "shared", "")</f>
        <v/>
      </c>
      <c r="U829" t="str">
        <f>IF(OR(ISNUMBER(SEARCH("LDC", Table6[[#This Row],[instruction]]))), "ind. const", "")</f>
        <v/>
      </c>
      <c r="V82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Row],[s5]]))),U829=""), "cmb. const", "")</f>
        <v/>
      </c>
      <c r="Y829">
        <f>IF(Table6[[#This Row],[pipeline]]="fma",Table6[[#This Row],[delay]],0)</f>
        <v>0</v>
      </c>
      <c r="Z829">
        <f>IF(AND(Table6[[#This Row],[pipeline]]="fma",W829="new"),290,0)</f>
        <v>0</v>
      </c>
      <c r="AK829" s="34"/>
    </row>
    <row r="830" spans="1:37" ht="17" x14ac:dyDescent="0.2">
      <c r="A830" s="31">
        <f>IF(Table6[[#This Row],[instruction]]&lt;&gt;"",MAX($A$6:A829)+1," ")</f>
        <v>825</v>
      </c>
      <c r="B830" s="32" t="s">
        <v>485</v>
      </c>
      <c r="C830" t="s">
        <v>14</v>
      </c>
      <c r="D830" s="31" t="s">
        <v>27</v>
      </c>
      <c r="E830" s="31" t="s">
        <v>71</v>
      </c>
      <c r="F830" s="31" t="s">
        <v>731</v>
      </c>
      <c r="G830" s="31" t="s">
        <v>502</v>
      </c>
      <c r="K830" s="2" t="str">
        <f t="shared" si="12"/>
        <v>fma</v>
      </c>
      <c r="L830" cm="1">
        <f t="array" ref="L83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0" t="str">
        <f>IF(OR(ISNUMBER(SEARCH("imad", Table6[[#This Row],[instruction]])), ISNUMBER(SEARCH("ffma", Table6[[#This Row],[instruction]])), ISNUMBER(SEARCH("fmul", Table6[[#This Row],[instruction]]))), "fma", "")</f>
        <v>fma</v>
      </c>
      <c r="P83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3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0" t="str">
        <f>IF(OR(ISNUMBER(SEARCH("s2r", Table6[[#This Row],[instruction]])),ISNUMBER(SEARCH("s2ur", Table6[[#This Row],[instruction]]))), "special", "")</f>
        <v/>
      </c>
      <c r="S830" t="str">
        <f>IF(OR(ISNUMBER(SEARCH("stg", Table6[[#This Row],[instruction]])),ISNUMBER(SEARCH("ldg", Table6[[#This Row],[instruction]]))), "global", "")</f>
        <v/>
      </c>
      <c r="T830" t="str">
        <f>IF(OR(ISNUMBER(SEARCH("sts", Table6[[#This Row],[instruction]])),ISNUMBER(SEARCH("lds", Table6[[#This Row],[instruction]]))), "shared", "")</f>
        <v/>
      </c>
      <c r="U830" t="str">
        <f>IF(OR(ISNUMBER(SEARCH("LDC", Table6[[#This Row],[instruction]]))), "ind. const", "")</f>
        <v/>
      </c>
      <c r="V83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Row],[s5]]))),U830=""), "cmb. const", "")</f>
        <v>cmb. const</v>
      </c>
      <c r="W830" s="2" t="s">
        <v>481</v>
      </c>
      <c r="Y830">
        <f>IF(Table6[[#This Row],[pipeline]]="fma",Table6[[#This Row],[delay]],0)</f>
        <v>4</v>
      </c>
      <c r="Z830">
        <f>IF(AND(Table6[[#This Row],[pipeline]]="fma",W830="new"),290,0)</f>
        <v>0</v>
      </c>
      <c r="AK830" s="34"/>
    </row>
    <row r="831" spans="1:37" ht="17" x14ac:dyDescent="0.2">
      <c r="A831" s="31">
        <f>IF(Table6[[#This Row],[instruction]]&lt;&gt;"",MAX($A$6:A830)+1," ")</f>
        <v>826</v>
      </c>
      <c r="B831" s="32" t="s">
        <v>485</v>
      </c>
      <c r="C831" t="s">
        <v>463</v>
      </c>
      <c r="D831" s="31" t="s">
        <v>78</v>
      </c>
      <c r="E831" s="31" t="s">
        <v>51</v>
      </c>
      <c r="F831" s="31" t="s">
        <v>7</v>
      </c>
      <c r="G831" s="31" t="s">
        <v>75</v>
      </c>
      <c r="H831" s="31" t="s">
        <v>494</v>
      </c>
      <c r="K831" s="2" t="str">
        <f t="shared" si="12"/>
        <v>alu</v>
      </c>
      <c r="L831" cm="1">
        <f t="array" ref="L83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1" t="str">
        <f>IF(OR(ISNUMBER(SEARCH("imad", Table6[[#This Row],[instruction]])), ISNUMBER(SEARCH("ffma", Table6[[#This Row],[instruction]])), ISNUMBER(SEARCH("fmul", Table6[[#This Row],[instruction]]))), "fma", "")</f>
        <v/>
      </c>
      <c r="P83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1" t="str">
        <f>IF(OR(ISNUMBER(SEARCH("s2r", Table6[[#This Row],[instruction]])),ISNUMBER(SEARCH("s2ur", Table6[[#This Row],[instruction]]))), "special", "")</f>
        <v/>
      </c>
      <c r="S831" t="str">
        <f>IF(OR(ISNUMBER(SEARCH("stg", Table6[[#This Row],[instruction]])),ISNUMBER(SEARCH("ldg", Table6[[#This Row],[instruction]]))), "global", "")</f>
        <v/>
      </c>
      <c r="T831" t="str">
        <f>IF(OR(ISNUMBER(SEARCH("sts", Table6[[#This Row],[instruction]])),ISNUMBER(SEARCH("lds", Table6[[#This Row],[instruction]]))), "shared", "")</f>
        <v/>
      </c>
      <c r="U831" t="str">
        <f>IF(OR(ISNUMBER(SEARCH("LDC", Table6[[#This Row],[instruction]]))), "ind. const", "")</f>
        <v/>
      </c>
      <c r="V83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Row],[s5]]))),U831=""), "cmb. const", "")</f>
        <v/>
      </c>
      <c r="Y831">
        <f>IF(Table6[[#This Row],[pipeline]]="fma",Table6[[#This Row],[delay]],0)</f>
        <v>0</v>
      </c>
      <c r="Z831">
        <f>IF(AND(Table6[[#This Row],[pipeline]]="fma",W831="new"),290,0)</f>
        <v>0</v>
      </c>
      <c r="AK831" s="34"/>
    </row>
    <row r="832" spans="1:37" ht="17" x14ac:dyDescent="0.2">
      <c r="A832" s="31">
        <f>IF(Table6[[#This Row],[instruction]]&lt;&gt;"",MAX($A$6:A831)+1," ")</f>
        <v>827</v>
      </c>
      <c r="B832" s="32" t="s">
        <v>485</v>
      </c>
      <c r="C832" t="s">
        <v>26</v>
      </c>
      <c r="D832" s="31" t="s">
        <v>577</v>
      </c>
      <c r="E832" s="31" t="s">
        <v>46</v>
      </c>
      <c r="F832" s="31" t="s">
        <v>79</v>
      </c>
      <c r="G832" s="31" t="s">
        <v>502</v>
      </c>
      <c r="K832" s="2" t="str">
        <f t="shared" si="12"/>
        <v>alu</v>
      </c>
      <c r="L832" cm="1">
        <f t="array" ref="L83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32" t="str">
        <f>IF(OR(ISNUMBER(SEARCH("imad", Table6[[#This Row],[instruction]])), ISNUMBER(SEARCH("ffma", Table6[[#This Row],[instruction]])), ISNUMBER(SEARCH("fmul", Table6[[#This Row],[instruction]]))), "fma", "")</f>
        <v/>
      </c>
      <c r="P83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2" t="str">
        <f>IF(OR(ISNUMBER(SEARCH("s2r", Table6[[#This Row],[instruction]])),ISNUMBER(SEARCH("s2ur", Table6[[#This Row],[instruction]]))), "special", "")</f>
        <v/>
      </c>
      <c r="S832" t="str">
        <f>IF(OR(ISNUMBER(SEARCH("stg", Table6[[#This Row],[instruction]])),ISNUMBER(SEARCH("ldg", Table6[[#This Row],[instruction]]))), "global", "")</f>
        <v/>
      </c>
      <c r="T832" t="str">
        <f>IF(OR(ISNUMBER(SEARCH("sts", Table6[[#This Row],[instruction]])),ISNUMBER(SEARCH("lds", Table6[[#This Row],[instruction]]))), "shared", "")</f>
        <v/>
      </c>
      <c r="U832" t="str">
        <f>IF(OR(ISNUMBER(SEARCH("LDC", Table6[[#This Row],[instruction]]))), "ind. const", "")</f>
        <v/>
      </c>
      <c r="V83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Row],[s5]]))),U832=""), "cmb. const", "")</f>
        <v/>
      </c>
      <c r="Y832">
        <f>IF(Table6[[#This Row],[pipeline]]="fma",Table6[[#This Row],[delay]],0)</f>
        <v>0</v>
      </c>
      <c r="Z832">
        <f>IF(AND(Table6[[#This Row],[pipeline]]="fma",W832="new"),290,0)</f>
        <v>0</v>
      </c>
      <c r="AK832" s="34"/>
    </row>
    <row r="833" spans="1:37" ht="17" x14ac:dyDescent="0.2">
      <c r="A833" s="31">
        <f>IF(Table6[[#This Row],[instruction]]&lt;&gt;"",MAX($A$6:A832)+1," ")</f>
        <v>828</v>
      </c>
      <c r="B833" s="32" t="s">
        <v>485</v>
      </c>
      <c r="C833" t="s">
        <v>26</v>
      </c>
      <c r="D833" s="31" t="s">
        <v>614</v>
      </c>
      <c r="E833" s="31" t="s">
        <v>46</v>
      </c>
      <c r="F833" s="31" t="s">
        <v>459</v>
      </c>
      <c r="G833" s="31" t="s">
        <v>502</v>
      </c>
      <c r="K833" s="2" t="str">
        <f t="shared" si="12"/>
        <v>alu</v>
      </c>
      <c r="L833" cm="1">
        <f t="array" ref="L83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33" t="str">
        <f>IF(OR(ISNUMBER(SEARCH("imad", Table6[[#This Row],[instruction]])), ISNUMBER(SEARCH("ffma", Table6[[#This Row],[instruction]])), ISNUMBER(SEARCH("fmul", Table6[[#This Row],[instruction]]))), "fma", "")</f>
        <v/>
      </c>
      <c r="P83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3" t="str">
        <f>IF(OR(ISNUMBER(SEARCH("s2r", Table6[[#This Row],[instruction]])),ISNUMBER(SEARCH("s2ur", Table6[[#This Row],[instruction]]))), "special", "")</f>
        <v/>
      </c>
      <c r="S833" t="str">
        <f>IF(OR(ISNUMBER(SEARCH("stg", Table6[[#This Row],[instruction]])),ISNUMBER(SEARCH("ldg", Table6[[#This Row],[instruction]]))), "global", "")</f>
        <v/>
      </c>
      <c r="T833" t="str">
        <f>IF(OR(ISNUMBER(SEARCH("sts", Table6[[#This Row],[instruction]])),ISNUMBER(SEARCH("lds", Table6[[#This Row],[instruction]]))), "shared", "")</f>
        <v/>
      </c>
      <c r="U833" t="str">
        <f>IF(OR(ISNUMBER(SEARCH("LDC", Table6[[#This Row],[instruction]]))), "ind. const", "")</f>
        <v/>
      </c>
      <c r="V83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Row],[s5]]))),U833=""), "cmb. const", "")</f>
        <v/>
      </c>
      <c r="Y833">
        <f>IF(Table6[[#This Row],[pipeline]]="fma",Table6[[#This Row],[delay]],0)</f>
        <v>0</v>
      </c>
      <c r="Z833">
        <f>IF(AND(Table6[[#This Row],[pipeline]]="fma",W833="new"),290,0)</f>
        <v>0</v>
      </c>
      <c r="AK833" s="34"/>
    </row>
    <row r="834" spans="1:37" ht="17" x14ac:dyDescent="0.2">
      <c r="A834" s="31">
        <f>IF(Table6[[#This Row],[instruction]]&lt;&gt;"",MAX($A$6:A833)+1," ")</f>
        <v>829</v>
      </c>
      <c r="B834" s="32" t="s">
        <v>485</v>
      </c>
      <c r="C834" t="s">
        <v>0</v>
      </c>
      <c r="D834" s="31" t="s">
        <v>58</v>
      </c>
      <c r="E834" s="31" t="s">
        <v>732</v>
      </c>
      <c r="K834" s="2" t="str">
        <f t="shared" si="12"/>
        <v/>
      </c>
      <c r="L834" cm="1">
        <f t="array" ref="L83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34" t="str">
        <f>IF(OR(ISNUMBER(SEARCH("imad", Table6[[#This Row],[instruction]])), ISNUMBER(SEARCH("ffma", Table6[[#This Row],[instruction]])), ISNUMBER(SEARCH("fmul", Table6[[#This Row],[instruction]]))), "fma", "")</f>
        <v/>
      </c>
      <c r="P83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3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4" t="str">
        <f>IF(OR(ISNUMBER(SEARCH("s2r", Table6[[#This Row],[instruction]])),ISNUMBER(SEARCH("s2ur", Table6[[#This Row],[instruction]]))), "special", "")</f>
        <v/>
      </c>
      <c r="S834" t="str">
        <f>IF(OR(ISNUMBER(SEARCH("stg", Table6[[#This Row],[instruction]])),ISNUMBER(SEARCH("ldg", Table6[[#This Row],[instruction]]))), "global", "")</f>
        <v/>
      </c>
      <c r="T834" t="str">
        <f>IF(OR(ISNUMBER(SEARCH("sts", Table6[[#This Row],[instruction]])),ISNUMBER(SEARCH("lds", Table6[[#This Row],[instruction]]))), "shared", "")</f>
        <v/>
      </c>
      <c r="U834" t="str">
        <f>IF(OR(ISNUMBER(SEARCH("LDC", Table6[[#This Row],[instruction]]))), "ind. const", "")</f>
        <v/>
      </c>
      <c r="V83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Row],[s5]]))),U834=""), "cmb. const", "")</f>
        <v>cmb. const</v>
      </c>
      <c r="W834" s="2" t="s">
        <v>481</v>
      </c>
      <c r="Y834">
        <f>IF(Table6[[#This Row],[pipeline]]="fma",Table6[[#This Row],[delay]],0)</f>
        <v>0</v>
      </c>
      <c r="Z834">
        <f>IF(AND(Table6[[#This Row],[pipeline]]="fma",W834="new"),290,0)</f>
        <v>0</v>
      </c>
      <c r="AK834" s="34"/>
    </row>
    <row r="835" spans="1:37" ht="17" x14ac:dyDescent="0.2">
      <c r="A835" s="31">
        <f>IF(Table6[[#This Row],[instruction]]&lt;&gt;"",MAX($A$6:A834)+1," ")</f>
        <v>830</v>
      </c>
      <c r="B835" s="32" t="s">
        <v>86</v>
      </c>
      <c r="C835" t="s">
        <v>509</v>
      </c>
      <c r="D835" s="31" t="s">
        <v>4</v>
      </c>
      <c r="E835" s="31" t="s">
        <v>19</v>
      </c>
      <c r="F835" s="31" t="s">
        <v>510</v>
      </c>
      <c r="G835" s="31" t="s">
        <v>502</v>
      </c>
      <c r="K835" s="2" t="str">
        <f t="shared" si="12"/>
        <v>fma</v>
      </c>
      <c r="L835" cm="1">
        <f t="array" ref="L83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5" t="str">
        <f>IF(OR(ISNUMBER(SEARCH("imad", Table6[[#This Row],[instruction]])), ISNUMBER(SEARCH("ffma", Table6[[#This Row],[instruction]])), ISNUMBER(SEARCH("fmul", Table6[[#This Row],[instruction]]))), "fma", "")</f>
        <v>fma</v>
      </c>
      <c r="P83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3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5" t="str">
        <f>IF(OR(ISNUMBER(SEARCH("s2r", Table6[[#This Row],[instruction]])),ISNUMBER(SEARCH("s2ur", Table6[[#This Row],[instruction]]))), "special", "")</f>
        <v/>
      </c>
      <c r="S835" t="str">
        <f>IF(OR(ISNUMBER(SEARCH("stg", Table6[[#This Row],[instruction]])),ISNUMBER(SEARCH("ldg", Table6[[#This Row],[instruction]]))), "global", "")</f>
        <v/>
      </c>
      <c r="T835" t="str">
        <f>IF(OR(ISNUMBER(SEARCH("sts", Table6[[#This Row],[instruction]])),ISNUMBER(SEARCH("lds", Table6[[#This Row],[instruction]]))), "shared", "")</f>
        <v/>
      </c>
      <c r="U835" t="str">
        <f>IF(OR(ISNUMBER(SEARCH("LDC", Table6[[#This Row],[instruction]]))), "ind. const", "")</f>
        <v/>
      </c>
      <c r="V83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Row],[s5]]))),U835=""), "cmb. const", "")</f>
        <v>cmb. const</v>
      </c>
      <c r="W835" s="2" t="s">
        <v>481</v>
      </c>
      <c r="Y835">
        <f>IF(Table6[[#This Row],[pipeline]]="fma",Table6[[#This Row],[delay]],0)</f>
        <v>4</v>
      </c>
      <c r="Z835">
        <f>IF(AND(Table6[[#This Row],[pipeline]]="fma",W835="new"),290,0)</f>
        <v>0</v>
      </c>
      <c r="AK835" s="34"/>
    </row>
    <row r="836" spans="1:37" ht="17" x14ac:dyDescent="0.2">
      <c r="A836" s="31">
        <f>IF(Table6[[#This Row],[instruction]]&lt;&gt;"",MAX($A$6:A835)+1," ")</f>
        <v>831</v>
      </c>
      <c r="B836" s="32" t="s">
        <v>485</v>
      </c>
      <c r="C836" t="s">
        <v>14</v>
      </c>
      <c r="D836" s="31" t="s">
        <v>84</v>
      </c>
      <c r="E836" s="31" t="s">
        <v>614</v>
      </c>
      <c r="F836" s="31" t="s">
        <v>731</v>
      </c>
      <c r="G836" s="31" t="s">
        <v>502</v>
      </c>
      <c r="K836" s="2" t="str">
        <f t="shared" si="12"/>
        <v>fma</v>
      </c>
      <c r="L836" cm="1">
        <f t="array" ref="L83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6" t="str">
        <f>IF(OR(ISNUMBER(SEARCH("imad", Table6[[#This Row],[instruction]])), ISNUMBER(SEARCH("ffma", Table6[[#This Row],[instruction]])), ISNUMBER(SEARCH("fmul", Table6[[#This Row],[instruction]]))), "fma", "")</f>
        <v>fma</v>
      </c>
      <c r="P83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3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6" t="str">
        <f>IF(OR(ISNUMBER(SEARCH("s2r", Table6[[#This Row],[instruction]])),ISNUMBER(SEARCH("s2ur", Table6[[#This Row],[instruction]]))), "special", "")</f>
        <v/>
      </c>
      <c r="S836" t="str">
        <f>IF(OR(ISNUMBER(SEARCH("stg", Table6[[#This Row],[instruction]])),ISNUMBER(SEARCH("ldg", Table6[[#This Row],[instruction]]))), "global", "")</f>
        <v/>
      </c>
      <c r="T836" t="str">
        <f>IF(OR(ISNUMBER(SEARCH("sts", Table6[[#This Row],[instruction]])),ISNUMBER(SEARCH("lds", Table6[[#This Row],[instruction]]))), "shared", "")</f>
        <v/>
      </c>
      <c r="U836" t="str">
        <f>IF(OR(ISNUMBER(SEARCH("LDC", Table6[[#This Row],[instruction]]))), "ind. const", "")</f>
        <v/>
      </c>
      <c r="V83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Row],[s5]]))),U836=""), "cmb. const", "")</f>
        <v>cmb. const</v>
      </c>
      <c r="W836" s="2" t="s">
        <v>481</v>
      </c>
      <c r="Y836">
        <f>IF(Table6[[#This Row],[pipeline]]="fma",Table6[[#This Row],[delay]],0)</f>
        <v>4</v>
      </c>
      <c r="Z836">
        <f>IF(AND(Table6[[#This Row],[pipeline]]="fma",W836="new"),290,0)</f>
        <v>0</v>
      </c>
      <c r="AK836" s="34"/>
    </row>
    <row r="837" spans="1:37" ht="17" x14ac:dyDescent="0.2">
      <c r="A837" s="31">
        <f>IF(Table6[[#This Row],[instruction]]&lt;&gt;"",MAX($A$6:A836)+1," ")</f>
        <v>832</v>
      </c>
      <c r="B837" s="32" t="s">
        <v>86</v>
      </c>
      <c r="C837" t="s">
        <v>90</v>
      </c>
      <c r="D837" s="31" t="s">
        <v>23</v>
      </c>
      <c r="E837" s="31" t="s">
        <v>8</v>
      </c>
      <c r="F837" s="31" t="s">
        <v>513</v>
      </c>
      <c r="G837" s="31" t="s">
        <v>593</v>
      </c>
      <c r="K837" s="2" t="str">
        <f t="shared" si="12"/>
        <v>alu</v>
      </c>
      <c r="L837" cm="1">
        <f t="array" ref="L83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7" t="str">
        <f>IF(OR(ISNUMBER(SEARCH("imad", Table6[[#This Row],[instruction]])), ISNUMBER(SEARCH("ffma", Table6[[#This Row],[instruction]])), ISNUMBER(SEARCH("fmul", Table6[[#This Row],[instruction]]))), "fma", "")</f>
        <v/>
      </c>
      <c r="P83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7" t="str">
        <f>IF(OR(ISNUMBER(SEARCH("s2r", Table6[[#This Row],[instruction]])),ISNUMBER(SEARCH("s2ur", Table6[[#This Row],[instruction]]))), "special", "")</f>
        <v/>
      </c>
      <c r="S837" t="str">
        <f>IF(OR(ISNUMBER(SEARCH("stg", Table6[[#This Row],[instruction]])),ISNUMBER(SEARCH("ldg", Table6[[#This Row],[instruction]]))), "global", "")</f>
        <v/>
      </c>
      <c r="T837" t="str">
        <f>IF(OR(ISNUMBER(SEARCH("sts", Table6[[#This Row],[instruction]])),ISNUMBER(SEARCH("lds", Table6[[#This Row],[instruction]]))), "shared", "")</f>
        <v/>
      </c>
      <c r="U837" t="str">
        <f>IF(OR(ISNUMBER(SEARCH("LDC", Table6[[#This Row],[instruction]]))), "ind. const", "")</f>
        <v/>
      </c>
      <c r="V83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Row],[s5]]))),U837=""), "cmb. const", "")</f>
        <v>cmb. const</v>
      </c>
      <c r="W837" s="2" t="s">
        <v>481</v>
      </c>
      <c r="Y837">
        <f>IF(Table6[[#This Row],[pipeline]]="fma",Table6[[#This Row],[delay]],0)</f>
        <v>0</v>
      </c>
      <c r="Z837">
        <f>IF(AND(Table6[[#This Row],[pipeline]]="fma",W837="new"),290,0)</f>
        <v>0</v>
      </c>
      <c r="AK837" s="34"/>
    </row>
    <row r="838" spans="1:37" ht="17" x14ac:dyDescent="0.2">
      <c r="A838" s="31">
        <f>IF(Table6[[#This Row],[instruction]]&lt;&gt;"",MAX($A$6:A837)+1," ")</f>
        <v>833</v>
      </c>
      <c r="B838" s="32" t="s">
        <v>485</v>
      </c>
      <c r="C838" t="s">
        <v>463</v>
      </c>
      <c r="D838" s="31" t="s">
        <v>50</v>
      </c>
      <c r="E838" s="31" t="s">
        <v>51</v>
      </c>
      <c r="F838" s="31" t="s">
        <v>58</v>
      </c>
      <c r="G838" s="31" t="s">
        <v>75</v>
      </c>
      <c r="H838" s="31" t="s">
        <v>494</v>
      </c>
      <c r="K838" s="2" t="str">
        <f t="shared" ref="K838:K890" si="13">IF(O838&lt;&gt;"", O838, IF(P838&lt;&gt;"", P838, IF(R838&lt;&gt;"", R838, IF(S838&lt;&gt;"", S838, IF(T838&lt;&gt;"", T838, IF(U838&lt;&gt;"", U838, IF(Q838&lt;&gt;"", Q838, "")))))))</f>
        <v>alu</v>
      </c>
      <c r="L838" cm="1">
        <f t="array" ref="L83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38" t="str">
        <f>IF(OR(ISNUMBER(SEARCH("imad", Table6[[#This Row],[instruction]])), ISNUMBER(SEARCH("ffma", Table6[[#This Row],[instruction]])), ISNUMBER(SEARCH("fmul", Table6[[#This Row],[instruction]]))), "fma", "")</f>
        <v/>
      </c>
      <c r="P83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8" t="str">
        <f>IF(OR(ISNUMBER(SEARCH("s2r", Table6[[#This Row],[instruction]])),ISNUMBER(SEARCH("s2ur", Table6[[#This Row],[instruction]]))), "special", "")</f>
        <v/>
      </c>
      <c r="S838" t="str">
        <f>IF(OR(ISNUMBER(SEARCH("stg", Table6[[#This Row],[instruction]])),ISNUMBER(SEARCH("ldg", Table6[[#This Row],[instruction]]))), "global", "")</f>
        <v/>
      </c>
      <c r="T838" t="str">
        <f>IF(OR(ISNUMBER(SEARCH("sts", Table6[[#This Row],[instruction]])),ISNUMBER(SEARCH("lds", Table6[[#This Row],[instruction]]))), "shared", "")</f>
        <v/>
      </c>
      <c r="U838" t="str">
        <f>IF(OR(ISNUMBER(SEARCH("LDC", Table6[[#This Row],[instruction]]))), "ind. const", "")</f>
        <v/>
      </c>
      <c r="V83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Row],[s5]]))),U838=""), "cmb. const", "")</f>
        <v/>
      </c>
      <c r="Y838">
        <f>IF(Table6[[#This Row],[pipeline]]="fma",Table6[[#This Row],[delay]],0)</f>
        <v>0</v>
      </c>
      <c r="Z838">
        <f>IF(AND(Table6[[#This Row],[pipeline]]="fma",W838="new"),290,0)</f>
        <v>0</v>
      </c>
      <c r="AK838" s="34"/>
    </row>
    <row r="839" spans="1:37" ht="17" x14ac:dyDescent="0.2">
      <c r="A839" s="31">
        <f>IF(Table6[[#This Row],[instruction]]&lt;&gt;"",MAX($A$6:A838)+1," ")</f>
        <v>834</v>
      </c>
      <c r="B839" s="32" t="s">
        <v>485</v>
      </c>
      <c r="C839" t="s">
        <v>26</v>
      </c>
      <c r="D839" s="31" t="s">
        <v>7</v>
      </c>
      <c r="E839" s="31" t="s">
        <v>58</v>
      </c>
      <c r="F839" s="31" t="s">
        <v>8</v>
      </c>
      <c r="G839" s="31" t="s">
        <v>502</v>
      </c>
      <c r="K839" s="2" t="str">
        <f t="shared" si="13"/>
        <v>alu</v>
      </c>
      <c r="L839" cm="1">
        <f t="array" ref="L83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39" t="str">
        <f>IF(OR(ISNUMBER(SEARCH("imad", Table6[[#This Row],[instruction]])), ISNUMBER(SEARCH("ffma", Table6[[#This Row],[instruction]])), ISNUMBER(SEARCH("fmul", Table6[[#This Row],[instruction]]))), "fma", "")</f>
        <v/>
      </c>
      <c r="P83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3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39" t="str">
        <f>IF(OR(ISNUMBER(SEARCH("s2r", Table6[[#This Row],[instruction]])),ISNUMBER(SEARCH("s2ur", Table6[[#This Row],[instruction]]))), "special", "")</f>
        <v/>
      </c>
      <c r="S839" t="str">
        <f>IF(OR(ISNUMBER(SEARCH("stg", Table6[[#This Row],[instruction]])),ISNUMBER(SEARCH("ldg", Table6[[#This Row],[instruction]]))), "global", "")</f>
        <v/>
      </c>
      <c r="T839" t="str">
        <f>IF(OR(ISNUMBER(SEARCH("sts", Table6[[#This Row],[instruction]])),ISNUMBER(SEARCH("lds", Table6[[#This Row],[instruction]]))), "shared", "")</f>
        <v/>
      </c>
      <c r="U839" t="str">
        <f>IF(OR(ISNUMBER(SEARCH("LDC", Table6[[#This Row],[instruction]]))), "ind. const", "")</f>
        <v/>
      </c>
      <c r="V83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Row],[s5]]))),U839=""), "cmb. const", "")</f>
        <v/>
      </c>
      <c r="Y839">
        <f>IF(Table6[[#This Row],[pipeline]]="fma",Table6[[#This Row],[delay]],0)</f>
        <v>0</v>
      </c>
      <c r="Z839">
        <f>IF(AND(Table6[[#This Row],[pipeline]]="fma",W839="new"),290,0)</f>
        <v>0</v>
      </c>
      <c r="AK839" s="34"/>
    </row>
    <row r="840" spans="1:37" ht="17" x14ac:dyDescent="0.2">
      <c r="A840" s="31">
        <f>IF(Table6[[#This Row],[instruction]]&lt;&gt;"",MAX($A$6:A839)+1," ")</f>
        <v>835</v>
      </c>
      <c r="B840" s="32" t="s">
        <v>485</v>
      </c>
      <c r="C840" t="s">
        <v>14</v>
      </c>
      <c r="D840" s="31" t="s">
        <v>23</v>
      </c>
      <c r="E840" s="31" t="s">
        <v>23</v>
      </c>
      <c r="F840" s="31" t="s">
        <v>733</v>
      </c>
      <c r="G840" s="31" t="s">
        <v>502</v>
      </c>
      <c r="K840" s="2" t="str">
        <f t="shared" si="13"/>
        <v>fma</v>
      </c>
      <c r="L840" cm="1">
        <f t="array" ref="L84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0" t="str">
        <f>IF(OR(ISNUMBER(SEARCH("imad", Table6[[#This Row],[instruction]])), ISNUMBER(SEARCH("ffma", Table6[[#This Row],[instruction]])), ISNUMBER(SEARCH("fmul", Table6[[#This Row],[instruction]]))), "fma", "")</f>
        <v>fma</v>
      </c>
      <c r="P84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0" t="str">
        <f>IF(OR(ISNUMBER(SEARCH("s2r", Table6[[#This Row],[instruction]])),ISNUMBER(SEARCH("s2ur", Table6[[#This Row],[instruction]]))), "special", "")</f>
        <v/>
      </c>
      <c r="S840" t="str">
        <f>IF(OR(ISNUMBER(SEARCH("stg", Table6[[#This Row],[instruction]])),ISNUMBER(SEARCH("ldg", Table6[[#This Row],[instruction]]))), "global", "")</f>
        <v/>
      </c>
      <c r="T840" t="str">
        <f>IF(OR(ISNUMBER(SEARCH("sts", Table6[[#This Row],[instruction]])),ISNUMBER(SEARCH("lds", Table6[[#This Row],[instruction]]))), "shared", "")</f>
        <v/>
      </c>
      <c r="U840" t="str">
        <f>IF(OR(ISNUMBER(SEARCH("LDC", Table6[[#This Row],[instruction]]))), "ind. const", "")</f>
        <v/>
      </c>
      <c r="V84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Row],[s5]]))),U840=""), "cmb. const", "")</f>
        <v>cmb. const</v>
      </c>
      <c r="Y840">
        <f>IF(Table6[[#This Row],[pipeline]]="fma",Table6[[#This Row],[delay]],0)</f>
        <v>4</v>
      </c>
      <c r="Z840">
        <f>IF(AND(Table6[[#This Row],[pipeline]]="fma",W840="new"),290,0)</f>
        <v>0</v>
      </c>
      <c r="AK840" s="34"/>
    </row>
    <row r="841" spans="1:37" ht="17" x14ac:dyDescent="0.2">
      <c r="A841" s="31">
        <f>IF(Table6[[#This Row],[instruction]]&lt;&gt;"",MAX($A$6:A840)+1," ")</f>
        <v>836</v>
      </c>
      <c r="B841" s="32" t="s">
        <v>485</v>
      </c>
      <c r="C841" t="s">
        <v>14</v>
      </c>
      <c r="D841" s="31" t="s">
        <v>7</v>
      </c>
      <c r="E841" s="31" t="s">
        <v>7</v>
      </c>
      <c r="F841" s="31" t="s">
        <v>518</v>
      </c>
      <c r="G841" s="31" t="s">
        <v>508</v>
      </c>
      <c r="K841" s="2" t="str">
        <f t="shared" si="13"/>
        <v>fma</v>
      </c>
      <c r="L841" cm="1">
        <f t="array" ref="L84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1" t="str">
        <f>IF(OR(ISNUMBER(SEARCH("imad", Table6[[#This Row],[instruction]])), ISNUMBER(SEARCH("ffma", Table6[[#This Row],[instruction]])), ISNUMBER(SEARCH("fmul", Table6[[#This Row],[instruction]]))), "fma", "")</f>
        <v>fma</v>
      </c>
      <c r="P84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1" t="str">
        <f>IF(OR(ISNUMBER(SEARCH("s2r", Table6[[#This Row],[instruction]])),ISNUMBER(SEARCH("s2ur", Table6[[#This Row],[instruction]]))), "special", "")</f>
        <v/>
      </c>
      <c r="S841" t="str">
        <f>IF(OR(ISNUMBER(SEARCH("stg", Table6[[#This Row],[instruction]])),ISNUMBER(SEARCH("ldg", Table6[[#This Row],[instruction]]))), "global", "")</f>
        <v/>
      </c>
      <c r="T841" t="str">
        <f>IF(OR(ISNUMBER(SEARCH("sts", Table6[[#This Row],[instruction]])),ISNUMBER(SEARCH("lds", Table6[[#This Row],[instruction]]))), "shared", "")</f>
        <v/>
      </c>
      <c r="U841" t="str">
        <f>IF(OR(ISNUMBER(SEARCH("LDC", Table6[[#This Row],[instruction]]))), "ind. const", "")</f>
        <v/>
      </c>
      <c r="V84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Row],[s5]]))),U841=""), "cmb. const", "")</f>
        <v>cmb. const</v>
      </c>
      <c r="W841" s="2" t="s">
        <v>481</v>
      </c>
      <c r="Y841">
        <f>IF(Table6[[#This Row],[pipeline]]="fma",Table6[[#This Row],[delay]],0)</f>
        <v>4</v>
      </c>
      <c r="Z841">
        <f>IF(AND(Table6[[#This Row],[pipeline]]="fma",W841="new"),290,0)</f>
        <v>0</v>
      </c>
      <c r="AK841" s="34"/>
    </row>
    <row r="842" spans="1:37" ht="17" x14ac:dyDescent="0.2">
      <c r="A842" s="31">
        <f>IF(Table6[[#This Row],[instruction]]&lt;&gt;"",MAX($A$6:A841)+1," ")</f>
        <v>837</v>
      </c>
      <c r="B842" s="32" t="s">
        <v>85</v>
      </c>
      <c r="C842" t="s">
        <v>509</v>
      </c>
      <c r="D842" s="31" t="s">
        <v>4</v>
      </c>
      <c r="E842" s="31" t="s">
        <v>7</v>
      </c>
      <c r="F842" s="31" t="s">
        <v>519</v>
      </c>
      <c r="G842" s="31" t="s">
        <v>502</v>
      </c>
      <c r="K842" s="2" t="str">
        <f t="shared" si="13"/>
        <v>fma</v>
      </c>
      <c r="L842" cm="1">
        <f t="array" ref="L84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2" t="str">
        <f>IF(OR(ISNUMBER(SEARCH("imad", Table6[[#This Row],[instruction]])), ISNUMBER(SEARCH("ffma", Table6[[#This Row],[instruction]])), ISNUMBER(SEARCH("fmul", Table6[[#This Row],[instruction]]))), "fma", "")</f>
        <v>fma</v>
      </c>
      <c r="P84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2" t="str">
        <f>IF(OR(ISNUMBER(SEARCH("s2r", Table6[[#This Row],[instruction]])),ISNUMBER(SEARCH("s2ur", Table6[[#This Row],[instruction]]))), "special", "")</f>
        <v/>
      </c>
      <c r="S842" t="str">
        <f>IF(OR(ISNUMBER(SEARCH("stg", Table6[[#This Row],[instruction]])),ISNUMBER(SEARCH("ldg", Table6[[#This Row],[instruction]]))), "global", "")</f>
        <v/>
      </c>
      <c r="T842" t="str">
        <f>IF(OR(ISNUMBER(SEARCH("sts", Table6[[#This Row],[instruction]])),ISNUMBER(SEARCH("lds", Table6[[#This Row],[instruction]]))), "shared", "")</f>
        <v/>
      </c>
      <c r="U842" t="str">
        <f>IF(OR(ISNUMBER(SEARCH("LDC", Table6[[#This Row],[instruction]]))), "ind. const", "")</f>
        <v/>
      </c>
      <c r="V84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Row],[s5]]))),U842=""), "cmb. const", "")</f>
        <v>cmb. const</v>
      </c>
      <c r="W842" s="2" t="s">
        <v>481</v>
      </c>
      <c r="Y842">
        <f>IF(Table6[[#This Row],[pipeline]]="fma",Table6[[#This Row],[delay]],0)</f>
        <v>4</v>
      </c>
      <c r="Z842">
        <f>IF(AND(Table6[[#This Row],[pipeline]]="fma",W842="new"),290,0)</f>
        <v>0</v>
      </c>
      <c r="AK842" s="34"/>
    </row>
    <row r="843" spans="1:37" ht="17" x14ac:dyDescent="0.2">
      <c r="A843" s="31">
        <f>IF(Table6[[#This Row],[instruction]]&lt;&gt;"",MAX($A$6:A842)+1," ")</f>
        <v>838</v>
      </c>
      <c r="B843" s="32" t="s">
        <v>485</v>
      </c>
      <c r="C843" t="s">
        <v>45</v>
      </c>
      <c r="D843" s="31" t="s">
        <v>19</v>
      </c>
      <c r="E843" s="31" t="s">
        <v>8</v>
      </c>
      <c r="F843" s="31" t="s">
        <v>8</v>
      </c>
      <c r="G843" s="31" t="s">
        <v>537</v>
      </c>
      <c r="K843" s="2" t="str">
        <f t="shared" si="13"/>
        <v>fma</v>
      </c>
      <c r="L843" cm="1">
        <f t="array" ref="L84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3" t="str">
        <f>IF(OR(ISNUMBER(SEARCH("imad", Table6[[#This Row],[instruction]])), ISNUMBER(SEARCH("ffma", Table6[[#This Row],[instruction]])), ISNUMBER(SEARCH("fmul", Table6[[#This Row],[instruction]]))), "fma", "")</f>
        <v>fma</v>
      </c>
      <c r="P84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3" t="str">
        <f>IF(OR(ISNUMBER(SEARCH("s2r", Table6[[#This Row],[instruction]])),ISNUMBER(SEARCH("s2ur", Table6[[#This Row],[instruction]]))), "special", "")</f>
        <v/>
      </c>
      <c r="S843" t="str">
        <f>IF(OR(ISNUMBER(SEARCH("stg", Table6[[#This Row],[instruction]])),ISNUMBER(SEARCH("ldg", Table6[[#This Row],[instruction]]))), "global", "")</f>
        <v/>
      </c>
      <c r="T843" t="str">
        <f>IF(OR(ISNUMBER(SEARCH("sts", Table6[[#This Row],[instruction]])),ISNUMBER(SEARCH("lds", Table6[[#This Row],[instruction]]))), "shared", "")</f>
        <v/>
      </c>
      <c r="U843" t="str">
        <f>IF(OR(ISNUMBER(SEARCH("LDC", Table6[[#This Row],[instruction]]))), "ind. const", "")</f>
        <v/>
      </c>
      <c r="V84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Row],[s5]]))),U843=""), "cmb. const", "")</f>
        <v/>
      </c>
      <c r="Y843">
        <f>IF(Table6[[#This Row],[pipeline]]="fma",Table6[[#This Row],[delay]],0)</f>
        <v>4</v>
      </c>
      <c r="Z843">
        <f>IF(AND(Table6[[#This Row],[pipeline]]="fma",W843="new"),290,0)</f>
        <v>0</v>
      </c>
      <c r="AK843" s="34"/>
    </row>
    <row r="844" spans="1:37" ht="17" x14ac:dyDescent="0.2">
      <c r="A844" s="31">
        <f>IF(Table6[[#This Row],[instruction]]&lt;&gt;"",MAX($A$6:A843)+1," ")</f>
        <v>839</v>
      </c>
      <c r="B844" s="32" t="s">
        <v>85</v>
      </c>
      <c r="C844" t="s">
        <v>90</v>
      </c>
      <c r="D844" s="31" t="s">
        <v>19</v>
      </c>
      <c r="E844" s="31" t="s">
        <v>8</v>
      </c>
      <c r="F844" s="31" t="s">
        <v>521</v>
      </c>
      <c r="G844" s="31" t="s">
        <v>593</v>
      </c>
      <c r="K844" s="2" t="str">
        <f t="shared" si="13"/>
        <v>alu</v>
      </c>
      <c r="L844" cm="1">
        <f t="array" ref="L84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4" t="str">
        <f>IF(OR(ISNUMBER(SEARCH("imad", Table6[[#This Row],[instruction]])), ISNUMBER(SEARCH("ffma", Table6[[#This Row],[instruction]])), ISNUMBER(SEARCH("fmul", Table6[[#This Row],[instruction]]))), "fma", "")</f>
        <v/>
      </c>
      <c r="P84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4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4" t="str">
        <f>IF(OR(ISNUMBER(SEARCH("s2r", Table6[[#This Row],[instruction]])),ISNUMBER(SEARCH("s2ur", Table6[[#This Row],[instruction]]))), "special", "")</f>
        <v/>
      </c>
      <c r="S844" t="str">
        <f>IF(OR(ISNUMBER(SEARCH("stg", Table6[[#This Row],[instruction]])),ISNUMBER(SEARCH("ldg", Table6[[#This Row],[instruction]]))), "global", "")</f>
        <v/>
      </c>
      <c r="T844" t="str">
        <f>IF(OR(ISNUMBER(SEARCH("sts", Table6[[#This Row],[instruction]])),ISNUMBER(SEARCH("lds", Table6[[#This Row],[instruction]]))), "shared", "")</f>
        <v/>
      </c>
      <c r="U844" t="str">
        <f>IF(OR(ISNUMBER(SEARCH("LDC", Table6[[#This Row],[instruction]]))), "ind. const", "")</f>
        <v/>
      </c>
      <c r="V84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Row],[s5]]))),U844=""), "cmb. const", "")</f>
        <v>cmb. const</v>
      </c>
      <c r="W844" s="2" t="s">
        <v>481</v>
      </c>
      <c r="Y844">
        <f>IF(Table6[[#This Row],[pipeline]]="fma",Table6[[#This Row],[delay]],0)</f>
        <v>0</v>
      </c>
      <c r="Z844">
        <f>IF(AND(Table6[[#This Row],[pipeline]]="fma",W844="new"),290,0)</f>
        <v>0</v>
      </c>
      <c r="AK844" s="34"/>
    </row>
    <row r="845" spans="1:37" ht="17" x14ac:dyDescent="0.2">
      <c r="A845" s="31">
        <f>IF(Table6[[#This Row],[instruction]]&lt;&gt;"",MAX($A$6:A844)+1," ")</f>
        <v>840</v>
      </c>
      <c r="B845" s="32" t="s">
        <v>485</v>
      </c>
      <c r="C845" t="s">
        <v>26</v>
      </c>
      <c r="D845" s="31" t="s">
        <v>4</v>
      </c>
      <c r="E845" s="31" t="s">
        <v>7</v>
      </c>
      <c r="F845" s="31" t="s">
        <v>8</v>
      </c>
      <c r="G845" s="31" t="s">
        <v>502</v>
      </c>
      <c r="K845" s="2" t="str">
        <f t="shared" si="13"/>
        <v>alu</v>
      </c>
      <c r="L845" cm="1">
        <f t="array" ref="L84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45" t="str">
        <f>IF(OR(ISNUMBER(SEARCH("imad", Table6[[#This Row],[instruction]])), ISNUMBER(SEARCH("ffma", Table6[[#This Row],[instruction]])), ISNUMBER(SEARCH("fmul", Table6[[#This Row],[instruction]]))), "fma", "")</f>
        <v/>
      </c>
      <c r="P84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4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5" t="str">
        <f>IF(OR(ISNUMBER(SEARCH("s2r", Table6[[#This Row],[instruction]])),ISNUMBER(SEARCH("s2ur", Table6[[#This Row],[instruction]]))), "special", "")</f>
        <v/>
      </c>
      <c r="S845" t="str">
        <f>IF(OR(ISNUMBER(SEARCH("stg", Table6[[#This Row],[instruction]])),ISNUMBER(SEARCH("ldg", Table6[[#This Row],[instruction]]))), "global", "")</f>
        <v/>
      </c>
      <c r="T845" t="str">
        <f>IF(OR(ISNUMBER(SEARCH("sts", Table6[[#This Row],[instruction]])),ISNUMBER(SEARCH("lds", Table6[[#This Row],[instruction]]))), "shared", "")</f>
        <v/>
      </c>
      <c r="U845" t="str">
        <f>IF(OR(ISNUMBER(SEARCH("LDC", Table6[[#This Row],[instruction]]))), "ind. const", "")</f>
        <v/>
      </c>
      <c r="V84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Row],[s5]]))),U845=""), "cmb. const", "")</f>
        <v/>
      </c>
      <c r="Y845">
        <f>IF(Table6[[#This Row],[pipeline]]="fma",Table6[[#This Row],[delay]],0)</f>
        <v>0</v>
      </c>
      <c r="Z845">
        <f>IF(AND(Table6[[#This Row],[pipeline]]="fma",W845="new"),290,0)</f>
        <v>0</v>
      </c>
      <c r="AK845" s="34"/>
    </row>
    <row r="846" spans="1:37" ht="17" x14ac:dyDescent="0.2">
      <c r="A846" s="31">
        <f>IF(Table6[[#This Row],[instruction]]&lt;&gt;"",MAX($A$6:A845)+1," ")</f>
        <v>841</v>
      </c>
      <c r="B846" s="32" t="s">
        <v>485</v>
      </c>
      <c r="C846" t="s">
        <v>14</v>
      </c>
      <c r="D846" s="31" t="s">
        <v>23</v>
      </c>
      <c r="E846" s="31" t="s">
        <v>19</v>
      </c>
      <c r="F846" s="31" t="s">
        <v>734</v>
      </c>
      <c r="G846" s="31" t="s">
        <v>514</v>
      </c>
      <c r="K846" s="2" t="str">
        <f t="shared" si="13"/>
        <v>fma</v>
      </c>
      <c r="L846" cm="1">
        <f t="array" ref="L84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6" t="str">
        <f>IF(OR(ISNUMBER(SEARCH("imad", Table6[[#This Row],[instruction]])), ISNUMBER(SEARCH("ffma", Table6[[#This Row],[instruction]])), ISNUMBER(SEARCH("fmul", Table6[[#This Row],[instruction]]))), "fma", "")</f>
        <v>fma</v>
      </c>
      <c r="P84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6" t="str">
        <f>IF(OR(ISNUMBER(SEARCH("s2r", Table6[[#This Row],[instruction]])),ISNUMBER(SEARCH("s2ur", Table6[[#This Row],[instruction]]))), "special", "")</f>
        <v/>
      </c>
      <c r="S846" t="str">
        <f>IF(OR(ISNUMBER(SEARCH("stg", Table6[[#This Row],[instruction]])),ISNUMBER(SEARCH("ldg", Table6[[#This Row],[instruction]]))), "global", "")</f>
        <v/>
      </c>
      <c r="T846" t="str">
        <f>IF(OR(ISNUMBER(SEARCH("sts", Table6[[#This Row],[instruction]])),ISNUMBER(SEARCH("lds", Table6[[#This Row],[instruction]]))), "shared", "")</f>
        <v/>
      </c>
      <c r="U846" t="str">
        <f>IF(OR(ISNUMBER(SEARCH("LDC", Table6[[#This Row],[instruction]]))), "ind. const", "")</f>
        <v/>
      </c>
      <c r="V84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Row],[s5]]))),U846=""), "cmb. const", "")</f>
        <v>cmb. const</v>
      </c>
      <c r="W846" s="2" t="s">
        <v>481</v>
      </c>
      <c r="Y846">
        <f>IF(Table6[[#This Row],[pipeline]]="fma",Table6[[#This Row],[delay]],0)</f>
        <v>4</v>
      </c>
      <c r="Z846">
        <f>IF(AND(Table6[[#This Row],[pipeline]]="fma",W846="new"),290,0)</f>
        <v>0</v>
      </c>
      <c r="AK846" s="34"/>
    </row>
    <row r="847" spans="1:37" ht="17" x14ac:dyDescent="0.2">
      <c r="A847" s="31">
        <f>IF(Table6[[#This Row],[instruction]]&lt;&gt;"",MAX($A$6:A846)+1," ")</f>
        <v>842</v>
      </c>
      <c r="B847" s="32" t="s">
        <v>485</v>
      </c>
      <c r="C847" t="s">
        <v>14</v>
      </c>
      <c r="D847" s="31" t="s">
        <v>19</v>
      </c>
      <c r="E847" s="31" t="s">
        <v>4</v>
      </c>
      <c r="F847" s="31" t="s">
        <v>528</v>
      </c>
      <c r="G847" s="31" t="s">
        <v>537</v>
      </c>
      <c r="K847" s="2" t="str">
        <f t="shared" si="13"/>
        <v>fma</v>
      </c>
      <c r="L847" cm="1">
        <f t="array" ref="L84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7" t="str">
        <f>IF(OR(ISNUMBER(SEARCH("imad", Table6[[#This Row],[instruction]])), ISNUMBER(SEARCH("ffma", Table6[[#This Row],[instruction]])), ISNUMBER(SEARCH("fmul", Table6[[#This Row],[instruction]]))), "fma", "")</f>
        <v>fma</v>
      </c>
      <c r="P84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7" t="str">
        <f>IF(OR(ISNUMBER(SEARCH("s2r", Table6[[#This Row],[instruction]])),ISNUMBER(SEARCH("s2ur", Table6[[#This Row],[instruction]]))), "special", "")</f>
        <v/>
      </c>
      <c r="S847" t="str">
        <f>IF(OR(ISNUMBER(SEARCH("stg", Table6[[#This Row],[instruction]])),ISNUMBER(SEARCH("ldg", Table6[[#This Row],[instruction]]))), "global", "")</f>
        <v/>
      </c>
      <c r="T847" t="str">
        <f>IF(OR(ISNUMBER(SEARCH("sts", Table6[[#This Row],[instruction]])),ISNUMBER(SEARCH("lds", Table6[[#This Row],[instruction]]))), "shared", "")</f>
        <v/>
      </c>
      <c r="U847" t="str">
        <f>IF(OR(ISNUMBER(SEARCH("LDC", Table6[[#This Row],[instruction]]))), "ind. const", "")</f>
        <v/>
      </c>
      <c r="V84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Row],[s5]]))),U847=""), "cmb. const", "")</f>
        <v>cmb. const</v>
      </c>
      <c r="W847" s="2" t="s">
        <v>481</v>
      </c>
      <c r="Y847">
        <f>IF(Table6[[#This Row],[pipeline]]="fma",Table6[[#This Row],[delay]],0)</f>
        <v>4</v>
      </c>
      <c r="Z847">
        <f>IF(AND(Table6[[#This Row],[pipeline]]="fma",W847="new"),290,0)</f>
        <v>0</v>
      </c>
      <c r="AK847" s="34"/>
    </row>
    <row r="848" spans="1:37" ht="17" x14ac:dyDescent="0.2">
      <c r="A848" s="31">
        <f>IF(Table6[[#This Row],[instruction]]&lt;&gt;"",MAX($A$6:A847)+1," ")</f>
        <v>843</v>
      </c>
      <c r="B848" s="32" t="s">
        <v>485</v>
      </c>
      <c r="C848" t="s">
        <v>14</v>
      </c>
      <c r="D848" s="31" t="s">
        <v>7</v>
      </c>
      <c r="E848" s="31" t="s">
        <v>577</v>
      </c>
      <c r="F848" s="31" t="s">
        <v>731</v>
      </c>
      <c r="G848" s="31" t="s">
        <v>502</v>
      </c>
      <c r="K848" s="2" t="str">
        <f t="shared" si="13"/>
        <v>fma</v>
      </c>
      <c r="L848" cm="1">
        <f t="array" ref="L84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8" t="str">
        <f>IF(OR(ISNUMBER(SEARCH("imad", Table6[[#This Row],[instruction]])), ISNUMBER(SEARCH("ffma", Table6[[#This Row],[instruction]])), ISNUMBER(SEARCH("fmul", Table6[[#This Row],[instruction]]))), "fma", "")</f>
        <v>fma</v>
      </c>
      <c r="P84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8" t="str">
        <f>IF(OR(ISNUMBER(SEARCH("s2r", Table6[[#This Row],[instruction]])),ISNUMBER(SEARCH("s2ur", Table6[[#This Row],[instruction]]))), "special", "")</f>
        <v/>
      </c>
      <c r="S848" t="str">
        <f>IF(OR(ISNUMBER(SEARCH("stg", Table6[[#This Row],[instruction]])),ISNUMBER(SEARCH("ldg", Table6[[#This Row],[instruction]]))), "global", "")</f>
        <v/>
      </c>
      <c r="T848" t="str">
        <f>IF(OR(ISNUMBER(SEARCH("sts", Table6[[#This Row],[instruction]])),ISNUMBER(SEARCH("lds", Table6[[#This Row],[instruction]]))), "shared", "")</f>
        <v/>
      </c>
      <c r="U848" t="str">
        <f>IF(OR(ISNUMBER(SEARCH("LDC", Table6[[#This Row],[instruction]]))), "ind. const", "")</f>
        <v/>
      </c>
      <c r="V84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Row],[s5]]))),U848=""), "cmb. const", "")</f>
        <v>cmb. const</v>
      </c>
      <c r="W848" s="2" t="s">
        <v>481</v>
      </c>
      <c r="Y848">
        <f>IF(Table6[[#This Row],[pipeline]]="fma",Table6[[#This Row],[delay]],0)</f>
        <v>4</v>
      </c>
      <c r="Z848">
        <f>IF(AND(Table6[[#This Row],[pipeline]]="fma",W848="new"),290,0)</f>
        <v>0</v>
      </c>
      <c r="AK848" s="34"/>
    </row>
    <row r="849" spans="1:37" ht="17" x14ac:dyDescent="0.2">
      <c r="A849" s="31">
        <f>IF(Table6[[#This Row],[instruction]]&lt;&gt;"",MAX($A$6:A848)+1," ")</f>
        <v>844</v>
      </c>
      <c r="B849" s="32" t="s">
        <v>485</v>
      </c>
      <c r="C849" t="s">
        <v>14</v>
      </c>
      <c r="D849" s="31" t="s">
        <v>19</v>
      </c>
      <c r="E849" s="31" t="s">
        <v>19</v>
      </c>
      <c r="F849" s="31" t="s">
        <v>735</v>
      </c>
      <c r="G849" s="31" t="s">
        <v>514</v>
      </c>
      <c r="K849" s="2" t="str">
        <f t="shared" si="13"/>
        <v>fma</v>
      </c>
      <c r="L849" cm="1">
        <f t="array" ref="L84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49" t="str">
        <f>IF(OR(ISNUMBER(SEARCH("imad", Table6[[#This Row],[instruction]])), ISNUMBER(SEARCH("ffma", Table6[[#This Row],[instruction]])), ISNUMBER(SEARCH("fmul", Table6[[#This Row],[instruction]]))), "fma", "")</f>
        <v>fma</v>
      </c>
      <c r="P84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4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49" t="str">
        <f>IF(OR(ISNUMBER(SEARCH("s2r", Table6[[#This Row],[instruction]])),ISNUMBER(SEARCH("s2ur", Table6[[#This Row],[instruction]]))), "special", "")</f>
        <v/>
      </c>
      <c r="S849" t="str">
        <f>IF(OR(ISNUMBER(SEARCH("stg", Table6[[#This Row],[instruction]])),ISNUMBER(SEARCH("ldg", Table6[[#This Row],[instruction]]))), "global", "")</f>
        <v/>
      </c>
      <c r="T849" t="str">
        <f>IF(OR(ISNUMBER(SEARCH("sts", Table6[[#This Row],[instruction]])),ISNUMBER(SEARCH("lds", Table6[[#This Row],[instruction]]))), "shared", "")</f>
        <v/>
      </c>
      <c r="U849" t="str">
        <f>IF(OR(ISNUMBER(SEARCH("LDC", Table6[[#This Row],[instruction]]))), "ind. const", "")</f>
        <v/>
      </c>
      <c r="V84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Row],[s5]]))),U849=""), "cmb. const", "")</f>
        <v>cmb. const</v>
      </c>
      <c r="W849" s="2" t="s">
        <v>481</v>
      </c>
      <c r="Y849">
        <f>IF(Table6[[#This Row],[pipeline]]="fma",Table6[[#This Row],[delay]],0)</f>
        <v>4</v>
      </c>
      <c r="Z849">
        <f>IF(AND(Table6[[#This Row],[pipeline]]="fma",W849="new"),290,0)</f>
        <v>0</v>
      </c>
      <c r="AK849" s="34"/>
    </row>
    <row r="850" spans="1:37" ht="17" x14ac:dyDescent="0.2">
      <c r="A850" s="31">
        <f>IF(Table6[[#This Row],[instruction]]&lt;&gt;"",MAX($A$6:A849)+1," ")</f>
        <v>845</v>
      </c>
      <c r="B850" s="32" t="s">
        <v>485</v>
      </c>
      <c r="C850" t="s">
        <v>427</v>
      </c>
      <c r="D850" s="31" t="s">
        <v>23</v>
      </c>
      <c r="E850" s="31" t="s">
        <v>8</v>
      </c>
      <c r="F850" s="31" t="s">
        <v>428</v>
      </c>
      <c r="G850" s="31" t="s">
        <v>508</v>
      </c>
      <c r="K850" s="2" t="str">
        <f t="shared" si="13"/>
        <v>alu</v>
      </c>
      <c r="L850" cm="1">
        <f t="array" ref="L85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50" t="str">
        <f>IF(OR(ISNUMBER(SEARCH("imad", Table6[[#This Row],[instruction]])), ISNUMBER(SEARCH("ffma", Table6[[#This Row],[instruction]])), ISNUMBER(SEARCH("fmul", Table6[[#This Row],[instruction]]))), "fma", "")</f>
        <v/>
      </c>
      <c r="P85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0" t="str">
        <f>IF(OR(ISNUMBER(SEARCH("s2r", Table6[[#This Row],[instruction]])),ISNUMBER(SEARCH("s2ur", Table6[[#This Row],[instruction]]))), "special", "")</f>
        <v/>
      </c>
      <c r="S850" t="str">
        <f>IF(OR(ISNUMBER(SEARCH("stg", Table6[[#This Row],[instruction]])),ISNUMBER(SEARCH("ldg", Table6[[#This Row],[instruction]]))), "global", "")</f>
        <v/>
      </c>
      <c r="T850" t="str">
        <f>IF(OR(ISNUMBER(SEARCH("sts", Table6[[#This Row],[instruction]])),ISNUMBER(SEARCH("lds", Table6[[#This Row],[instruction]]))), "shared", "")</f>
        <v/>
      </c>
      <c r="U850" t="str">
        <f>IF(OR(ISNUMBER(SEARCH("LDC", Table6[[#This Row],[instruction]]))), "ind. const", "")</f>
        <v/>
      </c>
      <c r="V85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Row],[s5]]))),U850=""), "cmb. const", "")</f>
        <v/>
      </c>
      <c r="Y850">
        <f>IF(Table6[[#This Row],[pipeline]]="fma",Table6[[#This Row],[delay]],0)</f>
        <v>0</v>
      </c>
      <c r="Z850">
        <f>IF(AND(Table6[[#This Row],[pipeline]]="fma",W850="new"),290,0)</f>
        <v>0</v>
      </c>
      <c r="AK850" s="34"/>
    </row>
    <row r="851" spans="1:37" ht="17" x14ac:dyDescent="0.2">
      <c r="A851" s="31">
        <f>IF(Table6[[#This Row],[instruction]]&lt;&gt;"",MAX($A$6:A850)+1," ")</f>
        <v>846</v>
      </c>
      <c r="B851" s="32" t="s">
        <v>485</v>
      </c>
      <c r="C851" t="s">
        <v>26</v>
      </c>
      <c r="D851" s="31" t="s">
        <v>61</v>
      </c>
      <c r="E851" s="31" t="s">
        <v>78</v>
      </c>
      <c r="F851" s="31" t="s">
        <v>60</v>
      </c>
      <c r="G851" s="31" t="s">
        <v>19</v>
      </c>
      <c r="H851" s="31" t="s">
        <v>502</v>
      </c>
      <c r="K851" s="2" t="str">
        <f t="shared" si="13"/>
        <v>alu</v>
      </c>
      <c r="L851" cm="1">
        <f t="array" ref="L85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51" t="str">
        <f>IF(OR(ISNUMBER(SEARCH("imad", Table6[[#This Row],[instruction]])), ISNUMBER(SEARCH("ffma", Table6[[#This Row],[instruction]])), ISNUMBER(SEARCH("fmul", Table6[[#This Row],[instruction]]))), "fma", "")</f>
        <v/>
      </c>
      <c r="P85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1" t="str">
        <f>IF(OR(ISNUMBER(SEARCH("s2r", Table6[[#This Row],[instruction]])),ISNUMBER(SEARCH("s2ur", Table6[[#This Row],[instruction]]))), "special", "")</f>
        <v/>
      </c>
      <c r="S851" t="str">
        <f>IF(OR(ISNUMBER(SEARCH("stg", Table6[[#This Row],[instruction]])),ISNUMBER(SEARCH("ldg", Table6[[#This Row],[instruction]]))), "global", "")</f>
        <v/>
      </c>
      <c r="T851" t="str">
        <f>IF(OR(ISNUMBER(SEARCH("sts", Table6[[#This Row],[instruction]])),ISNUMBER(SEARCH("lds", Table6[[#This Row],[instruction]]))), "shared", "")</f>
        <v/>
      </c>
      <c r="U851" t="str">
        <f>IF(OR(ISNUMBER(SEARCH("LDC", Table6[[#This Row],[instruction]]))), "ind. const", "")</f>
        <v/>
      </c>
      <c r="V85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Row],[s5]]))),U851=""), "cmb. const", "")</f>
        <v/>
      </c>
      <c r="Y851">
        <f>IF(Table6[[#This Row],[pipeline]]="fma",Table6[[#This Row],[delay]],0)</f>
        <v>0</v>
      </c>
      <c r="Z851">
        <f>IF(AND(Table6[[#This Row],[pipeline]]="fma",W851="new"),290,0)</f>
        <v>0</v>
      </c>
      <c r="AK851" s="34"/>
    </row>
    <row r="852" spans="1:37" ht="17" x14ac:dyDescent="0.2">
      <c r="A852" s="31">
        <f>IF(Table6[[#This Row],[instruction]]&lt;&gt;"",MAX($A$6:A851)+1," ")</f>
        <v>847</v>
      </c>
      <c r="B852" s="32" t="s">
        <v>485</v>
      </c>
      <c r="C852" t="s">
        <v>26</v>
      </c>
      <c r="D852" s="31" t="s">
        <v>58</v>
      </c>
      <c r="E852" s="31" t="s">
        <v>74</v>
      </c>
      <c r="F852" s="31" t="s">
        <v>27</v>
      </c>
      <c r="G852" s="31" t="s">
        <v>19</v>
      </c>
      <c r="H852" s="31" t="s">
        <v>502</v>
      </c>
      <c r="K852" s="2" t="str">
        <f t="shared" si="13"/>
        <v>alu</v>
      </c>
      <c r="L852" cm="1">
        <f t="array" ref="L85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52" t="str">
        <f>IF(OR(ISNUMBER(SEARCH("imad", Table6[[#This Row],[instruction]])), ISNUMBER(SEARCH("ffma", Table6[[#This Row],[instruction]])), ISNUMBER(SEARCH("fmul", Table6[[#This Row],[instruction]]))), "fma", "")</f>
        <v/>
      </c>
      <c r="P85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2" t="str">
        <f>IF(OR(ISNUMBER(SEARCH("s2r", Table6[[#This Row],[instruction]])),ISNUMBER(SEARCH("s2ur", Table6[[#This Row],[instruction]]))), "special", "")</f>
        <v/>
      </c>
      <c r="S852" t="str">
        <f>IF(OR(ISNUMBER(SEARCH("stg", Table6[[#This Row],[instruction]])),ISNUMBER(SEARCH("ldg", Table6[[#This Row],[instruction]]))), "global", "")</f>
        <v/>
      </c>
      <c r="T852" t="str">
        <f>IF(OR(ISNUMBER(SEARCH("sts", Table6[[#This Row],[instruction]])),ISNUMBER(SEARCH("lds", Table6[[#This Row],[instruction]]))), "shared", "")</f>
        <v/>
      </c>
      <c r="U852" t="str">
        <f>IF(OR(ISNUMBER(SEARCH("LDC", Table6[[#This Row],[instruction]]))), "ind. const", "")</f>
        <v/>
      </c>
      <c r="V85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Row],[s5]]))),U852=""), "cmb. const", "")</f>
        <v/>
      </c>
      <c r="Y852">
        <f>IF(Table6[[#This Row],[pipeline]]="fma",Table6[[#This Row],[delay]],0)</f>
        <v>0</v>
      </c>
      <c r="Z852">
        <f>IF(AND(Table6[[#This Row],[pipeline]]="fma",W852="new"),290,0)</f>
        <v>0</v>
      </c>
      <c r="AK852" s="34"/>
    </row>
    <row r="853" spans="1:37" ht="17" x14ac:dyDescent="0.2">
      <c r="A853" s="31">
        <f>IF(Table6[[#This Row],[instruction]]&lt;&gt;"",MAX($A$6:A852)+1," ")</f>
        <v>848</v>
      </c>
      <c r="B853" s="32" t="s">
        <v>485</v>
      </c>
      <c r="C853" t="s">
        <v>26</v>
      </c>
      <c r="D853" s="31" t="s">
        <v>4</v>
      </c>
      <c r="E853" s="31" t="s">
        <v>533</v>
      </c>
      <c r="F853" s="31" t="s">
        <v>7</v>
      </c>
      <c r="G853" s="31" t="s">
        <v>19</v>
      </c>
      <c r="H853" s="31" t="s">
        <v>502</v>
      </c>
      <c r="K853" s="2" t="str">
        <f t="shared" si="13"/>
        <v>alu</v>
      </c>
      <c r="L853" cm="1">
        <f t="array" ref="L85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53" t="str">
        <f>IF(OR(ISNUMBER(SEARCH("imad", Table6[[#This Row],[instruction]])), ISNUMBER(SEARCH("ffma", Table6[[#This Row],[instruction]])), ISNUMBER(SEARCH("fmul", Table6[[#This Row],[instruction]]))), "fma", "")</f>
        <v/>
      </c>
      <c r="P85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3" t="str">
        <f>IF(OR(ISNUMBER(SEARCH("s2r", Table6[[#This Row],[instruction]])),ISNUMBER(SEARCH("s2ur", Table6[[#This Row],[instruction]]))), "special", "")</f>
        <v/>
      </c>
      <c r="S853" t="str">
        <f>IF(OR(ISNUMBER(SEARCH("stg", Table6[[#This Row],[instruction]])),ISNUMBER(SEARCH("ldg", Table6[[#This Row],[instruction]]))), "global", "")</f>
        <v/>
      </c>
      <c r="T853" t="str">
        <f>IF(OR(ISNUMBER(SEARCH("sts", Table6[[#This Row],[instruction]])),ISNUMBER(SEARCH("lds", Table6[[#This Row],[instruction]]))), "shared", "")</f>
        <v/>
      </c>
      <c r="U853" t="str">
        <f>IF(OR(ISNUMBER(SEARCH("LDC", Table6[[#This Row],[instruction]]))), "ind. const", "")</f>
        <v/>
      </c>
      <c r="V85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Row],[s5]]))),U853=""), "cmb. const", "")</f>
        <v/>
      </c>
      <c r="Y853">
        <f>IF(Table6[[#This Row],[pipeline]]="fma",Table6[[#This Row],[delay]],0)</f>
        <v>0</v>
      </c>
      <c r="Z853">
        <f>IF(AND(Table6[[#This Row],[pipeline]]="fma",W853="new"),290,0)</f>
        <v>0</v>
      </c>
      <c r="AK853" s="34"/>
    </row>
    <row r="854" spans="1:37" ht="17" x14ac:dyDescent="0.2">
      <c r="A854" s="31">
        <f>IF(Table6[[#This Row],[instruction]]&lt;&gt;"",MAX($A$6:A853)+1," ")</f>
        <v>849</v>
      </c>
      <c r="B854" s="32" t="s">
        <v>485</v>
      </c>
      <c r="C854" t="s">
        <v>26</v>
      </c>
      <c r="D854" s="31" t="s">
        <v>19</v>
      </c>
      <c r="E854" s="31" t="s">
        <v>531</v>
      </c>
      <c r="F854" s="31" t="s">
        <v>84</v>
      </c>
      <c r="G854" s="31" t="s">
        <v>19</v>
      </c>
      <c r="H854" s="31" t="s">
        <v>502</v>
      </c>
      <c r="K854" s="2" t="str">
        <f t="shared" si="13"/>
        <v>alu</v>
      </c>
      <c r="L854" cm="1">
        <f t="array" ref="L85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54" t="str">
        <f>IF(OR(ISNUMBER(SEARCH("imad", Table6[[#This Row],[instruction]])), ISNUMBER(SEARCH("ffma", Table6[[#This Row],[instruction]])), ISNUMBER(SEARCH("fmul", Table6[[#This Row],[instruction]]))), "fma", "")</f>
        <v/>
      </c>
      <c r="P85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4" t="str">
        <f>IF(OR(ISNUMBER(SEARCH("s2r", Table6[[#This Row],[instruction]])),ISNUMBER(SEARCH("s2ur", Table6[[#This Row],[instruction]]))), "special", "")</f>
        <v/>
      </c>
      <c r="S854" t="str">
        <f>IF(OR(ISNUMBER(SEARCH("stg", Table6[[#This Row],[instruction]])),ISNUMBER(SEARCH("ldg", Table6[[#This Row],[instruction]]))), "global", "")</f>
        <v/>
      </c>
      <c r="T854" t="str">
        <f>IF(OR(ISNUMBER(SEARCH("sts", Table6[[#This Row],[instruction]])),ISNUMBER(SEARCH("lds", Table6[[#This Row],[instruction]]))), "shared", "")</f>
        <v/>
      </c>
      <c r="U854" t="str">
        <f>IF(OR(ISNUMBER(SEARCH("LDC", Table6[[#This Row],[instruction]]))), "ind. const", "")</f>
        <v/>
      </c>
      <c r="V85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Row],[s5]]))),U854=""), "cmb. const", "")</f>
        <v/>
      </c>
      <c r="Y854">
        <f>IF(Table6[[#This Row],[pipeline]]="fma",Table6[[#This Row],[delay]],0)</f>
        <v>0</v>
      </c>
      <c r="Z854">
        <f>IF(AND(Table6[[#This Row],[pipeline]]="fma",W854="new"),290,0)</f>
        <v>0</v>
      </c>
      <c r="AK854" s="34"/>
    </row>
    <row r="855" spans="1:37" ht="17" x14ac:dyDescent="0.2">
      <c r="A855" s="31">
        <f>IF(Table6[[#This Row],[instruction]]&lt;&gt;"",MAX($A$6:A854)+1," ")</f>
        <v>850</v>
      </c>
      <c r="B855" s="32" t="s">
        <v>485</v>
      </c>
      <c r="C855" t="s">
        <v>736</v>
      </c>
      <c r="D855" s="31" t="s">
        <v>60</v>
      </c>
      <c r="E855" s="31" t="s">
        <v>60</v>
      </c>
      <c r="F855" s="31" t="s">
        <v>23</v>
      </c>
      <c r="G855" s="31" t="s">
        <v>75</v>
      </c>
      <c r="H855" s="31" t="s">
        <v>602</v>
      </c>
      <c r="K855" s="2" t="str">
        <f t="shared" si="13"/>
        <v>alu</v>
      </c>
      <c r="L855" cm="1">
        <f t="array" ref="L85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855" t="str">
        <f>IF(OR(ISNUMBER(SEARCH("imad", Table6[[#This Row],[instruction]])), ISNUMBER(SEARCH("ffma", Table6[[#This Row],[instruction]])), ISNUMBER(SEARCH("fmul", Table6[[#This Row],[instruction]]))), "fma", "")</f>
        <v/>
      </c>
      <c r="P85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5" t="str">
        <f>IF(OR(ISNUMBER(SEARCH("s2r", Table6[[#This Row],[instruction]])),ISNUMBER(SEARCH("s2ur", Table6[[#This Row],[instruction]]))), "special", "")</f>
        <v/>
      </c>
      <c r="S855" t="str">
        <f>IF(OR(ISNUMBER(SEARCH("stg", Table6[[#This Row],[instruction]])),ISNUMBER(SEARCH("ldg", Table6[[#This Row],[instruction]]))), "global", "")</f>
        <v/>
      </c>
      <c r="T855" t="str">
        <f>IF(OR(ISNUMBER(SEARCH("sts", Table6[[#This Row],[instruction]])),ISNUMBER(SEARCH("lds", Table6[[#This Row],[instruction]]))), "shared", "")</f>
        <v/>
      </c>
      <c r="U855" t="str">
        <f>IF(OR(ISNUMBER(SEARCH("LDC", Table6[[#This Row],[instruction]]))), "ind. const", "")</f>
        <v/>
      </c>
      <c r="V85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Row],[s5]]))),U855=""), "cmb. const", "")</f>
        <v/>
      </c>
      <c r="Y855">
        <f>IF(Table6[[#This Row],[pipeline]]="fma",Table6[[#This Row],[delay]],0)</f>
        <v>0</v>
      </c>
      <c r="Z855">
        <f>IF(AND(Table6[[#This Row],[pipeline]]="fma",W855="new"),290,0)</f>
        <v>0</v>
      </c>
      <c r="AK855" s="34"/>
    </row>
    <row r="856" spans="1:37" ht="17" x14ac:dyDescent="0.2">
      <c r="A856" s="31">
        <f>IF(Table6[[#This Row],[instruction]]&lt;&gt;"",MAX($A$6:A855)+1," ")</f>
        <v>851</v>
      </c>
      <c r="B856" s="32" t="s">
        <v>485</v>
      </c>
      <c r="C856" t="s">
        <v>736</v>
      </c>
      <c r="D856" s="31" t="s">
        <v>27</v>
      </c>
      <c r="E856" s="31" t="s">
        <v>27</v>
      </c>
      <c r="F856" s="31" t="s">
        <v>23</v>
      </c>
      <c r="G856" s="31" t="s">
        <v>75</v>
      </c>
      <c r="H856" s="31" t="s">
        <v>643</v>
      </c>
      <c r="K856" s="2" t="str">
        <f t="shared" si="13"/>
        <v>alu</v>
      </c>
      <c r="L856" cm="1">
        <f t="array" ref="L85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856" t="str">
        <f>IF(OR(ISNUMBER(SEARCH("imad", Table6[[#This Row],[instruction]])), ISNUMBER(SEARCH("ffma", Table6[[#This Row],[instruction]])), ISNUMBER(SEARCH("fmul", Table6[[#This Row],[instruction]]))), "fma", "")</f>
        <v/>
      </c>
      <c r="P85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6" t="str">
        <f>IF(OR(ISNUMBER(SEARCH("s2r", Table6[[#This Row],[instruction]])),ISNUMBER(SEARCH("s2ur", Table6[[#This Row],[instruction]]))), "special", "")</f>
        <v/>
      </c>
      <c r="S856" t="str">
        <f>IF(OR(ISNUMBER(SEARCH("stg", Table6[[#This Row],[instruction]])),ISNUMBER(SEARCH("ldg", Table6[[#This Row],[instruction]]))), "global", "")</f>
        <v/>
      </c>
      <c r="T856" t="str">
        <f>IF(OR(ISNUMBER(SEARCH("sts", Table6[[#This Row],[instruction]])),ISNUMBER(SEARCH("lds", Table6[[#This Row],[instruction]]))), "shared", "")</f>
        <v/>
      </c>
      <c r="U856" t="str">
        <f>IF(OR(ISNUMBER(SEARCH("LDC", Table6[[#This Row],[instruction]]))), "ind. const", "")</f>
        <v/>
      </c>
      <c r="V85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Row],[s5]]))),U856=""), "cmb. const", "")</f>
        <v/>
      </c>
      <c r="Y856">
        <f>IF(Table6[[#This Row],[pipeline]]="fma",Table6[[#This Row],[delay]],0)</f>
        <v>0</v>
      </c>
      <c r="Z856">
        <f>IF(AND(Table6[[#This Row],[pipeline]]="fma",W856="new"),290,0)</f>
        <v>0</v>
      </c>
      <c r="AK856" s="34"/>
    </row>
    <row r="857" spans="1:37" ht="17" x14ac:dyDescent="0.2">
      <c r="A857" s="31">
        <f>IF(Table6[[#This Row],[instruction]]&lt;&gt;"",MAX($A$6:A856)+1," ")</f>
        <v>852</v>
      </c>
      <c r="B857" s="32" t="s">
        <v>485</v>
      </c>
      <c r="C857" t="s">
        <v>89</v>
      </c>
      <c r="D857" s="31" t="s">
        <v>588</v>
      </c>
      <c r="E857" s="31" t="s">
        <v>19</v>
      </c>
      <c r="F857" s="31" t="s">
        <v>53</v>
      </c>
      <c r="G857" s="31" t="s">
        <v>502</v>
      </c>
      <c r="K857" s="2" t="str">
        <f t="shared" si="13"/>
        <v>fma</v>
      </c>
      <c r="L857" cm="1">
        <f t="array" ref="L85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57" t="str">
        <f>IF(OR(ISNUMBER(SEARCH("imad", Table6[[#This Row],[instruction]])), ISNUMBER(SEARCH("ffma", Table6[[#This Row],[instruction]])), ISNUMBER(SEARCH("fmul", Table6[[#This Row],[instruction]]))), "fma", "")</f>
        <v>fma</v>
      </c>
      <c r="P85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5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7" t="str">
        <f>IF(OR(ISNUMBER(SEARCH("s2r", Table6[[#This Row],[instruction]])),ISNUMBER(SEARCH("s2ur", Table6[[#This Row],[instruction]]))), "special", "")</f>
        <v/>
      </c>
      <c r="S857" t="str">
        <f>IF(OR(ISNUMBER(SEARCH("stg", Table6[[#This Row],[instruction]])),ISNUMBER(SEARCH("ldg", Table6[[#This Row],[instruction]]))), "global", "")</f>
        <v/>
      </c>
      <c r="T857" t="str">
        <f>IF(OR(ISNUMBER(SEARCH("sts", Table6[[#This Row],[instruction]])),ISNUMBER(SEARCH("lds", Table6[[#This Row],[instruction]]))), "shared", "")</f>
        <v/>
      </c>
      <c r="U857" t="str">
        <f>IF(OR(ISNUMBER(SEARCH("LDC", Table6[[#This Row],[instruction]]))), "ind. const", "")</f>
        <v/>
      </c>
      <c r="V85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Row],[s5]]))),U857=""), "cmb. const", "")</f>
        <v/>
      </c>
      <c r="Y857">
        <f>IF(Table6[[#This Row],[pipeline]]="fma",Table6[[#This Row],[delay]],0)</f>
        <v>4</v>
      </c>
      <c r="Z857">
        <f>IF(AND(Table6[[#This Row],[pipeline]]="fma",W857="new"),290,0)</f>
        <v>0</v>
      </c>
      <c r="AK857" s="34"/>
    </row>
    <row r="858" spans="1:37" ht="17" x14ac:dyDescent="0.2">
      <c r="A858" s="31">
        <f>IF(Table6[[#This Row],[instruction]]&lt;&gt;"",MAX($A$6:A857)+1," ")</f>
        <v>853</v>
      </c>
      <c r="B858" s="32" t="s">
        <v>485</v>
      </c>
      <c r="C858" t="s">
        <v>736</v>
      </c>
      <c r="D858" s="31" t="s">
        <v>7</v>
      </c>
      <c r="E858" s="31" t="s">
        <v>7</v>
      </c>
      <c r="F858" s="31" t="s">
        <v>23</v>
      </c>
      <c r="G858" s="31" t="s">
        <v>75</v>
      </c>
      <c r="H858" s="31" t="s">
        <v>645</v>
      </c>
      <c r="K858" s="2" t="str">
        <f t="shared" si="13"/>
        <v>alu</v>
      </c>
      <c r="L858" cm="1">
        <f t="array" ref="L85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858" t="str">
        <f>IF(OR(ISNUMBER(SEARCH("imad", Table6[[#This Row],[instruction]])), ISNUMBER(SEARCH("ffma", Table6[[#This Row],[instruction]])), ISNUMBER(SEARCH("fmul", Table6[[#This Row],[instruction]]))), "fma", "")</f>
        <v/>
      </c>
      <c r="P85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8" t="str">
        <f>IF(OR(ISNUMBER(SEARCH("s2r", Table6[[#This Row],[instruction]])),ISNUMBER(SEARCH("s2ur", Table6[[#This Row],[instruction]]))), "special", "")</f>
        <v/>
      </c>
      <c r="S858" t="str">
        <f>IF(OR(ISNUMBER(SEARCH("stg", Table6[[#This Row],[instruction]])),ISNUMBER(SEARCH("ldg", Table6[[#This Row],[instruction]]))), "global", "")</f>
        <v/>
      </c>
      <c r="T858" t="str">
        <f>IF(OR(ISNUMBER(SEARCH("sts", Table6[[#This Row],[instruction]])),ISNUMBER(SEARCH("lds", Table6[[#This Row],[instruction]]))), "shared", "")</f>
        <v/>
      </c>
      <c r="U858" t="str">
        <f>IF(OR(ISNUMBER(SEARCH("LDC", Table6[[#This Row],[instruction]]))), "ind. const", "")</f>
        <v/>
      </c>
      <c r="V85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Row],[s5]]))),U858=""), "cmb. const", "")</f>
        <v/>
      </c>
      <c r="Y858">
        <f>IF(Table6[[#This Row],[pipeline]]="fma",Table6[[#This Row],[delay]],0)</f>
        <v>0</v>
      </c>
      <c r="Z858">
        <f>IF(AND(Table6[[#This Row],[pipeline]]="fma",W858="new"),290,0)</f>
        <v>0</v>
      </c>
      <c r="AK858" s="34"/>
    </row>
    <row r="859" spans="1:37" ht="17" x14ac:dyDescent="0.2">
      <c r="A859" s="31">
        <f>IF(Table6[[#This Row],[instruction]]&lt;&gt;"",MAX($A$6:A858)+1," ")</f>
        <v>854</v>
      </c>
      <c r="B859" s="32" t="s">
        <v>485</v>
      </c>
      <c r="C859" t="s">
        <v>736</v>
      </c>
      <c r="D859" s="31" t="s">
        <v>23</v>
      </c>
      <c r="E859" s="31" t="s">
        <v>84</v>
      </c>
      <c r="F859" s="31" t="s">
        <v>23</v>
      </c>
      <c r="G859" s="31" t="s">
        <v>75</v>
      </c>
      <c r="H859" s="31" t="s">
        <v>737</v>
      </c>
      <c r="K859" s="2" t="str">
        <f t="shared" si="13"/>
        <v>alu</v>
      </c>
      <c r="L859" cm="1">
        <f t="array" ref="L85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6</v>
      </c>
      <c r="O859" t="str">
        <f>IF(OR(ISNUMBER(SEARCH("imad", Table6[[#This Row],[instruction]])), ISNUMBER(SEARCH("ffma", Table6[[#This Row],[instruction]])), ISNUMBER(SEARCH("fmul", Table6[[#This Row],[instruction]]))), "fma", "")</f>
        <v/>
      </c>
      <c r="P85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5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59" t="str">
        <f>IF(OR(ISNUMBER(SEARCH("s2r", Table6[[#This Row],[instruction]])),ISNUMBER(SEARCH("s2ur", Table6[[#This Row],[instruction]]))), "special", "")</f>
        <v/>
      </c>
      <c r="S859" t="str">
        <f>IF(OR(ISNUMBER(SEARCH("stg", Table6[[#This Row],[instruction]])),ISNUMBER(SEARCH("ldg", Table6[[#This Row],[instruction]]))), "global", "")</f>
        <v/>
      </c>
      <c r="T859" t="str">
        <f>IF(OR(ISNUMBER(SEARCH("sts", Table6[[#This Row],[instruction]])),ISNUMBER(SEARCH("lds", Table6[[#This Row],[instruction]]))), "shared", "")</f>
        <v/>
      </c>
      <c r="U859" t="str">
        <f>IF(OR(ISNUMBER(SEARCH("LDC", Table6[[#This Row],[instruction]]))), "ind. const", "")</f>
        <v/>
      </c>
      <c r="V85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Row],[s5]]))),U859=""), "cmb. const", "")</f>
        <v/>
      </c>
      <c r="Y859">
        <f>IF(Table6[[#This Row],[pipeline]]="fma",Table6[[#This Row],[delay]],0)</f>
        <v>0</v>
      </c>
      <c r="Z859">
        <f>IF(AND(Table6[[#This Row],[pipeline]]="fma",W859="new"),290,0)</f>
        <v>0</v>
      </c>
      <c r="AK859" s="34"/>
    </row>
    <row r="860" spans="1:37" ht="17" x14ac:dyDescent="0.2">
      <c r="A860" s="31">
        <f>IF(Table6[[#This Row],[instruction]]&lt;&gt;"",MAX($A$6:A859)+1," ")</f>
        <v>855</v>
      </c>
      <c r="B860" s="32" t="s">
        <v>485</v>
      </c>
      <c r="C860" t="s">
        <v>89</v>
      </c>
      <c r="D860" s="31" t="s">
        <v>84</v>
      </c>
      <c r="E860" s="31" t="s">
        <v>61</v>
      </c>
      <c r="F860" s="31" t="s">
        <v>53</v>
      </c>
      <c r="G860" s="31" t="s">
        <v>502</v>
      </c>
      <c r="K860" s="2" t="str">
        <f t="shared" si="13"/>
        <v>fma</v>
      </c>
      <c r="L860" cm="1">
        <f t="array" ref="L86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0" t="str">
        <f>IF(OR(ISNUMBER(SEARCH("imad", Table6[[#This Row],[instruction]])), ISNUMBER(SEARCH("ffma", Table6[[#This Row],[instruction]])), ISNUMBER(SEARCH("fmul", Table6[[#This Row],[instruction]]))), "fma", "")</f>
        <v>fma</v>
      </c>
      <c r="P86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6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0" t="str">
        <f>IF(OR(ISNUMBER(SEARCH("s2r", Table6[[#This Row],[instruction]])),ISNUMBER(SEARCH("s2ur", Table6[[#This Row],[instruction]]))), "special", "")</f>
        <v/>
      </c>
      <c r="S860" t="str">
        <f>IF(OR(ISNUMBER(SEARCH("stg", Table6[[#This Row],[instruction]])),ISNUMBER(SEARCH("ldg", Table6[[#This Row],[instruction]]))), "global", "")</f>
        <v/>
      </c>
      <c r="T860" t="str">
        <f>IF(OR(ISNUMBER(SEARCH("sts", Table6[[#This Row],[instruction]])),ISNUMBER(SEARCH("lds", Table6[[#This Row],[instruction]]))), "shared", "")</f>
        <v/>
      </c>
      <c r="U860" t="str">
        <f>IF(OR(ISNUMBER(SEARCH("LDC", Table6[[#This Row],[instruction]]))), "ind. const", "")</f>
        <v/>
      </c>
      <c r="V86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Row],[s5]]))),U860=""), "cmb. const", "")</f>
        <v/>
      </c>
      <c r="Y860">
        <f>IF(Table6[[#This Row],[pipeline]]="fma",Table6[[#This Row],[delay]],0)</f>
        <v>4</v>
      </c>
      <c r="Z860">
        <f>IF(AND(Table6[[#This Row],[pipeline]]="fma",W860="new"),290,0)</f>
        <v>0</v>
      </c>
      <c r="AK860" s="34"/>
    </row>
    <row r="861" spans="1:37" ht="17" x14ac:dyDescent="0.2">
      <c r="A861" s="31">
        <f>IF(Table6[[#This Row],[instruction]]&lt;&gt;"",MAX($A$6:A860)+1," ")</f>
        <v>856</v>
      </c>
      <c r="B861" s="32" t="s">
        <v>485</v>
      </c>
      <c r="C861" t="s">
        <v>47</v>
      </c>
      <c r="D861" s="31" t="s">
        <v>436</v>
      </c>
      <c r="E861" s="31" t="s">
        <v>58</v>
      </c>
      <c r="F861" s="31" t="s">
        <v>79</v>
      </c>
      <c r="G861" s="31" t="s">
        <v>502</v>
      </c>
      <c r="K861" s="2" t="str">
        <f t="shared" si="13"/>
        <v>alu</v>
      </c>
      <c r="L861" cm="1">
        <f t="array" ref="L86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1" t="str">
        <f>IF(OR(ISNUMBER(SEARCH("imad", Table6[[#This Row],[instruction]])), ISNUMBER(SEARCH("ffma", Table6[[#This Row],[instruction]])), ISNUMBER(SEARCH("fmul", Table6[[#This Row],[instruction]]))), "fma", "")</f>
        <v/>
      </c>
      <c r="P86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1" t="str">
        <f>IF(OR(ISNUMBER(SEARCH("s2r", Table6[[#This Row],[instruction]])),ISNUMBER(SEARCH("s2ur", Table6[[#This Row],[instruction]]))), "special", "")</f>
        <v/>
      </c>
      <c r="S861" t="str">
        <f>IF(OR(ISNUMBER(SEARCH("stg", Table6[[#This Row],[instruction]])),ISNUMBER(SEARCH("ldg", Table6[[#This Row],[instruction]]))), "global", "")</f>
        <v/>
      </c>
      <c r="T861" t="str">
        <f>IF(OR(ISNUMBER(SEARCH("sts", Table6[[#This Row],[instruction]])),ISNUMBER(SEARCH("lds", Table6[[#This Row],[instruction]]))), "shared", "")</f>
        <v/>
      </c>
      <c r="U861" t="str">
        <f>IF(OR(ISNUMBER(SEARCH("LDC", Table6[[#This Row],[instruction]]))), "ind. const", "")</f>
        <v/>
      </c>
      <c r="V86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Row],[s5]]))),U861=""), "cmb. const", "")</f>
        <v/>
      </c>
      <c r="Y861">
        <f>IF(Table6[[#This Row],[pipeline]]="fma",Table6[[#This Row],[delay]],0)</f>
        <v>0</v>
      </c>
      <c r="Z861">
        <f>IF(AND(Table6[[#This Row],[pipeline]]="fma",W861="new"),290,0)</f>
        <v>0</v>
      </c>
      <c r="AK861" s="34"/>
    </row>
    <row r="862" spans="1:37" ht="17" x14ac:dyDescent="0.2">
      <c r="A862" s="31">
        <f>IF(Table6[[#This Row],[instruction]]&lt;&gt;"",MAX($A$6:A861)+1," ")</f>
        <v>857</v>
      </c>
      <c r="B862" s="32" t="s">
        <v>485</v>
      </c>
      <c r="C862" t="s">
        <v>47</v>
      </c>
      <c r="D862" s="31" t="s">
        <v>447</v>
      </c>
      <c r="E862" s="31" t="s">
        <v>4</v>
      </c>
      <c r="F862" s="31" t="s">
        <v>79</v>
      </c>
      <c r="G862" s="31" t="s">
        <v>502</v>
      </c>
      <c r="K862" s="2" t="str">
        <f t="shared" si="13"/>
        <v>alu</v>
      </c>
      <c r="L862" cm="1">
        <f t="array" ref="L86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2" t="str">
        <f>IF(OR(ISNUMBER(SEARCH("imad", Table6[[#This Row],[instruction]])), ISNUMBER(SEARCH("ffma", Table6[[#This Row],[instruction]])), ISNUMBER(SEARCH("fmul", Table6[[#This Row],[instruction]]))), "fma", "")</f>
        <v/>
      </c>
      <c r="P86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2" t="str">
        <f>IF(OR(ISNUMBER(SEARCH("s2r", Table6[[#This Row],[instruction]])),ISNUMBER(SEARCH("s2ur", Table6[[#This Row],[instruction]]))), "special", "")</f>
        <v/>
      </c>
      <c r="S862" t="str">
        <f>IF(OR(ISNUMBER(SEARCH("stg", Table6[[#This Row],[instruction]])),ISNUMBER(SEARCH("ldg", Table6[[#This Row],[instruction]]))), "global", "")</f>
        <v/>
      </c>
      <c r="T862" t="str">
        <f>IF(OR(ISNUMBER(SEARCH("sts", Table6[[#This Row],[instruction]])),ISNUMBER(SEARCH("lds", Table6[[#This Row],[instruction]]))), "shared", "")</f>
        <v/>
      </c>
      <c r="U862" t="str">
        <f>IF(OR(ISNUMBER(SEARCH("LDC", Table6[[#This Row],[instruction]]))), "ind. const", "")</f>
        <v/>
      </c>
      <c r="V86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Row],[s5]]))),U862=""), "cmb. const", "")</f>
        <v/>
      </c>
      <c r="Y862">
        <f>IF(Table6[[#This Row],[pipeline]]="fma",Table6[[#This Row],[delay]],0)</f>
        <v>0</v>
      </c>
      <c r="Z862">
        <f>IF(AND(Table6[[#This Row],[pipeline]]="fma",W862="new"),290,0)</f>
        <v>0</v>
      </c>
      <c r="AK862" s="34"/>
    </row>
    <row r="863" spans="1:37" ht="17" x14ac:dyDescent="0.2">
      <c r="A863" s="31">
        <f>IF(Table6[[#This Row],[instruction]]&lt;&gt;"",MAX($A$6:A862)+1," ")</f>
        <v>858</v>
      </c>
      <c r="B863" s="32" t="s">
        <v>485</v>
      </c>
      <c r="C863" t="s">
        <v>738</v>
      </c>
      <c r="D863" s="31" t="s">
        <v>82</v>
      </c>
      <c r="E863" s="31" t="s">
        <v>61</v>
      </c>
      <c r="F863" s="31" t="s">
        <v>79</v>
      </c>
      <c r="G863" s="31" t="s">
        <v>557</v>
      </c>
      <c r="K863" s="2" t="str">
        <f t="shared" si="13"/>
        <v>alu</v>
      </c>
      <c r="L863" cm="1">
        <f t="array" ref="L86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3" t="str">
        <f>IF(OR(ISNUMBER(SEARCH("imad", Table6[[#This Row],[instruction]])), ISNUMBER(SEARCH("ffma", Table6[[#This Row],[instruction]])), ISNUMBER(SEARCH("fmul", Table6[[#This Row],[instruction]]))), "fma", "")</f>
        <v/>
      </c>
      <c r="P86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3" t="str">
        <f>IF(OR(ISNUMBER(SEARCH("s2r", Table6[[#This Row],[instruction]])),ISNUMBER(SEARCH("s2ur", Table6[[#This Row],[instruction]]))), "special", "")</f>
        <v/>
      </c>
      <c r="S863" t="str">
        <f>IF(OR(ISNUMBER(SEARCH("stg", Table6[[#This Row],[instruction]])),ISNUMBER(SEARCH("ldg", Table6[[#This Row],[instruction]]))), "global", "")</f>
        <v/>
      </c>
      <c r="T863" t="str">
        <f>IF(OR(ISNUMBER(SEARCH("sts", Table6[[#This Row],[instruction]])),ISNUMBER(SEARCH("lds", Table6[[#This Row],[instruction]]))), "shared", "")</f>
        <v/>
      </c>
      <c r="U863" t="str">
        <f>IF(OR(ISNUMBER(SEARCH("LDC", Table6[[#This Row],[instruction]]))), "ind. const", "")</f>
        <v/>
      </c>
      <c r="V86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Row],[s5]]))),U863=""), "cmb. const", "")</f>
        <v/>
      </c>
      <c r="Y863">
        <f>IF(Table6[[#This Row],[pipeline]]="fma",Table6[[#This Row],[delay]],0)</f>
        <v>0</v>
      </c>
      <c r="Z863">
        <f>IF(AND(Table6[[#This Row],[pipeline]]="fma",W863="new"),290,0)</f>
        <v>0</v>
      </c>
      <c r="AK863" s="34"/>
    </row>
    <row r="864" spans="1:37" ht="17" x14ac:dyDescent="0.2">
      <c r="A864" s="31">
        <f>IF(Table6[[#This Row],[instruction]]&lt;&gt;"",MAX($A$6:A863)+1," ")</f>
        <v>859</v>
      </c>
      <c r="B864" s="32" t="s">
        <v>485</v>
      </c>
      <c r="C864" t="s">
        <v>738</v>
      </c>
      <c r="D864" s="31" t="s">
        <v>440</v>
      </c>
      <c r="E864" s="31" t="s">
        <v>58</v>
      </c>
      <c r="F864" s="31" t="s">
        <v>79</v>
      </c>
      <c r="G864" s="31" t="s">
        <v>540</v>
      </c>
      <c r="K864" s="2" t="str">
        <f t="shared" si="13"/>
        <v>alu</v>
      </c>
      <c r="L864" cm="1">
        <f t="array" ref="L86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4" t="str">
        <f>IF(OR(ISNUMBER(SEARCH("imad", Table6[[#This Row],[instruction]])), ISNUMBER(SEARCH("ffma", Table6[[#This Row],[instruction]])), ISNUMBER(SEARCH("fmul", Table6[[#This Row],[instruction]]))), "fma", "")</f>
        <v/>
      </c>
      <c r="P86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4" t="str">
        <f>IF(OR(ISNUMBER(SEARCH("s2r", Table6[[#This Row],[instruction]])),ISNUMBER(SEARCH("s2ur", Table6[[#This Row],[instruction]]))), "special", "")</f>
        <v/>
      </c>
      <c r="S864" t="str">
        <f>IF(OR(ISNUMBER(SEARCH("stg", Table6[[#This Row],[instruction]])),ISNUMBER(SEARCH("ldg", Table6[[#This Row],[instruction]]))), "global", "")</f>
        <v/>
      </c>
      <c r="T864" t="str">
        <f>IF(OR(ISNUMBER(SEARCH("sts", Table6[[#This Row],[instruction]])),ISNUMBER(SEARCH("lds", Table6[[#This Row],[instruction]]))), "shared", "")</f>
        <v/>
      </c>
      <c r="U864" t="str">
        <f>IF(OR(ISNUMBER(SEARCH("LDC", Table6[[#This Row],[instruction]]))), "ind. const", "")</f>
        <v/>
      </c>
      <c r="V86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Row],[s5]]))),U864=""), "cmb. const", "")</f>
        <v/>
      </c>
      <c r="Y864">
        <f>IF(Table6[[#This Row],[pipeline]]="fma",Table6[[#This Row],[delay]],0)</f>
        <v>0</v>
      </c>
      <c r="Z864">
        <f>IF(AND(Table6[[#This Row],[pipeline]]="fma",W864="new"),290,0)</f>
        <v>0</v>
      </c>
      <c r="AK864" s="34"/>
    </row>
    <row r="865" spans="1:37" ht="17" x14ac:dyDescent="0.2">
      <c r="A865" s="31">
        <f>IF(Table6[[#This Row],[instruction]]&lt;&gt;"",MAX($A$6:A864)+1," ")</f>
        <v>860</v>
      </c>
      <c r="B865" s="32" t="s">
        <v>485</v>
      </c>
      <c r="C865" t="s">
        <v>738</v>
      </c>
      <c r="D865" s="31" t="s">
        <v>439</v>
      </c>
      <c r="E865" s="31" t="s">
        <v>4</v>
      </c>
      <c r="F865" s="31" t="s">
        <v>79</v>
      </c>
      <c r="G865" s="31" t="s">
        <v>537</v>
      </c>
      <c r="K865" s="2" t="str">
        <f t="shared" si="13"/>
        <v>alu</v>
      </c>
      <c r="L865" cm="1">
        <f t="array" ref="L86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5" t="str">
        <f>IF(OR(ISNUMBER(SEARCH("imad", Table6[[#This Row],[instruction]])), ISNUMBER(SEARCH("ffma", Table6[[#This Row],[instruction]])), ISNUMBER(SEARCH("fmul", Table6[[#This Row],[instruction]]))), "fma", "")</f>
        <v/>
      </c>
      <c r="P86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5" t="str">
        <f>IF(OR(ISNUMBER(SEARCH("s2r", Table6[[#This Row],[instruction]])),ISNUMBER(SEARCH("s2ur", Table6[[#This Row],[instruction]]))), "special", "")</f>
        <v/>
      </c>
      <c r="S865" t="str">
        <f>IF(OR(ISNUMBER(SEARCH("stg", Table6[[#This Row],[instruction]])),ISNUMBER(SEARCH("ldg", Table6[[#This Row],[instruction]]))), "global", "")</f>
        <v/>
      </c>
      <c r="T865" t="str">
        <f>IF(OR(ISNUMBER(SEARCH("sts", Table6[[#This Row],[instruction]])),ISNUMBER(SEARCH("lds", Table6[[#This Row],[instruction]]))), "shared", "")</f>
        <v/>
      </c>
      <c r="U865" t="str">
        <f>IF(OR(ISNUMBER(SEARCH("LDC", Table6[[#This Row],[instruction]]))), "ind. const", "")</f>
        <v/>
      </c>
      <c r="V86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Row],[s5]]))),U865=""), "cmb. const", "")</f>
        <v/>
      </c>
      <c r="Y865">
        <f>IF(Table6[[#This Row],[pipeline]]="fma",Table6[[#This Row],[delay]],0)</f>
        <v>0</v>
      </c>
      <c r="Z865">
        <f>IF(AND(Table6[[#This Row],[pipeline]]="fma",W865="new"),290,0)</f>
        <v>0</v>
      </c>
      <c r="AK865" s="34"/>
    </row>
    <row r="866" spans="1:37" ht="17" x14ac:dyDescent="0.2">
      <c r="A866" s="31">
        <f>IF(Table6[[#This Row],[instruction]]&lt;&gt;"",MAX($A$6:A865)+1," ")</f>
        <v>861</v>
      </c>
      <c r="B866" s="32" t="s">
        <v>485</v>
      </c>
      <c r="C866" t="s">
        <v>738</v>
      </c>
      <c r="D866" s="31" t="s">
        <v>80</v>
      </c>
      <c r="E866" s="31" t="s">
        <v>19</v>
      </c>
      <c r="F866" s="31" t="s">
        <v>79</v>
      </c>
      <c r="G866" s="31" t="s">
        <v>514</v>
      </c>
      <c r="K866" s="2" t="str">
        <f t="shared" si="13"/>
        <v>alu</v>
      </c>
      <c r="L866" cm="1">
        <f t="array" ref="L86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66" t="str">
        <f>IF(OR(ISNUMBER(SEARCH("imad", Table6[[#This Row],[instruction]])), ISNUMBER(SEARCH("ffma", Table6[[#This Row],[instruction]])), ISNUMBER(SEARCH("fmul", Table6[[#This Row],[instruction]]))), "fma", "")</f>
        <v/>
      </c>
      <c r="P86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6" t="str">
        <f>IF(OR(ISNUMBER(SEARCH("s2r", Table6[[#This Row],[instruction]])),ISNUMBER(SEARCH("s2ur", Table6[[#This Row],[instruction]]))), "special", "")</f>
        <v/>
      </c>
      <c r="S866" t="str">
        <f>IF(OR(ISNUMBER(SEARCH("stg", Table6[[#This Row],[instruction]])),ISNUMBER(SEARCH("ldg", Table6[[#This Row],[instruction]]))), "global", "")</f>
        <v/>
      </c>
      <c r="T866" t="str">
        <f>IF(OR(ISNUMBER(SEARCH("sts", Table6[[#This Row],[instruction]])),ISNUMBER(SEARCH("lds", Table6[[#This Row],[instruction]]))), "shared", "")</f>
        <v/>
      </c>
      <c r="U866" t="str">
        <f>IF(OR(ISNUMBER(SEARCH("LDC", Table6[[#This Row],[instruction]]))), "ind. const", "")</f>
        <v/>
      </c>
      <c r="V86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Row],[s5]]))),U866=""), "cmb. const", "")</f>
        <v/>
      </c>
      <c r="Y866">
        <f>IF(Table6[[#This Row],[pipeline]]="fma",Table6[[#This Row],[delay]],0)</f>
        <v>0</v>
      </c>
      <c r="Z866">
        <f>IF(AND(Table6[[#This Row],[pipeline]]="fma",W866="new"),290,0)</f>
        <v>0</v>
      </c>
      <c r="AK866" s="34"/>
    </row>
    <row r="867" spans="1:37" ht="17" x14ac:dyDescent="0.2">
      <c r="A867" s="31">
        <f>IF(Table6[[#This Row],[instruction]]&lt;&gt;"",MAX($A$6:A866)+1," ")</f>
        <v>862</v>
      </c>
      <c r="B867" s="32" t="s">
        <v>485</v>
      </c>
      <c r="C867" t="s">
        <v>26</v>
      </c>
      <c r="D867" s="31" t="s">
        <v>61</v>
      </c>
      <c r="E867" s="31" t="s">
        <v>78</v>
      </c>
      <c r="F867" s="31" t="s">
        <v>84</v>
      </c>
      <c r="G867" s="31" t="s">
        <v>468</v>
      </c>
      <c r="H867" s="31" t="s">
        <v>502</v>
      </c>
      <c r="K867" s="2" t="str">
        <f t="shared" si="13"/>
        <v>alu</v>
      </c>
      <c r="L867" cm="1">
        <f t="array" ref="L86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67" t="str">
        <f>IF(OR(ISNUMBER(SEARCH("imad", Table6[[#This Row],[instruction]])), ISNUMBER(SEARCH("ffma", Table6[[#This Row],[instruction]])), ISNUMBER(SEARCH("fmul", Table6[[#This Row],[instruction]]))), "fma", "")</f>
        <v/>
      </c>
      <c r="P86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7" t="str">
        <f>IF(OR(ISNUMBER(SEARCH("s2r", Table6[[#This Row],[instruction]])),ISNUMBER(SEARCH("s2ur", Table6[[#This Row],[instruction]]))), "special", "")</f>
        <v/>
      </c>
      <c r="S867" t="str">
        <f>IF(OR(ISNUMBER(SEARCH("stg", Table6[[#This Row],[instruction]])),ISNUMBER(SEARCH("ldg", Table6[[#This Row],[instruction]]))), "global", "")</f>
        <v/>
      </c>
      <c r="T867" t="str">
        <f>IF(OR(ISNUMBER(SEARCH("sts", Table6[[#This Row],[instruction]])),ISNUMBER(SEARCH("lds", Table6[[#This Row],[instruction]]))), "shared", "")</f>
        <v/>
      </c>
      <c r="U867" t="str">
        <f>IF(OR(ISNUMBER(SEARCH("LDC", Table6[[#This Row],[instruction]]))), "ind. const", "")</f>
        <v/>
      </c>
      <c r="V86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Row],[s5]]))),U867=""), "cmb. const", "")</f>
        <v>cmb. const</v>
      </c>
      <c r="W867" s="2" t="s">
        <v>481</v>
      </c>
      <c r="Y867">
        <f>IF(Table6[[#This Row],[pipeline]]="fma",Table6[[#This Row],[delay]],0)</f>
        <v>0</v>
      </c>
      <c r="Z867">
        <f>IF(AND(Table6[[#This Row],[pipeline]]="fma",W867="new"),290,0)</f>
        <v>0</v>
      </c>
      <c r="AK867" s="34"/>
    </row>
    <row r="868" spans="1:37" ht="17" x14ac:dyDescent="0.2">
      <c r="A868" s="31">
        <f>IF(Table6[[#This Row],[instruction]]&lt;&gt;"",MAX($A$6:A867)+1," ")</f>
        <v>863</v>
      </c>
      <c r="B868" s="32" t="s">
        <v>485</v>
      </c>
      <c r="C868" t="s">
        <v>26</v>
      </c>
      <c r="D868" s="31" t="s">
        <v>58</v>
      </c>
      <c r="E868" s="31" t="s">
        <v>74</v>
      </c>
      <c r="F868" s="31" t="s">
        <v>436</v>
      </c>
      <c r="G868" s="31" t="s">
        <v>468</v>
      </c>
      <c r="H868" s="31" t="s">
        <v>502</v>
      </c>
      <c r="K868" s="2" t="str">
        <f t="shared" si="13"/>
        <v>alu</v>
      </c>
      <c r="L868" cm="1">
        <f t="array" ref="L86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68" t="str">
        <f>IF(OR(ISNUMBER(SEARCH("imad", Table6[[#This Row],[instruction]])), ISNUMBER(SEARCH("ffma", Table6[[#This Row],[instruction]])), ISNUMBER(SEARCH("fmul", Table6[[#This Row],[instruction]]))), "fma", "")</f>
        <v/>
      </c>
      <c r="P86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8" t="str">
        <f>IF(OR(ISNUMBER(SEARCH("s2r", Table6[[#This Row],[instruction]])),ISNUMBER(SEARCH("s2ur", Table6[[#This Row],[instruction]]))), "special", "")</f>
        <v/>
      </c>
      <c r="S868" t="str">
        <f>IF(OR(ISNUMBER(SEARCH("stg", Table6[[#This Row],[instruction]])),ISNUMBER(SEARCH("ldg", Table6[[#This Row],[instruction]]))), "global", "")</f>
        <v/>
      </c>
      <c r="T868" t="str">
        <f>IF(OR(ISNUMBER(SEARCH("sts", Table6[[#This Row],[instruction]])),ISNUMBER(SEARCH("lds", Table6[[#This Row],[instruction]]))), "shared", "")</f>
        <v/>
      </c>
      <c r="U868" t="str">
        <f>IF(OR(ISNUMBER(SEARCH("LDC", Table6[[#This Row],[instruction]]))), "ind. const", "")</f>
        <v/>
      </c>
      <c r="V86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Row],[s5]]))),U868=""), "cmb. const", "")</f>
        <v>cmb. const</v>
      </c>
      <c r="W868" s="2" t="s">
        <v>481</v>
      </c>
      <c r="Y868">
        <f>IF(Table6[[#This Row],[pipeline]]="fma",Table6[[#This Row],[delay]],0)</f>
        <v>0</v>
      </c>
      <c r="Z868">
        <f>IF(AND(Table6[[#This Row],[pipeline]]="fma",W868="new"),290,0)</f>
        <v>0</v>
      </c>
      <c r="AK868" s="34"/>
    </row>
    <row r="869" spans="1:37" ht="17" x14ac:dyDescent="0.2">
      <c r="A869" s="31">
        <f>IF(Table6[[#This Row],[instruction]]&lt;&gt;"",MAX($A$6:A868)+1," ")</f>
        <v>864</v>
      </c>
      <c r="B869" s="32" t="s">
        <v>485</v>
      </c>
      <c r="C869" t="s">
        <v>26</v>
      </c>
      <c r="D869" s="31" t="s">
        <v>4</v>
      </c>
      <c r="E869" s="31" t="s">
        <v>533</v>
      </c>
      <c r="F869" s="31" t="s">
        <v>447</v>
      </c>
      <c r="G869" s="31" t="s">
        <v>468</v>
      </c>
      <c r="H869" s="31" t="s">
        <v>502</v>
      </c>
      <c r="K869" s="2" t="str">
        <f t="shared" si="13"/>
        <v>alu</v>
      </c>
      <c r="L869" cm="1">
        <f t="array" ref="L86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69" t="str">
        <f>IF(OR(ISNUMBER(SEARCH("imad", Table6[[#This Row],[instruction]])), ISNUMBER(SEARCH("ffma", Table6[[#This Row],[instruction]])), ISNUMBER(SEARCH("fmul", Table6[[#This Row],[instruction]]))), "fma", "")</f>
        <v/>
      </c>
      <c r="P86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6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69" t="str">
        <f>IF(OR(ISNUMBER(SEARCH("s2r", Table6[[#This Row],[instruction]])),ISNUMBER(SEARCH("s2ur", Table6[[#This Row],[instruction]]))), "special", "")</f>
        <v/>
      </c>
      <c r="S869" t="str">
        <f>IF(OR(ISNUMBER(SEARCH("stg", Table6[[#This Row],[instruction]])),ISNUMBER(SEARCH("ldg", Table6[[#This Row],[instruction]]))), "global", "")</f>
        <v/>
      </c>
      <c r="T869" t="str">
        <f>IF(OR(ISNUMBER(SEARCH("sts", Table6[[#This Row],[instruction]])),ISNUMBER(SEARCH("lds", Table6[[#This Row],[instruction]]))), "shared", "")</f>
        <v/>
      </c>
      <c r="U869" t="str">
        <f>IF(OR(ISNUMBER(SEARCH("LDC", Table6[[#This Row],[instruction]]))), "ind. const", "")</f>
        <v/>
      </c>
      <c r="V86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Row],[s5]]))),U869=""), "cmb. const", "")</f>
        <v>cmb. const</v>
      </c>
      <c r="W869" s="2" t="s">
        <v>481</v>
      </c>
      <c r="Y869">
        <f>IF(Table6[[#This Row],[pipeline]]="fma",Table6[[#This Row],[delay]],0)</f>
        <v>0</v>
      </c>
      <c r="Z869">
        <f>IF(AND(Table6[[#This Row],[pipeline]]="fma",W869="new"),290,0)</f>
        <v>0</v>
      </c>
      <c r="AK869" s="34"/>
    </row>
    <row r="870" spans="1:37" ht="17" x14ac:dyDescent="0.2">
      <c r="A870" s="31">
        <f>IF(Table6[[#This Row],[instruction]]&lt;&gt;"",MAX($A$6:A869)+1," ")</f>
        <v>865</v>
      </c>
      <c r="B870" s="32" t="s">
        <v>485</v>
      </c>
      <c r="C870" t="s">
        <v>26</v>
      </c>
      <c r="D870" s="31" t="s">
        <v>19</v>
      </c>
      <c r="E870" s="31" t="s">
        <v>531</v>
      </c>
      <c r="F870" s="31" t="s">
        <v>588</v>
      </c>
      <c r="G870" s="31" t="s">
        <v>468</v>
      </c>
      <c r="H870" s="31" t="s">
        <v>502</v>
      </c>
      <c r="K870" s="2" t="str">
        <f t="shared" si="13"/>
        <v>alu</v>
      </c>
      <c r="L870" cm="1">
        <f t="array" ref="L87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70" t="str">
        <f>IF(OR(ISNUMBER(SEARCH("imad", Table6[[#This Row],[instruction]])), ISNUMBER(SEARCH("ffma", Table6[[#This Row],[instruction]])), ISNUMBER(SEARCH("fmul", Table6[[#This Row],[instruction]]))), "fma", "")</f>
        <v/>
      </c>
      <c r="P87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0" t="str">
        <f>IF(OR(ISNUMBER(SEARCH("s2r", Table6[[#This Row],[instruction]])),ISNUMBER(SEARCH("s2ur", Table6[[#This Row],[instruction]]))), "special", "")</f>
        <v/>
      </c>
      <c r="S870" t="str">
        <f>IF(OR(ISNUMBER(SEARCH("stg", Table6[[#This Row],[instruction]])),ISNUMBER(SEARCH("ldg", Table6[[#This Row],[instruction]]))), "global", "")</f>
        <v/>
      </c>
      <c r="T870" t="str">
        <f>IF(OR(ISNUMBER(SEARCH("sts", Table6[[#This Row],[instruction]])),ISNUMBER(SEARCH("lds", Table6[[#This Row],[instruction]]))), "shared", "")</f>
        <v/>
      </c>
      <c r="U870" t="str">
        <f>IF(OR(ISNUMBER(SEARCH("LDC", Table6[[#This Row],[instruction]]))), "ind. const", "")</f>
        <v/>
      </c>
      <c r="V87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Row],[s5]]))),U870=""), "cmb. const", "")</f>
        <v>cmb. const</v>
      </c>
      <c r="W870" s="2" t="s">
        <v>481</v>
      </c>
      <c r="Y870">
        <f>IF(Table6[[#This Row],[pipeline]]="fma",Table6[[#This Row],[delay]],0)</f>
        <v>0</v>
      </c>
      <c r="Z870">
        <f>IF(AND(Table6[[#This Row],[pipeline]]="fma",W870="new"),290,0)</f>
        <v>0</v>
      </c>
      <c r="AK870" s="34"/>
    </row>
    <row r="871" spans="1:37" ht="17" x14ac:dyDescent="0.2">
      <c r="A871" s="31">
        <f>IF(Table6[[#This Row],[instruction]]&lt;&gt;"",MAX($A$6:A870)+1," ")</f>
        <v>866</v>
      </c>
      <c r="B871" s="32" t="s">
        <v>485</v>
      </c>
      <c r="C871" t="s">
        <v>438</v>
      </c>
      <c r="D871" s="31" t="s">
        <v>60</v>
      </c>
      <c r="E871" s="31" t="s">
        <v>82</v>
      </c>
      <c r="F871" s="31" t="s">
        <v>469</v>
      </c>
      <c r="G871" s="31" t="s">
        <v>8</v>
      </c>
      <c r="H871" s="31" t="s">
        <v>78</v>
      </c>
      <c r="I871" s="31" t="s">
        <v>506</v>
      </c>
      <c r="K871" s="2" t="str">
        <f t="shared" si="13"/>
        <v>alu</v>
      </c>
      <c r="L871" cm="1">
        <f t="array" ref="L87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71" t="str">
        <f>IF(OR(ISNUMBER(SEARCH("imad", Table6[[#This Row],[instruction]])), ISNUMBER(SEARCH("ffma", Table6[[#This Row],[instruction]])), ISNUMBER(SEARCH("fmul", Table6[[#This Row],[instruction]]))), "fma", "")</f>
        <v/>
      </c>
      <c r="P87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1" t="str">
        <f>IF(OR(ISNUMBER(SEARCH("s2r", Table6[[#This Row],[instruction]])),ISNUMBER(SEARCH("s2ur", Table6[[#This Row],[instruction]]))), "special", "")</f>
        <v/>
      </c>
      <c r="S871" t="str">
        <f>IF(OR(ISNUMBER(SEARCH("stg", Table6[[#This Row],[instruction]])),ISNUMBER(SEARCH("ldg", Table6[[#This Row],[instruction]]))), "global", "")</f>
        <v/>
      </c>
      <c r="T871" t="str">
        <f>IF(OR(ISNUMBER(SEARCH("sts", Table6[[#This Row],[instruction]])),ISNUMBER(SEARCH("lds", Table6[[#This Row],[instruction]]))), "shared", "")</f>
        <v/>
      </c>
      <c r="U871" t="str">
        <f>IF(OR(ISNUMBER(SEARCH("LDC", Table6[[#This Row],[instruction]]))), "ind. const", "")</f>
        <v/>
      </c>
      <c r="V87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Row],[s5]]))),U871=""), "cmb. const", "")</f>
        <v>cmb. const</v>
      </c>
      <c r="W871" s="2" t="s">
        <v>481</v>
      </c>
      <c r="Y871">
        <f>IF(Table6[[#This Row],[pipeline]]="fma",Table6[[#This Row],[delay]],0)</f>
        <v>0</v>
      </c>
      <c r="Z871">
        <f>IF(AND(Table6[[#This Row],[pipeline]]="fma",W871="new"),290,0)</f>
        <v>0</v>
      </c>
      <c r="AK871" s="34"/>
    </row>
    <row r="872" spans="1:37" ht="17" x14ac:dyDescent="0.2">
      <c r="A872" s="31">
        <f>IF(Table6[[#This Row],[instruction]]&lt;&gt;"",MAX($A$6:A871)+1," ")</f>
        <v>867</v>
      </c>
      <c r="B872" s="32" t="s">
        <v>485</v>
      </c>
      <c r="C872" t="s">
        <v>438</v>
      </c>
      <c r="D872" s="31" t="s">
        <v>27</v>
      </c>
      <c r="E872" s="31" t="s">
        <v>440</v>
      </c>
      <c r="F872" s="31" t="s">
        <v>469</v>
      </c>
      <c r="G872" s="31" t="s">
        <v>8</v>
      </c>
      <c r="H872" s="31" t="s">
        <v>74</v>
      </c>
      <c r="I872" s="31" t="s">
        <v>506</v>
      </c>
      <c r="K872" s="2" t="str">
        <f t="shared" si="13"/>
        <v>alu</v>
      </c>
      <c r="L872" cm="1">
        <f t="array" ref="L87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72" t="str">
        <f>IF(OR(ISNUMBER(SEARCH("imad", Table6[[#This Row],[instruction]])), ISNUMBER(SEARCH("ffma", Table6[[#This Row],[instruction]])), ISNUMBER(SEARCH("fmul", Table6[[#This Row],[instruction]]))), "fma", "")</f>
        <v/>
      </c>
      <c r="P87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2" t="str">
        <f>IF(OR(ISNUMBER(SEARCH("s2r", Table6[[#This Row],[instruction]])),ISNUMBER(SEARCH("s2ur", Table6[[#This Row],[instruction]]))), "special", "")</f>
        <v/>
      </c>
      <c r="S872" t="str">
        <f>IF(OR(ISNUMBER(SEARCH("stg", Table6[[#This Row],[instruction]])),ISNUMBER(SEARCH("ldg", Table6[[#This Row],[instruction]]))), "global", "")</f>
        <v/>
      </c>
      <c r="T872" t="str">
        <f>IF(OR(ISNUMBER(SEARCH("sts", Table6[[#This Row],[instruction]])),ISNUMBER(SEARCH("lds", Table6[[#This Row],[instruction]]))), "shared", "")</f>
        <v/>
      </c>
      <c r="U872" t="str">
        <f>IF(OR(ISNUMBER(SEARCH("LDC", Table6[[#This Row],[instruction]]))), "ind. const", "")</f>
        <v/>
      </c>
      <c r="V87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Row],[s5]]))),U872=""), "cmb. const", "")</f>
        <v>cmb. const</v>
      </c>
      <c r="W872" s="2" t="s">
        <v>481</v>
      </c>
      <c r="Y872">
        <f>IF(Table6[[#This Row],[pipeline]]="fma",Table6[[#This Row],[delay]],0)</f>
        <v>0</v>
      </c>
      <c r="Z872">
        <f>IF(AND(Table6[[#This Row],[pipeline]]="fma",W872="new"),290,0)</f>
        <v>0</v>
      </c>
      <c r="AK872" s="34"/>
    </row>
    <row r="873" spans="1:37" ht="17" x14ac:dyDescent="0.2">
      <c r="A873" s="31">
        <f>IF(Table6[[#This Row],[instruction]]&lt;&gt;"",MAX($A$6:A872)+1," ")</f>
        <v>868</v>
      </c>
      <c r="B873" s="32" t="s">
        <v>485</v>
      </c>
      <c r="C873" t="s">
        <v>438</v>
      </c>
      <c r="D873" s="31" t="s">
        <v>7</v>
      </c>
      <c r="E873" s="31" t="s">
        <v>439</v>
      </c>
      <c r="F873" s="31" t="s">
        <v>469</v>
      </c>
      <c r="G873" s="31" t="s">
        <v>8</v>
      </c>
      <c r="H873" s="31" t="s">
        <v>533</v>
      </c>
      <c r="I873" s="31" t="s">
        <v>506</v>
      </c>
      <c r="K873" s="2" t="str">
        <f t="shared" si="13"/>
        <v>alu</v>
      </c>
      <c r="L873" cm="1">
        <f t="array" ref="L87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73" t="str">
        <f>IF(OR(ISNUMBER(SEARCH("imad", Table6[[#This Row],[instruction]])), ISNUMBER(SEARCH("ffma", Table6[[#This Row],[instruction]])), ISNUMBER(SEARCH("fmul", Table6[[#This Row],[instruction]]))), "fma", "")</f>
        <v/>
      </c>
      <c r="P87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3" t="str">
        <f>IF(OR(ISNUMBER(SEARCH("s2r", Table6[[#This Row],[instruction]])),ISNUMBER(SEARCH("s2ur", Table6[[#This Row],[instruction]]))), "special", "")</f>
        <v/>
      </c>
      <c r="S873" t="str">
        <f>IF(OR(ISNUMBER(SEARCH("stg", Table6[[#This Row],[instruction]])),ISNUMBER(SEARCH("ldg", Table6[[#This Row],[instruction]]))), "global", "")</f>
        <v/>
      </c>
      <c r="T873" t="str">
        <f>IF(OR(ISNUMBER(SEARCH("sts", Table6[[#This Row],[instruction]])),ISNUMBER(SEARCH("lds", Table6[[#This Row],[instruction]]))), "shared", "")</f>
        <v/>
      </c>
      <c r="U873" t="str">
        <f>IF(OR(ISNUMBER(SEARCH("LDC", Table6[[#This Row],[instruction]]))), "ind. const", "")</f>
        <v/>
      </c>
      <c r="V87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Row],[s5]]))),U873=""), "cmb. const", "")</f>
        <v>cmb. const</v>
      </c>
      <c r="W873" s="2" t="s">
        <v>481</v>
      </c>
      <c r="Y873">
        <f>IF(Table6[[#This Row],[pipeline]]="fma",Table6[[#This Row],[delay]],0)</f>
        <v>0</v>
      </c>
      <c r="Z873">
        <f>IF(AND(Table6[[#This Row],[pipeline]]="fma",W873="new"),290,0)</f>
        <v>0</v>
      </c>
      <c r="AK873" s="34"/>
    </row>
    <row r="874" spans="1:37" ht="17" x14ac:dyDescent="0.2">
      <c r="A874" s="31">
        <f>IF(Table6[[#This Row],[instruction]]&lt;&gt;"",MAX($A$6:A873)+1," ")</f>
        <v>869</v>
      </c>
      <c r="B874" s="32" t="s">
        <v>485</v>
      </c>
      <c r="C874" t="s">
        <v>438</v>
      </c>
      <c r="D874" s="31" t="s">
        <v>23</v>
      </c>
      <c r="E874" s="31" t="s">
        <v>80</v>
      </c>
      <c r="F874" s="31" t="s">
        <v>469</v>
      </c>
      <c r="G874" s="31" t="s">
        <v>8</v>
      </c>
      <c r="H874" s="31" t="s">
        <v>531</v>
      </c>
      <c r="I874" s="31" t="s">
        <v>506</v>
      </c>
      <c r="K874" s="2" t="str">
        <f t="shared" si="13"/>
        <v>alu</v>
      </c>
      <c r="L874" cm="1">
        <f t="array" ref="L87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2</v>
      </c>
      <c r="O874" t="str">
        <f>IF(OR(ISNUMBER(SEARCH("imad", Table6[[#This Row],[instruction]])), ISNUMBER(SEARCH("ffma", Table6[[#This Row],[instruction]])), ISNUMBER(SEARCH("fmul", Table6[[#This Row],[instruction]]))), "fma", "")</f>
        <v/>
      </c>
      <c r="P87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4" t="str">
        <f>IF(OR(ISNUMBER(SEARCH("s2r", Table6[[#This Row],[instruction]])),ISNUMBER(SEARCH("s2ur", Table6[[#This Row],[instruction]]))), "special", "")</f>
        <v/>
      </c>
      <c r="S874" t="str">
        <f>IF(OR(ISNUMBER(SEARCH("stg", Table6[[#This Row],[instruction]])),ISNUMBER(SEARCH("ldg", Table6[[#This Row],[instruction]]))), "global", "")</f>
        <v/>
      </c>
      <c r="T874" t="str">
        <f>IF(OR(ISNUMBER(SEARCH("sts", Table6[[#This Row],[instruction]])),ISNUMBER(SEARCH("lds", Table6[[#This Row],[instruction]]))), "shared", "")</f>
        <v/>
      </c>
      <c r="U874" t="str">
        <f>IF(OR(ISNUMBER(SEARCH("LDC", Table6[[#This Row],[instruction]]))), "ind. const", "")</f>
        <v/>
      </c>
      <c r="V87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Row],[s5]]))),U874=""), "cmb. const", "")</f>
        <v>cmb. const</v>
      </c>
      <c r="W874" s="2" t="s">
        <v>481</v>
      </c>
      <c r="Y874">
        <f>IF(Table6[[#This Row],[pipeline]]="fma",Table6[[#This Row],[delay]],0)</f>
        <v>0</v>
      </c>
      <c r="Z874">
        <f>IF(AND(Table6[[#This Row],[pipeline]]="fma",W874="new"),290,0)</f>
        <v>0</v>
      </c>
      <c r="AK874" s="34"/>
    </row>
    <row r="875" spans="1:37" ht="17" x14ac:dyDescent="0.2">
      <c r="A875" s="31">
        <f>IF(Table6[[#This Row],[instruction]]&lt;&gt;"",MAX($A$6:A874)+1," ")</f>
        <v>870</v>
      </c>
      <c r="B875" s="32" t="s">
        <v>580</v>
      </c>
      <c r="C875" t="s">
        <v>359</v>
      </c>
      <c r="D875" s="31" t="s">
        <v>756</v>
      </c>
      <c r="K875" s="2" t="str">
        <f t="shared" si="13"/>
        <v>cba</v>
      </c>
      <c r="L875" cm="1">
        <f t="array" ref="L87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75" t="str">
        <f>IF(OR(ISNUMBER(SEARCH("imad", Table6[[#This Row],[instruction]])), ISNUMBER(SEARCH("ffma", Table6[[#This Row],[instruction]])), ISNUMBER(SEARCH("fmul", Table6[[#This Row],[instruction]]))), "fma", "")</f>
        <v/>
      </c>
      <c r="P87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7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75" t="str">
        <f>IF(OR(ISNUMBER(SEARCH("s2r", Table6[[#This Row],[instruction]])),ISNUMBER(SEARCH("s2ur", Table6[[#This Row],[instruction]]))), "special", "")</f>
        <v/>
      </c>
      <c r="S875" t="str">
        <f>IF(OR(ISNUMBER(SEARCH("stg", Table6[[#This Row],[instruction]])),ISNUMBER(SEARCH("ldg", Table6[[#This Row],[instruction]]))), "global", "")</f>
        <v/>
      </c>
      <c r="T875" t="str">
        <f>IF(OR(ISNUMBER(SEARCH("sts", Table6[[#This Row],[instruction]])),ISNUMBER(SEARCH("lds", Table6[[#This Row],[instruction]]))), "shared", "")</f>
        <v/>
      </c>
      <c r="U875" t="str">
        <f>IF(OR(ISNUMBER(SEARCH("LDC", Table6[[#This Row],[instruction]]))), "ind. const", "")</f>
        <v/>
      </c>
      <c r="V87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Row],[s5]]))),U875=""), "cmb. const", "")</f>
        <v/>
      </c>
      <c r="Y875">
        <f>IF(Table6[[#This Row],[pipeline]]="fma",Table6[[#This Row],[delay]],0)</f>
        <v>0</v>
      </c>
      <c r="Z875">
        <f>IF(AND(Table6[[#This Row],[pipeline]]="fma",W875="new"),290,0)</f>
        <v>0</v>
      </c>
      <c r="AK875" s="34"/>
    </row>
    <row r="876" spans="1:37" ht="17" x14ac:dyDescent="0.2">
      <c r="A876" s="31">
        <f>IF(Table6[[#This Row],[instruction]]&lt;&gt;"",MAX($A$6:A875)+1," ")</f>
        <v>871</v>
      </c>
      <c r="B876" s="32" t="s">
        <v>485</v>
      </c>
      <c r="C876" t="s">
        <v>740</v>
      </c>
      <c r="D876" s="31" t="s">
        <v>50</v>
      </c>
      <c r="E876" s="31" t="s">
        <v>51</v>
      </c>
      <c r="F876" s="31" t="s">
        <v>8</v>
      </c>
      <c r="G876" s="31" t="s">
        <v>741</v>
      </c>
      <c r="H876" s="31" t="s">
        <v>494</v>
      </c>
      <c r="K876" s="2" t="str">
        <f t="shared" si="13"/>
        <v>alu</v>
      </c>
      <c r="L876" cm="1">
        <f t="array" ref="L87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76" t="str">
        <f>IF(OR(ISNUMBER(SEARCH("imad", Table6[[#This Row],[instruction]])), ISNUMBER(SEARCH("ffma", Table6[[#This Row],[instruction]])), ISNUMBER(SEARCH("fmul", Table6[[#This Row],[instruction]]))), "fma", "")</f>
        <v/>
      </c>
      <c r="P87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6" t="str">
        <f>IF(OR(ISNUMBER(SEARCH("s2r", Table6[[#This Row],[instruction]])),ISNUMBER(SEARCH("s2ur", Table6[[#This Row],[instruction]]))), "special", "")</f>
        <v/>
      </c>
      <c r="S876" t="str">
        <f>IF(OR(ISNUMBER(SEARCH("stg", Table6[[#This Row],[instruction]])),ISNUMBER(SEARCH("ldg", Table6[[#This Row],[instruction]]))), "global", "")</f>
        <v/>
      </c>
      <c r="T876" t="str">
        <f>IF(OR(ISNUMBER(SEARCH("sts", Table6[[#This Row],[instruction]])),ISNUMBER(SEARCH("lds", Table6[[#This Row],[instruction]]))), "shared", "")</f>
        <v/>
      </c>
      <c r="U876" t="str">
        <f>IF(OR(ISNUMBER(SEARCH("LDC", Table6[[#This Row],[instruction]]))), "ind. const", "")</f>
        <v/>
      </c>
      <c r="V87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Row],[s5]]))),U876=""), "cmb. const", "")</f>
        <v>cmb. const</v>
      </c>
      <c r="Y876">
        <f>IF(Table6[[#This Row],[pipeline]]="fma",Table6[[#This Row],[delay]],0)</f>
        <v>0</v>
      </c>
      <c r="Z876">
        <f>IF(AND(Table6[[#This Row],[pipeline]]="fma",W876="new"),290,0)</f>
        <v>0</v>
      </c>
      <c r="AK876" s="34"/>
    </row>
    <row r="877" spans="1:37" ht="17" x14ac:dyDescent="0.2">
      <c r="A877" s="31">
        <f>IF(Table6[[#This Row],[instruction]]&lt;&gt;"",MAX($A$6:A876)+1," ")</f>
        <v>872</v>
      </c>
      <c r="B877" s="32" t="s">
        <v>86</v>
      </c>
      <c r="C877" t="s">
        <v>359</v>
      </c>
      <c r="D877" s="31" t="s">
        <v>757</v>
      </c>
      <c r="K877" s="2" t="str">
        <f t="shared" si="13"/>
        <v>cba</v>
      </c>
      <c r="L877" cm="1">
        <f t="array" ref="L87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77" t="str">
        <f>IF(OR(ISNUMBER(SEARCH("imad", Table6[[#This Row],[instruction]])), ISNUMBER(SEARCH("ffma", Table6[[#This Row],[instruction]])), ISNUMBER(SEARCH("fmul", Table6[[#This Row],[instruction]]))), "fma", "")</f>
        <v/>
      </c>
      <c r="P87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7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>cba</v>
      </c>
      <c r="R877" t="str">
        <f>IF(OR(ISNUMBER(SEARCH("s2r", Table6[[#This Row],[instruction]])),ISNUMBER(SEARCH("s2ur", Table6[[#This Row],[instruction]]))), "special", "")</f>
        <v/>
      </c>
      <c r="S877" t="str">
        <f>IF(OR(ISNUMBER(SEARCH("stg", Table6[[#This Row],[instruction]])),ISNUMBER(SEARCH("ldg", Table6[[#This Row],[instruction]]))), "global", "")</f>
        <v/>
      </c>
      <c r="T877" t="str">
        <f>IF(OR(ISNUMBER(SEARCH("sts", Table6[[#This Row],[instruction]])),ISNUMBER(SEARCH("lds", Table6[[#This Row],[instruction]]))), "shared", "")</f>
        <v/>
      </c>
      <c r="U877" t="str">
        <f>IF(OR(ISNUMBER(SEARCH("LDC", Table6[[#This Row],[instruction]]))), "ind. const", "")</f>
        <v/>
      </c>
      <c r="V87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Row],[s5]]))),U877=""), "cmb. const", "")</f>
        <v/>
      </c>
      <c r="Y877">
        <f>IF(Table6[[#This Row],[pipeline]]="fma",Table6[[#This Row],[delay]],0)</f>
        <v>0</v>
      </c>
      <c r="Z877">
        <f>IF(AND(Table6[[#This Row],[pipeline]]="fma",W877="new"),290,0)</f>
        <v>0</v>
      </c>
      <c r="AK877" s="34"/>
    </row>
    <row r="878" spans="1:37" ht="17" x14ac:dyDescent="0.2">
      <c r="A878" s="31">
        <f>IF(Table6[[#This Row],[instruction]]&lt;&gt;"",MAX($A$6:A877)+1," ")</f>
        <v>873</v>
      </c>
      <c r="B878" s="32" t="s">
        <v>485</v>
      </c>
      <c r="C878" t="s">
        <v>49</v>
      </c>
      <c r="D878" s="31" t="s">
        <v>50</v>
      </c>
      <c r="E878" s="31" t="s">
        <v>51</v>
      </c>
      <c r="F878" s="31" t="s">
        <v>46</v>
      </c>
      <c r="G878" s="31" t="s">
        <v>442</v>
      </c>
      <c r="H878" s="31" t="s">
        <v>494</v>
      </c>
      <c r="K878" s="2" t="str">
        <f t="shared" si="13"/>
        <v>alu</v>
      </c>
      <c r="L878" cm="1">
        <f t="array" ref="L87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78" t="str">
        <f>IF(OR(ISNUMBER(SEARCH("imad", Table6[[#This Row],[instruction]])), ISNUMBER(SEARCH("ffma", Table6[[#This Row],[instruction]])), ISNUMBER(SEARCH("fmul", Table6[[#This Row],[instruction]]))), "fma", "")</f>
        <v/>
      </c>
      <c r="P87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8" t="str">
        <f>IF(OR(ISNUMBER(SEARCH("s2r", Table6[[#This Row],[instruction]])),ISNUMBER(SEARCH("s2ur", Table6[[#This Row],[instruction]]))), "special", "")</f>
        <v/>
      </c>
      <c r="S878" t="str">
        <f>IF(OR(ISNUMBER(SEARCH("stg", Table6[[#This Row],[instruction]])),ISNUMBER(SEARCH("ldg", Table6[[#This Row],[instruction]]))), "global", "")</f>
        <v/>
      </c>
      <c r="T878" t="str">
        <f>IF(OR(ISNUMBER(SEARCH("sts", Table6[[#This Row],[instruction]])),ISNUMBER(SEARCH("lds", Table6[[#This Row],[instruction]]))), "shared", "")</f>
        <v/>
      </c>
      <c r="U878" t="str">
        <f>IF(OR(ISNUMBER(SEARCH("LDC", Table6[[#This Row],[instruction]]))), "ind. const", "")</f>
        <v/>
      </c>
      <c r="V87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Row],[s5]]))),U878=""), "cmb. const", "")</f>
        <v>cmb. const</v>
      </c>
      <c r="W878" s="2" t="s">
        <v>481</v>
      </c>
      <c r="Y878">
        <f>IF(Table6[[#This Row],[pipeline]]="fma",Table6[[#This Row],[delay]],0)</f>
        <v>0</v>
      </c>
      <c r="Z878">
        <f>IF(AND(Table6[[#This Row],[pipeline]]="fma",W878="new"),290,0)</f>
        <v>0</v>
      </c>
      <c r="AK878" s="34"/>
    </row>
    <row r="879" spans="1:37" ht="17" x14ac:dyDescent="0.2">
      <c r="A879" s="31">
        <f>IF(Table6[[#This Row],[instruction]]&lt;&gt;"",MAX($A$6:A878)+1," ")</f>
        <v>874</v>
      </c>
      <c r="B879" s="32" t="s">
        <v>485</v>
      </c>
      <c r="C879" t="s">
        <v>49</v>
      </c>
      <c r="D879" s="31" t="s">
        <v>78</v>
      </c>
      <c r="E879" s="31" t="s">
        <v>51</v>
      </c>
      <c r="F879" s="31" t="s">
        <v>71</v>
      </c>
      <c r="G879" s="31" t="s">
        <v>442</v>
      </c>
      <c r="H879" s="31" t="s">
        <v>494</v>
      </c>
      <c r="K879" s="2" t="str">
        <f t="shared" si="13"/>
        <v>alu</v>
      </c>
      <c r="L879" cm="1">
        <f t="array" ref="L87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79" t="str">
        <f>IF(OR(ISNUMBER(SEARCH("imad", Table6[[#This Row],[instruction]])), ISNUMBER(SEARCH("ffma", Table6[[#This Row],[instruction]])), ISNUMBER(SEARCH("fmul", Table6[[#This Row],[instruction]]))), "fma", "")</f>
        <v/>
      </c>
      <c r="P87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7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79" t="str">
        <f>IF(OR(ISNUMBER(SEARCH("s2r", Table6[[#This Row],[instruction]])),ISNUMBER(SEARCH("s2ur", Table6[[#This Row],[instruction]]))), "special", "")</f>
        <v/>
      </c>
      <c r="S879" t="str">
        <f>IF(OR(ISNUMBER(SEARCH("stg", Table6[[#This Row],[instruction]])),ISNUMBER(SEARCH("ldg", Table6[[#This Row],[instruction]]))), "global", "")</f>
        <v/>
      </c>
      <c r="T879" t="str">
        <f>IF(OR(ISNUMBER(SEARCH("sts", Table6[[#This Row],[instruction]])),ISNUMBER(SEARCH("lds", Table6[[#This Row],[instruction]]))), "shared", "")</f>
        <v/>
      </c>
      <c r="U879" t="str">
        <f>IF(OR(ISNUMBER(SEARCH("LDC", Table6[[#This Row],[instruction]]))), "ind. const", "")</f>
        <v/>
      </c>
      <c r="V87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Row],[s5]]))),U879=""), "cmb. const", "")</f>
        <v>cmb. const</v>
      </c>
      <c r="W879" s="2" t="s">
        <v>481</v>
      </c>
      <c r="Y879">
        <f>IF(Table6[[#This Row],[pipeline]]="fma",Table6[[#This Row],[delay]],0)</f>
        <v>0</v>
      </c>
      <c r="Z879">
        <f>IF(AND(Table6[[#This Row],[pipeline]]="fma",W879="new"),290,0)</f>
        <v>0</v>
      </c>
      <c r="AK879" s="34"/>
    </row>
    <row r="880" spans="1:37" ht="17" x14ac:dyDescent="0.2">
      <c r="A880" s="31">
        <f>IF(Table6[[#This Row],[instruction]]&lt;&gt;"",MAX($A$6:A879)+1," ")</f>
        <v>875</v>
      </c>
      <c r="B880" s="32" t="s">
        <v>485</v>
      </c>
      <c r="C880" t="s">
        <v>49</v>
      </c>
      <c r="D880" s="31" t="s">
        <v>74</v>
      </c>
      <c r="E880" s="31" t="s">
        <v>51</v>
      </c>
      <c r="F880" s="31" t="s">
        <v>577</v>
      </c>
      <c r="G880" s="31" t="s">
        <v>442</v>
      </c>
      <c r="H880" s="31" t="s">
        <v>494</v>
      </c>
      <c r="K880" s="2" t="str">
        <f t="shared" si="13"/>
        <v>alu</v>
      </c>
      <c r="L880" cm="1">
        <f t="array" ref="L88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0" t="str">
        <f>IF(OR(ISNUMBER(SEARCH("imad", Table6[[#This Row],[instruction]])), ISNUMBER(SEARCH("ffma", Table6[[#This Row],[instruction]])), ISNUMBER(SEARCH("fmul", Table6[[#This Row],[instruction]]))), "fma", "")</f>
        <v/>
      </c>
      <c r="P88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8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0" t="str">
        <f>IF(OR(ISNUMBER(SEARCH("s2r", Table6[[#This Row],[instruction]])),ISNUMBER(SEARCH("s2ur", Table6[[#This Row],[instruction]]))), "special", "")</f>
        <v/>
      </c>
      <c r="S880" t="str">
        <f>IF(OR(ISNUMBER(SEARCH("stg", Table6[[#This Row],[instruction]])),ISNUMBER(SEARCH("ldg", Table6[[#This Row],[instruction]]))), "global", "")</f>
        <v/>
      </c>
      <c r="T880" t="str">
        <f>IF(OR(ISNUMBER(SEARCH("sts", Table6[[#This Row],[instruction]])),ISNUMBER(SEARCH("lds", Table6[[#This Row],[instruction]]))), "shared", "")</f>
        <v/>
      </c>
      <c r="U880" t="str">
        <f>IF(OR(ISNUMBER(SEARCH("LDC", Table6[[#This Row],[instruction]]))), "ind. const", "")</f>
        <v/>
      </c>
      <c r="V88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Row],[s5]]))),U880=""), "cmb. const", "")</f>
        <v>cmb. const</v>
      </c>
      <c r="W880" s="2" t="s">
        <v>481</v>
      </c>
      <c r="Y880">
        <f>IF(Table6[[#This Row],[pipeline]]="fma",Table6[[#This Row],[delay]],0)</f>
        <v>0</v>
      </c>
      <c r="Z880">
        <f>IF(AND(Table6[[#This Row],[pipeline]]="fma",W880="new"),290,0)</f>
        <v>0</v>
      </c>
      <c r="AK880" s="34"/>
    </row>
    <row r="881" spans="1:37" ht="17" x14ac:dyDescent="0.2">
      <c r="A881" s="31">
        <f>IF(Table6[[#This Row],[instruction]]&lt;&gt;"",MAX($A$6:A880)+1," ")</f>
        <v>876</v>
      </c>
      <c r="B881" s="32" t="s">
        <v>580</v>
      </c>
      <c r="C881" t="s">
        <v>59</v>
      </c>
      <c r="D881" s="31" t="s">
        <v>709</v>
      </c>
      <c r="E881" s="31" t="s">
        <v>709</v>
      </c>
      <c r="F881" s="31" t="s">
        <v>743</v>
      </c>
      <c r="K881" s="2" t="str">
        <f t="shared" si="13"/>
        <v>fma</v>
      </c>
      <c r="L881" cm="1">
        <f t="array" ref="L881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1" t="str">
        <f>IF(OR(ISNUMBER(SEARCH("imad", Table6[[#This Row],[instruction]])), ISNUMBER(SEARCH("ffma", Table6[[#This Row],[instruction]])), ISNUMBER(SEARCH("fmul", Table6[[#This Row],[instruction]]))), "fma", "")</f>
        <v>fma</v>
      </c>
      <c r="P88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1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1" t="str">
        <f>IF(OR(ISNUMBER(SEARCH("s2r", Table6[[#This Row],[instruction]])),ISNUMBER(SEARCH("s2ur", Table6[[#This Row],[instruction]]))), "special", "")</f>
        <v/>
      </c>
      <c r="S881" t="str">
        <f>IF(OR(ISNUMBER(SEARCH("stg", Table6[[#This Row],[instruction]])),ISNUMBER(SEARCH("ldg", Table6[[#This Row],[instruction]]))), "global", "")</f>
        <v/>
      </c>
      <c r="T881" t="str">
        <f>IF(OR(ISNUMBER(SEARCH("sts", Table6[[#This Row],[instruction]])),ISNUMBER(SEARCH("lds", Table6[[#This Row],[instruction]]))), "shared", "")</f>
        <v/>
      </c>
      <c r="U881" t="str">
        <f>IF(OR(ISNUMBER(SEARCH("LDC", Table6[[#This Row],[instruction]]))), "ind. const", "")</f>
        <v/>
      </c>
      <c r="V88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Row],[s5]]))),U881=""), "cmb. const", "")</f>
        <v>cmb. const</v>
      </c>
      <c r="Y881">
        <f>IF(Table6[[#This Row],[pipeline]]="fma",Table6[[#This Row],[delay]],0)</f>
        <v>4</v>
      </c>
      <c r="Z881">
        <f>IF(AND(Table6[[#This Row],[pipeline]]="fma",W881="new"),290,0)</f>
        <v>0</v>
      </c>
      <c r="AK881" s="34"/>
    </row>
    <row r="882" spans="1:37" ht="17" x14ac:dyDescent="0.2">
      <c r="A882" s="31">
        <f>IF(Table6[[#This Row],[instruction]]&lt;&gt;"",MAX($A$6:A881)+1," ")</f>
        <v>877</v>
      </c>
      <c r="B882" s="32" t="s">
        <v>644</v>
      </c>
      <c r="C882" t="s">
        <v>59</v>
      </c>
      <c r="D882" s="31" t="s">
        <v>12</v>
      </c>
      <c r="E882" s="31" t="s">
        <v>597</v>
      </c>
      <c r="F882" s="31" t="s">
        <v>743</v>
      </c>
      <c r="K882" s="2" t="str">
        <f t="shared" si="13"/>
        <v>fma</v>
      </c>
      <c r="L882" cm="1">
        <f t="array" ref="L882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2" t="str">
        <f>IF(OR(ISNUMBER(SEARCH("imad", Table6[[#This Row],[instruction]])), ISNUMBER(SEARCH("ffma", Table6[[#This Row],[instruction]])), ISNUMBER(SEARCH("fmul", Table6[[#This Row],[instruction]]))), "fma", "")</f>
        <v>fma</v>
      </c>
      <c r="P882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2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2" t="str">
        <f>IF(OR(ISNUMBER(SEARCH("s2r", Table6[[#This Row],[instruction]])),ISNUMBER(SEARCH("s2ur", Table6[[#This Row],[instruction]]))), "special", "")</f>
        <v/>
      </c>
      <c r="S882" t="str">
        <f>IF(OR(ISNUMBER(SEARCH("stg", Table6[[#This Row],[instruction]])),ISNUMBER(SEARCH("ldg", Table6[[#This Row],[instruction]]))), "global", "")</f>
        <v/>
      </c>
      <c r="T882" t="str">
        <f>IF(OR(ISNUMBER(SEARCH("sts", Table6[[#This Row],[instruction]])),ISNUMBER(SEARCH("lds", Table6[[#This Row],[instruction]]))), "shared", "")</f>
        <v/>
      </c>
      <c r="U882" t="str">
        <f>IF(OR(ISNUMBER(SEARCH("LDC", Table6[[#This Row],[instruction]]))), "ind. const", "")</f>
        <v/>
      </c>
      <c r="V882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Row],[s5]]))),U882=""), "cmb. const", "")</f>
        <v>cmb. const</v>
      </c>
      <c r="Y882">
        <f>IF(Table6[[#This Row],[pipeline]]="fma",Table6[[#This Row],[delay]],0)</f>
        <v>4</v>
      </c>
      <c r="Z882">
        <f>IF(AND(Table6[[#This Row],[pipeline]]="fma",W882="new"),290,0)</f>
        <v>0</v>
      </c>
      <c r="AK882" s="34"/>
    </row>
    <row r="883" spans="1:37" ht="17" x14ac:dyDescent="0.2">
      <c r="A883" s="31">
        <f>IF(Table6[[#This Row],[instruction]]&lt;&gt;"",MAX($A$6:A882)+1," ")</f>
        <v>878</v>
      </c>
      <c r="B883" s="32" t="s">
        <v>582</v>
      </c>
      <c r="C883" t="s">
        <v>59</v>
      </c>
      <c r="D883" s="31" t="s">
        <v>604</v>
      </c>
      <c r="E883" s="31" t="s">
        <v>604</v>
      </c>
      <c r="F883" s="31" t="s">
        <v>743</v>
      </c>
      <c r="K883" s="2" t="str">
        <f t="shared" si="13"/>
        <v>fma</v>
      </c>
      <c r="L883" cm="1">
        <f t="array" ref="L883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3" t="str">
        <f>IF(OR(ISNUMBER(SEARCH("imad", Table6[[#This Row],[instruction]])), ISNUMBER(SEARCH("ffma", Table6[[#This Row],[instruction]])), ISNUMBER(SEARCH("fmul", Table6[[#This Row],[instruction]]))), "fma", "")</f>
        <v>fma</v>
      </c>
      <c r="P883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3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3" t="str">
        <f>IF(OR(ISNUMBER(SEARCH("s2r", Table6[[#This Row],[instruction]])),ISNUMBER(SEARCH("s2ur", Table6[[#This Row],[instruction]]))), "special", "")</f>
        <v/>
      </c>
      <c r="S883" t="str">
        <f>IF(OR(ISNUMBER(SEARCH("stg", Table6[[#This Row],[instruction]])),ISNUMBER(SEARCH("ldg", Table6[[#This Row],[instruction]]))), "global", "")</f>
        <v/>
      </c>
      <c r="T883" t="str">
        <f>IF(OR(ISNUMBER(SEARCH("sts", Table6[[#This Row],[instruction]])),ISNUMBER(SEARCH("lds", Table6[[#This Row],[instruction]]))), "shared", "")</f>
        <v/>
      </c>
      <c r="U883" t="str">
        <f>IF(OR(ISNUMBER(SEARCH("LDC", Table6[[#This Row],[instruction]]))), "ind. const", "")</f>
        <v/>
      </c>
      <c r="V883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Row],[s5]]))),U883=""), "cmb. const", "")</f>
        <v>cmb. const</v>
      </c>
      <c r="Y883">
        <f>IF(Table6[[#This Row],[pipeline]]="fma",Table6[[#This Row],[delay]],0)</f>
        <v>4</v>
      </c>
      <c r="Z883">
        <f>IF(AND(Table6[[#This Row],[pipeline]]="fma",W883="new"),290,0)</f>
        <v>0</v>
      </c>
      <c r="AK883" s="34"/>
    </row>
    <row r="884" spans="1:37" ht="17" x14ac:dyDescent="0.2">
      <c r="A884" s="31">
        <f>IF(Table6[[#This Row],[instruction]]&lt;&gt;"",MAX($A$6:A883)+1," ")</f>
        <v>879</v>
      </c>
      <c r="B884" s="32" t="s">
        <v>580</v>
      </c>
      <c r="C884" t="s">
        <v>28</v>
      </c>
      <c r="D884" s="31" t="s">
        <v>446</v>
      </c>
      <c r="E884" s="31" t="s">
        <v>676</v>
      </c>
      <c r="K884" s="2" t="str">
        <f t="shared" si="13"/>
        <v>global</v>
      </c>
      <c r="L884" cm="1">
        <f t="array" ref="L884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84" t="str">
        <f>IF(OR(ISNUMBER(SEARCH("imad", Table6[[#This Row],[instruction]])), ISNUMBER(SEARCH("ffma", Table6[[#This Row],[instruction]])), ISNUMBER(SEARCH("fmul", Table6[[#This Row],[instruction]]))), "fma", "")</f>
        <v/>
      </c>
      <c r="P884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4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4" t="str">
        <f>IF(OR(ISNUMBER(SEARCH("s2r", Table6[[#This Row],[instruction]])),ISNUMBER(SEARCH("s2ur", Table6[[#This Row],[instruction]]))), "special", "")</f>
        <v/>
      </c>
      <c r="S884" t="str">
        <f>IF(OR(ISNUMBER(SEARCH("stg", Table6[[#This Row],[instruction]])),ISNUMBER(SEARCH("ldg", Table6[[#This Row],[instruction]]))), "global", "")</f>
        <v>global</v>
      </c>
      <c r="T884" t="str">
        <f>IF(OR(ISNUMBER(SEARCH("sts", Table6[[#This Row],[instruction]])),ISNUMBER(SEARCH("lds", Table6[[#This Row],[instruction]]))), "shared", "")</f>
        <v/>
      </c>
      <c r="U884" t="str">
        <f>IF(OR(ISNUMBER(SEARCH("LDC", Table6[[#This Row],[instruction]]))), "ind. const", "")</f>
        <v/>
      </c>
      <c r="V884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Row],[s5]]))),U884=""), "cmb. const", "")</f>
        <v/>
      </c>
      <c r="Y884">
        <f>IF(Table6[[#This Row],[pipeline]]="fma",Table6[[#This Row],[delay]],0)</f>
        <v>0</v>
      </c>
      <c r="Z884">
        <f>IF(AND(Table6[[#This Row],[pipeline]]="fma",W884="new"),290,0)</f>
        <v>0</v>
      </c>
      <c r="AK884" s="34"/>
    </row>
    <row r="885" spans="1:37" ht="17" x14ac:dyDescent="0.2">
      <c r="A885" s="31">
        <f>IF(Table6[[#This Row],[instruction]]&lt;&gt;"",MAX($A$6:A884)+1," ")</f>
        <v>880</v>
      </c>
      <c r="B885" s="32" t="s">
        <v>485</v>
      </c>
      <c r="C885" t="s">
        <v>49</v>
      </c>
      <c r="D885" s="31" t="s">
        <v>50</v>
      </c>
      <c r="E885" s="31" t="s">
        <v>51</v>
      </c>
      <c r="F885" s="31" t="s">
        <v>614</v>
      </c>
      <c r="G885" s="31" t="s">
        <v>442</v>
      </c>
      <c r="H885" s="31" t="s">
        <v>494</v>
      </c>
      <c r="K885" s="2" t="str">
        <f t="shared" si="13"/>
        <v>alu</v>
      </c>
      <c r="L885" cm="1">
        <f t="array" ref="L885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5" t="str">
        <f>IF(OR(ISNUMBER(SEARCH("imad", Table6[[#This Row],[instruction]])), ISNUMBER(SEARCH("ffma", Table6[[#This Row],[instruction]])), ISNUMBER(SEARCH("fmul", Table6[[#This Row],[instruction]]))), "fma", "")</f>
        <v/>
      </c>
      <c r="P885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>alu</v>
      </c>
      <c r="Q885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5" t="str">
        <f>IF(OR(ISNUMBER(SEARCH("s2r", Table6[[#This Row],[instruction]])),ISNUMBER(SEARCH("s2ur", Table6[[#This Row],[instruction]]))), "special", "")</f>
        <v/>
      </c>
      <c r="S885" t="str">
        <f>IF(OR(ISNUMBER(SEARCH("stg", Table6[[#This Row],[instruction]])),ISNUMBER(SEARCH("ldg", Table6[[#This Row],[instruction]]))), "global", "")</f>
        <v/>
      </c>
      <c r="T885" t="str">
        <f>IF(OR(ISNUMBER(SEARCH("sts", Table6[[#This Row],[instruction]])),ISNUMBER(SEARCH("lds", Table6[[#This Row],[instruction]]))), "shared", "")</f>
        <v/>
      </c>
      <c r="U885" t="str">
        <f>IF(OR(ISNUMBER(SEARCH("LDC", Table6[[#This Row],[instruction]]))), "ind. const", "")</f>
        <v/>
      </c>
      <c r="V885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Row],[s5]]))),U885=""), "cmb. const", "")</f>
        <v>cmb. const</v>
      </c>
      <c r="W885" s="2" t="s">
        <v>481</v>
      </c>
      <c r="Y885">
        <f>IF(Table6[[#This Row],[pipeline]]="fma",Table6[[#This Row],[delay]],0)</f>
        <v>0</v>
      </c>
      <c r="Z885">
        <f>IF(AND(Table6[[#This Row],[pipeline]]="fma",W885="new"),290,0)</f>
        <v>0</v>
      </c>
      <c r="AK885" s="34"/>
    </row>
    <row r="886" spans="1:37" ht="17" x14ac:dyDescent="0.2">
      <c r="A886" s="31">
        <f>IF(Table6[[#This Row],[instruction]]&lt;&gt;"",MAX($A$6:A885)+1," ")</f>
        <v>881</v>
      </c>
      <c r="B886" s="32" t="s">
        <v>644</v>
      </c>
      <c r="C886" t="s">
        <v>28</v>
      </c>
      <c r="D886" s="31" t="s">
        <v>745</v>
      </c>
      <c r="E886" s="31" t="s">
        <v>501</v>
      </c>
      <c r="K886" s="2" t="str">
        <f t="shared" si="13"/>
        <v>global</v>
      </c>
      <c r="L886" cm="1">
        <f t="array" ref="L886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86" t="str">
        <f>IF(OR(ISNUMBER(SEARCH("imad", Table6[[#This Row],[instruction]])), ISNUMBER(SEARCH("ffma", Table6[[#This Row],[instruction]])), ISNUMBER(SEARCH("fmul", Table6[[#This Row],[instruction]]))), "fma", "")</f>
        <v/>
      </c>
      <c r="P886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6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6" t="str">
        <f>IF(OR(ISNUMBER(SEARCH("s2r", Table6[[#This Row],[instruction]])),ISNUMBER(SEARCH("s2ur", Table6[[#This Row],[instruction]]))), "special", "")</f>
        <v/>
      </c>
      <c r="S886" t="str">
        <f>IF(OR(ISNUMBER(SEARCH("stg", Table6[[#This Row],[instruction]])),ISNUMBER(SEARCH("ldg", Table6[[#This Row],[instruction]]))), "global", "")</f>
        <v>global</v>
      </c>
      <c r="T886" t="str">
        <f>IF(OR(ISNUMBER(SEARCH("sts", Table6[[#This Row],[instruction]])),ISNUMBER(SEARCH("lds", Table6[[#This Row],[instruction]]))), "shared", "")</f>
        <v/>
      </c>
      <c r="U886" t="str">
        <f>IF(OR(ISNUMBER(SEARCH("LDC", Table6[[#This Row],[instruction]]))), "ind. const", "")</f>
        <v/>
      </c>
      <c r="V886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Row],[s5]]))),U886=""), "cmb. const", "")</f>
        <v/>
      </c>
      <c r="Y886">
        <f>IF(Table6[[#This Row],[pipeline]]="fma",Table6[[#This Row],[delay]],0)</f>
        <v>0</v>
      </c>
      <c r="Z886">
        <f>IF(AND(Table6[[#This Row],[pipeline]]="fma",W886="new"),290,0)</f>
        <v>0</v>
      </c>
      <c r="AK886" s="34"/>
    </row>
    <row r="887" spans="1:37" ht="17" x14ac:dyDescent="0.2">
      <c r="A887" s="31">
        <f>IF(Table6[[#This Row],[instruction]]&lt;&gt;"",MAX($A$6:A886)+1," ")</f>
        <v>882</v>
      </c>
      <c r="B887" s="32" t="s">
        <v>582</v>
      </c>
      <c r="C887" t="s">
        <v>28</v>
      </c>
      <c r="D887" s="31" t="s">
        <v>29</v>
      </c>
      <c r="E887" s="31" t="s">
        <v>687</v>
      </c>
      <c r="K887" s="2" t="str">
        <f t="shared" si="13"/>
        <v>global</v>
      </c>
      <c r="L887" cm="1">
        <f t="array" ref="L887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87" t="str">
        <f>IF(OR(ISNUMBER(SEARCH("imad", Table6[[#This Row],[instruction]])), ISNUMBER(SEARCH("ffma", Table6[[#This Row],[instruction]])), ISNUMBER(SEARCH("fmul", Table6[[#This Row],[instruction]]))), "fma", "")</f>
        <v/>
      </c>
      <c r="P887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7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7" t="str">
        <f>IF(OR(ISNUMBER(SEARCH("s2r", Table6[[#This Row],[instruction]])),ISNUMBER(SEARCH("s2ur", Table6[[#This Row],[instruction]]))), "special", "")</f>
        <v/>
      </c>
      <c r="S887" t="str">
        <f>IF(OR(ISNUMBER(SEARCH("stg", Table6[[#This Row],[instruction]])),ISNUMBER(SEARCH("ldg", Table6[[#This Row],[instruction]]))), "global", "")</f>
        <v>global</v>
      </c>
      <c r="T887" t="str">
        <f>IF(OR(ISNUMBER(SEARCH("sts", Table6[[#This Row],[instruction]])),ISNUMBER(SEARCH("lds", Table6[[#This Row],[instruction]]))), "shared", "")</f>
        <v/>
      </c>
      <c r="U887" t="str">
        <f>IF(OR(ISNUMBER(SEARCH("LDC", Table6[[#This Row],[instruction]]))), "ind. const", "")</f>
        <v/>
      </c>
      <c r="V887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Row],[s5]]))),U887=""), "cmb. const", "")</f>
        <v/>
      </c>
      <c r="Y887">
        <f>IF(Table6[[#This Row],[pipeline]]="fma",Table6[[#This Row],[delay]],0)</f>
        <v>0</v>
      </c>
      <c r="Z887">
        <f>IF(AND(Table6[[#This Row],[pipeline]]="fma",W887="new"),290,0)</f>
        <v>0</v>
      </c>
      <c r="AK887" s="34"/>
    </row>
    <row r="888" spans="1:37" ht="17" x14ac:dyDescent="0.2">
      <c r="A888" s="31">
        <f>IF(Table6[[#This Row],[instruction]]&lt;&gt;"",MAX($A$6:A887)+1," ")</f>
        <v>883</v>
      </c>
      <c r="B888" s="32" t="s">
        <v>86</v>
      </c>
      <c r="C888" t="s">
        <v>755</v>
      </c>
      <c r="K888" s="2" t="str">
        <f t="shared" si="13"/>
        <v/>
      </c>
      <c r="L888" cm="1">
        <f t="array" ref="L888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M888" t="s">
        <v>770</v>
      </c>
      <c r="O888" t="str">
        <f>IF(OR(ISNUMBER(SEARCH("imad", Table6[[#This Row],[instruction]])), ISNUMBER(SEARCH("ffma", Table6[[#This Row],[instruction]])), ISNUMBER(SEARCH("fmul", Table6[[#This Row],[instruction]]))), "fma", "")</f>
        <v/>
      </c>
      <c r="P888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8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8" t="str">
        <f>IF(OR(ISNUMBER(SEARCH("s2r", Table6[[#This Row],[instruction]])),ISNUMBER(SEARCH("s2ur", Table6[[#This Row],[instruction]]))), "special", "")</f>
        <v/>
      </c>
      <c r="S888" t="str">
        <f>IF(OR(ISNUMBER(SEARCH("stg", Table6[[#This Row],[instruction]])),ISNUMBER(SEARCH("ldg", Table6[[#This Row],[instruction]]))), "global", "")</f>
        <v/>
      </c>
      <c r="T888" t="str">
        <f>IF(OR(ISNUMBER(SEARCH("sts", Table6[[#This Row],[instruction]])),ISNUMBER(SEARCH("lds", Table6[[#This Row],[instruction]]))), "shared", "")</f>
        <v/>
      </c>
      <c r="U888" t="str">
        <f>IF(OR(ISNUMBER(SEARCH("LDC", Table6[[#This Row],[instruction]]))), "ind. const", "")</f>
        <v/>
      </c>
      <c r="V888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Row],[s5]]))),U888=""), "cmb. const", "")</f>
        <v/>
      </c>
      <c r="Y888">
        <f>IF(Table6[[#This Row],[pipeline]]="fma",Table6[[#This Row],[delay]],0)</f>
        <v>0</v>
      </c>
      <c r="Z888">
        <f>IF(AND(Table6[[#This Row],[pipeline]]="fma",W888="new"),290,0)</f>
        <v>0</v>
      </c>
      <c r="AK888" s="34"/>
    </row>
    <row r="889" spans="1:37" ht="17" x14ac:dyDescent="0.2">
      <c r="A889" s="31">
        <f>IF(Table6[[#This Row],[instruction]]&lt;&gt;"",MAX($A$6:A888)+1," ")</f>
        <v>884</v>
      </c>
      <c r="B889" s="32" t="s">
        <v>485</v>
      </c>
      <c r="C889" t="s">
        <v>59</v>
      </c>
      <c r="D889" s="31" t="s">
        <v>12</v>
      </c>
      <c r="E889" s="31" t="s">
        <v>598</v>
      </c>
      <c r="F889" s="31" t="s">
        <v>743</v>
      </c>
      <c r="K889" s="2" t="str">
        <f t="shared" si="13"/>
        <v>fma</v>
      </c>
      <c r="L889" cm="1">
        <f t="array" ref="L889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4</v>
      </c>
      <c r="O889" t="str">
        <f>IF(OR(ISNUMBER(SEARCH("imad", Table6[[#This Row],[instruction]])), ISNUMBER(SEARCH("ffma", Table6[[#This Row],[instruction]])), ISNUMBER(SEARCH("fmul", Table6[[#This Row],[instruction]]))), "fma", "")</f>
        <v>fma</v>
      </c>
      <c r="P889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89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89" t="str">
        <f>IF(OR(ISNUMBER(SEARCH("s2r", Table6[[#This Row],[instruction]])),ISNUMBER(SEARCH("s2ur", Table6[[#This Row],[instruction]]))), "special", "")</f>
        <v/>
      </c>
      <c r="S889" t="str">
        <f>IF(OR(ISNUMBER(SEARCH("stg", Table6[[#This Row],[instruction]])),ISNUMBER(SEARCH("ldg", Table6[[#This Row],[instruction]]))), "global", "")</f>
        <v/>
      </c>
      <c r="T889" t="str">
        <f>IF(OR(ISNUMBER(SEARCH("sts", Table6[[#This Row],[instruction]])),ISNUMBER(SEARCH("lds", Table6[[#This Row],[instruction]]))), "shared", "")</f>
        <v/>
      </c>
      <c r="U889" t="str">
        <f>IF(OR(ISNUMBER(SEARCH("LDC", Table6[[#This Row],[instruction]]))), "ind. const", "")</f>
        <v/>
      </c>
      <c r="V889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Row],[s5]]))),U889=""), "cmb. const", "")</f>
        <v>cmb. const</v>
      </c>
      <c r="Y889">
        <f>IF(Table6[[#This Row],[pipeline]]="fma",Table6[[#This Row],[delay]],0)</f>
        <v>4</v>
      </c>
      <c r="Z889">
        <f>IF(AND(Table6[[#This Row],[pipeline]]="fma",W889="new"),290,0)</f>
        <v>0</v>
      </c>
      <c r="AK889" s="34"/>
    </row>
    <row r="890" spans="1:37" ht="17" x14ac:dyDescent="0.2">
      <c r="A890" s="31">
        <f>IF(Table6[[#This Row],[instruction]]&lt;&gt;"",MAX($A$6:A889)+1," ")</f>
        <v>885</v>
      </c>
      <c r="B890" s="32" t="s">
        <v>485</v>
      </c>
      <c r="C890" t="s">
        <v>28</v>
      </c>
      <c r="D890" s="31" t="s">
        <v>24</v>
      </c>
      <c r="E890" s="31" t="s">
        <v>501</v>
      </c>
      <c r="K890" s="2" t="str">
        <f t="shared" si="13"/>
        <v>global</v>
      </c>
      <c r="L890" cm="1">
        <f t="array" ref="L890">_xlfn.IFS(
    ISNUMBER(SEARCH("s2r", Table6[[#This Row],[instruction]])), 10,
    ISNUMBER(SEARCH("imad", Table6[[#This Row],[instruction]])), 4,
    ISNUMBER(SEARCH("iadd3", Table6[[#This Row],[instruction]])), 2,
    ISNUMBER(SEARCH("lea", Table6[[#This Row],[instruction]])), 6,
    ISNUMBER(SEARCH("ffma", Table6[[#This Row],[instruction]])), 4,
    ISNUMBER(SEARCH("isetp", Table6[[#This Row],[instruction]])), 4,
    ISNUMBER(SEARCH("sts", Table6[[#This Row],[instruction]])), 19,
    ISNUMBER(SEARCH("lds", Table6[[#This Row],[instruction]])), 23,
    ISNUMBER(SEARCH("fmul", Table6[[#This Row],[instruction]])), 4,
    ISNUMBER(SEARCH("shf", Table6[[#This Row],[instruction]])), 4,ISNUMBER(SEARCH("fsetpf", Table6[[#This Row],[instruction]])),"?",
    TRUE, 0
)</f>
        <v>0</v>
      </c>
      <c r="O890" t="str">
        <f>IF(OR(ISNUMBER(SEARCH("imad", Table6[[#This Row],[instruction]])), ISNUMBER(SEARCH("ffma", Table6[[#This Row],[instruction]])), ISNUMBER(SEARCH("fmul", Table6[[#This Row],[instruction]]))), "fma", "")</f>
        <v/>
      </c>
      <c r="P890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Q890" t="str">
        <f>IF(OR(ISNUMBER(SEARCH("bar", Table6[[#This Row],[instruction]])),ISNUMBER(SEARCH("bssy", Table6[[#This Row],[instruction]])),ISNUMBER(SEARCH("bra", Table6[[#This Row],[instruction]])),ISNUMBER(SEARCH("bsync", Table6[[#This Row],[instruction]]))), "cba", "")</f>
        <v/>
      </c>
      <c r="R890" t="str">
        <f>IF(OR(ISNUMBER(SEARCH("s2r", Table6[[#This Row],[instruction]])),ISNUMBER(SEARCH("s2ur", Table6[[#This Row],[instruction]]))), "special", "")</f>
        <v/>
      </c>
      <c r="S890" t="str">
        <f>IF(OR(ISNUMBER(SEARCH("stg", Table6[[#This Row],[instruction]])),ISNUMBER(SEARCH("ldg", Table6[[#This Row],[instruction]]))), "global", "")</f>
        <v>global</v>
      </c>
      <c r="T890" t="str">
        <f>IF(OR(ISNUMBER(SEARCH("sts", Table6[[#This Row],[instruction]])),ISNUMBER(SEARCH("lds", Table6[[#This Row],[instruction]]))), "shared", "")</f>
        <v/>
      </c>
      <c r="U890" t="str">
        <f>IF(OR(ISNUMBER(SEARCH("LDC", Table6[[#This Row],[instruction]]))), "ind. const", "")</f>
        <v/>
      </c>
      <c r="V890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Row],[s5]]))),U890=""), "cmb. const", "")</f>
        <v/>
      </c>
      <c r="Y890">
        <f>IF(Table6[[#This Row],[pipeline]]="fma",Table6[[#This Row],[delay]],0)</f>
        <v>0</v>
      </c>
      <c r="Z890">
        <f>IF(AND(Table6[[#This Row],[pipeline]]="fma",W890="new"),290,0)</f>
        <v>0</v>
      </c>
      <c r="AK890" s="34"/>
    </row>
    <row r="891" spans="1:37" ht="17" x14ac:dyDescent="0.2">
      <c r="A891" s="31">
        <f>IF(Table6[[#This Row],[instruction]]&lt;&gt;"",MAX($A$6:A890)+1," ")</f>
        <v>886</v>
      </c>
      <c r="B891" s="32" t="s">
        <v>485</v>
      </c>
      <c r="C891" t="s">
        <v>755</v>
      </c>
      <c r="K891" s="2" t="str">
        <f t="shared" ref="K891" si="14">IF(O891&lt;&gt;"", O891, IF(P891&lt;&gt;"", P891, IF(R891&lt;&gt;"", R891, IF(S891&lt;&gt;"", S891, IF(T891&lt;&gt;"", T891, IF(U891&lt;&gt;"", U891, IF(Q891&lt;&gt;"", Q891, "")))))))</f>
        <v/>
      </c>
      <c r="O891" t="str">
        <f>IF(OR(ISNUMBER(SEARCH("imad", Table6[[#This Row],[instruction]])), ISNUMBER(SEARCH("ffma", Table6[[#This Row],[instruction]])), ISNUMBER(SEARCH("fmul", Table6[[#This Row],[instruction]]))), "fma", "")</f>
        <v/>
      </c>
      <c r="P891" t="str">
        <f>IF(OR(ISNUMBER(SEARCH("FSETP", Table6[[#This Row],[instruction]])),ISNUMBER(SEARCH("lop", Table6[[#This Row],[instruction]])),ISNUMBER(SEARCH("isetp", Table6[[#This Row],[instruction]])),ISNUMBER(SEARCH("iadd3", Table6[[#This Row],[instruction]])), ISNUMBER(SEARCH("shf", Table6[[#This Row],[instruction]])), ISNUMBER(SEARCH("lea", Table6[[#This Row],[instruction]]))), "alu", "")</f>
        <v/>
      </c>
      <c r="R891" t="str">
        <f>IF(OR(ISNUMBER(SEARCH("s2r", Table6[[#This Row],[instruction]])),ISNUMBER(SEARCH("s2ur", Table6[[#This Row],[instruction]]))), "special", "")</f>
        <v/>
      </c>
      <c r="S891" t="str">
        <f>IF(OR(ISNUMBER(SEARCH("stg", Table6[[#This Row],[instruction]])),ISNUMBER(SEARCH("ldg", Table6[[#This Row],[instruction]]))), "global", "")</f>
        <v/>
      </c>
      <c r="T891" t="str">
        <f>IF(OR(ISNUMBER(SEARCH("sts", Table6[[#This Row],[instruction]])),ISNUMBER(SEARCH("lds", Table6[[#This Row],[instruction]]))), "shared", "")</f>
        <v/>
      </c>
      <c r="U891" t="str">
        <f>IF(OR(ISNUMBER(SEARCH("LDC", Table6[[#This Row],[instruction]]))), "ind. const", "")</f>
        <v/>
      </c>
      <c r="V891" t="str">
        <f>IF(AND(OR(ISNUMBER(SEARCH("c[0x", Table6[[#This Row],[s0]])),ISNUMBER(SEARCH("c[0x", Table6[[#This Row],[s1]])),ISNUMBER(SEARCH("c[0x", Table6[[#This Row],[s2]])),ISNUMBER(SEARCH("c[0x", Table6[[#This Row],[s3]])),ISNUMBER(SEARCH("c[0x", Table6[[#This Row],[s4]])),ISNUMBER(SEARCH("c[0x", Table6[[#This Row],[s5]]))),U891=""), "cmb. const", "")</f>
        <v/>
      </c>
      <c r="Y891">
        <f>IF(Table6[[#This Row],[pipeline]]="fma",Table6[[#This Row],[delay]],0)</f>
        <v>0</v>
      </c>
      <c r="Z891">
        <f>IF(AND(Table6[[#This Row],[pipeline]]="fma",W891="new"),290,0)</f>
        <v>0</v>
      </c>
      <c r="AK891" s="34"/>
    </row>
    <row r="892" spans="1:37" ht="18" thickBot="1" x14ac:dyDescent="0.25">
      <c r="B892" s="32"/>
      <c r="AA892">
        <f>SUM(Y6:Y892)*2 + SUM(Z6:Z892)</f>
        <v>9290</v>
      </c>
      <c r="AK892" s="32"/>
    </row>
    <row r="893" spans="1:37" ht="18" thickTop="1" x14ac:dyDescent="0.2">
      <c r="B893" s="32"/>
      <c r="G893" s="40"/>
    </row>
    <row r="896" spans="1:37" x14ac:dyDescent="0.2">
      <c r="W896"/>
    </row>
    <row r="897" spans="23:36" x14ac:dyDescent="0.2">
      <c r="W897"/>
    </row>
    <row r="899" spans="23:36" x14ac:dyDescent="0.2">
      <c r="AG899" t="s">
        <v>811</v>
      </c>
    </row>
    <row r="900" spans="23:36" x14ac:dyDescent="0.2">
      <c r="AG900" t="s">
        <v>787</v>
      </c>
    </row>
    <row r="903" spans="23:36" x14ac:dyDescent="0.2">
      <c r="AG903" s="5" t="s">
        <v>783</v>
      </c>
      <c r="AH903" s="5" t="s">
        <v>784</v>
      </c>
      <c r="AI903" t="s">
        <v>788</v>
      </c>
      <c r="AJ903" t="s">
        <v>789</v>
      </c>
    </row>
    <row r="904" spans="23:36" x14ac:dyDescent="0.2">
      <c r="AG904" s="5" t="s">
        <v>785</v>
      </c>
      <c r="AH904" s="5" t="s">
        <v>786</v>
      </c>
    </row>
    <row r="905" spans="23:36" x14ac:dyDescent="0.2">
      <c r="AG905" s="5">
        <f>29*2</f>
        <v>58</v>
      </c>
      <c r="AH905" s="5">
        <f>8*8*1</f>
        <v>64</v>
      </c>
      <c r="AI905">
        <f>AG905*AH905/(32*2)</f>
        <v>58</v>
      </c>
      <c r="AJ905">
        <f>_xlfn.CEILING.MATH(AI905/32)</f>
        <v>2</v>
      </c>
    </row>
    <row r="907" spans="23:36" x14ac:dyDescent="0.2">
      <c r="AH907">
        <f>AG905*AH905</f>
        <v>3712</v>
      </c>
    </row>
    <row r="908" spans="23:36" x14ac:dyDescent="0.2">
      <c r="AH908">
        <f>AH907/1024</f>
        <v>3.625</v>
      </c>
    </row>
  </sheetData>
  <mergeCells count="1">
    <mergeCell ref="R4:U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delays</vt:lpstr>
      <vt:lpstr>intro. example</vt:lpstr>
      <vt:lpstr>vec_elmntwise</vt:lpstr>
      <vt:lpstr>mat mul</vt:lpstr>
      <vt:lpstr>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A. K. Alhalabi</dc:creator>
  <cp:lastModifiedBy>Ali A. K. Alhalabi</cp:lastModifiedBy>
  <dcterms:created xsi:type="dcterms:W3CDTF">2025-02-12T12:16:42Z</dcterms:created>
  <dcterms:modified xsi:type="dcterms:W3CDTF">2025-04-09T07:07:01Z</dcterms:modified>
</cp:coreProperties>
</file>