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3" sheetId="3" r:id="rId1"/>
    <sheet name="Sheet1" sheetId="1" r:id="rId2"/>
    <sheet name="Sheet2" sheetId="2" r:id="rId3"/>
  </sheets>
  <calcPr calcId="125725"/>
</workbook>
</file>

<file path=xl/calcChain.xml><?xml version="1.0" encoding="utf-8"?>
<calcChain xmlns="http://schemas.openxmlformats.org/spreadsheetml/2006/main">
  <c r="G24" i="3"/>
  <c r="H24" s="1"/>
  <c r="E16"/>
  <c r="E17"/>
  <c r="E18"/>
  <c r="E19"/>
  <c r="E15"/>
  <c r="B19"/>
  <c r="B22" s="1"/>
  <c r="B24" s="1"/>
  <c r="B18"/>
  <c r="B11"/>
  <c r="D3"/>
  <c r="D4"/>
  <c r="H8" i="2"/>
  <c r="H9"/>
  <c r="H10"/>
  <c r="H11"/>
  <c r="H12"/>
  <c r="H13"/>
  <c r="H14"/>
  <c r="H15"/>
  <c r="H16"/>
  <c r="H17"/>
  <c r="H18"/>
  <c r="H7"/>
  <c r="K7" s="1"/>
  <c r="E10"/>
  <c r="E6"/>
  <c r="K12" s="1"/>
  <c r="B6"/>
  <c r="B3" i="3"/>
  <c r="B15"/>
  <c r="B8"/>
  <c r="E8"/>
  <c r="C29" i="1"/>
  <c r="E11" i="2"/>
  <c r="I8"/>
  <c r="I9"/>
  <c r="I10"/>
  <c r="I11"/>
  <c r="I12"/>
  <c r="I13"/>
  <c r="I14"/>
  <c r="I15"/>
  <c r="I16"/>
  <c r="I17"/>
  <c r="I18"/>
  <c r="J8"/>
  <c r="J9"/>
  <c r="J10"/>
  <c r="J11"/>
  <c r="J12"/>
  <c r="J13"/>
  <c r="J14"/>
  <c r="J15"/>
  <c r="J16"/>
  <c r="J17"/>
  <c r="J18"/>
  <c r="I7"/>
  <c r="J7"/>
  <c r="E8"/>
  <c r="E7"/>
  <c r="N8" i="1"/>
  <c r="N9"/>
  <c r="N10"/>
  <c r="N11"/>
  <c r="N12"/>
  <c r="N13"/>
  <c r="N14"/>
  <c r="N15"/>
  <c r="N16"/>
  <c r="N17"/>
  <c r="N18"/>
  <c r="N7"/>
  <c r="M9"/>
  <c r="M10" s="1"/>
  <c r="M11" s="1"/>
  <c r="M12" s="1"/>
  <c r="M13" s="1"/>
  <c r="M14" s="1"/>
  <c r="M15" s="1"/>
  <c r="M16" s="1"/>
  <c r="M17" s="1"/>
  <c r="M18" s="1"/>
  <c r="M8"/>
  <c r="I19"/>
  <c r="I18"/>
  <c r="I16"/>
  <c r="N3"/>
  <c r="N4"/>
  <c r="I6"/>
  <c r="I7" s="1"/>
  <c r="I8" s="1"/>
  <c r="I9" s="1"/>
  <c r="I10" s="1"/>
  <c r="I11" s="1"/>
  <c r="I12" s="1"/>
  <c r="I13" s="1"/>
  <c r="I14" s="1"/>
  <c r="F17"/>
  <c r="F16"/>
  <c r="F15"/>
  <c r="F14"/>
  <c r="F13"/>
  <c r="F12"/>
  <c r="F11"/>
  <c r="F10"/>
  <c r="F9"/>
  <c r="F8"/>
  <c r="F7"/>
  <c r="F6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B20" i="3" l="1"/>
  <c r="B25" s="1"/>
  <c r="M12" i="2"/>
  <c r="O12"/>
  <c r="K13"/>
  <c r="K14"/>
  <c r="K15"/>
  <c r="K9"/>
  <c r="K16"/>
  <c r="K10"/>
  <c r="K8"/>
  <c r="K17"/>
  <c r="K11"/>
  <c r="K18"/>
  <c r="M18" s="1"/>
  <c r="B23" i="3"/>
  <c r="E9"/>
  <c r="F9" s="1"/>
  <c r="F8"/>
  <c r="I8" s="1"/>
  <c r="B21" l="1"/>
  <c r="O17" i="2"/>
  <c r="M17"/>
  <c r="O9"/>
  <c r="P9" s="1"/>
  <c r="M9"/>
  <c r="O16"/>
  <c r="M16"/>
  <c r="P7"/>
  <c r="M7"/>
  <c r="O8"/>
  <c r="P8" s="1"/>
  <c r="M8"/>
  <c r="O13"/>
  <c r="M13"/>
  <c r="O14"/>
  <c r="M14"/>
  <c r="O10"/>
  <c r="P10" s="1"/>
  <c r="M10"/>
  <c r="O11"/>
  <c r="M11"/>
  <c r="O15"/>
  <c r="M15"/>
  <c r="J9" i="3"/>
  <c r="L9" s="1"/>
  <c r="J8"/>
  <c r="L8" s="1"/>
  <c r="E10"/>
  <c r="F10" s="1"/>
  <c r="G9"/>
  <c r="H9" s="1"/>
  <c r="I9"/>
  <c r="G8"/>
  <c r="G15"/>
  <c r="G16"/>
  <c r="K8" l="1"/>
  <c r="K9"/>
  <c r="I10"/>
  <c r="J10"/>
  <c r="L10" s="1"/>
  <c r="E11"/>
  <c r="E12" s="1"/>
  <c r="F12" s="1"/>
  <c r="F16"/>
  <c r="F11"/>
  <c r="H8"/>
  <c r="F15"/>
  <c r="G10"/>
  <c r="G17"/>
  <c r="P11" i="2"/>
  <c r="K10" i="3" l="1"/>
  <c r="I12"/>
  <c r="J12"/>
  <c r="L12" s="1"/>
  <c r="I15"/>
  <c r="J15"/>
  <c r="L15" s="1"/>
  <c r="I16"/>
  <c r="J16"/>
  <c r="L16" s="1"/>
  <c r="H16"/>
  <c r="I11"/>
  <c r="J11"/>
  <c r="L11" s="1"/>
  <c r="H15"/>
  <c r="H10"/>
  <c r="F17"/>
  <c r="G12"/>
  <c r="G19"/>
  <c r="G18"/>
  <c r="G11"/>
  <c r="P12" i="2"/>
  <c r="K16" i="3" l="1"/>
  <c r="K12"/>
  <c r="K11"/>
  <c r="K15"/>
  <c r="I17"/>
  <c r="J17"/>
  <c r="L17" s="1"/>
  <c r="H12"/>
  <c r="F19"/>
  <c r="H11"/>
  <c r="F18"/>
  <c r="H17"/>
  <c r="P13" i="2"/>
  <c r="K17" i="3" l="1"/>
  <c r="I19"/>
  <c r="B32" s="1"/>
  <c r="B34" s="1"/>
  <c r="B35" s="1"/>
  <c r="J19"/>
  <c r="L19" s="1"/>
  <c r="I18"/>
  <c r="J18"/>
  <c r="L18" s="1"/>
  <c r="H18"/>
  <c r="H19"/>
  <c r="P14" i="2"/>
  <c r="K19" i="3" l="1"/>
  <c r="K18"/>
  <c r="P15" i="2"/>
  <c r="B29" i="3" l="1"/>
  <c r="P16" i="2"/>
  <c r="P18" l="1"/>
  <c r="P17"/>
</calcChain>
</file>

<file path=xl/sharedStrings.xml><?xml version="1.0" encoding="utf-8"?>
<sst xmlns="http://schemas.openxmlformats.org/spreadsheetml/2006/main" count="124" uniqueCount="66">
  <si>
    <t>Mountain Bike Gearbox</t>
  </si>
  <si>
    <t>reference chain system</t>
  </si>
  <si>
    <t>ring</t>
  </si>
  <si>
    <t>cassette</t>
  </si>
  <si>
    <t>ratio</t>
  </si>
  <si>
    <t>effective gears</t>
  </si>
  <si>
    <t>gearbox gears</t>
  </si>
  <si>
    <t>gear</t>
  </si>
  <si>
    <t>spread</t>
  </si>
  <si>
    <t>jack shaft</t>
  </si>
  <si>
    <t>chainring</t>
  </si>
  <si>
    <t>sprocket</t>
  </si>
  <si>
    <t>force calcs</t>
  </si>
  <si>
    <t>crank arm length</t>
  </si>
  <si>
    <t>mm</t>
  </si>
  <si>
    <t>max force</t>
  </si>
  <si>
    <t>N</t>
  </si>
  <si>
    <t>crank torque</t>
  </si>
  <si>
    <t>Nm</t>
  </si>
  <si>
    <t>Jackshaft torque</t>
  </si>
  <si>
    <t>lbf</t>
  </si>
  <si>
    <t>tooth width</t>
  </si>
  <si>
    <t>desired final</t>
  </si>
  <si>
    <t>desired cluster</t>
  </si>
  <si>
    <t>Jackshaft spacing</t>
  </si>
  <si>
    <t>cluster spacing</t>
  </si>
  <si>
    <t>drive dia</t>
  </si>
  <si>
    <t>driven dia</t>
  </si>
  <si>
    <t>tangential force</t>
  </si>
  <si>
    <t>width</t>
  </si>
  <si>
    <t>load</t>
  </si>
  <si>
    <t xml:space="preserve">N </t>
  </si>
  <si>
    <t>tooth load</t>
  </si>
  <si>
    <t>drive pitch R</t>
  </si>
  <si>
    <t>driven pitch R</t>
  </si>
  <si>
    <t>ratio spread</t>
  </si>
  <si>
    <t>N gears</t>
  </si>
  <si>
    <t>gear ratio</t>
  </si>
  <si>
    <t>gear to gear</t>
  </si>
  <si>
    <t>spacing</t>
  </si>
  <si>
    <t>Nteeth</t>
  </si>
  <si>
    <t>driven gear</t>
  </si>
  <si>
    <t>low gear</t>
  </si>
  <si>
    <t>primary reduction</t>
  </si>
  <si>
    <t>OD</t>
  </si>
  <si>
    <t>Drive gear</t>
  </si>
  <si>
    <t>tooth force</t>
  </si>
  <si>
    <t>Nmm</t>
  </si>
  <si>
    <t>output torque</t>
  </si>
  <si>
    <t>Module</t>
  </si>
  <si>
    <t>F_tooth, N</t>
  </si>
  <si>
    <t>F_tooth, lbf</t>
  </si>
  <si>
    <t>N_drive</t>
  </si>
  <si>
    <t>N_driven</t>
  </si>
  <si>
    <t>target tooth load</t>
  </si>
  <si>
    <t>N/mm</t>
  </si>
  <si>
    <t>gear width</t>
  </si>
  <si>
    <t>output torque, Nmmm</t>
  </si>
  <si>
    <t>lbf/in</t>
  </si>
  <si>
    <t>gear clearance</t>
  </si>
  <si>
    <t>cluster width</t>
  </si>
  <si>
    <t>Shift mechanism</t>
  </si>
  <si>
    <t>ratchet Dp</t>
  </si>
  <si>
    <t>Npawl</t>
  </si>
  <si>
    <t>Fpawl</t>
  </si>
  <si>
    <t>ftlb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</si>
</sst>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>
      <selection activeCell="H25" sqref="H25"/>
    </sheetView>
  </sheetViews>
  <sheetFormatPr defaultRowHeight="15"/>
  <cols>
    <col min="1" max="1" width="17" bestFit="1" customWidth="1"/>
    <col min="2" max="2" width="10" bestFit="1" customWidth="1"/>
    <col min="6" max="6" width="9.85546875" bestFit="1" customWidth="1"/>
    <col min="10" max="10" width="13.42578125" bestFit="1" customWidth="1"/>
    <col min="11" max="11" width="12" bestFit="1" customWidth="1"/>
  </cols>
  <sheetData>
    <row r="1" spans="1:12">
      <c r="A1" t="s">
        <v>13</v>
      </c>
      <c r="B1">
        <v>175</v>
      </c>
      <c r="C1" t="s">
        <v>14</v>
      </c>
    </row>
    <row r="2" spans="1:12">
      <c r="A2" t="s">
        <v>15</v>
      </c>
      <c r="B2">
        <v>1800</v>
      </c>
      <c r="C2" t="s">
        <v>16</v>
      </c>
    </row>
    <row r="3" spans="1:12">
      <c r="A3" t="s">
        <v>17</v>
      </c>
      <c r="B3">
        <f>B2*B1</f>
        <v>315000</v>
      </c>
      <c r="C3" t="s">
        <v>47</v>
      </c>
      <c r="D3">
        <f>B3/4.4/25.4/12</f>
        <v>234.87831066571223</v>
      </c>
      <c r="E3" t="s">
        <v>65</v>
      </c>
    </row>
    <row r="4" spans="1:12">
      <c r="A4" t="s">
        <v>54</v>
      </c>
      <c r="B4">
        <v>2000</v>
      </c>
      <c r="C4" t="s">
        <v>55</v>
      </c>
      <c r="D4">
        <f>B4/4.4*25.4</f>
        <v>11545.454545454544</v>
      </c>
      <c r="E4" t="s">
        <v>58</v>
      </c>
    </row>
    <row r="6" spans="1:12">
      <c r="A6" t="s">
        <v>35</v>
      </c>
      <c r="B6">
        <v>5</v>
      </c>
    </row>
    <row r="7" spans="1:12">
      <c r="A7" t="s">
        <v>36</v>
      </c>
      <c r="B7">
        <v>10</v>
      </c>
      <c r="D7" t="s">
        <v>7</v>
      </c>
      <c r="E7" t="s">
        <v>37</v>
      </c>
      <c r="F7" t="s">
        <v>52</v>
      </c>
      <c r="G7" t="s">
        <v>53</v>
      </c>
      <c r="H7" t="s">
        <v>4</v>
      </c>
      <c r="I7" t="s">
        <v>44</v>
      </c>
      <c r="J7" t="s">
        <v>50</v>
      </c>
      <c r="K7" t="s">
        <v>51</v>
      </c>
      <c r="L7" t="s">
        <v>56</v>
      </c>
    </row>
    <row r="8" spans="1:12">
      <c r="A8" t="s">
        <v>38</v>
      </c>
      <c r="B8">
        <f>B6^(1/B7)</f>
        <v>1.174618943088019</v>
      </c>
      <c r="D8">
        <v>1</v>
      </c>
      <c r="E8" s="1">
        <f>B6/2</f>
        <v>2.5</v>
      </c>
      <c r="F8">
        <f>ROUND($B$11/(1+E8),0)</f>
        <v>21</v>
      </c>
      <c r="G8">
        <f>$B$11-F8</f>
        <v>54</v>
      </c>
      <c r="H8" s="1">
        <f>G8/F8</f>
        <v>2.5714285714285716</v>
      </c>
      <c r="I8" s="1">
        <f>(F8+1)*$B$10</f>
        <v>44</v>
      </c>
      <c r="J8" s="1">
        <f>$B$25/((F8/2)*$B$10)</f>
        <v>8936.1702127659573</v>
      </c>
      <c r="K8" s="1">
        <f>J8/4.4</f>
        <v>2030.9477756286265</v>
      </c>
      <c r="L8">
        <f>ROUNDUP(2*J8/$B$4,0)/2</f>
        <v>4.5</v>
      </c>
    </row>
    <row r="9" spans="1:12">
      <c r="A9" t="s">
        <v>39</v>
      </c>
      <c r="B9">
        <v>75</v>
      </c>
      <c r="C9" t="s">
        <v>14</v>
      </c>
      <c r="D9">
        <v>2</v>
      </c>
      <c r="E9" s="1">
        <f>E8/$B$8</f>
        <v>2.1283498063019617</v>
      </c>
      <c r="F9">
        <f t="shared" ref="F9:F12" si="0">ROUND($B$11/(1+E9),0)</f>
        <v>24</v>
      </c>
      <c r="G9">
        <f t="shared" ref="G9:G12" si="1">$B$11-F9</f>
        <v>51</v>
      </c>
      <c r="H9" s="1">
        <f t="shared" ref="H9:H12" si="2">G9/F9</f>
        <v>2.125</v>
      </c>
      <c r="I9" s="1">
        <f t="shared" ref="I9:I12" si="3">(F9+1)*$B$10</f>
        <v>50</v>
      </c>
      <c r="J9" s="1">
        <f>$B$25/((F9/2)*$B$10)</f>
        <v>7819.1489361702124</v>
      </c>
      <c r="K9" s="1">
        <f t="shared" ref="K9:K19" si="4">J9/4.4</f>
        <v>1777.0793036750481</v>
      </c>
      <c r="L9">
        <f t="shared" ref="L9:L19" si="5">ROUNDUP(2*J9/$B$4,0)/2</f>
        <v>4</v>
      </c>
    </row>
    <row r="10" spans="1:12">
      <c r="A10" t="s">
        <v>49</v>
      </c>
      <c r="B10">
        <v>2</v>
      </c>
      <c r="C10" t="s">
        <v>14</v>
      </c>
      <c r="D10">
        <v>3</v>
      </c>
      <c r="E10" s="1">
        <f>E9/$B$8</f>
        <v>1.8119491591942392</v>
      </c>
      <c r="F10">
        <f t="shared" si="0"/>
        <v>27</v>
      </c>
      <c r="G10">
        <f t="shared" si="1"/>
        <v>48</v>
      </c>
      <c r="H10" s="1">
        <f t="shared" si="2"/>
        <v>1.7777777777777777</v>
      </c>
      <c r="I10" s="1">
        <f t="shared" si="3"/>
        <v>56</v>
      </c>
      <c r="J10" s="1">
        <f>$B$25/((F10/2)*$B$10)</f>
        <v>6950.3546099290779</v>
      </c>
      <c r="K10" s="1">
        <f t="shared" si="4"/>
        <v>1579.6260477111539</v>
      </c>
      <c r="L10">
        <f t="shared" si="5"/>
        <v>3.5</v>
      </c>
    </row>
    <row r="11" spans="1:12">
      <c r="A11" t="s">
        <v>40</v>
      </c>
      <c r="B11">
        <f>2*B9/B10</f>
        <v>75</v>
      </c>
      <c r="D11">
        <v>4</v>
      </c>
      <c r="E11" s="1">
        <f>E10/$B$8</f>
        <v>1.5425846568000245</v>
      </c>
      <c r="F11">
        <f t="shared" si="0"/>
        <v>29</v>
      </c>
      <c r="G11">
        <f t="shared" si="1"/>
        <v>46</v>
      </c>
      <c r="H11" s="1">
        <f t="shared" si="2"/>
        <v>1.5862068965517242</v>
      </c>
      <c r="I11" s="1">
        <f t="shared" si="3"/>
        <v>60</v>
      </c>
      <c r="J11" s="1">
        <f>$B$25/((F11/2)*$B$10)</f>
        <v>6471.0198092443143</v>
      </c>
      <c r="K11" s="1">
        <f t="shared" si="4"/>
        <v>1470.6863202827985</v>
      </c>
      <c r="L11">
        <f t="shared" si="5"/>
        <v>3.5</v>
      </c>
    </row>
    <row r="12" spans="1:12">
      <c r="D12">
        <v>5</v>
      </c>
      <c r="E12" s="1">
        <f>E11/$B$8</f>
        <v>1.3132639022018842</v>
      </c>
      <c r="F12">
        <f t="shared" si="0"/>
        <v>32</v>
      </c>
      <c r="G12">
        <f t="shared" si="1"/>
        <v>43</v>
      </c>
      <c r="H12" s="1">
        <f t="shared" si="2"/>
        <v>1.34375</v>
      </c>
      <c r="I12" s="1">
        <f t="shared" si="3"/>
        <v>66</v>
      </c>
      <c r="J12" s="1">
        <f>$B$25/((F12/2)*$B$10)</f>
        <v>5864.3617021276596</v>
      </c>
      <c r="K12" s="1">
        <f t="shared" si="4"/>
        <v>1332.8094777562862</v>
      </c>
      <c r="L12">
        <f t="shared" si="5"/>
        <v>3</v>
      </c>
    </row>
    <row r="13" spans="1:12">
      <c r="A13" s="4" t="s">
        <v>43</v>
      </c>
      <c r="B13" s="4"/>
      <c r="J13" s="1"/>
      <c r="K13" s="1"/>
    </row>
    <row r="14" spans="1:12">
      <c r="A14" t="s">
        <v>42</v>
      </c>
      <c r="B14">
        <v>1.5</v>
      </c>
      <c r="J14" s="1"/>
      <c r="K14" s="1"/>
    </row>
    <row r="15" spans="1:12">
      <c r="A15" t="s">
        <v>43</v>
      </c>
      <c r="B15">
        <f>B14/(B6/2)</f>
        <v>0.6</v>
      </c>
      <c r="D15">
        <v>10</v>
      </c>
      <c r="E15" s="1">
        <f>1/E8</f>
        <v>0.4</v>
      </c>
      <c r="F15">
        <f>G8</f>
        <v>54</v>
      </c>
      <c r="G15">
        <f>F8</f>
        <v>21</v>
      </c>
      <c r="H15" s="1">
        <f>G15/F15</f>
        <v>0.3888888888888889</v>
      </c>
      <c r="I15" s="1">
        <f>(F15+1)*$B$10</f>
        <v>110</v>
      </c>
      <c r="J15" s="1">
        <f>$B$25/((F15/2)*$B$10)</f>
        <v>3475.177304964539</v>
      </c>
      <c r="K15" s="1">
        <f t="shared" si="4"/>
        <v>789.81302385557694</v>
      </c>
      <c r="L15">
        <f t="shared" si="5"/>
        <v>2</v>
      </c>
    </row>
    <row r="16" spans="1:12">
      <c r="A16" t="s">
        <v>39</v>
      </c>
      <c r="B16">
        <v>75</v>
      </c>
      <c r="C16" t="s">
        <v>14</v>
      </c>
      <c r="D16">
        <v>9</v>
      </c>
      <c r="E16" s="1">
        <f t="shared" ref="E16:E19" si="6">1/E9</f>
        <v>0.46984757723520754</v>
      </c>
      <c r="F16">
        <f>G9</f>
        <v>51</v>
      </c>
      <c r="G16">
        <f>F9</f>
        <v>24</v>
      </c>
      <c r="H16" s="1">
        <f t="shared" ref="H16:H19" si="7">G16/F16</f>
        <v>0.47058823529411764</v>
      </c>
      <c r="I16" s="1">
        <f t="shared" ref="I16:I19" si="8">(F16+1)*$B$10</f>
        <v>104</v>
      </c>
      <c r="J16" s="1">
        <f>$B$25/((F16/2)*$B$10)</f>
        <v>3679.5994993742179</v>
      </c>
      <c r="K16" s="1">
        <f t="shared" si="4"/>
        <v>836.27261349414039</v>
      </c>
      <c r="L16">
        <f t="shared" si="5"/>
        <v>2</v>
      </c>
    </row>
    <row r="17" spans="1:12">
      <c r="A17" t="s">
        <v>49</v>
      </c>
      <c r="B17">
        <v>2</v>
      </c>
      <c r="C17" t="s">
        <v>14</v>
      </c>
      <c r="D17">
        <v>8</v>
      </c>
      <c r="E17" s="1">
        <f t="shared" si="6"/>
        <v>0.5518918645844858</v>
      </c>
      <c r="F17">
        <f>G10</f>
        <v>48</v>
      </c>
      <c r="G17">
        <f>F10</f>
        <v>27</v>
      </c>
      <c r="H17" s="1">
        <f t="shared" si="7"/>
        <v>0.5625</v>
      </c>
      <c r="I17" s="1">
        <f t="shared" si="8"/>
        <v>98</v>
      </c>
      <c r="J17" s="1">
        <f>$B$25/((F17/2)*$B$10)</f>
        <v>3909.5744680851062</v>
      </c>
      <c r="K17" s="1">
        <f t="shared" si="4"/>
        <v>888.53965183752405</v>
      </c>
      <c r="L17">
        <f t="shared" si="5"/>
        <v>2</v>
      </c>
    </row>
    <row r="18" spans="1:12">
      <c r="A18" t="s">
        <v>40</v>
      </c>
      <c r="B18">
        <f>2*B16/B17</f>
        <v>75</v>
      </c>
      <c r="D18">
        <v>7</v>
      </c>
      <c r="E18" s="1">
        <f t="shared" si="6"/>
        <v>0.64826263867710476</v>
      </c>
      <c r="F18">
        <f>G11</f>
        <v>46</v>
      </c>
      <c r="G18">
        <f>F11</f>
        <v>29</v>
      </c>
      <c r="H18" s="1">
        <f t="shared" si="7"/>
        <v>0.63043478260869568</v>
      </c>
      <c r="I18" s="1">
        <f t="shared" si="8"/>
        <v>94</v>
      </c>
      <c r="J18" s="1">
        <f>$B$25/((F18/2)*$B$10)</f>
        <v>4079.5559666975023</v>
      </c>
      <c r="K18" s="1">
        <f t="shared" si="4"/>
        <v>927.1718106130686</v>
      </c>
      <c r="L18">
        <f t="shared" si="5"/>
        <v>2.5</v>
      </c>
    </row>
    <row r="19" spans="1:12">
      <c r="A19" t="s">
        <v>45</v>
      </c>
      <c r="B19">
        <f>ROUND(B16/(B15+1),0)</f>
        <v>47</v>
      </c>
      <c r="D19">
        <v>6</v>
      </c>
      <c r="E19" s="1">
        <f t="shared" si="6"/>
        <v>0.76146157548635107</v>
      </c>
      <c r="F19">
        <f>G12</f>
        <v>43</v>
      </c>
      <c r="G19">
        <f>F12</f>
        <v>32</v>
      </c>
      <c r="H19" s="1">
        <f t="shared" si="7"/>
        <v>0.7441860465116279</v>
      </c>
      <c r="I19" s="1">
        <f t="shared" si="8"/>
        <v>88</v>
      </c>
      <c r="J19" s="1">
        <f>$B$25/((F19/2)*$B$10)</f>
        <v>4364.1761504205842</v>
      </c>
      <c r="K19" s="1">
        <f t="shared" si="4"/>
        <v>991.85821600467818</v>
      </c>
      <c r="L19">
        <f t="shared" si="5"/>
        <v>2.5</v>
      </c>
    </row>
    <row r="20" spans="1:12">
      <c r="A20" t="s">
        <v>41</v>
      </c>
      <c r="B20">
        <f>B18-B19</f>
        <v>28</v>
      </c>
    </row>
    <row r="21" spans="1:12">
      <c r="A21" t="s">
        <v>4</v>
      </c>
      <c r="B21" s="1">
        <f>B20/B19</f>
        <v>0.5957446808510638</v>
      </c>
    </row>
    <row r="22" spans="1:12">
      <c r="A22" t="s">
        <v>46</v>
      </c>
      <c r="B22" s="1">
        <f>B3/(B19*B17/2)</f>
        <v>6702.1276595744685</v>
      </c>
      <c r="C22" t="s">
        <v>16</v>
      </c>
    </row>
    <row r="23" spans="1:12">
      <c r="B23">
        <f>B22/4.4</f>
        <v>1523.21083172147</v>
      </c>
      <c r="C23" t="s">
        <v>20</v>
      </c>
    </row>
    <row r="24" spans="1:12">
      <c r="A24" t="s">
        <v>21</v>
      </c>
      <c r="B24">
        <f>ROUNDUP(B22/B4,0)</f>
        <v>4</v>
      </c>
      <c r="C24" t="s">
        <v>14</v>
      </c>
      <c r="G24">
        <f>B19*B17</f>
        <v>94</v>
      </c>
      <c r="H24">
        <f>G24/25.4</f>
        <v>3.7007874015748032</v>
      </c>
    </row>
    <row r="25" spans="1:12">
      <c r="A25" t="s">
        <v>48</v>
      </c>
      <c r="B25">
        <f>B22*(B20/2*B17)</f>
        <v>187659.57446808511</v>
      </c>
      <c r="C25" t="s">
        <v>47</v>
      </c>
    </row>
    <row r="28" spans="1:12">
      <c r="A28" t="s">
        <v>59</v>
      </c>
      <c r="B28">
        <v>0.5</v>
      </c>
      <c r="C28" t="s">
        <v>14</v>
      </c>
    </row>
    <row r="29" spans="1:12">
      <c r="A29" t="s">
        <v>60</v>
      </c>
      <c r="B29">
        <f>B28*(1+B7)+MAX(L8:L19)*B7</f>
        <v>50.5</v>
      </c>
      <c r="C29" t="s">
        <v>14</v>
      </c>
    </row>
    <row r="31" spans="1:12">
      <c r="A31" s="4" t="s">
        <v>61</v>
      </c>
      <c r="B31" s="4"/>
    </row>
    <row r="32" spans="1:12">
      <c r="A32" t="s">
        <v>62</v>
      </c>
      <c r="B32" s="1">
        <f>MIN(I8:I19)-10</f>
        <v>34</v>
      </c>
      <c r="C32" t="s">
        <v>14</v>
      </c>
    </row>
    <row r="33" spans="1:3">
      <c r="A33" t="s">
        <v>63</v>
      </c>
      <c r="B33">
        <v>3</v>
      </c>
    </row>
    <row r="34" spans="1:3">
      <c r="A34" t="s">
        <v>64</v>
      </c>
      <c r="B34" s="1">
        <f>B25/(B32/2)/B33</f>
        <v>3679.5994993742174</v>
      </c>
      <c r="C34" t="s">
        <v>16</v>
      </c>
    </row>
    <row r="35" spans="1:3">
      <c r="B35" s="1">
        <f>B34/4.4</f>
        <v>836.27261349414027</v>
      </c>
      <c r="C35" t="s">
        <v>20</v>
      </c>
    </row>
  </sheetData>
  <mergeCells count="2">
    <mergeCell ref="A31:B31"/>
    <mergeCell ref="A13:B1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9"/>
  <sheetViews>
    <sheetView workbookViewId="0">
      <selection activeCell="C30" sqref="C30"/>
    </sheetView>
  </sheetViews>
  <sheetFormatPr defaultRowHeight="15"/>
  <cols>
    <col min="13" max="13" width="12.140625" customWidth="1"/>
    <col min="14" max="14" width="14.7109375" customWidth="1"/>
  </cols>
  <sheetData>
    <row r="1" spans="1:17">
      <c r="A1" t="s">
        <v>0</v>
      </c>
    </row>
    <row r="2" spans="1:17">
      <c r="H2" t="s">
        <v>6</v>
      </c>
      <c r="L2" t="s">
        <v>10</v>
      </c>
      <c r="M2">
        <v>24</v>
      </c>
    </row>
    <row r="3" spans="1:17">
      <c r="A3" t="s">
        <v>1</v>
      </c>
      <c r="E3" t="s">
        <v>5</v>
      </c>
      <c r="H3" t="s">
        <v>8</v>
      </c>
      <c r="I3" s="2">
        <v>0.19</v>
      </c>
      <c r="J3" t="s">
        <v>8</v>
      </c>
      <c r="L3" t="s">
        <v>11</v>
      </c>
      <c r="M3">
        <v>24</v>
      </c>
      <c r="N3">
        <f>M3/M2</f>
        <v>1</v>
      </c>
    </row>
    <row r="4" spans="1:17">
      <c r="A4" t="s">
        <v>2</v>
      </c>
      <c r="B4" t="s">
        <v>3</v>
      </c>
      <c r="C4" t="s">
        <v>4</v>
      </c>
      <c r="H4" t="s">
        <v>7</v>
      </c>
      <c r="L4" t="s">
        <v>9</v>
      </c>
      <c r="M4">
        <v>0.61</v>
      </c>
      <c r="N4">
        <f>M4*M3/M2</f>
        <v>0.61</v>
      </c>
    </row>
    <row r="5" spans="1:17">
      <c r="A5">
        <v>38</v>
      </c>
      <c r="B5">
        <v>11</v>
      </c>
      <c r="C5" s="1">
        <f>B5/A5</f>
        <v>0.28947368421052633</v>
      </c>
      <c r="E5" s="1">
        <v>0.28947368421052633</v>
      </c>
      <c r="H5">
        <v>10</v>
      </c>
      <c r="I5">
        <v>0.3</v>
      </c>
    </row>
    <row r="6" spans="1:17">
      <c r="A6">
        <v>38</v>
      </c>
      <c r="B6">
        <v>13</v>
      </c>
      <c r="C6" s="1">
        <f t="shared" ref="C6:C24" si="0">B6/A6</f>
        <v>0.34210526315789475</v>
      </c>
      <c r="E6" s="1">
        <v>0.34210526315789475</v>
      </c>
      <c r="F6" s="2">
        <f>(E6-E5)/E5</f>
        <v>0.1818181818181818</v>
      </c>
      <c r="H6">
        <v>9</v>
      </c>
      <c r="I6">
        <f>I5+I$3*I5</f>
        <v>0.35699999999999998</v>
      </c>
      <c r="L6" t="s">
        <v>7</v>
      </c>
      <c r="M6" t="s">
        <v>22</v>
      </c>
      <c r="N6" t="s">
        <v>23</v>
      </c>
      <c r="P6" s="1"/>
      <c r="Q6" s="1"/>
    </row>
    <row r="7" spans="1:17">
      <c r="A7">
        <v>38</v>
      </c>
      <c r="B7">
        <v>15</v>
      </c>
      <c r="C7" s="1">
        <f t="shared" si="0"/>
        <v>0.39473684210526316</v>
      </c>
      <c r="E7" s="1">
        <v>0.39473684210526316</v>
      </c>
      <c r="F7" s="2">
        <f t="shared" ref="F7:F17" si="1">(E7-E6)/E6</f>
        <v>0.15384615384615383</v>
      </c>
      <c r="H7">
        <v>8</v>
      </c>
      <c r="I7">
        <f t="shared" ref="I7:I14" si="2">I6+I$3*I6</f>
        <v>0.42482999999999999</v>
      </c>
      <c r="K7">
        <v>0.85</v>
      </c>
      <c r="L7">
        <v>1</v>
      </c>
      <c r="M7" s="1">
        <v>1.5</v>
      </c>
      <c r="N7" s="1">
        <f>M7/M$4</f>
        <v>2.459016393442623</v>
      </c>
      <c r="P7" s="1"/>
      <c r="Q7" s="1"/>
    </row>
    <row r="8" spans="1:17">
      <c r="A8">
        <v>38</v>
      </c>
      <c r="B8">
        <v>17</v>
      </c>
      <c r="C8" s="1">
        <f t="shared" si="0"/>
        <v>0.44736842105263158</v>
      </c>
      <c r="E8" s="1">
        <v>0.44736842105263158</v>
      </c>
      <c r="F8" s="2">
        <f t="shared" si="1"/>
        <v>0.13333333333333333</v>
      </c>
      <c r="H8">
        <v>7</v>
      </c>
      <c r="I8">
        <f t="shared" si="2"/>
        <v>0.50554769999999993</v>
      </c>
      <c r="L8">
        <v>2</v>
      </c>
      <c r="M8" s="1">
        <f>M7*0.85</f>
        <v>1.2749999999999999</v>
      </c>
      <c r="N8" s="1">
        <f t="shared" ref="N8:N18" si="3">M8/M$4</f>
        <v>2.0901639344262293</v>
      </c>
      <c r="P8" s="1"/>
      <c r="Q8" s="1"/>
    </row>
    <row r="9" spans="1:17">
      <c r="A9">
        <v>38</v>
      </c>
      <c r="B9">
        <v>19</v>
      </c>
      <c r="C9" s="1">
        <f t="shared" si="0"/>
        <v>0.5</v>
      </c>
      <c r="E9" s="1">
        <v>0.5</v>
      </c>
      <c r="F9" s="2">
        <f t="shared" si="1"/>
        <v>0.11764705882352941</v>
      </c>
      <c r="H9">
        <v>6</v>
      </c>
      <c r="I9">
        <f t="shared" si="2"/>
        <v>0.6016017629999999</v>
      </c>
      <c r="L9">
        <v>3</v>
      </c>
      <c r="M9" s="1">
        <f t="shared" ref="M9:M18" si="4">M8*0.85</f>
        <v>1.08375</v>
      </c>
      <c r="N9" s="1">
        <f t="shared" si="3"/>
        <v>1.7766393442622952</v>
      </c>
      <c r="P9" s="1"/>
      <c r="Q9" s="1"/>
    </row>
    <row r="10" spans="1:17">
      <c r="A10">
        <v>38</v>
      </c>
      <c r="B10">
        <v>21</v>
      </c>
      <c r="C10" s="1">
        <f t="shared" si="0"/>
        <v>0.55263157894736847</v>
      </c>
      <c r="E10" s="1">
        <v>0.55263157894736847</v>
      </c>
      <c r="F10" s="2">
        <f t="shared" si="1"/>
        <v>0.10526315789473695</v>
      </c>
      <c r="H10">
        <v>5</v>
      </c>
      <c r="I10">
        <f t="shared" si="2"/>
        <v>0.71590609796999982</v>
      </c>
      <c r="L10">
        <v>4</v>
      </c>
      <c r="M10" s="1">
        <f t="shared" si="4"/>
        <v>0.92118749999999994</v>
      </c>
      <c r="N10" s="1">
        <f t="shared" si="3"/>
        <v>1.5101434426229507</v>
      </c>
      <c r="P10" s="1"/>
      <c r="Q10" s="1"/>
    </row>
    <row r="11" spans="1:17">
      <c r="A11">
        <v>38</v>
      </c>
      <c r="B11">
        <v>24</v>
      </c>
      <c r="C11" s="1">
        <f t="shared" si="0"/>
        <v>0.63157894736842102</v>
      </c>
      <c r="E11" s="1">
        <v>0.63157894736842102</v>
      </c>
      <c r="F11" s="2">
        <f t="shared" si="1"/>
        <v>0.14285714285714268</v>
      </c>
      <c r="H11">
        <v>4</v>
      </c>
      <c r="I11">
        <f t="shared" si="2"/>
        <v>0.85192825658429983</v>
      </c>
      <c r="L11">
        <v>5</v>
      </c>
      <c r="M11" s="1">
        <f t="shared" si="4"/>
        <v>0.7830093749999999</v>
      </c>
      <c r="N11" s="1">
        <f t="shared" si="3"/>
        <v>1.2836219262295081</v>
      </c>
      <c r="P11" s="1"/>
      <c r="Q11" s="1"/>
    </row>
    <row r="12" spans="1:17">
      <c r="A12">
        <v>38</v>
      </c>
      <c r="B12">
        <v>28</v>
      </c>
      <c r="C12" s="1">
        <f t="shared" si="0"/>
        <v>0.73684210526315785</v>
      </c>
      <c r="E12" s="1">
        <v>0.73684210526315785</v>
      </c>
      <c r="F12" s="2">
        <f t="shared" si="1"/>
        <v>0.16666666666666666</v>
      </c>
      <c r="H12">
        <v>3</v>
      </c>
      <c r="I12">
        <f t="shared" si="2"/>
        <v>1.0137946253353167</v>
      </c>
      <c r="L12">
        <v>6</v>
      </c>
      <c r="M12" s="1">
        <f t="shared" si="4"/>
        <v>0.66555796874999984</v>
      </c>
      <c r="N12" s="1">
        <f t="shared" si="3"/>
        <v>1.0910786372950818</v>
      </c>
      <c r="P12" s="1"/>
      <c r="Q12" s="1"/>
    </row>
    <row r="13" spans="1:17">
      <c r="A13">
        <v>38</v>
      </c>
      <c r="B13">
        <v>32</v>
      </c>
      <c r="C13" s="1">
        <f t="shared" si="0"/>
        <v>0.84210526315789469</v>
      </c>
      <c r="E13" s="1">
        <v>0.84210526315789469</v>
      </c>
      <c r="F13" s="2">
        <f t="shared" si="1"/>
        <v>0.14285714285714285</v>
      </c>
      <c r="H13">
        <v>2</v>
      </c>
      <c r="I13">
        <f t="shared" si="2"/>
        <v>1.2064156041490268</v>
      </c>
      <c r="L13">
        <v>7</v>
      </c>
      <c r="M13" s="1">
        <f t="shared" si="4"/>
        <v>0.56572427343749987</v>
      </c>
      <c r="N13" s="1">
        <f t="shared" si="3"/>
        <v>0.92741684170081951</v>
      </c>
      <c r="P13" s="1"/>
      <c r="Q13" s="1"/>
    </row>
    <row r="14" spans="1:17">
      <c r="A14">
        <v>38</v>
      </c>
      <c r="B14">
        <v>36</v>
      </c>
      <c r="C14" s="1">
        <f t="shared" si="0"/>
        <v>0.94736842105263153</v>
      </c>
      <c r="E14" s="1">
        <v>0.94736842105263153</v>
      </c>
      <c r="F14" s="2">
        <f t="shared" si="1"/>
        <v>0.125</v>
      </c>
      <c r="H14">
        <v>1</v>
      </c>
      <c r="I14">
        <f t="shared" si="2"/>
        <v>1.435634568937342</v>
      </c>
      <c r="L14">
        <v>8</v>
      </c>
      <c r="M14" s="1">
        <f t="shared" si="4"/>
        <v>0.48086563242187486</v>
      </c>
      <c r="N14" s="1">
        <f t="shared" si="3"/>
        <v>0.78830431544569646</v>
      </c>
      <c r="P14" s="1"/>
      <c r="Q14" s="1"/>
    </row>
    <row r="15" spans="1:17">
      <c r="A15">
        <v>24</v>
      </c>
      <c r="B15">
        <v>11</v>
      </c>
      <c r="C15" s="1">
        <f t="shared" si="0"/>
        <v>0.45833333333333331</v>
      </c>
      <c r="E15" s="1">
        <v>1.1666666666666667</v>
      </c>
      <c r="F15" s="2">
        <f t="shared" si="1"/>
        <v>0.23148148148148162</v>
      </c>
      <c r="L15">
        <v>9</v>
      </c>
      <c r="M15" s="1">
        <f t="shared" si="4"/>
        <v>0.40873578755859363</v>
      </c>
      <c r="N15" s="1">
        <f t="shared" si="3"/>
        <v>0.67005866812884207</v>
      </c>
      <c r="P15" s="1"/>
      <c r="Q15" s="1"/>
    </row>
    <row r="16" spans="1:17">
      <c r="A16">
        <v>24</v>
      </c>
      <c r="B16">
        <v>13</v>
      </c>
      <c r="C16" s="1">
        <f t="shared" si="0"/>
        <v>0.54166666666666663</v>
      </c>
      <c r="E16" s="1">
        <v>1.3333333333333333</v>
      </c>
      <c r="F16" s="2">
        <f t="shared" si="1"/>
        <v>0.14285714285714271</v>
      </c>
      <c r="I16">
        <f>(I14+I5)/2</f>
        <v>0.86781728446867101</v>
      </c>
      <c r="L16">
        <v>10</v>
      </c>
      <c r="M16" s="1">
        <f t="shared" si="4"/>
        <v>0.34742541942480459</v>
      </c>
      <c r="N16" s="1">
        <f t="shared" si="3"/>
        <v>0.56954986790951578</v>
      </c>
    </row>
    <row r="17" spans="1:14">
      <c r="A17">
        <v>24</v>
      </c>
      <c r="B17">
        <v>15</v>
      </c>
      <c r="C17" s="1">
        <f t="shared" si="0"/>
        <v>0.625</v>
      </c>
      <c r="E17" s="1">
        <v>1.5</v>
      </c>
      <c r="F17" s="2">
        <f t="shared" si="1"/>
        <v>0.12500000000000006</v>
      </c>
      <c r="L17">
        <v>11</v>
      </c>
      <c r="M17" s="1">
        <f t="shared" si="4"/>
        <v>0.2953116065110839</v>
      </c>
      <c r="N17" s="1">
        <f t="shared" si="3"/>
        <v>0.48411738772308838</v>
      </c>
    </row>
    <row r="18" spans="1:14">
      <c r="A18">
        <v>24</v>
      </c>
      <c r="B18">
        <v>17</v>
      </c>
      <c r="C18" s="1">
        <f t="shared" si="0"/>
        <v>0.70833333333333337</v>
      </c>
      <c r="E18" s="1"/>
      <c r="F18" s="2"/>
      <c r="H18" t="s">
        <v>8</v>
      </c>
      <c r="I18">
        <f>I14/I5</f>
        <v>4.7854485631244739</v>
      </c>
      <c r="L18">
        <v>12</v>
      </c>
      <c r="M18" s="1">
        <f t="shared" si="4"/>
        <v>0.25101486553442132</v>
      </c>
      <c r="N18" s="1">
        <f t="shared" si="3"/>
        <v>0.41149977956462513</v>
      </c>
    </row>
    <row r="19" spans="1:14">
      <c r="A19">
        <v>24</v>
      </c>
      <c r="B19">
        <v>19</v>
      </c>
      <c r="C19" s="1">
        <f t="shared" si="0"/>
        <v>0.79166666666666663</v>
      </c>
      <c r="I19">
        <f>2.2*2.2</f>
        <v>4.8400000000000007</v>
      </c>
    </row>
    <row r="20" spans="1:14">
      <c r="A20">
        <v>24</v>
      </c>
      <c r="B20">
        <v>21</v>
      </c>
      <c r="C20" s="1">
        <f t="shared" si="0"/>
        <v>0.875</v>
      </c>
    </row>
    <row r="21" spans="1:14">
      <c r="A21">
        <v>24</v>
      </c>
      <c r="B21">
        <v>24</v>
      </c>
      <c r="C21" s="1">
        <f t="shared" si="0"/>
        <v>1</v>
      </c>
    </row>
    <row r="22" spans="1:14">
      <c r="A22">
        <v>24</v>
      </c>
      <c r="B22">
        <v>28</v>
      </c>
      <c r="C22" s="1">
        <f t="shared" si="0"/>
        <v>1.1666666666666667</v>
      </c>
    </row>
    <row r="23" spans="1:14">
      <c r="A23">
        <v>24</v>
      </c>
      <c r="B23">
        <v>32</v>
      </c>
      <c r="C23" s="1">
        <f t="shared" si="0"/>
        <v>1.3333333333333333</v>
      </c>
    </row>
    <row r="24" spans="1:14">
      <c r="A24">
        <v>24</v>
      </c>
      <c r="B24">
        <v>36</v>
      </c>
      <c r="C24" s="1">
        <f t="shared" si="0"/>
        <v>1.5</v>
      </c>
    </row>
    <row r="29" spans="1:14">
      <c r="C29">
        <f>1.5/0.29</f>
        <v>5.1724137931034484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8"/>
  <sheetViews>
    <sheetView workbookViewId="0">
      <selection activeCell="E20" sqref="E20"/>
    </sheetView>
  </sheetViews>
  <sheetFormatPr defaultRowHeight="15"/>
  <cols>
    <col min="1" max="1" width="19.85546875" bestFit="1" customWidth="1"/>
    <col min="4" max="4" width="15.5703125" bestFit="1" customWidth="1"/>
    <col min="7" max="7" width="16" customWidth="1"/>
    <col min="8" max="8" width="13.5703125" customWidth="1"/>
    <col min="12" max="12" width="3.5703125" customWidth="1"/>
    <col min="13" max="13" width="10.42578125" bestFit="1" customWidth="1"/>
    <col min="14" max="14" width="3.42578125" bestFit="1" customWidth="1"/>
  </cols>
  <sheetData>
    <row r="1" spans="1:16">
      <c r="A1" t="s">
        <v>12</v>
      </c>
    </row>
    <row r="3" spans="1:16">
      <c r="A3" t="s">
        <v>13</v>
      </c>
      <c r="B3">
        <v>175</v>
      </c>
      <c r="C3" t="s">
        <v>14</v>
      </c>
    </row>
    <row r="4" spans="1:16">
      <c r="A4" t="s">
        <v>15</v>
      </c>
      <c r="B4">
        <v>1800</v>
      </c>
      <c r="C4" t="s">
        <v>16</v>
      </c>
      <c r="D4" t="s">
        <v>24</v>
      </c>
      <c r="E4">
        <v>75</v>
      </c>
      <c r="F4" t="s">
        <v>14</v>
      </c>
      <c r="G4" t="s">
        <v>25</v>
      </c>
      <c r="H4">
        <v>75</v>
      </c>
      <c r="I4" t="s">
        <v>14</v>
      </c>
    </row>
    <row r="6" spans="1:16">
      <c r="A6" t="s">
        <v>17</v>
      </c>
      <c r="B6">
        <f>B4*B3</f>
        <v>315000</v>
      </c>
      <c r="C6" t="s">
        <v>47</v>
      </c>
      <c r="D6" t="s">
        <v>19</v>
      </c>
      <c r="E6">
        <f>B6*E8/E7</f>
        <v>201393.44262295082</v>
      </c>
      <c r="F6" t="s">
        <v>18</v>
      </c>
      <c r="G6" t="s">
        <v>7</v>
      </c>
      <c r="H6" t="s">
        <v>57</v>
      </c>
      <c r="I6" t="s">
        <v>26</v>
      </c>
      <c r="J6" t="s">
        <v>27</v>
      </c>
      <c r="K6" s="3" t="s">
        <v>28</v>
      </c>
      <c r="L6" s="3"/>
      <c r="M6" s="3"/>
      <c r="N6" s="3"/>
      <c r="O6" t="s">
        <v>29</v>
      </c>
      <c r="P6" t="s">
        <v>30</v>
      </c>
    </row>
    <row r="7" spans="1:16">
      <c r="D7" t="s">
        <v>33</v>
      </c>
      <c r="E7">
        <f>E4*Sheet1!M4</f>
        <v>45.75</v>
      </c>
      <c r="G7">
        <v>1</v>
      </c>
      <c r="H7" s="1">
        <f>E$6*J7/I7</f>
        <v>495229.77694168227</v>
      </c>
      <c r="I7" s="1">
        <f>H$4-J7</f>
        <v>21.682464454976305</v>
      </c>
      <c r="J7" s="1">
        <f>H$4*Sheet1!N7/(1+Sheet1!N7)</f>
        <v>53.317535545023695</v>
      </c>
      <c r="K7" s="1">
        <f>H7/I7</f>
        <v>22840.105559496165</v>
      </c>
      <c r="L7" t="s">
        <v>16</v>
      </c>
      <c r="M7" s="1">
        <f>K7/4.4</f>
        <v>5190.9330817036735</v>
      </c>
      <c r="N7" t="s">
        <v>20</v>
      </c>
      <c r="O7">
        <v>10</v>
      </c>
      <c r="P7">
        <f>K7/O7</f>
        <v>2284.0105559496164</v>
      </c>
    </row>
    <row r="8" spans="1:16">
      <c r="D8" t="s">
        <v>34</v>
      </c>
      <c r="E8">
        <f>E4-E7</f>
        <v>29.25</v>
      </c>
      <c r="G8">
        <v>2</v>
      </c>
      <c r="H8" s="1">
        <f t="shared" ref="H8:H18" si="0">E$6*J8/I8</f>
        <v>420945.31040042982</v>
      </c>
      <c r="I8" s="1">
        <f t="shared" ref="I8:I18" si="1">H$4-J8</f>
        <v>24.270557029177724</v>
      </c>
      <c r="J8" s="1">
        <f>H$4*Sheet1!N8/(1+Sheet1!N8)</f>
        <v>50.729442970822276</v>
      </c>
      <c r="K8" s="1">
        <f t="shared" ref="K8:K18" si="2">H8*1000/I8</f>
        <v>17343866.887536831</v>
      </c>
      <c r="L8" t="s">
        <v>16</v>
      </c>
      <c r="M8" s="1">
        <f t="shared" ref="M8:M18" si="3">K8/4.4</f>
        <v>3941787.9289856432</v>
      </c>
      <c r="N8" t="s">
        <v>20</v>
      </c>
      <c r="O8">
        <f>ROUND(2*(K8/(K$7/O$7)),0)/2</f>
        <v>7593.5</v>
      </c>
      <c r="P8">
        <f t="shared" ref="P8:P18" si="4">K8/O8</f>
        <v>2284.041204653563</v>
      </c>
    </row>
    <row r="9" spans="1:16">
      <c r="D9" t="s">
        <v>21</v>
      </c>
      <c r="E9">
        <v>3</v>
      </c>
      <c r="G9">
        <v>3</v>
      </c>
      <c r="H9" s="1">
        <f t="shared" si="0"/>
        <v>357803.5138403654</v>
      </c>
      <c r="I9" s="1">
        <f t="shared" si="1"/>
        <v>27.011070110701112</v>
      </c>
      <c r="J9" s="1">
        <f>H$4*Sheet1!N9/(1+Sheet1!N9)</f>
        <v>47.988929889298888</v>
      </c>
      <c r="K9" s="1">
        <f t="shared" si="2"/>
        <v>13246550.853926094</v>
      </c>
      <c r="L9" t="s">
        <v>16</v>
      </c>
      <c r="M9" s="1">
        <f t="shared" si="3"/>
        <v>3010579.7395286574</v>
      </c>
      <c r="N9" t="s">
        <v>20</v>
      </c>
      <c r="O9">
        <f t="shared" ref="O9:O17" si="5">ROUND(2*(K9/(K$7/O$7)),0)/2</f>
        <v>5799.5</v>
      </c>
      <c r="P9">
        <f t="shared" si="4"/>
        <v>2284.0849821408906</v>
      </c>
    </row>
    <row r="10" spans="1:16">
      <c r="D10" t="s">
        <v>28</v>
      </c>
      <c r="E10">
        <f>B6/E7</f>
        <v>6885.2459016393441</v>
      </c>
      <c r="F10" t="s">
        <v>31</v>
      </c>
      <c r="G10">
        <v>4</v>
      </c>
      <c r="H10" s="1">
        <f t="shared" si="0"/>
        <v>304132.98676431068</v>
      </c>
      <c r="I10" s="1">
        <f t="shared" si="1"/>
        <v>29.878770562063757</v>
      </c>
      <c r="J10" s="1">
        <f>H$4*Sheet1!N10/(1+Sheet1!N10)</f>
        <v>45.121229437936243</v>
      </c>
      <c r="K10" s="1">
        <f t="shared" si="2"/>
        <v>10178898.965490228</v>
      </c>
      <c r="L10" t="s">
        <v>16</v>
      </c>
      <c r="M10" s="1">
        <f t="shared" si="3"/>
        <v>2313386.128520506</v>
      </c>
      <c r="N10" t="s">
        <v>20</v>
      </c>
      <c r="O10">
        <f t="shared" si="5"/>
        <v>4456.5</v>
      </c>
      <c r="P10">
        <f t="shared" si="4"/>
        <v>2284.0567632649449</v>
      </c>
    </row>
    <row r="11" spans="1:16">
      <c r="D11" t="s">
        <v>32</v>
      </c>
      <c r="E11">
        <f>E10/E9</f>
        <v>2295.0819672131147</v>
      </c>
      <c r="F11" t="s">
        <v>55</v>
      </c>
      <c r="G11">
        <v>5</v>
      </c>
      <c r="H11" s="1">
        <f t="shared" si="0"/>
        <v>258513.03874966403</v>
      </c>
      <c r="I11" s="1">
        <f t="shared" si="1"/>
        <v>32.84256432229683</v>
      </c>
      <c r="J11" s="1">
        <f>H$4*Sheet1!N11/(1+Sheet1!N11)</f>
        <v>42.15743567770317</v>
      </c>
      <c r="K11" s="1">
        <f t="shared" si="2"/>
        <v>7871280.5800660159</v>
      </c>
      <c r="L11" t="s">
        <v>16</v>
      </c>
      <c r="M11" s="1">
        <f t="shared" si="3"/>
        <v>1788927.4045604579</v>
      </c>
      <c r="N11" t="s">
        <v>20</v>
      </c>
      <c r="O11">
        <f t="shared" si="5"/>
        <v>3446.5</v>
      </c>
      <c r="P11">
        <f t="shared" si="4"/>
        <v>2283.8475497072441</v>
      </c>
    </row>
    <row r="12" spans="1:16">
      <c r="G12">
        <v>6</v>
      </c>
      <c r="H12" s="1">
        <f t="shared" si="0"/>
        <v>219736.08293721438</v>
      </c>
      <c r="I12" s="1">
        <f t="shared" si="1"/>
        <v>35.866656883366367</v>
      </c>
      <c r="J12" s="1">
        <f>H$4*Sheet1!N12/(1+Sheet1!N12)</f>
        <v>39.133343116633633</v>
      </c>
      <c r="K12" s="1">
        <f t="shared" si="2"/>
        <v>6126472.3849721234</v>
      </c>
      <c r="L12" t="s">
        <v>16</v>
      </c>
      <c r="M12" s="1">
        <f t="shared" si="3"/>
        <v>1392380.0874936644</v>
      </c>
      <c r="N12" t="s">
        <v>20</v>
      </c>
      <c r="O12">
        <f t="shared" si="5"/>
        <v>2682.5</v>
      </c>
      <c r="P12">
        <f t="shared" si="4"/>
        <v>2283.8666859169148</v>
      </c>
    </row>
    <row r="13" spans="1:16">
      <c r="G13">
        <v>7</v>
      </c>
      <c r="H13" s="1">
        <f t="shared" si="0"/>
        <v>186775.67049663229</v>
      </c>
      <c r="I13" s="1">
        <f t="shared" si="1"/>
        <v>38.912184628322223</v>
      </c>
      <c r="J13" s="1">
        <f>H$4*Sheet1!N13/(1+Sheet1!N13)</f>
        <v>36.087815371677777</v>
      </c>
      <c r="K13" s="1">
        <f t="shared" si="2"/>
        <v>4799927.6391356261</v>
      </c>
      <c r="L13" t="s">
        <v>16</v>
      </c>
      <c r="M13" s="1">
        <f t="shared" si="3"/>
        <v>1090892.6452580967</v>
      </c>
      <c r="N13" t="s">
        <v>20</v>
      </c>
      <c r="O13">
        <f t="shared" si="5"/>
        <v>2101.5</v>
      </c>
      <c r="P13">
        <f t="shared" si="4"/>
        <v>2284.0483650419351</v>
      </c>
    </row>
    <row r="14" spans="1:16">
      <c r="G14">
        <v>8</v>
      </c>
      <c r="H14" s="1">
        <f t="shared" si="0"/>
        <v>158759.31992213742</v>
      </c>
      <c r="I14" s="1">
        <f t="shared" si="1"/>
        <v>41.939170728505374</v>
      </c>
      <c r="J14" s="1">
        <f>H$4*Sheet1!N14/(1+Sheet1!N14)</f>
        <v>33.060829271494626</v>
      </c>
      <c r="K14" s="1">
        <f t="shared" si="2"/>
        <v>3785466.3591197636</v>
      </c>
      <c r="L14" t="s">
        <v>16</v>
      </c>
      <c r="M14" s="1">
        <f t="shared" si="3"/>
        <v>860333.26343630988</v>
      </c>
      <c r="N14" t="s">
        <v>20</v>
      </c>
      <c r="O14">
        <f t="shared" si="5"/>
        <v>1657.5</v>
      </c>
      <c r="P14">
        <f t="shared" si="4"/>
        <v>2283.840940645408</v>
      </c>
    </row>
    <row r="15" spans="1:16">
      <c r="G15">
        <v>9</v>
      </c>
      <c r="H15" s="1">
        <f t="shared" si="0"/>
        <v>134945.42193381683</v>
      </c>
      <c r="I15" s="1">
        <f t="shared" si="1"/>
        <v>44.908601973864236</v>
      </c>
      <c r="J15" s="1">
        <f>H$4*Sheet1!N15/(1+Sheet1!N15)</f>
        <v>30.09139802613576</v>
      </c>
      <c r="K15" s="1">
        <f t="shared" si="2"/>
        <v>3004890.2883316637</v>
      </c>
      <c r="L15" t="s">
        <v>16</v>
      </c>
      <c r="M15" s="1">
        <f t="shared" si="3"/>
        <v>682929.61098446895</v>
      </c>
      <c r="N15" t="s">
        <v>20</v>
      </c>
      <c r="O15">
        <f t="shared" si="5"/>
        <v>1315.5</v>
      </c>
      <c r="P15">
        <f t="shared" si="4"/>
        <v>2284.21914734448</v>
      </c>
    </row>
    <row r="16" spans="1:16">
      <c r="G16">
        <v>10</v>
      </c>
      <c r="H16" s="1">
        <f t="shared" si="0"/>
        <v>114703.6086437443</v>
      </c>
      <c r="I16" s="1">
        <f t="shared" si="1"/>
        <v>47.784400823079636</v>
      </c>
      <c r="J16" s="1">
        <f>H$4*Sheet1!N16/(1+Sheet1!N16)</f>
        <v>27.215599176920367</v>
      </c>
      <c r="K16" s="1">
        <f t="shared" si="2"/>
        <v>2400440.4506071154</v>
      </c>
      <c r="L16" t="s">
        <v>16</v>
      </c>
      <c r="M16" s="1">
        <f t="shared" si="3"/>
        <v>545554.6478652535</v>
      </c>
      <c r="N16" t="s">
        <v>20</v>
      </c>
      <c r="O16">
        <f t="shared" si="5"/>
        <v>1051</v>
      </c>
      <c r="P16">
        <f t="shared" si="4"/>
        <v>2283.9585638507283</v>
      </c>
    </row>
    <row r="17" spans="7:16">
      <c r="G17">
        <v>11</v>
      </c>
      <c r="H17" s="1">
        <f t="shared" si="0"/>
        <v>97498.067347182645</v>
      </c>
      <c r="I17" s="1">
        <f t="shared" si="1"/>
        <v>50.535086119477327</v>
      </c>
      <c r="J17" s="1">
        <f>H$4*Sheet1!N17/(1+Sheet1!N17)</f>
        <v>24.464913880522669</v>
      </c>
      <c r="K17" s="1">
        <f t="shared" si="2"/>
        <v>1929314.3602580063</v>
      </c>
      <c r="L17" t="s">
        <v>16</v>
      </c>
      <c r="M17" s="1">
        <f t="shared" si="3"/>
        <v>438480.53642227413</v>
      </c>
      <c r="N17" t="s">
        <v>20</v>
      </c>
      <c r="O17">
        <f t="shared" si="5"/>
        <v>844.5</v>
      </c>
      <c r="P17">
        <f t="shared" si="4"/>
        <v>2284.5640737217363</v>
      </c>
    </row>
    <row r="18" spans="7:16">
      <c r="G18">
        <v>12</v>
      </c>
      <c r="H18" s="1">
        <f t="shared" si="0"/>
        <v>82873.357245105246</v>
      </c>
      <c r="I18" s="1">
        <f t="shared" si="1"/>
        <v>53.134971103667922</v>
      </c>
      <c r="J18" s="1">
        <f>H$4*Sheet1!N18/(1+Sheet1!N18)</f>
        <v>21.865028896332078</v>
      </c>
      <c r="K18" s="1">
        <f t="shared" si="2"/>
        <v>1559676.3397766198</v>
      </c>
      <c r="L18" t="s">
        <v>16</v>
      </c>
      <c r="M18" s="1">
        <f t="shared" si="3"/>
        <v>354471.89540377719</v>
      </c>
      <c r="N18" t="s">
        <v>20</v>
      </c>
      <c r="O18">
        <v>1</v>
      </c>
      <c r="P18">
        <f t="shared" si="4"/>
        <v>1559676.3397766198</v>
      </c>
    </row>
  </sheetData>
  <mergeCells count="1">
    <mergeCell ref="K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Motivo</dc:creator>
  <cp:lastModifiedBy>XPS</cp:lastModifiedBy>
  <dcterms:created xsi:type="dcterms:W3CDTF">2012-07-22T20:58:21Z</dcterms:created>
  <dcterms:modified xsi:type="dcterms:W3CDTF">2012-08-06T03:58:57Z</dcterms:modified>
</cp:coreProperties>
</file>