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tables/table23.xml" ContentType="application/vnd.openxmlformats-officedocument.spreadsheetml.table+xml"/>
  <Override PartName="/xl/drawings/drawing9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drawings/drawing10.xml" ContentType="application/vnd.openxmlformats-officedocument.drawing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drawings/drawing12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drawings/drawing1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5.xml" ContentType="application/vnd.openxmlformats-officedocument.drawing+xml"/>
  <Override PartName="/xl/charts/chart3.xml" ContentType="application/vnd.openxmlformats-officedocument.drawingml.chart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filterPrivacy="1" codeName="EstaPastaDeTrabalho" defaultThemeVersion="124226"/>
  <xr:revisionPtr revIDLastSave="0" documentId="13_ncr:1_{B7FBDEA3-7A36-F143-AF3A-C94A44CE55D9}" xr6:coauthVersionLast="47" xr6:coauthVersionMax="47" xr10:uidLastSave="{00000000-0000-0000-0000-000000000000}"/>
  <bookViews>
    <workbookView showVerticalScroll="0" xWindow="25660" yWindow="500" windowWidth="38340" windowHeight="21100" tabRatio="904" firstSheet="2" activeTab="10" xr2:uid="{00000000-000D-0000-FFFF-FFFF00000000}"/>
  </bookViews>
  <sheets>
    <sheet name="Principal" sheetId="16" r:id="rId1"/>
    <sheet name="Indice" sheetId="17" r:id="rId2"/>
    <sheet name="Informações Gerais" sheetId="15" r:id="rId3"/>
    <sheet name="Pessoas MOB" sheetId="14" r:id="rId4"/>
    <sheet name="Custos_Mecanização" sheetId="5" r:id="rId5"/>
    <sheet name="Atividades_Condução " sheetId="11" r:id="rId6"/>
    <sheet name="Atividade_ColheitaePós" sheetId="8" r:id="rId7"/>
    <sheet name="Gastos Gerais" sheetId="13" r:id="rId8"/>
    <sheet name="Juros de Custeio_Uso da Terra" sheetId="18" r:id="rId9"/>
    <sheet name="Inventário" sheetId="7" r:id="rId10"/>
    <sheet name="Análise" sheetId="9" r:id="rId11"/>
    <sheet name="Análise2" sheetId="25" state="hidden" r:id="rId12"/>
    <sheet name="Gráfico COE" sheetId="19" r:id="rId13"/>
    <sheet name="Gráfico COT" sheetId="20" r:id="rId14"/>
    <sheet name="Gráfico Margens" sheetId="21" r:id="rId15"/>
    <sheet name="Gráfico RT" sheetId="22" r:id="rId16"/>
    <sheet name="Simulações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3" l="1"/>
  <c r="C23" i="13"/>
  <c r="F87" i="11"/>
  <c r="F93" i="11"/>
  <c r="C31" i="9"/>
  <c r="B4" i="20" s="1"/>
  <c r="E90" i="7"/>
  <c r="C90" i="7"/>
  <c r="D68" i="7"/>
  <c r="C12" i="7"/>
  <c r="C21" i="13"/>
  <c r="C20" i="13"/>
  <c r="C19" i="13"/>
  <c r="C18" i="13"/>
  <c r="C17" i="13"/>
  <c r="C16" i="13"/>
  <c r="C15" i="13"/>
  <c r="C14" i="13"/>
  <c r="C13" i="13"/>
  <c r="C11" i="13"/>
  <c r="C24" i="14"/>
  <c r="G9" i="8"/>
  <c r="E21" i="5"/>
  <c r="E20" i="5"/>
  <c r="F79" i="11"/>
  <c r="F78" i="11"/>
  <c r="F76" i="11"/>
  <c r="F74" i="11"/>
  <c r="F72" i="11"/>
  <c r="E38" i="11"/>
  <c r="F43" i="11"/>
  <c r="E37" i="11"/>
  <c r="F33" i="11"/>
  <c r="F31" i="11"/>
  <c r="F30" i="11"/>
  <c r="E27" i="11"/>
  <c r="E26" i="11"/>
  <c r="E25" i="11"/>
  <c r="E24" i="11"/>
  <c r="F24" i="11"/>
  <c r="G59" i="11"/>
  <c r="E36" i="11"/>
  <c r="E35" i="11"/>
  <c r="E34" i="11"/>
  <c r="E32" i="11"/>
  <c r="E33" i="11"/>
  <c r="E30" i="11"/>
  <c r="E29" i="11"/>
  <c r="E17" i="11"/>
  <c r="D17" i="11"/>
  <c r="E15" i="11"/>
  <c r="E27" i="15"/>
  <c r="E28" i="15" s="1"/>
  <c r="C15" i="9" s="1"/>
  <c r="F50" i="14" l="1"/>
  <c r="I59" i="11"/>
  <c r="E91" i="7"/>
  <c r="E92" i="7"/>
  <c r="E93" i="7"/>
  <c r="E94" i="7"/>
  <c r="E95" i="7"/>
  <c r="E96" i="7"/>
  <c r="E97" i="7"/>
  <c r="E98" i="7"/>
  <c r="E99" i="7"/>
  <c r="E100" i="7"/>
  <c r="E89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68" i="7"/>
  <c r="F11" i="5" l="1"/>
  <c r="G11" i="5"/>
  <c r="H11" i="5" s="1"/>
  <c r="F12" i="5"/>
  <c r="G12" i="5"/>
  <c r="H12" i="5" s="1"/>
  <c r="F13" i="5"/>
  <c r="G13" i="5"/>
  <c r="H13" i="5" s="1"/>
  <c r="F14" i="5"/>
  <c r="G14" i="5"/>
  <c r="H14" i="5" s="1"/>
  <c r="F15" i="5"/>
  <c r="G15" i="5"/>
  <c r="H15" i="5" s="1"/>
  <c r="F16" i="5"/>
  <c r="G16" i="5"/>
  <c r="H16" i="5" s="1"/>
  <c r="F17" i="5"/>
  <c r="G17" i="5"/>
  <c r="H17" i="5" s="1"/>
  <c r="F18" i="5"/>
  <c r="G18" i="5"/>
  <c r="H18" i="5" s="1"/>
  <c r="F19" i="5"/>
  <c r="G19" i="5"/>
  <c r="H19" i="5" s="1"/>
  <c r="G10" i="5"/>
  <c r="H10" i="5" s="1"/>
  <c r="F10" i="5"/>
  <c r="B18" i="7"/>
  <c r="B19" i="7"/>
  <c r="B20" i="7"/>
  <c r="B21" i="7"/>
  <c r="B22" i="7"/>
  <c r="B23" i="7"/>
  <c r="B24" i="7"/>
  <c r="B25" i="7"/>
  <c r="B26" i="7"/>
  <c r="B27" i="7"/>
  <c r="B28" i="7"/>
  <c r="I35" i="14" l="1"/>
  <c r="I36" i="14"/>
  <c r="I37" i="14"/>
  <c r="I38" i="14"/>
  <c r="I39" i="14"/>
  <c r="I40" i="14"/>
  <c r="I41" i="14"/>
  <c r="I42" i="14"/>
  <c r="I43" i="14"/>
  <c r="I44" i="14"/>
  <c r="I45" i="14"/>
  <c r="F35" i="14"/>
  <c r="K35" i="14" s="1"/>
  <c r="F36" i="14"/>
  <c r="K36" i="14" s="1"/>
  <c r="F37" i="14"/>
  <c r="K37" i="14" s="1"/>
  <c r="F38" i="14"/>
  <c r="K38" i="14" s="1"/>
  <c r="F39" i="14"/>
  <c r="K39" i="14" s="1"/>
  <c r="F40" i="14"/>
  <c r="K40" i="14" s="1"/>
  <c r="F41" i="14"/>
  <c r="K41" i="14" s="1"/>
  <c r="F42" i="14"/>
  <c r="K42" i="14" s="1"/>
  <c r="F43" i="14"/>
  <c r="K43" i="14" s="1"/>
  <c r="F44" i="14"/>
  <c r="K44" i="14" s="1"/>
  <c r="F45" i="14"/>
  <c r="K45" i="14" s="1"/>
  <c r="I34" i="14"/>
  <c r="F34" i="14"/>
  <c r="K34" i="14" s="1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F10" i="14"/>
  <c r="K10" i="14" s="1"/>
  <c r="F11" i="14"/>
  <c r="K11" i="14" s="1"/>
  <c r="F12" i="14"/>
  <c r="K12" i="14" s="1"/>
  <c r="F13" i="14"/>
  <c r="K13" i="14" s="1"/>
  <c r="L13" i="14" s="1"/>
  <c r="M13" i="14" s="1"/>
  <c r="F14" i="14"/>
  <c r="K14" i="14" s="1"/>
  <c r="F15" i="14"/>
  <c r="K15" i="14" s="1"/>
  <c r="F16" i="14"/>
  <c r="K16" i="14" s="1"/>
  <c r="F17" i="14"/>
  <c r="K17" i="14" s="1"/>
  <c r="L17" i="14" s="1"/>
  <c r="M17" i="14" s="1"/>
  <c r="F18" i="14"/>
  <c r="K18" i="14" s="1"/>
  <c r="F19" i="14"/>
  <c r="K19" i="14" s="1"/>
  <c r="F20" i="14"/>
  <c r="K20" i="14" s="1"/>
  <c r="F21" i="14"/>
  <c r="K21" i="14" s="1"/>
  <c r="L21" i="14" s="1"/>
  <c r="M21" i="14" s="1"/>
  <c r="F22" i="14"/>
  <c r="K22" i="14" s="1"/>
  <c r="F23" i="14"/>
  <c r="K23" i="14" s="1"/>
  <c r="F9" i="14"/>
  <c r="K9" i="14" s="1"/>
  <c r="G50" i="14" l="1"/>
  <c r="H50" i="14" s="1"/>
  <c r="L44" i="14"/>
  <c r="M44" i="14" s="1"/>
  <c r="L36" i="14"/>
  <c r="M36" i="14" s="1"/>
  <c r="L45" i="14"/>
  <c r="M45" i="14" s="1"/>
  <c r="L37" i="14"/>
  <c r="M37" i="14" s="1"/>
  <c r="L16" i="14"/>
  <c r="M16" i="14" s="1"/>
  <c r="L22" i="14"/>
  <c r="M22" i="14" s="1"/>
  <c r="L14" i="14"/>
  <c r="M14" i="14" s="1"/>
  <c r="L9" i="14"/>
  <c r="L41" i="14"/>
  <c r="M41" i="14" s="1"/>
  <c r="L34" i="14"/>
  <c r="M34" i="14" s="1"/>
  <c r="L19" i="14"/>
  <c r="M19" i="14" s="1"/>
  <c r="L11" i="14"/>
  <c r="M11" i="14" s="1"/>
  <c r="L40" i="14"/>
  <c r="M40" i="14" s="1"/>
  <c r="L12" i="14"/>
  <c r="M12" i="14" s="1"/>
  <c r="L10" i="14"/>
  <c r="M10" i="14" s="1"/>
  <c r="L39" i="14"/>
  <c r="M39" i="14" s="1"/>
  <c r="L20" i="14"/>
  <c r="M20" i="14" s="1"/>
  <c r="L18" i="14"/>
  <c r="M18" i="14" s="1"/>
  <c r="L38" i="14"/>
  <c r="M38" i="14" s="1"/>
  <c r="K24" i="14"/>
  <c r="L23" i="14"/>
  <c r="M23" i="14" s="1"/>
  <c r="L15" i="14"/>
  <c r="M15" i="14" s="1"/>
  <c r="L43" i="14"/>
  <c r="M43" i="14" s="1"/>
  <c r="L35" i="14"/>
  <c r="M35" i="14" s="1"/>
  <c r="L42" i="14"/>
  <c r="M42" i="14" s="1"/>
  <c r="H90" i="7"/>
  <c r="H91" i="7"/>
  <c r="H92" i="7"/>
  <c r="H93" i="7"/>
  <c r="H94" i="7"/>
  <c r="H95" i="7"/>
  <c r="H96" i="7"/>
  <c r="H97" i="7"/>
  <c r="H98" i="7"/>
  <c r="H99" i="7"/>
  <c r="H100" i="7"/>
  <c r="H89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68" i="7"/>
  <c r="H55" i="7"/>
  <c r="H56" i="7"/>
  <c r="H57" i="7"/>
  <c r="H58" i="7"/>
  <c r="H59" i="7"/>
  <c r="H60" i="7"/>
  <c r="H61" i="7"/>
  <c r="H62" i="7"/>
  <c r="H63" i="7"/>
  <c r="H54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33" i="7"/>
  <c r="E18" i="7"/>
  <c r="H18" i="7" s="1"/>
  <c r="E19" i="7"/>
  <c r="H19" i="7" s="1"/>
  <c r="E20" i="7"/>
  <c r="H20" i="7" s="1"/>
  <c r="E21" i="7"/>
  <c r="H21" i="7" s="1"/>
  <c r="E22" i="7"/>
  <c r="H22" i="7" s="1"/>
  <c r="E23" i="7"/>
  <c r="H23" i="7" s="1"/>
  <c r="E24" i="7"/>
  <c r="H24" i="7" s="1"/>
  <c r="E25" i="7"/>
  <c r="H25" i="7" s="1"/>
  <c r="E26" i="7"/>
  <c r="H26" i="7" s="1"/>
  <c r="E27" i="7"/>
  <c r="H27" i="7" s="1"/>
  <c r="E28" i="7"/>
  <c r="H28" i="7" s="1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E12" i="13"/>
  <c r="F12" i="13" s="1"/>
  <c r="E13" i="13"/>
  <c r="E14" i="13"/>
  <c r="F14" i="13" s="1"/>
  <c r="E15" i="13"/>
  <c r="F15" i="13" s="1"/>
  <c r="E16" i="13"/>
  <c r="F16" i="13" s="1"/>
  <c r="E17" i="13"/>
  <c r="F17" i="13" s="1"/>
  <c r="E18" i="13"/>
  <c r="F18" i="13" s="1"/>
  <c r="E19" i="13"/>
  <c r="F19" i="13" s="1"/>
  <c r="E20" i="13"/>
  <c r="F20" i="13" s="1"/>
  <c r="E21" i="13"/>
  <c r="F21" i="13" s="1"/>
  <c r="E22" i="13"/>
  <c r="F22" i="13" s="1"/>
  <c r="E23" i="13"/>
  <c r="F23" i="13" s="1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11" i="13"/>
  <c r="F11" i="13" s="1"/>
  <c r="H34" i="8"/>
  <c r="H35" i="8"/>
  <c r="H36" i="8"/>
  <c r="H37" i="8"/>
  <c r="H38" i="8"/>
  <c r="H39" i="8"/>
  <c r="H40" i="8"/>
  <c r="G26" i="8"/>
  <c r="G27" i="8"/>
  <c r="G28" i="8"/>
  <c r="G29" i="8"/>
  <c r="G30" i="8"/>
  <c r="F30" i="8" s="1"/>
  <c r="H30" i="8" s="1"/>
  <c r="G31" i="8"/>
  <c r="G32" i="8"/>
  <c r="F32" i="8" s="1"/>
  <c r="H32" i="8" s="1"/>
  <c r="G33" i="8"/>
  <c r="F33" i="8" s="1"/>
  <c r="H33" i="8" s="1"/>
  <c r="G34" i="8"/>
  <c r="G35" i="8"/>
  <c r="G36" i="8"/>
  <c r="G37" i="8"/>
  <c r="G38" i="8"/>
  <c r="G39" i="8"/>
  <c r="G40" i="8"/>
  <c r="G25" i="8"/>
  <c r="F25" i="8" s="1"/>
  <c r="H25" i="8" s="1"/>
  <c r="F26" i="8"/>
  <c r="H26" i="8" s="1"/>
  <c r="F27" i="8"/>
  <c r="H27" i="8" s="1"/>
  <c r="F28" i="8"/>
  <c r="H28" i="8" s="1"/>
  <c r="F29" i="8"/>
  <c r="H29" i="8" s="1"/>
  <c r="F31" i="8"/>
  <c r="H31" i="8" s="1"/>
  <c r="F34" i="8"/>
  <c r="F35" i="8"/>
  <c r="F36" i="8"/>
  <c r="F37" i="8"/>
  <c r="F38" i="8"/>
  <c r="F39" i="8"/>
  <c r="F40" i="8"/>
  <c r="F13" i="13" l="1"/>
  <c r="M9" i="14"/>
  <c r="H41" i="8"/>
  <c r="G44" i="11"/>
  <c r="G45" i="11"/>
  <c r="I45" i="11" s="1"/>
  <c r="G46" i="11"/>
  <c r="G47" i="11"/>
  <c r="I47" i="11" s="1"/>
  <c r="G48" i="11"/>
  <c r="G49" i="11"/>
  <c r="I49" i="11" s="1"/>
  <c r="G50" i="11"/>
  <c r="G51" i="11"/>
  <c r="G52" i="11"/>
  <c r="G53" i="11"/>
  <c r="G54" i="11"/>
  <c r="G55" i="11"/>
  <c r="I55" i="11" s="1"/>
  <c r="G56" i="11"/>
  <c r="I56" i="11" s="1"/>
  <c r="G57" i="11"/>
  <c r="G58" i="11"/>
  <c r="I58" i="11" s="1"/>
  <c r="G60" i="11"/>
  <c r="G61" i="11"/>
  <c r="I61" i="11" s="1"/>
  <c r="G62" i="11"/>
  <c r="I62" i="11" s="1"/>
  <c r="G63" i="11"/>
  <c r="I63" i="11" s="1"/>
  <c r="G64" i="11"/>
  <c r="I64" i="11" s="1"/>
  <c r="G43" i="11"/>
  <c r="I39" i="11"/>
  <c r="I40" i="11"/>
  <c r="I41" i="11"/>
  <c r="H39" i="11"/>
  <c r="H40" i="11"/>
  <c r="H41" i="11"/>
  <c r="G25" i="11"/>
  <c r="I25" i="11" s="1"/>
  <c r="G26" i="11"/>
  <c r="G27" i="11"/>
  <c r="I27" i="11" s="1"/>
  <c r="G28" i="11"/>
  <c r="G29" i="11"/>
  <c r="I29" i="11" s="1"/>
  <c r="G30" i="11"/>
  <c r="G31" i="11"/>
  <c r="G32" i="11"/>
  <c r="G33" i="11"/>
  <c r="G34" i="11"/>
  <c r="I34" i="11" s="1"/>
  <c r="G35" i="11"/>
  <c r="G36" i="11"/>
  <c r="G37" i="11"/>
  <c r="G38" i="11"/>
  <c r="I38" i="11" s="1"/>
  <c r="G39" i="11"/>
  <c r="G40" i="11"/>
  <c r="G41" i="11"/>
  <c r="G24" i="11"/>
  <c r="I24" i="11" s="1"/>
  <c r="I21" i="11"/>
  <c r="I22" i="11"/>
  <c r="H21" i="11"/>
  <c r="H22" i="11"/>
  <c r="G16" i="11"/>
  <c r="I16" i="11" s="1"/>
  <c r="G17" i="11"/>
  <c r="G19" i="11"/>
  <c r="H19" i="11" s="1"/>
  <c r="G20" i="11"/>
  <c r="I20" i="11" s="1"/>
  <c r="G21" i="11"/>
  <c r="G22" i="11"/>
  <c r="G15" i="11"/>
  <c r="I60" i="11" l="1"/>
  <c r="I54" i="11"/>
  <c r="I53" i="11"/>
  <c r="I52" i="11"/>
  <c r="I51" i="11"/>
  <c r="I50" i="11"/>
  <c r="I57" i="11"/>
  <c r="I37" i="11"/>
  <c r="I36" i="11"/>
  <c r="I35" i="11"/>
  <c r="I32" i="11"/>
  <c r="I33" i="11"/>
  <c r="I31" i="11"/>
  <c r="I30" i="11"/>
  <c r="I28" i="11"/>
  <c r="H20" i="11"/>
  <c r="H18" i="11" s="1"/>
  <c r="I19" i="11"/>
  <c r="I18" i="11" s="1"/>
  <c r="I17" i="11"/>
  <c r="I15" i="11"/>
  <c r="G14" i="11"/>
  <c r="G18" i="11"/>
  <c r="I26" i="11"/>
  <c r="I43" i="11"/>
  <c r="I48" i="11"/>
  <c r="I46" i="11"/>
  <c r="I44" i="11"/>
  <c r="H9" i="11"/>
  <c r="I23" i="11" l="1"/>
  <c r="I14" i="11"/>
  <c r="I42" i="11"/>
  <c r="C13" i="9"/>
  <c r="C285" i="11"/>
  <c r="C286" i="11"/>
  <c r="C287" i="11"/>
  <c r="C288" i="11"/>
  <c r="C289" i="11"/>
  <c r="C290" i="11"/>
  <c r="C284" i="11"/>
  <c r="C38" i="25"/>
  <c r="E38" i="25" s="1"/>
  <c r="E31" i="25"/>
  <c r="C12" i="25"/>
  <c r="K24" i="11"/>
  <c r="L24" i="11" s="1"/>
  <c r="I65" i="11" l="1"/>
  <c r="A4" i="20"/>
  <c r="E108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71" i="11"/>
  <c r="M24" i="11"/>
  <c r="G290" i="11" s="1"/>
  <c r="F28" i="14" l="1"/>
  <c r="M32" i="9" s="1"/>
  <c r="I28" i="14"/>
  <c r="G284" i="11"/>
  <c r="G289" i="11"/>
  <c r="G288" i="11"/>
  <c r="G285" i="11"/>
  <c r="G287" i="11"/>
  <c r="G286" i="11"/>
  <c r="C15" i="25"/>
  <c r="O24" i="11"/>
  <c r="F108" i="11"/>
  <c r="C171" i="25" l="1"/>
  <c r="C118" i="25"/>
  <c r="C114" i="25"/>
  <c r="C174" i="25"/>
  <c r="C170" i="25"/>
  <c r="C119" i="25"/>
  <c r="C115" i="25"/>
  <c r="C173" i="25"/>
  <c r="C169" i="25"/>
  <c r="C116" i="25"/>
  <c r="D44" i="25"/>
  <c r="C172" i="25"/>
  <c r="C168" i="25"/>
  <c r="C117" i="25"/>
  <c r="C113" i="25"/>
  <c r="C13" i="25"/>
  <c r="L25" i="11"/>
  <c r="K25" i="11" s="1"/>
  <c r="D31" i="9"/>
  <c r="C168" i="9"/>
  <c r="C171" i="9"/>
  <c r="C169" i="9"/>
  <c r="C116" i="9"/>
  <c r="C118" i="9"/>
  <c r="C113" i="9"/>
  <c r="C174" i="9"/>
  <c r="C170" i="9"/>
  <c r="C173" i="9"/>
  <c r="C172" i="9"/>
  <c r="C115" i="9"/>
  <c r="C114" i="9"/>
  <c r="C119" i="9"/>
  <c r="C117" i="9"/>
  <c r="C44" i="25" l="1"/>
  <c r="C14" i="25"/>
  <c r="D38" i="25"/>
  <c r="D31" i="25"/>
  <c r="E50" i="7"/>
  <c r="C16" i="25" l="1"/>
  <c r="E44" i="25" s="1"/>
  <c r="C46" i="14"/>
  <c r="A8" i="20" l="1"/>
  <c r="A7" i="20"/>
  <c r="A6" i="20"/>
  <c r="A5" i="20"/>
  <c r="A3" i="20"/>
  <c r="C38" i="9" l="1"/>
  <c r="D38" i="9" l="1"/>
  <c r="E31" i="9"/>
  <c r="E38" i="9" l="1"/>
  <c r="E85" i="7" l="1"/>
  <c r="C40" i="13" s="1"/>
  <c r="E40" i="13" s="1"/>
  <c r="B17" i="7"/>
  <c r="G7" i="8"/>
  <c r="G6" i="8"/>
  <c r="D44" i="9"/>
  <c r="F40" i="13" l="1"/>
  <c r="D19" i="8"/>
  <c r="F19" i="8" s="1"/>
  <c r="E17" i="7"/>
  <c r="H17" i="7" s="1"/>
  <c r="F18" i="8"/>
  <c r="E64" i="7"/>
  <c r="C12" i="9"/>
  <c r="H8" i="11"/>
  <c r="J28" i="14"/>
  <c r="H59" i="11" l="1"/>
  <c r="H38" i="11"/>
  <c r="H30" i="11"/>
  <c r="H60" i="11"/>
  <c r="H16" i="11"/>
  <c r="H54" i="11"/>
  <c r="H51" i="11"/>
  <c r="H58" i="11"/>
  <c r="H31" i="11"/>
  <c r="H50" i="11"/>
  <c r="H56" i="11"/>
  <c r="H32" i="11"/>
  <c r="H62" i="11"/>
  <c r="H29" i="11"/>
  <c r="H61" i="11"/>
  <c r="H53" i="11"/>
  <c r="H57" i="11"/>
  <c r="H55" i="11"/>
  <c r="H33" i="11"/>
  <c r="H37" i="11"/>
  <c r="H64" i="11"/>
  <c r="H27" i="11"/>
  <c r="H17" i="11"/>
  <c r="H36" i="11"/>
  <c r="H63" i="11"/>
  <c r="H34" i="11"/>
  <c r="H28" i="11"/>
  <c r="H35" i="11"/>
  <c r="H52" i="11"/>
  <c r="H45" i="11"/>
  <c r="H47" i="11"/>
  <c r="H49" i="11"/>
  <c r="H25" i="11"/>
  <c r="H26" i="11"/>
  <c r="H48" i="11"/>
  <c r="H44" i="11"/>
  <c r="H15" i="11"/>
  <c r="H43" i="11"/>
  <c r="H46" i="11"/>
  <c r="H24" i="11"/>
  <c r="H10" i="11"/>
  <c r="H18" i="8"/>
  <c r="G18" i="8"/>
  <c r="B13" i="22"/>
  <c r="G8" i="8"/>
  <c r="E29" i="7"/>
  <c r="I24" i="14"/>
  <c r="I46" i="14"/>
  <c r="L46" i="14" s="1"/>
  <c r="M46" i="14" s="1"/>
  <c r="L28" i="14"/>
  <c r="H14" i="11" l="1"/>
  <c r="L24" i="14"/>
  <c r="M24" i="14" s="1"/>
  <c r="E99" i="11"/>
  <c r="B50" i="14"/>
  <c r="C172" i="8"/>
  <c r="C168" i="8"/>
  <c r="C170" i="8"/>
  <c r="C173" i="8"/>
  <c r="C169" i="8"/>
  <c r="C174" i="8"/>
  <c r="C116" i="8"/>
  <c r="C119" i="8"/>
  <c r="C114" i="8"/>
  <c r="C115" i="8"/>
  <c r="C171" i="8"/>
  <c r="C113" i="8"/>
  <c r="C117" i="8"/>
  <c r="C118" i="8"/>
  <c r="E107" i="11"/>
  <c r="D15" i="8" s="1"/>
  <c r="F107" i="11" s="1"/>
  <c r="C50" i="14" l="1"/>
  <c r="D50" i="14" s="1"/>
  <c r="H29" i="7"/>
  <c r="C53" i="14" l="1"/>
  <c r="H64" i="7"/>
  <c r="D53" i="14" l="1"/>
  <c r="G99" i="11" s="1"/>
  <c r="D16" i="8"/>
  <c r="E101" i="7"/>
  <c r="C41" i="13" s="1"/>
  <c r="E41" i="13" s="1"/>
  <c r="H101" i="7"/>
  <c r="F41" i="13" l="1"/>
  <c r="F42" i="13" s="1"/>
  <c r="C39" i="25"/>
  <c r="M17" i="25"/>
  <c r="M29" i="25" s="1"/>
  <c r="M18" i="25"/>
  <c r="C48" i="25"/>
  <c r="M18" i="9"/>
  <c r="M17" i="9"/>
  <c r="C48" i="9"/>
  <c r="C39" i="9"/>
  <c r="D39" i="9" l="1"/>
  <c r="M19" i="25"/>
  <c r="D48" i="25"/>
  <c r="E39" i="25"/>
  <c r="D39" i="25"/>
  <c r="E39" i="9"/>
  <c r="B15" i="22"/>
  <c r="J24" i="14"/>
  <c r="M28" i="14"/>
  <c r="J46" i="14"/>
  <c r="K46" i="14" l="1"/>
  <c r="E16" i="8" l="1"/>
  <c r="L30" i="14" l="1"/>
  <c r="C28" i="5"/>
  <c r="M30" i="14" l="1"/>
  <c r="E91" i="11"/>
  <c r="E95" i="11"/>
  <c r="I15" i="5"/>
  <c r="J15" i="5" s="1"/>
  <c r="I17" i="5"/>
  <c r="J17" i="5" s="1"/>
  <c r="I19" i="5"/>
  <c r="J19" i="5" s="1"/>
  <c r="I10" i="5"/>
  <c r="J10" i="5" s="1"/>
  <c r="I13" i="5"/>
  <c r="J13" i="5" s="1"/>
  <c r="I14" i="5"/>
  <c r="J14" i="5" s="1"/>
  <c r="I18" i="5"/>
  <c r="J18" i="5" s="1"/>
  <c r="I11" i="5"/>
  <c r="J11" i="5" s="1"/>
  <c r="I16" i="5"/>
  <c r="J16" i="5" s="1"/>
  <c r="I12" i="5"/>
  <c r="J12" i="5" s="1"/>
  <c r="E73" i="11"/>
  <c r="E75" i="11"/>
  <c r="E77" i="11"/>
  <c r="E79" i="11"/>
  <c r="E81" i="11"/>
  <c r="E83" i="11"/>
  <c r="E85" i="11"/>
  <c r="E87" i="11"/>
  <c r="E89" i="11"/>
  <c r="E93" i="11"/>
  <c r="E97" i="11"/>
  <c r="E71" i="11"/>
  <c r="E15" i="8"/>
  <c r="F15" i="8" s="1"/>
  <c r="D22" i="9"/>
  <c r="F12" i="7"/>
  <c r="F13" i="7" s="1"/>
  <c r="H50" i="7"/>
  <c r="H15" i="8" l="1"/>
  <c r="C29" i="5"/>
  <c r="E74" i="11" s="1"/>
  <c r="G15" i="8"/>
  <c r="H19" i="8"/>
  <c r="C42" i="13"/>
  <c r="E42" i="13"/>
  <c r="F16" i="8"/>
  <c r="I15" i="8" s="1"/>
  <c r="G42" i="11"/>
  <c r="G23" i="11"/>
  <c r="H85" i="7"/>
  <c r="E86" i="11" l="1"/>
  <c r="C22" i="25"/>
  <c r="D22" i="25" s="1"/>
  <c r="E94" i="11"/>
  <c r="E90" i="11"/>
  <c r="E72" i="11"/>
  <c r="E92" i="11"/>
  <c r="E88" i="11"/>
  <c r="E84" i="11"/>
  <c r="E82" i="11"/>
  <c r="E80" i="11"/>
  <c r="E78" i="11"/>
  <c r="E76" i="11"/>
  <c r="E98" i="11"/>
  <c r="E96" i="11"/>
  <c r="H95" i="11" s="1"/>
  <c r="I95" i="11" s="1"/>
  <c r="J95" i="11" s="1"/>
  <c r="G65" i="11"/>
  <c r="B6" i="19" s="1"/>
  <c r="C227" i="11"/>
  <c r="C160" i="11"/>
  <c r="C161" i="11"/>
  <c r="C224" i="11"/>
  <c r="C157" i="11"/>
  <c r="C228" i="11"/>
  <c r="C156" i="11"/>
  <c r="C158" i="11"/>
  <c r="C222" i="11"/>
  <c r="C223" i="11"/>
  <c r="C159" i="11"/>
  <c r="C225" i="11"/>
  <c r="C226" i="11"/>
  <c r="C155" i="11"/>
  <c r="K219" i="11"/>
  <c r="H219" i="11"/>
  <c r="H152" i="11"/>
  <c r="K152" i="11"/>
  <c r="L219" i="11"/>
  <c r="I219" i="11"/>
  <c r="G152" i="11"/>
  <c r="J152" i="11"/>
  <c r="J219" i="11"/>
  <c r="F219" i="11"/>
  <c r="F152" i="11"/>
  <c r="I152" i="11"/>
  <c r="G219" i="11"/>
  <c r="L152" i="11"/>
  <c r="H16" i="8"/>
  <c r="C22" i="9"/>
  <c r="H104" i="7"/>
  <c r="E30" i="25" s="1"/>
  <c r="G19" i="8"/>
  <c r="M20" i="25" s="1"/>
  <c r="G16" i="8"/>
  <c r="G41" i="8"/>
  <c r="H23" i="11"/>
  <c r="H42" i="11"/>
  <c r="F41" i="8"/>
  <c r="I17" i="8" s="1"/>
  <c r="E22" i="25" l="1"/>
  <c r="H65" i="11"/>
  <c r="E30" i="9"/>
  <c r="H106" i="7"/>
  <c r="C30" i="25" s="1"/>
  <c r="D30" i="25" s="1"/>
  <c r="E22" i="9"/>
  <c r="B7" i="20"/>
  <c r="C30" i="9" l="1"/>
  <c r="D30" i="9" l="1"/>
  <c r="B3" i="20"/>
  <c r="B12" i="22"/>
  <c r="G108" i="11" l="1"/>
  <c r="G98" i="11" s="1"/>
  <c r="C44" i="9" l="1"/>
  <c r="C14" i="9"/>
  <c r="D48" i="9"/>
  <c r="M19" i="9"/>
  <c r="C16" i="9" l="1"/>
  <c r="E44" i="9" s="1"/>
  <c r="M20" i="9"/>
  <c r="B6" i="21"/>
  <c r="M29" i="9" l="1"/>
  <c r="E17" i="8" l="1"/>
  <c r="F17" i="8" s="1"/>
  <c r="I16" i="8" s="1"/>
  <c r="H75" i="11"/>
  <c r="I75" i="11" s="1"/>
  <c r="J75" i="11" s="1"/>
  <c r="H77" i="11"/>
  <c r="I77" i="11" s="1"/>
  <c r="J77" i="11" s="1"/>
  <c r="H79" i="11"/>
  <c r="I79" i="11" s="1"/>
  <c r="J79" i="11" s="1"/>
  <c r="H81" i="11"/>
  <c r="I81" i="11" s="1"/>
  <c r="J81" i="11" s="1"/>
  <c r="H83" i="11"/>
  <c r="I83" i="11" s="1"/>
  <c r="J83" i="11" s="1"/>
  <c r="H85" i="11"/>
  <c r="I85" i="11" s="1"/>
  <c r="J85" i="11" s="1"/>
  <c r="H87" i="11"/>
  <c r="I87" i="11" s="1"/>
  <c r="J87" i="11" s="1"/>
  <c r="H89" i="11"/>
  <c r="I89" i="11" s="1"/>
  <c r="J89" i="11" s="1"/>
  <c r="H91" i="11"/>
  <c r="I91" i="11" s="1"/>
  <c r="J91" i="11" s="1"/>
  <c r="H93" i="11"/>
  <c r="I93" i="11" s="1"/>
  <c r="J93" i="11" s="1"/>
  <c r="H73" i="11"/>
  <c r="I73" i="11" s="1"/>
  <c r="J73" i="11" s="1"/>
  <c r="G17" i="8" l="1"/>
  <c r="G20" i="8" s="1"/>
  <c r="G43" i="8" s="1"/>
  <c r="E21" i="9" s="1"/>
  <c r="F20" i="8"/>
  <c r="H17" i="8"/>
  <c r="H20" i="8" s="1"/>
  <c r="H71" i="11"/>
  <c r="E21" i="25" l="1"/>
  <c r="F43" i="8"/>
  <c r="C21" i="9" s="1"/>
  <c r="B6" i="20" s="1"/>
  <c r="G165" i="8"/>
  <c r="J165" i="8"/>
  <c r="H110" i="8"/>
  <c r="I71" i="11"/>
  <c r="J71" i="11" s="1"/>
  <c r="C21" i="25" l="1"/>
  <c r="D21" i="25" s="1"/>
  <c r="L165" i="8"/>
  <c r="K165" i="8"/>
  <c r="J110" i="8"/>
  <c r="H43" i="8"/>
  <c r="D21" i="9" s="1"/>
  <c r="I165" i="8"/>
  <c r="F110" i="8"/>
  <c r="G110" i="8"/>
  <c r="K110" i="8"/>
  <c r="L110" i="8"/>
  <c r="F165" i="8"/>
  <c r="H165" i="8"/>
  <c r="I110" i="8"/>
  <c r="G107" i="11" l="1"/>
  <c r="G97" i="11" l="1"/>
  <c r="H97" i="11" s="1"/>
  <c r="G53" i="14"/>
  <c r="B5" i="19"/>
  <c r="B4" i="19" l="1"/>
  <c r="I97" i="11"/>
  <c r="H100" i="11"/>
  <c r="H102" i="11" s="1"/>
  <c r="C20" i="9" l="1"/>
  <c r="E18" i="18"/>
  <c r="C20" i="25"/>
  <c r="J97" i="11"/>
  <c r="J100" i="11" s="1"/>
  <c r="J102" i="11" s="1"/>
  <c r="D20" i="9" s="1"/>
  <c r="I100" i="11"/>
  <c r="I102" i="11" s="1"/>
  <c r="E15" i="18" l="1"/>
  <c r="F15" i="18" s="1"/>
  <c r="E17" i="18"/>
  <c r="F17" i="18" s="1"/>
  <c r="E16" i="18"/>
  <c r="F16" i="18" s="1"/>
  <c r="C37" i="25"/>
  <c r="C37" i="9"/>
  <c r="E14" i="18"/>
  <c r="F14" i="18" s="1"/>
  <c r="B5" i="20"/>
  <c r="D20" i="25"/>
  <c r="E20" i="9"/>
  <c r="E20" i="25"/>
  <c r="F18" i="18" l="1"/>
  <c r="C23" i="9" s="1"/>
  <c r="E37" i="9"/>
  <c r="B14" i="22"/>
  <c r="D37" i="9"/>
  <c r="D37" i="25"/>
  <c r="E37" i="25"/>
  <c r="C23" i="25" l="1"/>
  <c r="E23" i="25" s="1"/>
  <c r="E24" i="25" s="1"/>
  <c r="M21" i="9"/>
  <c r="M22" i="9" s="1"/>
  <c r="M21" i="25"/>
  <c r="M22" i="25" s="1"/>
  <c r="D23" i="9"/>
  <c r="D24" i="9" s="1"/>
  <c r="E23" i="9"/>
  <c r="E24" i="9" s="1"/>
  <c r="B7" i="19"/>
  <c r="B8" i="20"/>
  <c r="C24" i="9"/>
  <c r="F23" i="9" s="1"/>
  <c r="B8" i="19" l="1"/>
  <c r="D23" i="25"/>
  <c r="D24" i="25" s="1"/>
  <c r="C24" i="25"/>
  <c r="F22" i="25" s="1"/>
  <c r="E45" i="9"/>
  <c r="E29" i="9"/>
  <c r="E32" i="9" s="1"/>
  <c r="B9" i="20"/>
  <c r="C8" i="20" s="1"/>
  <c r="E45" i="25"/>
  <c r="E29" i="25"/>
  <c r="E32" i="25" s="1"/>
  <c r="F21" i="9"/>
  <c r="F22" i="9"/>
  <c r="C45" i="9"/>
  <c r="B7" i="21" s="1"/>
  <c r="C29" i="9"/>
  <c r="F20" i="9"/>
  <c r="C6" i="19" l="1"/>
  <c r="C8" i="19"/>
  <c r="C5" i="19"/>
  <c r="C4" i="19"/>
  <c r="C7" i="19"/>
  <c r="G110" i="25"/>
  <c r="D29" i="25"/>
  <c r="D32" i="25" s="1"/>
  <c r="K110" i="25"/>
  <c r="L110" i="25"/>
  <c r="D45" i="25"/>
  <c r="E167" i="25" s="1"/>
  <c r="G165" i="25"/>
  <c r="F110" i="25"/>
  <c r="J165" i="25"/>
  <c r="H165" i="25"/>
  <c r="K165" i="25"/>
  <c r="J110" i="25"/>
  <c r="H110" i="25"/>
  <c r="I165" i="25"/>
  <c r="L165" i="25"/>
  <c r="I110" i="25"/>
  <c r="F165" i="25"/>
  <c r="C45" i="25"/>
  <c r="F21" i="25"/>
  <c r="C29" i="25"/>
  <c r="C32" i="25" s="1"/>
  <c r="F29" i="25" s="1"/>
  <c r="F23" i="25"/>
  <c r="F20" i="25"/>
  <c r="D29" i="9"/>
  <c r="D32" i="9" s="1"/>
  <c r="H110" i="9"/>
  <c r="I165" i="9"/>
  <c r="L165" i="9"/>
  <c r="J110" i="9"/>
  <c r="L110" i="9"/>
  <c r="G165" i="9"/>
  <c r="I110" i="9"/>
  <c r="K110" i="9"/>
  <c r="G110" i="9"/>
  <c r="H165" i="9"/>
  <c r="J165" i="9"/>
  <c r="D45" i="9"/>
  <c r="F165" i="9"/>
  <c r="K165" i="9"/>
  <c r="F110" i="9"/>
  <c r="F24" i="9"/>
  <c r="C9" i="20"/>
  <c r="C6" i="20"/>
  <c r="C7" i="20"/>
  <c r="C3" i="20"/>
  <c r="C4" i="20"/>
  <c r="C5" i="20"/>
  <c r="E36" i="9"/>
  <c r="E40" i="9" s="1"/>
  <c r="E46" i="9"/>
  <c r="C32" i="9"/>
  <c r="F29" i="9" s="1"/>
  <c r="B11" i="22"/>
  <c r="E36" i="25"/>
  <c r="E40" i="25" s="1"/>
  <c r="E46" i="25"/>
  <c r="J182" i="25" l="1"/>
  <c r="K182" i="25"/>
  <c r="G177" i="25"/>
  <c r="F179" i="25"/>
  <c r="H177" i="25"/>
  <c r="J177" i="25"/>
  <c r="I178" i="25"/>
  <c r="J180" i="25"/>
  <c r="L179" i="25"/>
  <c r="G180" i="25"/>
  <c r="F181" i="25"/>
  <c r="H182" i="25"/>
  <c r="H178" i="25"/>
  <c r="K179" i="25"/>
  <c r="I180" i="25"/>
  <c r="H181" i="25"/>
  <c r="L182" i="25"/>
  <c r="G179" i="25"/>
  <c r="K183" i="25"/>
  <c r="K178" i="25"/>
  <c r="J179" i="25"/>
  <c r="J183" i="25"/>
  <c r="J181" i="25"/>
  <c r="H180" i="25"/>
  <c r="I182" i="25"/>
  <c r="I179" i="25"/>
  <c r="H179" i="25"/>
  <c r="K177" i="25"/>
  <c r="F182" i="25"/>
  <c r="F177" i="25"/>
  <c r="G181" i="25"/>
  <c r="I181" i="25"/>
  <c r="G182" i="25"/>
  <c r="I177" i="25"/>
  <c r="F180" i="25"/>
  <c r="L183" i="25"/>
  <c r="F183" i="25"/>
  <c r="L180" i="25"/>
  <c r="J178" i="25"/>
  <c r="K181" i="25"/>
  <c r="L177" i="25"/>
  <c r="L181" i="25"/>
  <c r="H183" i="25"/>
  <c r="G183" i="25"/>
  <c r="L178" i="25"/>
  <c r="K180" i="25"/>
  <c r="G178" i="25"/>
  <c r="F178" i="25"/>
  <c r="I183" i="25"/>
  <c r="D36" i="25"/>
  <c r="D40" i="25" s="1"/>
  <c r="D47" i="25" s="1"/>
  <c r="M24" i="25" s="1"/>
  <c r="D46" i="25"/>
  <c r="M23" i="25" s="1"/>
  <c r="F24" i="25"/>
  <c r="E167" i="8"/>
  <c r="E167" i="9"/>
  <c r="E221" i="11"/>
  <c r="D46" i="9"/>
  <c r="M23" i="9" s="1"/>
  <c r="D36" i="9"/>
  <c r="D40" i="9" s="1"/>
  <c r="E47" i="25"/>
  <c r="M28" i="25" s="1"/>
  <c r="M25" i="25"/>
  <c r="M27" i="25"/>
  <c r="F30" i="25"/>
  <c r="F31" i="25"/>
  <c r="C36" i="25"/>
  <c r="C46" i="25"/>
  <c r="C46" i="9"/>
  <c r="B8" i="21" s="1"/>
  <c r="C36" i="9"/>
  <c r="F31" i="9"/>
  <c r="F30" i="9"/>
  <c r="M31" i="9"/>
  <c r="M30" i="9"/>
  <c r="E49" i="9"/>
  <c r="C9" i="21" s="1"/>
  <c r="E47" i="9"/>
  <c r="M28" i="9" s="1"/>
  <c r="M27" i="9"/>
  <c r="M25" i="9"/>
  <c r="M31" i="25"/>
  <c r="E49" i="25"/>
  <c r="M30" i="25"/>
  <c r="D47" i="9" l="1"/>
  <c r="M24" i="9" s="1"/>
  <c r="F283" i="11"/>
  <c r="E112" i="25"/>
  <c r="E112" i="9"/>
  <c r="E154" i="11"/>
  <c r="E112" i="8"/>
  <c r="L235" i="11"/>
  <c r="H237" i="11"/>
  <c r="K236" i="11"/>
  <c r="G234" i="11"/>
  <c r="J238" i="11"/>
  <c r="I239" i="11"/>
  <c r="I233" i="11"/>
  <c r="J233" i="11"/>
  <c r="K235" i="11"/>
  <c r="L233" i="11"/>
  <c r="G237" i="11"/>
  <c r="L236" i="11"/>
  <c r="F235" i="11"/>
  <c r="K239" i="11"/>
  <c r="H239" i="11"/>
  <c r="H235" i="11"/>
  <c r="H236" i="11"/>
  <c r="I238" i="11"/>
  <c r="G239" i="11"/>
  <c r="H233" i="11"/>
  <c r="J235" i="11"/>
  <c r="H238" i="11"/>
  <c r="G236" i="11"/>
  <c r="J239" i="11"/>
  <c r="F239" i="11"/>
  <c r="F234" i="11"/>
  <c r="L238" i="11"/>
  <c r="I236" i="11"/>
  <c r="L239" i="11"/>
  <c r="J234" i="11"/>
  <c r="J237" i="11"/>
  <c r="F237" i="11"/>
  <c r="F233" i="11"/>
  <c r="K237" i="11"/>
  <c r="G238" i="11"/>
  <c r="K234" i="11"/>
  <c r="F238" i="11"/>
  <c r="K238" i="11"/>
  <c r="K233" i="11"/>
  <c r="H234" i="11"/>
  <c r="I237" i="11"/>
  <c r="L234" i="11"/>
  <c r="G235" i="11"/>
  <c r="L237" i="11"/>
  <c r="F236" i="11"/>
  <c r="I234" i="11"/>
  <c r="I235" i="11"/>
  <c r="G233" i="11"/>
  <c r="J236" i="11"/>
  <c r="K183" i="9"/>
  <c r="F178" i="9"/>
  <c r="G177" i="9"/>
  <c r="H180" i="9"/>
  <c r="L179" i="9"/>
  <c r="F180" i="9"/>
  <c r="I178" i="9"/>
  <c r="J179" i="9"/>
  <c r="J182" i="9"/>
  <c r="L183" i="9"/>
  <c r="L177" i="9"/>
  <c r="G180" i="9"/>
  <c r="L181" i="9"/>
  <c r="H183" i="9"/>
  <c r="L182" i="9"/>
  <c r="F182" i="9"/>
  <c r="G181" i="9"/>
  <c r="K179" i="9"/>
  <c r="F181" i="9"/>
  <c r="F179" i="9"/>
  <c r="J181" i="9"/>
  <c r="K181" i="9"/>
  <c r="L178" i="9"/>
  <c r="I180" i="9"/>
  <c r="J178" i="9"/>
  <c r="I177" i="9"/>
  <c r="I181" i="9"/>
  <c r="F177" i="9"/>
  <c r="H182" i="9"/>
  <c r="K182" i="9"/>
  <c r="G183" i="9"/>
  <c r="K180" i="9"/>
  <c r="G178" i="9"/>
  <c r="K178" i="9"/>
  <c r="H177" i="9"/>
  <c r="I183" i="9"/>
  <c r="J180" i="9"/>
  <c r="F183" i="9"/>
  <c r="G179" i="9"/>
  <c r="H181" i="9"/>
  <c r="J177" i="9"/>
  <c r="G182" i="9"/>
  <c r="J183" i="9"/>
  <c r="I179" i="9"/>
  <c r="H179" i="9"/>
  <c r="H178" i="9"/>
  <c r="I182" i="9"/>
  <c r="K177" i="9"/>
  <c r="L180" i="9"/>
  <c r="J180" i="8"/>
  <c r="H179" i="8"/>
  <c r="I177" i="8"/>
  <c r="G183" i="8"/>
  <c r="K180" i="8"/>
  <c r="G180" i="8"/>
  <c r="I178" i="8"/>
  <c r="J179" i="8"/>
  <c r="G182" i="8"/>
  <c r="K182" i="8"/>
  <c r="F177" i="8"/>
  <c r="K181" i="8"/>
  <c r="H177" i="8"/>
  <c r="G178" i="8"/>
  <c r="G179" i="8"/>
  <c r="F181" i="8"/>
  <c r="H183" i="8"/>
  <c r="J181" i="8"/>
  <c r="I182" i="8"/>
  <c r="H180" i="8"/>
  <c r="I180" i="8"/>
  <c r="J182" i="8"/>
  <c r="L181" i="8"/>
  <c r="L177" i="8"/>
  <c r="K178" i="8"/>
  <c r="L179" i="8"/>
  <c r="H178" i="8"/>
  <c r="F180" i="8"/>
  <c r="F182" i="8"/>
  <c r="L178" i="8"/>
  <c r="G177" i="8"/>
  <c r="L183" i="8"/>
  <c r="L180" i="8"/>
  <c r="I179" i="8"/>
  <c r="F178" i="8"/>
  <c r="K183" i="8"/>
  <c r="F179" i="8"/>
  <c r="I181" i="8"/>
  <c r="F183" i="8"/>
  <c r="K179" i="8"/>
  <c r="I183" i="8"/>
  <c r="K177" i="8"/>
  <c r="J177" i="8"/>
  <c r="G181" i="8"/>
  <c r="L182" i="8"/>
  <c r="H181" i="8"/>
  <c r="J178" i="8"/>
  <c r="H182" i="8"/>
  <c r="J183" i="8"/>
  <c r="F32" i="9"/>
  <c r="F32" i="25"/>
  <c r="C40" i="25"/>
  <c r="F36" i="25" s="1"/>
  <c r="C40" i="9"/>
  <c r="J125" i="25" l="1"/>
  <c r="J126" i="25"/>
  <c r="K122" i="25"/>
  <c r="G125" i="25"/>
  <c r="H128" i="25"/>
  <c r="F123" i="25"/>
  <c r="G127" i="25"/>
  <c r="J124" i="25"/>
  <c r="I128" i="25"/>
  <c r="I122" i="25"/>
  <c r="H123" i="25"/>
  <c r="H125" i="25"/>
  <c r="H122" i="25"/>
  <c r="H126" i="25"/>
  <c r="F124" i="25"/>
  <c r="F126" i="25"/>
  <c r="F125" i="25"/>
  <c r="H124" i="25"/>
  <c r="G126" i="25"/>
  <c r="J122" i="25"/>
  <c r="K123" i="25"/>
  <c r="L125" i="25"/>
  <c r="K127" i="25"/>
  <c r="L128" i="25"/>
  <c r="G123" i="25"/>
  <c r="L126" i="25"/>
  <c r="I124" i="25"/>
  <c r="H127" i="25"/>
  <c r="L124" i="25"/>
  <c r="J127" i="25"/>
  <c r="F122" i="25"/>
  <c r="F127" i="25"/>
  <c r="K126" i="25"/>
  <c r="G128" i="25"/>
  <c r="L123" i="25"/>
  <c r="L127" i="25"/>
  <c r="J123" i="25"/>
  <c r="K124" i="25"/>
  <c r="I127" i="25"/>
  <c r="I125" i="25"/>
  <c r="F128" i="25"/>
  <c r="G122" i="25"/>
  <c r="L122" i="25"/>
  <c r="J128" i="25"/>
  <c r="I126" i="25"/>
  <c r="I123" i="25"/>
  <c r="G124" i="25"/>
  <c r="K128" i="25"/>
  <c r="K125" i="25"/>
  <c r="H288" i="11"/>
  <c r="H287" i="11"/>
  <c r="H289" i="11"/>
  <c r="H290" i="11"/>
  <c r="H286" i="11"/>
  <c r="H284" i="11"/>
  <c r="H285" i="11"/>
  <c r="J122" i="8"/>
  <c r="L122" i="8"/>
  <c r="I128" i="8"/>
  <c r="I127" i="8"/>
  <c r="H127" i="8"/>
  <c r="I126" i="8"/>
  <c r="L123" i="8"/>
  <c r="J124" i="8"/>
  <c r="G128" i="8"/>
  <c r="G122" i="8"/>
  <c r="F122" i="8"/>
  <c r="H123" i="8"/>
  <c r="F125" i="8"/>
  <c r="H122" i="8"/>
  <c r="I123" i="8"/>
  <c r="F128" i="8"/>
  <c r="I125" i="8"/>
  <c r="I124" i="8"/>
  <c r="L124" i="8"/>
  <c r="K128" i="8"/>
  <c r="H126" i="8"/>
  <c r="F124" i="8"/>
  <c r="J128" i="8"/>
  <c r="J123" i="8"/>
  <c r="J127" i="8"/>
  <c r="J125" i="8"/>
  <c r="K123" i="8"/>
  <c r="L126" i="8"/>
  <c r="F123" i="8"/>
  <c r="G127" i="8"/>
  <c r="L125" i="8"/>
  <c r="K125" i="8"/>
  <c r="G126" i="8"/>
  <c r="G125" i="8"/>
  <c r="G123" i="8"/>
  <c r="K124" i="8"/>
  <c r="F127" i="8"/>
  <c r="L127" i="8"/>
  <c r="K126" i="8"/>
  <c r="J126" i="8"/>
  <c r="H125" i="8"/>
  <c r="H124" i="8"/>
  <c r="I122" i="8"/>
  <c r="F126" i="8"/>
  <c r="G124" i="8"/>
  <c r="K122" i="8"/>
  <c r="L128" i="8"/>
  <c r="K127" i="8"/>
  <c r="H128" i="8"/>
  <c r="J171" i="11"/>
  <c r="K171" i="11"/>
  <c r="F168" i="11"/>
  <c r="H171" i="11"/>
  <c r="I170" i="11"/>
  <c r="G169" i="11"/>
  <c r="L171" i="11"/>
  <c r="J167" i="11"/>
  <c r="I168" i="11"/>
  <c r="L167" i="11"/>
  <c r="J170" i="11"/>
  <c r="G171" i="11"/>
  <c r="F166" i="11"/>
  <c r="K172" i="11"/>
  <c r="K170" i="11"/>
  <c r="K168" i="11"/>
  <c r="G168" i="11"/>
  <c r="I167" i="11"/>
  <c r="G166" i="11"/>
  <c r="I172" i="11"/>
  <c r="F170" i="11"/>
  <c r="G167" i="11"/>
  <c r="J169" i="11"/>
  <c r="L168" i="11"/>
  <c r="L172" i="11"/>
  <c r="F167" i="11"/>
  <c r="I169" i="11"/>
  <c r="K167" i="11"/>
  <c r="L169" i="11"/>
  <c r="F169" i="11"/>
  <c r="L170" i="11"/>
  <c r="H169" i="11"/>
  <c r="H168" i="11"/>
  <c r="H172" i="11"/>
  <c r="F171" i="11"/>
  <c r="J172" i="11"/>
  <c r="L166" i="11"/>
  <c r="J168" i="11"/>
  <c r="I171" i="11"/>
  <c r="K166" i="11"/>
  <c r="I166" i="11"/>
  <c r="G170" i="11"/>
  <c r="H167" i="11"/>
  <c r="J166" i="11"/>
  <c r="F172" i="11"/>
  <c r="G172" i="11"/>
  <c r="H170" i="11"/>
  <c r="K169" i="11"/>
  <c r="H166" i="11"/>
  <c r="K126" i="9"/>
  <c r="K123" i="9"/>
  <c r="L123" i="9"/>
  <c r="G126" i="9"/>
  <c r="G127" i="9"/>
  <c r="L122" i="9"/>
  <c r="F123" i="9"/>
  <c r="I123" i="9"/>
  <c r="G128" i="9"/>
  <c r="J122" i="9"/>
  <c r="J128" i="9"/>
  <c r="J124" i="9"/>
  <c r="K124" i="9"/>
  <c r="I124" i="9"/>
  <c r="H124" i="9"/>
  <c r="F122" i="9"/>
  <c r="J127" i="9"/>
  <c r="H122" i="9"/>
  <c r="H123" i="9"/>
  <c r="F127" i="9"/>
  <c r="J125" i="9"/>
  <c r="K128" i="9"/>
  <c r="F124" i="9"/>
  <c r="K125" i="9"/>
  <c r="H125" i="9"/>
  <c r="I127" i="9"/>
  <c r="F125" i="9"/>
  <c r="L128" i="9"/>
  <c r="I122" i="9"/>
  <c r="L125" i="9"/>
  <c r="K122" i="9"/>
  <c r="J123" i="9"/>
  <c r="H127" i="9"/>
  <c r="G123" i="9"/>
  <c r="J126" i="9"/>
  <c r="L127" i="9"/>
  <c r="I125" i="9"/>
  <c r="H128" i="9"/>
  <c r="F126" i="9"/>
  <c r="G122" i="9"/>
  <c r="K127" i="9"/>
  <c r="G124" i="9"/>
  <c r="I128" i="9"/>
  <c r="L126" i="9"/>
  <c r="I126" i="9"/>
  <c r="F128" i="9"/>
  <c r="G125" i="9"/>
  <c r="H126" i="9"/>
  <c r="L124" i="9"/>
  <c r="C47" i="9"/>
  <c r="F38" i="9"/>
  <c r="E50" i="9"/>
  <c r="F39" i="9"/>
  <c r="M26" i="9"/>
  <c r="F37" i="9"/>
  <c r="F36" i="9"/>
  <c r="F39" i="25"/>
  <c r="F38" i="25"/>
  <c r="M26" i="25"/>
  <c r="E50" i="25"/>
  <c r="C47" i="25"/>
  <c r="F37" i="25"/>
  <c r="F40" i="9" l="1"/>
  <c r="F40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7" authorId="0" shapeId="0" xr:uid="{679E9452-4312-49A8-9363-2B9907FC9BC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30 ton/ha em anos normais
Período de abril a junho
Quebra de até 50% no ano.</t>
        </r>
      </text>
    </comment>
    <comment ref="E19" authorId="0" shapeId="0" xr:uid="{B99F3CBD-B870-4E9D-97ED-C442B78B34F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Fertirrigação</t>
        </r>
      </text>
    </comment>
    <comment ref="E25" authorId="0" shapeId="0" xr:uid="{984569FA-7DAF-4A38-94A6-D4AA2E1B8E3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Observatório</t>
        </r>
      </text>
    </comment>
    <comment ref="E27" authorId="0" shapeId="0" xr:uid="{B093D64D-658A-40A1-92FE-9A2ADB72AED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Dado atual</t>
        </r>
      </text>
    </comment>
    <comment ref="E29" authorId="0" shapeId="0" xr:uid="{CECB66D7-A3A5-4048-BD12-95DEBD9DFAE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Venda na roça para corretores.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81" authorId="0" shapeId="0" xr:uid="{D870764F-6A34-421D-97A1-EFDF71D054D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R$3,00/planta
27,8 plantas/dia
</t>
        </r>
      </text>
    </comment>
    <comment ref="B83" authorId="0" shapeId="0" xr:uid="{7454BE64-6C45-4624-8036-C6F216BFCCE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Diária de 90,00</t>
        </r>
      </text>
    </comment>
    <comment ref="B87" authorId="0" shapeId="0" xr:uid="{2AA56A62-B9C1-46B4-BBF2-7DA5FAEACDA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25,8 plantas / dia
R$4,00 / planta
21,55 diárias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9" authorId="0" shapeId="0" xr:uid="{517132C1-B29F-4AC7-9C33-577364D225C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Transporte da colheita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2" authorId="0" shapeId="0" xr:uid="{86A205B0-54F5-4FA1-9D58-2744C259C00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R$55.000,00 até colher    - COE obtido em painel.</t>
        </r>
      </text>
    </comment>
    <comment ref="D91" authorId="0" shapeId="0" xr:uid="{78946B28-D7FB-4F29-A4C5-EAFB7F2FCC2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4 x 8 x 5 
160 m³
15 horas máquina</t>
        </r>
      </text>
    </comment>
  </commentList>
</comments>
</file>

<file path=xl/sharedStrings.xml><?xml version="1.0" encoding="utf-8"?>
<sst xmlns="http://schemas.openxmlformats.org/spreadsheetml/2006/main" count="638" uniqueCount="349">
  <si>
    <t>Tratorista</t>
  </si>
  <si>
    <t>Custo do Dia Trabalhado (R$)</t>
  </si>
  <si>
    <t>Valor Total (R$)</t>
  </si>
  <si>
    <t>Custo de treinamento (R$)</t>
  </si>
  <si>
    <t>Nº de Dias Trabalhados</t>
  </si>
  <si>
    <t>Nº de Meses</t>
  </si>
  <si>
    <t>Salário líquido</t>
  </si>
  <si>
    <t>Fator (nº de salários)</t>
  </si>
  <si>
    <t>Salário Mínimo (R$)</t>
  </si>
  <si>
    <t>-</t>
  </si>
  <si>
    <t>Horas de uso anual</t>
  </si>
  <si>
    <t>Valor Novo (R$)</t>
  </si>
  <si>
    <t>TRATORES</t>
  </si>
  <si>
    <t>Resíduo</t>
  </si>
  <si>
    <t>Realizado</t>
  </si>
  <si>
    <t>Colheita</t>
  </si>
  <si>
    <t>Quantidade</t>
  </si>
  <si>
    <t>Funcionários</t>
  </si>
  <si>
    <t>Residual</t>
  </si>
  <si>
    <t>Quantidade de m²</t>
  </si>
  <si>
    <t>Especificações</t>
  </si>
  <si>
    <t xml:space="preserve"> Máquinas Próprias e Implementos</t>
  </si>
  <si>
    <t>Implantação 1ha</t>
  </si>
  <si>
    <t>Investimento de implantação para 1ha</t>
  </si>
  <si>
    <t>Unidade</t>
  </si>
  <si>
    <t>R$ (TOTAL)</t>
  </si>
  <si>
    <t>Hora Máquina</t>
  </si>
  <si>
    <t>Homem Dia</t>
  </si>
  <si>
    <t>Custos na Colheita e Pós Colheita</t>
  </si>
  <si>
    <t>Duração da Colheita (Meses)</t>
  </si>
  <si>
    <t>Área Produtiva (hectares)</t>
  </si>
  <si>
    <t>Margem Líquida</t>
  </si>
  <si>
    <t>Margem Bruta</t>
  </si>
  <si>
    <t>Receita</t>
  </si>
  <si>
    <t>COT</t>
  </si>
  <si>
    <t>Depreciação</t>
  </si>
  <si>
    <t>COE</t>
  </si>
  <si>
    <t>Colheita e Pós Colheita</t>
  </si>
  <si>
    <t>Condução da Lavoura</t>
  </si>
  <si>
    <t>Gastos Gerais</t>
  </si>
  <si>
    <t>MECANIZAÇÃO</t>
  </si>
  <si>
    <t>MÃO-DE-OBRA</t>
  </si>
  <si>
    <t>Sub-total 2</t>
  </si>
  <si>
    <t>Serviços gerais</t>
  </si>
  <si>
    <t>Item</t>
  </si>
  <si>
    <t>Sub-total 1</t>
  </si>
  <si>
    <t>Corretivos</t>
  </si>
  <si>
    <t>Quantidade/aplicação</t>
  </si>
  <si>
    <t>N° Aplicações</t>
  </si>
  <si>
    <t>1 - Insumos</t>
  </si>
  <si>
    <t>Mão-de-Obra Tratorista (R$/hora)</t>
  </si>
  <si>
    <t>R$(TOTAL)</t>
  </si>
  <si>
    <t>TOTAL</t>
  </si>
  <si>
    <t>Dias</t>
  </si>
  <si>
    <t>Serviços gerais tratorista</t>
  </si>
  <si>
    <t>Custos com Mecanização</t>
  </si>
  <si>
    <t>Total Tratorista</t>
  </si>
  <si>
    <t>N° de Funcionários</t>
  </si>
  <si>
    <t>Custo do dia trabalhado (R$)</t>
  </si>
  <si>
    <t>R$/dia</t>
  </si>
  <si>
    <t>Estimado(dias)</t>
  </si>
  <si>
    <t>Custo da Hora Trabalhada(R$)</t>
  </si>
  <si>
    <t>Manutenção benfeitorias</t>
  </si>
  <si>
    <t>ANÁLISE DO CUSTO OPERACIONAL EFETIVO (COE)</t>
  </si>
  <si>
    <t>ANÁLISE DO CUSTO OPERACIONAL TOTAL (COT)</t>
  </si>
  <si>
    <t>ANÁLISE</t>
  </si>
  <si>
    <t>RS/ha</t>
  </si>
  <si>
    <t>DEPRECIAÇÃO/ha</t>
  </si>
  <si>
    <t>R$/ha</t>
  </si>
  <si>
    <t>Quantidade/ha</t>
  </si>
  <si>
    <t>ESTIMADA (ha)</t>
  </si>
  <si>
    <t>RESÍDUO (ha)</t>
  </si>
  <si>
    <t>REALIZADA (ha)</t>
  </si>
  <si>
    <t>Tratorista (Dia)</t>
  </si>
  <si>
    <t>Investimentos em Irrigação</t>
  </si>
  <si>
    <t>Animais</t>
  </si>
  <si>
    <t xml:space="preserve"> Tratores Próprios</t>
  </si>
  <si>
    <t xml:space="preserve">Quantidade </t>
  </si>
  <si>
    <t>TRATOR (Marca/Modelo)</t>
  </si>
  <si>
    <t xml:space="preserve">Manutenção máquinas e implementos </t>
  </si>
  <si>
    <t>CUSTO MÉDIO DO HOMEM/DIA</t>
  </si>
  <si>
    <t>Potência do Motor (cv)</t>
  </si>
  <si>
    <t>Quantidade/ha/aplicação</t>
  </si>
  <si>
    <t>Produtividade (sacas/ha)</t>
  </si>
  <si>
    <t xml:space="preserve">Produção Total </t>
  </si>
  <si>
    <t>2 - Itens Gerais</t>
  </si>
  <si>
    <t>Produção Total (sacas)</t>
  </si>
  <si>
    <t>TOTAL (Sub-totais 1 + 2)</t>
  </si>
  <si>
    <t>Expectativa de vida útil (anos)</t>
  </si>
  <si>
    <t>Preço Médio Recebido por saca (R$)</t>
  </si>
  <si>
    <t>RECEITA CAFÉ (R$)</t>
  </si>
  <si>
    <t>ANÁLISE DE CUSTOS</t>
  </si>
  <si>
    <t>R$/saca</t>
  </si>
  <si>
    <t>Trator Alugado</t>
  </si>
  <si>
    <t>INFORMAÇÕES GERAIS</t>
  </si>
  <si>
    <t>CUSTOS DE MECANIZAÇÃO</t>
  </si>
  <si>
    <t>CONDUÇÃO DA LAVOURA</t>
  </si>
  <si>
    <t>COLHEITA E PÓS-COLHEITA</t>
  </si>
  <si>
    <t>OUTROS GASTOS</t>
  </si>
  <si>
    <t>INVENTÁRIO</t>
  </si>
  <si>
    <t>INFORMAÇÕES GERAIS:</t>
  </si>
  <si>
    <t>PESSOAS FIXAS</t>
  </si>
  <si>
    <t>Total PESSOAS Fixas</t>
  </si>
  <si>
    <t>Total PESSOAS Eventuais</t>
  </si>
  <si>
    <t>PESSOAS EVENTUAIS</t>
  </si>
  <si>
    <t>TRATORISTAS</t>
  </si>
  <si>
    <t>TOTAL CUSTO/HORA TRATOR</t>
  </si>
  <si>
    <t xml:space="preserve"> Total/ha (dia ou horas)</t>
  </si>
  <si>
    <t>1 - Total/ano/propriedade</t>
  </si>
  <si>
    <t>Valor Unitário (R$)</t>
  </si>
  <si>
    <t>1 - PESSOAS/Serviços Mecanizados</t>
  </si>
  <si>
    <t>Custos com PESSOAS Fixas</t>
  </si>
  <si>
    <t>PESSOAS Eventuais na Colheita</t>
  </si>
  <si>
    <t>Valor de novo (R$)</t>
  </si>
  <si>
    <t>Depreciação/ano (R$)</t>
  </si>
  <si>
    <t>Valor do m² (R$)</t>
  </si>
  <si>
    <t>Valor  unitário (R$)</t>
  </si>
  <si>
    <t xml:space="preserve">Participação </t>
  </si>
  <si>
    <t>Participação</t>
  </si>
  <si>
    <t>Sub-total 6</t>
  </si>
  <si>
    <t>DEPRECIAÇÃO TOTAL (Sub-totais 1 + 2 + 3 + 4 + 5 + 6)</t>
  </si>
  <si>
    <t>Sub-total 5</t>
  </si>
  <si>
    <t>Sub-total 4</t>
  </si>
  <si>
    <t>Sub-total 3</t>
  </si>
  <si>
    <t>Fertilizantes</t>
  </si>
  <si>
    <t>2 - Atividades realizadas por PESSOAS/Serviços Mecanizados</t>
  </si>
  <si>
    <t xml:space="preserve">Manutenção </t>
  </si>
  <si>
    <t xml:space="preserve">Custo Diesel </t>
  </si>
  <si>
    <t>R$/hora</t>
  </si>
  <si>
    <t xml:space="preserve">Custos Filtros e Lubrificantes </t>
  </si>
  <si>
    <t xml:space="preserve">PESSOAS </t>
  </si>
  <si>
    <t xml:space="preserve">CUSTO R$/hora </t>
  </si>
  <si>
    <t>PESSOAS</t>
  </si>
  <si>
    <t>Custos de Condução por Hectare</t>
  </si>
  <si>
    <t>Total ------------------</t>
  </si>
  <si>
    <t>VALOR DO ARRENDAMENTO ------------</t>
  </si>
  <si>
    <t>ANÁLISE DO CUSTO TOTAL (CT)</t>
  </si>
  <si>
    <t>PRODUÇÃO</t>
  </si>
  <si>
    <t>COMERCIALIZAÇÃO</t>
  </si>
  <si>
    <t>PAINEL</t>
  </si>
  <si>
    <t>PROPRIEDADE E USO DA TERRA</t>
  </si>
  <si>
    <t>% a. a.</t>
  </si>
  <si>
    <t>CT</t>
  </si>
  <si>
    <t>Participação no COE</t>
  </si>
  <si>
    <t>COE=&gt;</t>
  </si>
  <si>
    <t>Juros de Custeio</t>
  </si>
  <si>
    <t>JUROS DE CUSTEIO</t>
  </si>
  <si>
    <t>INFORMAÇÕES DE CUSTEIO E USO DA TERRA</t>
  </si>
  <si>
    <t>USO DA TERRA E JUROS DE CUSTEIO</t>
  </si>
  <si>
    <t>Taxa de Remuneração do Capital</t>
  </si>
  <si>
    <t>Hora de Colhedora</t>
  </si>
  <si>
    <t>Custo Operacional Total</t>
  </si>
  <si>
    <t>Pessoas</t>
  </si>
  <si>
    <t>Insumos</t>
  </si>
  <si>
    <t>Mecanização</t>
  </si>
  <si>
    <t>Outros Gastos</t>
  </si>
  <si>
    <t>Custo Total</t>
  </si>
  <si>
    <t>Depreciações</t>
  </si>
  <si>
    <t>Rentabilidade 'com terra'</t>
  </si>
  <si>
    <t>Remuneração 'com terra'</t>
  </si>
  <si>
    <t>Pró-labore</t>
  </si>
  <si>
    <t>Remuneração Terra</t>
  </si>
  <si>
    <t>Lucro/Prejuízo</t>
  </si>
  <si>
    <t>Remuneração Bens de Capital</t>
  </si>
  <si>
    <t xml:space="preserve"> Encargos Trabalhistas</t>
  </si>
  <si>
    <t>Parcela do COE (R$/ha)</t>
  </si>
  <si>
    <t>Juros (R$/ha)</t>
  </si>
  <si>
    <t>VALOR DA TERRA COM LAVOURA -----</t>
  </si>
  <si>
    <t>VALOR DA TERRA NUA --------------------</t>
  </si>
  <si>
    <t>ESPAÇAMENTO / ESTANDE DE PLANTIO ----</t>
  </si>
  <si>
    <t>VARIEDADE MAIS COMUM ----------------------</t>
  </si>
  <si>
    <t>SISTEMA DE CULTIVO -----------------------------</t>
  </si>
  <si>
    <t>ÁREA COM LAVOURAS (ha) ---------------------</t>
  </si>
  <si>
    <t>TIPO DE PRODUÇÃO ------------------------------</t>
  </si>
  <si>
    <t>PREÇO MÉDIO DE VENDA ------------------------</t>
  </si>
  <si>
    <t>FORMA DE COMERCIALIZAÇÃO ----------------</t>
  </si>
  <si>
    <t xml:space="preserve">Remuneração Capital Circulante + Remuneração Terra </t>
  </si>
  <si>
    <t>Remuneração da Terra (R$/ha)</t>
  </si>
  <si>
    <t>Estoque de capital</t>
  </si>
  <si>
    <t>sacas</t>
  </si>
  <si>
    <t>Relação de Troca</t>
  </si>
  <si>
    <t>%</t>
  </si>
  <si>
    <t>Remuneração Capital Circulante Próprio</t>
  </si>
  <si>
    <t>Produtos Fitossanitários</t>
  </si>
  <si>
    <t>20-05-20</t>
  </si>
  <si>
    <t>Coluna1</t>
  </si>
  <si>
    <t>Coluna2</t>
  </si>
  <si>
    <t>Coluna3</t>
  </si>
  <si>
    <t>Coluna4</t>
  </si>
  <si>
    <t>Coluna5</t>
  </si>
  <si>
    <t>ESTADO ------------------------------------------------</t>
  </si>
  <si>
    <t>CIDADE -------------------------------------------------</t>
  </si>
  <si>
    <t>DATA DA COLETA DE DADOS ------------------------</t>
  </si>
  <si>
    <t>ÁREA TOTAL DA PROPRIEDADE (ha) ------------</t>
  </si>
  <si>
    <t>Sub-total 1 (Para a área com Lavoura)</t>
  </si>
  <si>
    <t>Valor Combustível Diesel (R$)</t>
  </si>
  <si>
    <t>Valor novo (R$)</t>
  </si>
  <si>
    <t>Valor Residual</t>
  </si>
  <si>
    <t>Indicadores</t>
  </si>
  <si>
    <t>Valor</t>
  </si>
  <si>
    <t>Estoque de Capital Com Terra (CT)</t>
  </si>
  <si>
    <t>R$/Ano</t>
  </si>
  <si>
    <t>Estoque de Capital Sem Terra (ST)</t>
  </si>
  <si>
    <t>Estoque de Capital Unitário (Capital Investido / produção)</t>
  </si>
  <si>
    <t>R$/Unid.</t>
  </si>
  <si>
    <t>Gastos com Mão de Obra/unidade de produto</t>
  </si>
  <si>
    <t>Juros Pagos</t>
  </si>
  <si>
    <t>Juros Pagos por Unidade de produto</t>
  </si>
  <si>
    <t>Lucratividade (ML/RB)</t>
  </si>
  <si>
    <t>Lucro Equivalente (Lucro Uni./Preço Prod.)</t>
  </si>
  <si>
    <t>Unid.</t>
  </si>
  <si>
    <t>Ponto de Nivelamento (Produção)</t>
  </si>
  <si>
    <t>Unid./Ano</t>
  </si>
  <si>
    <t>Ponto de Nivelamento (Produtividade)</t>
  </si>
  <si>
    <t>Unid./Ha</t>
  </si>
  <si>
    <t>Relação Benefício/Custo (RB/CT)</t>
  </si>
  <si>
    <t>ROE (Retorno sobre patrimônio) (Lucro/Est. Cap.)</t>
  </si>
  <si>
    <t>% a.a.</t>
  </si>
  <si>
    <t>Taxa de giro do capital investido (RB/Est.Cap.)</t>
  </si>
  <si>
    <t>Taxa de Remuneração do Capital com Terra (ML/Est.Cap. CT)</t>
  </si>
  <si>
    <t>Taxa de Remuneração do Capital sem Terra (ML/Est.Cap. ST)</t>
  </si>
  <si>
    <t>Preço da diária por região</t>
  </si>
  <si>
    <t>R$/homem.dia</t>
  </si>
  <si>
    <t>Variação no COE</t>
  </si>
  <si>
    <t>Variação no Preço dos Fertilizantes</t>
  </si>
  <si>
    <t>Sensibilidade da Lucratividade às mudanças nos preços dos Fertilizantes e Defensivos</t>
  </si>
  <si>
    <t>Sensibilidade da Margem Bruta às mudanças nos preços dos Fertilizantes e Defensivos</t>
  </si>
  <si>
    <t>Sensibilidade da Lucratividade às mudanças no Preço de Venda e no COE</t>
  </si>
  <si>
    <t>Sensibilidade da Margem Bruta às mudanças no Preço de Venda e no COE</t>
  </si>
  <si>
    <t>Variação em PESSOAS/Serviços Mecanizados</t>
  </si>
  <si>
    <t>Gastaram</t>
  </si>
  <si>
    <t>Deveriam</t>
  </si>
  <si>
    <t>*1 TON 20-05-20 possui 200kg de Nitrogênio</t>
  </si>
  <si>
    <t>Nitrogênio</t>
  </si>
  <si>
    <t>N/sc</t>
  </si>
  <si>
    <t>Lucratividade</t>
  </si>
  <si>
    <t>Produtividade</t>
  </si>
  <si>
    <t>Var Lucratividade</t>
  </si>
  <si>
    <t>Sensibilidade da Lucratividade e da Produtividade às mudanças na quantidade de Fertilizante</t>
  </si>
  <si>
    <t xml:space="preserve"> </t>
  </si>
  <si>
    <t>Irrigação</t>
  </si>
  <si>
    <t>Coluna22</t>
  </si>
  <si>
    <t>Necessidade de tratorista</t>
  </si>
  <si>
    <t>Horas estimadas</t>
  </si>
  <si>
    <t>Horas Tratorista</t>
  </si>
  <si>
    <t>Correção da MO Fixa</t>
  </si>
  <si>
    <t>Tranferir para tratorista</t>
  </si>
  <si>
    <t>TIPO OU CATEGORIA ---------------------------------------</t>
  </si>
  <si>
    <t>PRODUTIVIDADE (toneladas/ha) --------------------</t>
  </si>
  <si>
    <t>Produtividade (toneladas/ha)</t>
  </si>
  <si>
    <t>R$/tonelada</t>
  </si>
  <si>
    <t>Produção Total (toneladas)</t>
  </si>
  <si>
    <t>Preço Médio Recebido por tonelada (R$)</t>
  </si>
  <si>
    <t>toneladas</t>
  </si>
  <si>
    <t>toneladas / hectare</t>
  </si>
  <si>
    <t>Percentual de utilização Manga</t>
  </si>
  <si>
    <t xml:space="preserve"> Benfeitorias específicas Manga</t>
  </si>
  <si>
    <t>RECEITA Manga (R$)</t>
  </si>
  <si>
    <t>Juazeiro</t>
  </si>
  <si>
    <t>BA</t>
  </si>
  <si>
    <t>Irrigado</t>
  </si>
  <si>
    <t>Semimecanizado</t>
  </si>
  <si>
    <t>Palmer</t>
  </si>
  <si>
    <t>Intermediário</t>
  </si>
  <si>
    <t>6,0 x 3,0 / 556</t>
  </si>
  <si>
    <t>Refugo (5%)</t>
  </si>
  <si>
    <t>Mercado externo (50%)</t>
  </si>
  <si>
    <t>Mercado interno (45%)</t>
  </si>
  <si>
    <t>MO Familiar</t>
  </si>
  <si>
    <t>Trator Arbus Pulverização (terceirizado)</t>
  </si>
  <si>
    <t>Trator para Roçagem (terceirizado)</t>
  </si>
  <si>
    <t>Água</t>
  </si>
  <si>
    <t>1000m³</t>
  </si>
  <si>
    <t>Água Fixo</t>
  </si>
  <si>
    <t>Energia</t>
  </si>
  <si>
    <t>Primaz</t>
  </si>
  <si>
    <t>MAP (granulado)</t>
  </si>
  <si>
    <t>Kg</t>
  </si>
  <si>
    <t>Ribumin</t>
  </si>
  <si>
    <t>FTE BR12</t>
  </si>
  <si>
    <t>Amiorgam</t>
  </si>
  <si>
    <t>Sulfato de Amônia</t>
  </si>
  <si>
    <t>Cloreto de Potássio (via solo)</t>
  </si>
  <si>
    <t>Cloreto de Potássio (via foliar)</t>
  </si>
  <si>
    <t>Sulfato de Magnésio (solo)</t>
  </si>
  <si>
    <t>Nitrato de Cálcio (foliar)</t>
  </si>
  <si>
    <t>Nitrato de Potássio (foliar)</t>
  </si>
  <si>
    <t>Nitrato de Cálcio (solo)</t>
  </si>
  <si>
    <t>Ácido bórico</t>
  </si>
  <si>
    <t>Sulfato de zinco</t>
  </si>
  <si>
    <t>kg</t>
  </si>
  <si>
    <t>L</t>
  </si>
  <si>
    <t>Rival</t>
  </si>
  <si>
    <t>Abamex</t>
  </si>
  <si>
    <t>Score</t>
  </si>
  <si>
    <t>Kaiso 250</t>
  </si>
  <si>
    <t>Glifosato</t>
  </si>
  <si>
    <t>Decis</t>
  </si>
  <si>
    <t>Conect</t>
  </si>
  <si>
    <t>Amistar top</t>
  </si>
  <si>
    <t>Amistar WG</t>
  </si>
  <si>
    <t>Tenaz</t>
  </si>
  <si>
    <t>Nativo</t>
  </si>
  <si>
    <t>Kumulus</t>
  </si>
  <si>
    <t>Succes</t>
  </si>
  <si>
    <t>Adesil</t>
  </si>
  <si>
    <t>Ajipower</t>
  </si>
  <si>
    <t>BigRed</t>
  </si>
  <si>
    <t>Maturação de ramos</t>
  </si>
  <si>
    <t>Indução floral</t>
  </si>
  <si>
    <t>Fitossanitário Adubação foliar</t>
  </si>
  <si>
    <t>Roçagem</t>
  </si>
  <si>
    <t>Toalete</t>
  </si>
  <si>
    <t>Proteção de fruto</t>
  </si>
  <si>
    <t>Poda de Pós Colheita</t>
  </si>
  <si>
    <t>Escoramento</t>
  </si>
  <si>
    <t>Aplicação de PBZ</t>
  </si>
  <si>
    <t>Curyom</t>
  </si>
  <si>
    <t>Politrym</t>
  </si>
  <si>
    <t>Capina química</t>
  </si>
  <si>
    <t>Caulin</t>
  </si>
  <si>
    <t>Fertirrigação/Irrigação</t>
  </si>
  <si>
    <t>PBZ (CULTAR)</t>
  </si>
  <si>
    <t>Limpeza de Panícula / Retirada de embonecamento</t>
  </si>
  <si>
    <t>Análise de solo</t>
  </si>
  <si>
    <t>EPI's</t>
  </si>
  <si>
    <t>Contribuição Sindical</t>
  </si>
  <si>
    <t>Monitoramento Mosca da fruta</t>
  </si>
  <si>
    <t>Despesas com financiamento</t>
  </si>
  <si>
    <t>Taxa K1</t>
  </si>
  <si>
    <t>Análise foliar</t>
  </si>
  <si>
    <t>Telefone / internet</t>
  </si>
  <si>
    <t>IPVA do veículo</t>
  </si>
  <si>
    <t>Combustível</t>
  </si>
  <si>
    <t>ITR</t>
  </si>
  <si>
    <t>Energia elétrica</t>
  </si>
  <si>
    <t>PRONAF</t>
  </si>
  <si>
    <t>Projeto Rural</t>
  </si>
  <si>
    <t>Cercas</t>
  </si>
  <si>
    <t>Reservatório</t>
  </si>
  <si>
    <t>Ferramentas Diversas</t>
  </si>
  <si>
    <t>Roçadeira Costal</t>
  </si>
  <si>
    <t>Pulverizador Costal</t>
  </si>
  <si>
    <t>Strada</t>
  </si>
  <si>
    <t>Casa/Galpão Geral</t>
  </si>
  <si>
    <t>Conjunto de irrigação (microaspersão)</t>
  </si>
  <si>
    <t>Casa de bomba (bomba 7,5hp) + filtro + câmera</t>
  </si>
  <si>
    <t>Kwh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</si>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</sst>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General"/>
    <numFmt numFmtId="165" formatCode="&quot; R$ &quot;#,##0.00&quot; &quot;;&quot;-R$ &quot;#,##0.00&quot; &quot;;&quot; R$ -&quot;#&quot; &quot;;&quot; &quot;@&quot; &quot;"/>
    <numFmt numFmtId="166" formatCode="[$-416]0%"/>
    <numFmt numFmtId="167" formatCode="[$R$-416]&quot; &quot;#,##0.00;[Red]&quot;-&quot;[$R$-416]&quot; &quot;#,##0.00"/>
    <numFmt numFmtId="168" formatCode="_-* #,##0_-;\-* #,##0_-;_-* &quot;-&quot;??_-;_-@_-"/>
    <numFmt numFmtId="169" formatCode="#,##0.00_ ;\-#,##0.00\ "/>
    <numFmt numFmtId="170" formatCode="&quot; &quot;[$R$]&quot; &quot;#,##0.00&quot; &quot;;&quot;-&quot;[$R$]&quot; &quot;#,##0.00&quot; &quot;;&quot; &quot;[$R$]&quot; -&quot;00&quot; &quot;;&quot; &quot;@&quot; &quot;"/>
    <numFmt numFmtId="171" formatCode="#,##0_ ;\-#,##0\ "/>
    <numFmt numFmtId="172" formatCode="0.0000"/>
    <numFmt numFmtId="173" formatCode="_-&quot;R$&quot;\ * #,##0.0000_-;\-&quot;R$&quot;\ * #,##0.0000_-;_-&quot;R$&quot;\ * &quot;-&quot;??_-;_-@_-"/>
    <numFmt numFmtId="174" formatCode="0.0000%"/>
    <numFmt numFmtId="175" formatCode="#,##0.0"/>
    <numFmt numFmtId="176" formatCode="&quot;R$&quot;\ #,##0.00"/>
    <numFmt numFmtId="177" formatCode="#,##0.0000"/>
  </numFmts>
  <fonts count="10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sz val="10"/>
      <color rgb="FF000000"/>
      <name val="Arial1"/>
    </font>
    <font>
      <b/>
      <i/>
      <u/>
      <sz val="11"/>
      <color rgb="FF00000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000000"/>
      <name val="Cambria"/>
      <family val="1"/>
      <scheme val="major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48"/>
      <color theme="1"/>
      <name val="Blackadder ITC"/>
      <family val="5"/>
    </font>
    <font>
      <sz val="11"/>
      <color theme="1"/>
      <name val="Blackadder ITC"/>
      <family val="5"/>
    </font>
    <font>
      <b/>
      <sz val="48"/>
      <color theme="6" tint="-0.499984740745262"/>
      <name val="Calibri"/>
      <family val="2"/>
      <scheme val="minor"/>
    </font>
    <font>
      <b/>
      <sz val="36"/>
      <color theme="6" tint="-0.499984740745262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24"/>
      <color theme="6" tint="-0.499984740745262"/>
      <name val="Calibri"/>
      <family val="2"/>
      <scheme val="minor"/>
    </font>
    <font>
      <b/>
      <sz val="24"/>
      <color theme="6" tint="-0.499984740745262"/>
      <name val="Calibri"/>
      <family val="2"/>
    </font>
    <font>
      <b/>
      <sz val="14"/>
      <color theme="5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0"/>
      <name val="Calibri"/>
      <family val="2"/>
    </font>
    <font>
      <b/>
      <sz val="15"/>
      <color theme="0"/>
      <name val="Arial"/>
      <family val="2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u/>
      <sz val="11"/>
      <color theme="3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5"/>
      <color theme="5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5"/>
      <color theme="1"/>
      <name val="Calibri (Corpo)"/>
    </font>
    <font>
      <sz val="11"/>
      <color theme="1"/>
      <name val="Calibri (Corpo)"/>
    </font>
    <font>
      <b/>
      <sz val="15"/>
      <color theme="1"/>
      <name val="Calibri (Corpo)"/>
    </font>
    <font>
      <sz val="2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 (Corpo)"/>
    </font>
    <font>
      <sz val="24"/>
      <color theme="1"/>
      <name val="Calibri (Corpo)"/>
    </font>
    <font>
      <sz val="12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8"/>
      <color theme="5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8"/>
      <color theme="0"/>
      <name val="Arial"/>
      <family val="2"/>
    </font>
    <font>
      <sz val="24"/>
      <color theme="0"/>
      <name val="Calibri"/>
      <family val="2"/>
    </font>
    <font>
      <sz val="25"/>
      <name val="Calibri (CORPO)"/>
    </font>
    <font>
      <sz val="12"/>
      <color rgb="FFFF0000"/>
      <name val="Calibri"/>
      <family val="2"/>
      <scheme val="minor"/>
    </font>
    <font>
      <b/>
      <sz val="22"/>
      <color rgb="FF00823B"/>
      <name val="Calibri (Corpo)"/>
    </font>
    <font>
      <b/>
      <sz val="14"/>
      <color rgb="FF00823B"/>
      <name val="Calibri"/>
      <family val="2"/>
      <scheme val="minor"/>
    </font>
    <font>
      <b/>
      <sz val="16"/>
      <color rgb="FF00823B"/>
      <name val="Calibri"/>
      <family val="2"/>
      <scheme val="minor"/>
    </font>
    <font>
      <b/>
      <sz val="26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rgb="FF00823B"/>
      <name val="Calibri"/>
      <family val="2"/>
      <scheme val="minor"/>
    </font>
    <font>
      <sz val="24"/>
      <name val="Calibri (Corpo)"/>
    </font>
    <font>
      <b/>
      <sz val="25"/>
      <name val="Calibri (Corpo)"/>
    </font>
    <font>
      <b/>
      <sz val="14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 (Corpo)"/>
    </font>
    <font>
      <sz val="12"/>
      <color theme="3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823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3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1" applyNumberFormat="0" applyFill="0" applyAlignment="0" applyProtection="0"/>
    <xf numFmtId="164" fontId="4" fillId="0" borderId="0" applyBorder="0" applyProtection="0"/>
    <xf numFmtId="9" fontId="5" fillId="0" borderId="0" applyFont="0" applyFill="0" applyBorder="0" applyAlignment="0" applyProtection="0"/>
    <xf numFmtId="0" fontId="5" fillId="0" borderId="0"/>
    <xf numFmtId="165" fontId="4" fillId="0" borderId="0" applyBorder="0" applyProtection="0"/>
    <xf numFmtId="166" fontId="4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164" fontId="7" fillId="0" borderId="0" applyBorder="0" applyProtection="0"/>
    <xf numFmtId="164" fontId="7" fillId="0" borderId="0" applyBorder="0" applyProtection="0"/>
    <xf numFmtId="0" fontId="8" fillId="0" borderId="0" applyNumberFormat="0" applyBorder="0" applyProtection="0"/>
    <xf numFmtId="167" fontId="8" fillId="0" borderId="0" applyBorder="0" applyProtection="0"/>
    <xf numFmtId="0" fontId="9" fillId="0" borderId="0" applyNumberFormat="0" applyFill="0" applyBorder="0" applyAlignment="0" applyProtection="0">
      <alignment vertical="top"/>
      <protection locked="0"/>
    </xf>
    <xf numFmtId="170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9" fillId="0" borderId="2" applyNumberFormat="0" applyFill="0" applyAlignment="0" applyProtection="0"/>
  </cellStyleXfs>
  <cellXfs count="332">
    <xf numFmtId="0" fontId="0" fillId="0" borderId="0" xfId="0"/>
    <xf numFmtId="0" fontId="11" fillId="0" borderId="0" xfId="15" applyFont="1" applyAlignment="1" applyProtection="1">
      <alignment horizontal="left" vertical="center"/>
    </xf>
    <xf numFmtId="0" fontId="11" fillId="0" borderId="0" xfId="15" applyFont="1" applyAlignment="1" applyProtection="1"/>
    <xf numFmtId="0" fontId="11" fillId="0" borderId="0" xfId="15" applyFont="1" applyAlignment="1" applyProtection="1">
      <alignment horizontal="right"/>
    </xf>
    <xf numFmtId="0" fontId="13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2" fontId="0" fillId="0" borderId="0" xfId="0" applyNumberFormat="1"/>
    <xf numFmtId="169" fontId="0" fillId="0" borderId="0" xfId="0" applyNumberFormat="1"/>
    <xf numFmtId="164" fontId="20" fillId="2" borderId="0" xfId="4" applyFont="1" applyFill="1" applyBorder="1" applyProtection="1"/>
    <xf numFmtId="0" fontId="20" fillId="2" borderId="0" xfId="0" applyFont="1" applyFill="1" applyAlignment="1">
      <alignment horizontal="center" vertical="top" wrapText="1"/>
    </xf>
    <xf numFmtId="164" fontId="19" fillId="2" borderId="0" xfId="4" applyFont="1" applyFill="1" applyBorder="1" applyProtection="1"/>
    <xf numFmtId="9" fontId="19" fillId="2" borderId="0" xfId="5" applyFont="1" applyFill="1" applyBorder="1" applyAlignment="1" applyProtection="1"/>
    <xf numFmtId="0" fontId="21" fillId="2" borderId="0" xfId="0" applyFont="1" applyFill="1"/>
    <xf numFmtId="0" fontId="22" fillId="2" borderId="0" xfId="0" applyFont="1" applyFill="1"/>
    <xf numFmtId="0" fontId="26" fillId="2" borderId="0" xfId="0" applyFont="1" applyFill="1"/>
    <xf numFmtId="0" fontId="27" fillId="0" borderId="0" xfId="15" applyFont="1" applyFill="1" applyBorder="1" applyAlignment="1" applyProtection="1"/>
    <xf numFmtId="0" fontId="25" fillId="2" borderId="0" xfId="0" applyFont="1" applyFill="1" applyAlignment="1">
      <alignment vertical="center"/>
    </xf>
    <xf numFmtId="0" fontId="33" fillId="0" borderId="0" xfId="0" applyFont="1"/>
    <xf numFmtId="0" fontId="36" fillId="0" borderId="0" xfId="0" applyFont="1"/>
    <xf numFmtId="0" fontId="35" fillId="0" borderId="0" xfId="0" applyFont="1" applyAlignment="1">
      <alignment vertical="center"/>
    </xf>
    <xf numFmtId="2" fontId="33" fillId="0" borderId="0" xfId="0" applyNumberFormat="1" applyFont="1"/>
    <xf numFmtId="0" fontId="28" fillId="2" borderId="0" xfId="0" applyFont="1" applyFill="1" applyAlignment="1">
      <alignment horizontal="left"/>
    </xf>
    <xf numFmtId="0" fontId="39" fillId="2" borderId="0" xfId="0" applyFont="1" applyFill="1" applyAlignment="1">
      <alignment horizontal="center"/>
    </xf>
    <xf numFmtId="0" fontId="40" fillId="0" borderId="0" xfId="0" applyFont="1" applyAlignment="1">
      <alignment vertical="center"/>
    </xf>
    <xf numFmtId="2" fontId="40" fillId="0" borderId="0" xfId="0" applyNumberFormat="1" applyFont="1" applyAlignment="1">
      <alignment vertical="center"/>
    </xf>
    <xf numFmtId="0" fontId="40" fillId="0" borderId="0" xfId="0" applyFont="1"/>
    <xf numFmtId="4" fontId="40" fillId="0" borderId="0" xfId="0" applyNumberFormat="1" applyFont="1"/>
    <xf numFmtId="10" fontId="40" fillId="0" borderId="0" xfId="2" applyNumberFormat="1" applyFont="1"/>
    <xf numFmtId="0" fontId="9" fillId="0" borderId="0" xfId="15" applyAlignment="1" applyProtection="1"/>
    <xf numFmtId="0" fontId="45" fillId="0" borderId="0" xfId="15" applyFont="1" applyAlignment="1" applyProtection="1"/>
    <xf numFmtId="0" fontId="40" fillId="0" borderId="0" xfId="0" applyFont="1" applyAlignment="1">
      <alignment wrapText="1"/>
    </xf>
    <xf numFmtId="4" fontId="40" fillId="0" borderId="0" xfId="0" applyNumberFormat="1" applyFont="1" applyAlignment="1">
      <alignment horizontal="center" vertical="center"/>
    </xf>
    <xf numFmtId="4" fontId="12" fillId="0" borderId="0" xfId="0" applyNumberFormat="1" applyFont="1"/>
    <xf numFmtId="9" fontId="40" fillId="0" borderId="0" xfId="2" applyFont="1"/>
    <xf numFmtId="0" fontId="12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46" fillId="0" borderId="0" xfId="15" applyFont="1" applyFill="1" applyAlignment="1" applyProtection="1">
      <alignment horizontal="left" vertical="center"/>
    </xf>
    <xf numFmtId="0" fontId="48" fillId="0" borderId="0" xfId="0" applyFont="1"/>
    <xf numFmtId="0" fontId="47" fillId="0" borderId="0" xfId="0" applyFont="1" applyAlignment="1">
      <alignment horizontal="center"/>
    </xf>
    <xf numFmtId="0" fontId="50" fillId="0" borderId="0" xfId="3" applyFont="1" applyFill="1" applyBorder="1" applyAlignment="1">
      <alignment horizontal="center" vertical="center"/>
    </xf>
    <xf numFmtId="172" fontId="47" fillId="0" borderId="0" xfId="0" applyNumberFormat="1" applyFont="1"/>
    <xf numFmtId="4" fontId="47" fillId="0" borderId="0" xfId="0" applyNumberFormat="1" applyFont="1"/>
    <xf numFmtId="4" fontId="47" fillId="0" borderId="0" xfId="17" applyNumberFormat="1" applyFont="1" applyFill="1"/>
    <xf numFmtId="173" fontId="47" fillId="0" borderId="0" xfId="0" applyNumberFormat="1" applyFont="1"/>
    <xf numFmtId="0" fontId="46" fillId="0" borderId="0" xfId="3" applyFont="1" applyFill="1" applyBorder="1"/>
    <xf numFmtId="0" fontId="46" fillId="0" borderId="0" xfId="3" applyFont="1" applyFill="1" applyBorder="1" applyAlignment="1">
      <alignment horizontal="center"/>
    </xf>
    <xf numFmtId="2" fontId="47" fillId="0" borderId="0" xfId="0" applyNumberFormat="1" applyFont="1" applyAlignment="1">
      <alignment horizontal="center"/>
    </xf>
    <xf numFmtId="164" fontId="20" fillId="2" borderId="0" xfId="4" applyFont="1" applyFill="1" applyBorder="1" applyAlignment="1" applyProtection="1">
      <alignment horizontal="center"/>
    </xf>
    <xf numFmtId="0" fontId="49" fillId="0" borderId="0" xfId="3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46" fillId="0" borderId="0" xfId="15" applyFont="1" applyFill="1" applyBorder="1" applyAlignment="1" applyProtection="1">
      <alignment horizontal="left" vertical="center"/>
    </xf>
    <xf numFmtId="0" fontId="51" fillId="0" borderId="0" xfId="3" applyFont="1" applyFill="1" applyBorder="1" applyAlignment="1">
      <alignment horizontal="center" vertical="center"/>
    </xf>
    <xf numFmtId="4" fontId="51" fillId="0" borderId="0" xfId="3" applyNumberFormat="1" applyFont="1" applyFill="1" applyBorder="1" applyAlignment="1">
      <alignment horizontal="center" vertical="center"/>
    </xf>
    <xf numFmtId="0" fontId="49" fillId="0" borderId="0" xfId="0" applyFont="1" applyAlignment="1">
      <alignment horizontal="left"/>
    </xf>
    <xf numFmtId="2" fontId="52" fillId="0" borderId="0" xfId="3" applyNumberFormat="1" applyFont="1" applyFill="1" applyBorder="1" applyAlignment="1" applyProtection="1">
      <alignment horizontal="center" vertical="center"/>
      <protection locked="0"/>
    </xf>
    <xf numFmtId="0" fontId="32" fillId="0" borderId="0" xfId="3" applyFont="1" applyFill="1" applyBorder="1" applyAlignment="1">
      <alignment horizontal="center" vertical="center"/>
    </xf>
    <xf numFmtId="3" fontId="37" fillId="0" borderId="0" xfId="3" applyNumberFormat="1" applyFont="1" applyFill="1" applyBorder="1" applyAlignment="1">
      <alignment horizontal="center" vertical="center"/>
    </xf>
    <xf numFmtId="4" fontId="37" fillId="0" borderId="0" xfId="3" applyNumberFormat="1" applyFont="1" applyFill="1" applyBorder="1" applyAlignment="1">
      <alignment horizontal="center" vertical="center"/>
    </xf>
    <xf numFmtId="0" fontId="37" fillId="0" borderId="0" xfId="3" applyFont="1" applyFill="1" applyBorder="1" applyAlignment="1">
      <alignment horizontal="center" vertical="center"/>
    </xf>
    <xf numFmtId="2" fontId="37" fillId="0" borderId="0" xfId="3" applyNumberFormat="1" applyFont="1" applyFill="1" applyBorder="1" applyAlignment="1">
      <alignment horizontal="center" vertical="center"/>
    </xf>
    <xf numFmtId="168" fontId="37" fillId="0" borderId="0" xfId="3" applyNumberFormat="1" applyFont="1" applyFill="1" applyBorder="1" applyAlignment="1">
      <alignment horizontal="center" vertical="center"/>
    </xf>
    <xf numFmtId="0" fontId="54" fillId="0" borderId="0" xfId="3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3" fontId="53" fillId="0" borderId="0" xfId="3" applyNumberFormat="1" applyFont="1" applyFill="1" applyBorder="1" applyAlignment="1" applyProtection="1">
      <alignment horizontal="center" vertical="center"/>
      <protection locked="0"/>
    </xf>
    <xf numFmtId="4" fontId="53" fillId="0" borderId="0" xfId="3" applyNumberFormat="1" applyFont="1" applyFill="1" applyBorder="1" applyAlignment="1" applyProtection="1">
      <alignment horizontal="center" vertical="center"/>
      <protection locked="0"/>
    </xf>
    <xf numFmtId="9" fontId="53" fillId="0" borderId="0" xfId="2" applyFont="1" applyFill="1" applyBorder="1" applyAlignment="1" applyProtection="1">
      <alignment horizontal="center" vertical="center"/>
      <protection locked="0"/>
    </xf>
    <xf numFmtId="4" fontId="53" fillId="0" borderId="0" xfId="3" applyNumberFormat="1" applyFont="1" applyFill="1" applyBorder="1" applyAlignment="1">
      <alignment horizontal="center" vertical="center"/>
    </xf>
    <xf numFmtId="0" fontId="53" fillId="0" borderId="0" xfId="3" applyFont="1" applyFill="1" applyBorder="1" applyAlignment="1">
      <alignment horizontal="center" vertical="center"/>
    </xf>
    <xf numFmtId="0" fontId="54" fillId="0" borderId="0" xfId="3" applyFont="1" applyFill="1" applyBorder="1" applyAlignment="1">
      <alignment vertical="center"/>
    </xf>
    <xf numFmtId="0" fontId="37" fillId="0" borderId="0" xfId="3" applyFont="1" applyFill="1" applyBorder="1" applyAlignment="1">
      <alignment horizontal="left" vertical="center"/>
    </xf>
    <xf numFmtId="0" fontId="37" fillId="0" borderId="0" xfId="3" applyNumberFormat="1" applyFont="1" applyFill="1" applyBorder="1" applyAlignment="1">
      <alignment horizontal="center" vertical="center"/>
    </xf>
    <xf numFmtId="2" fontId="38" fillId="0" borderId="0" xfId="3" applyNumberFormat="1" applyFont="1" applyFill="1" applyBorder="1" applyAlignment="1">
      <alignment horizontal="center" vertical="center"/>
    </xf>
    <xf numFmtId="0" fontId="55" fillId="0" borderId="0" xfId="0" applyFont="1"/>
    <xf numFmtId="3" fontId="35" fillId="0" borderId="0" xfId="3" applyNumberFormat="1" applyFont="1" applyFill="1" applyBorder="1" applyAlignment="1">
      <alignment horizontal="center" vertical="center"/>
    </xf>
    <xf numFmtId="2" fontId="35" fillId="0" borderId="0" xfId="3" applyNumberFormat="1" applyFont="1" applyFill="1" applyBorder="1" applyAlignment="1">
      <alignment horizontal="center" vertical="center"/>
    </xf>
    <xf numFmtId="168" fontId="35" fillId="0" borderId="0" xfId="3" applyNumberFormat="1" applyFont="1" applyFill="1" applyBorder="1" applyAlignment="1">
      <alignment horizontal="center" vertical="center"/>
    </xf>
    <xf numFmtId="4" fontId="35" fillId="0" borderId="0" xfId="3" applyNumberFormat="1" applyFont="1" applyFill="1" applyBorder="1" applyAlignment="1">
      <alignment horizontal="center" vertical="center"/>
    </xf>
    <xf numFmtId="2" fontId="55" fillId="0" borderId="0" xfId="0" applyNumberFormat="1" applyFont="1"/>
    <xf numFmtId="0" fontId="34" fillId="0" borderId="0" xfId="0" applyFont="1"/>
    <xf numFmtId="0" fontId="53" fillId="0" borderId="0" xfId="3" applyFont="1" applyFill="1" applyBorder="1" applyAlignment="1" applyProtection="1">
      <alignment horizontal="center" vertical="center"/>
      <protection locked="0"/>
    </xf>
    <xf numFmtId="2" fontId="53" fillId="0" borderId="0" xfId="3" applyNumberFormat="1" applyFont="1" applyFill="1" applyBorder="1" applyAlignment="1" applyProtection="1">
      <alignment horizontal="center" vertical="center"/>
      <protection locked="0"/>
    </xf>
    <xf numFmtId="168" fontId="53" fillId="0" borderId="0" xfId="1" applyNumberFormat="1" applyFont="1" applyFill="1" applyBorder="1" applyAlignment="1" applyProtection="1">
      <alignment horizontal="center" vertical="center"/>
      <protection locked="0"/>
    </xf>
    <xf numFmtId="0" fontId="53" fillId="0" borderId="0" xfId="3" applyNumberFormat="1" applyFont="1" applyFill="1" applyBorder="1" applyAlignment="1" applyProtection="1">
      <alignment horizontal="center" vertical="center"/>
      <protection locked="0"/>
    </xf>
    <xf numFmtId="169" fontId="53" fillId="0" borderId="0" xfId="3" applyNumberFormat="1" applyFont="1" applyFill="1" applyBorder="1" applyAlignment="1">
      <alignment horizontal="center" vertical="center"/>
    </xf>
    <xf numFmtId="0" fontId="35" fillId="0" borderId="0" xfId="0" applyFont="1"/>
    <xf numFmtId="0" fontId="56" fillId="2" borderId="0" xfId="0" applyFont="1" applyFill="1" applyAlignment="1">
      <alignment horizontal="center" vertical="center"/>
    </xf>
    <xf numFmtId="164" fontId="41" fillId="0" borderId="0" xfId="4" applyFont="1" applyBorder="1" applyProtection="1"/>
    <xf numFmtId="164" fontId="4" fillId="0" borderId="0" xfId="4" applyBorder="1" applyProtection="1"/>
    <xf numFmtId="164" fontId="4" fillId="0" borderId="0" xfId="4" applyBorder="1" applyAlignment="1" applyProtection="1">
      <alignment horizontal="center"/>
    </xf>
    <xf numFmtId="164" fontId="42" fillId="0" borderId="0" xfId="4" applyFont="1" applyBorder="1" applyProtection="1"/>
    <xf numFmtId="164" fontId="18" fillId="0" borderId="0" xfId="4" applyFont="1" applyBorder="1" applyProtection="1"/>
    <xf numFmtId="164" fontId="19" fillId="0" borderId="0" xfId="4" applyFont="1" applyBorder="1" applyProtection="1"/>
    <xf numFmtId="164" fontId="58" fillId="0" borderId="0" xfId="4" applyFont="1" applyBorder="1" applyProtection="1"/>
    <xf numFmtId="164" fontId="59" fillId="0" borderId="0" xfId="4" applyFont="1" applyBorder="1" applyProtection="1"/>
    <xf numFmtId="0" fontId="60" fillId="0" borderId="0" xfId="18" applyFont="1" applyFill="1" applyBorder="1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15" applyFont="1" applyFill="1" applyBorder="1" applyAlignment="1" applyProtection="1">
      <alignment horizontal="left" vertical="center"/>
    </xf>
    <xf numFmtId="43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35" fillId="0" borderId="0" xfId="0" applyFont="1" applyAlignment="1">
      <alignment horizontal="left"/>
    </xf>
    <xf numFmtId="0" fontId="62" fillId="0" borderId="0" xfId="3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horizontal="center"/>
    </xf>
    <xf numFmtId="0" fontId="63" fillId="0" borderId="0" xfId="18" applyFont="1" applyFill="1" applyBorder="1" applyAlignment="1">
      <alignment horizontal="right"/>
    </xf>
    <xf numFmtId="0" fontId="63" fillId="0" borderId="0" xfId="18" applyFont="1" applyFill="1" applyBorder="1" applyAlignment="1">
      <alignment horizontal="left"/>
    </xf>
    <xf numFmtId="0" fontId="58" fillId="0" borderId="0" xfId="18" applyFont="1" applyFill="1" applyBorder="1" applyAlignment="1">
      <alignment vertical="center"/>
    </xf>
    <xf numFmtId="0" fontId="63" fillId="0" borderId="0" xfId="18" applyFont="1" applyFill="1" applyBorder="1" applyAlignment="1">
      <alignment horizontal="left" wrapText="1"/>
    </xf>
    <xf numFmtId="0" fontId="58" fillId="0" borderId="0" xfId="18" applyFont="1" applyFill="1" applyBorder="1" applyAlignment="1">
      <alignment horizontal="left" vertical="center"/>
    </xf>
    <xf numFmtId="4" fontId="63" fillId="0" borderId="0" xfId="18" applyNumberFormat="1" applyFont="1" applyFill="1" applyBorder="1" applyAlignment="1">
      <alignment horizontal="right"/>
    </xf>
    <xf numFmtId="0" fontId="44" fillId="0" borderId="0" xfId="18" applyFont="1" applyFill="1" applyBorder="1" applyAlignment="1"/>
    <xf numFmtId="0" fontId="43" fillId="0" borderId="0" xfId="18" applyFont="1" applyFill="1" applyBorder="1" applyAlignment="1">
      <alignment horizontal="left" vertical="center"/>
    </xf>
    <xf numFmtId="0" fontId="43" fillId="0" borderId="0" xfId="18" applyFont="1" applyFill="1" applyBorder="1" applyAlignment="1">
      <alignment horizontal="right"/>
    </xf>
    <xf numFmtId="14" fontId="43" fillId="0" borderId="0" xfId="18" quotePrefix="1" applyNumberFormat="1" applyFont="1" applyFill="1" applyBorder="1" applyAlignment="1">
      <alignment horizontal="left" vertical="center"/>
    </xf>
    <xf numFmtId="164" fontId="16" fillId="0" borderId="0" xfId="4" applyFont="1" applyBorder="1" applyProtection="1"/>
    <xf numFmtId="0" fontId="44" fillId="0" borderId="0" xfId="18" applyFont="1" applyFill="1" applyBorder="1" applyAlignment="1">
      <alignment horizontal="left"/>
    </xf>
    <xf numFmtId="0" fontId="43" fillId="0" borderId="0" xfId="18" applyFont="1" applyFill="1" applyBorder="1" applyAlignment="1">
      <alignment horizontal="center" vertical="center"/>
    </xf>
    <xf numFmtId="0" fontId="44" fillId="0" borderId="0" xfId="18" applyFont="1" applyFill="1" applyBorder="1"/>
    <xf numFmtId="0" fontId="44" fillId="0" borderId="0" xfId="18" applyFont="1" applyFill="1" applyBorder="1" applyAlignment="1">
      <alignment horizontal="right"/>
    </xf>
    <xf numFmtId="0" fontId="43" fillId="0" borderId="0" xfId="18" applyFont="1" applyFill="1" applyBorder="1" applyAlignment="1">
      <alignment horizontal="left"/>
    </xf>
    <xf numFmtId="0" fontId="1" fillId="0" borderId="0" xfId="3" applyNumberFormat="1" applyFont="1" applyFill="1" applyBorder="1" applyAlignment="1" applyProtection="1">
      <alignment horizontal="left" vertical="center"/>
      <protection locked="0"/>
    </xf>
    <xf numFmtId="3" fontId="1" fillId="0" borderId="0" xfId="3" applyNumberFormat="1" applyFont="1" applyFill="1" applyBorder="1" applyAlignment="1" applyProtection="1">
      <alignment horizontal="center" vertical="center"/>
      <protection locked="0"/>
    </xf>
    <xf numFmtId="4" fontId="1" fillId="0" borderId="0" xfId="3" applyNumberFormat="1" applyFont="1" applyFill="1" applyBorder="1" applyAlignment="1" applyProtection="1">
      <alignment horizontal="center" vertical="center"/>
      <protection locked="0"/>
    </xf>
    <xf numFmtId="9" fontId="1" fillId="0" borderId="0" xfId="2" applyFont="1" applyFill="1" applyBorder="1" applyAlignment="1" applyProtection="1">
      <alignment horizontal="center" vertical="center"/>
      <protection locked="0"/>
    </xf>
    <xf numFmtId="3" fontId="1" fillId="0" borderId="0" xfId="1" applyNumberFormat="1" applyFont="1" applyFill="1" applyBorder="1" applyAlignment="1" applyProtection="1">
      <alignment horizontal="center" vertical="center"/>
      <protection locked="0"/>
    </xf>
    <xf numFmtId="3" fontId="1" fillId="0" borderId="0" xfId="3" applyNumberFormat="1" applyFont="1" applyFill="1" applyBorder="1" applyAlignment="1">
      <alignment horizontal="center" vertical="center"/>
    </xf>
    <xf numFmtId="4" fontId="1" fillId="0" borderId="0" xfId="1" applyNumberFormat="1" applyFont="1" applyFill="1" applyBorder="1" applyAlignment="1">
      <alignment horizontal="center" vertical="center"/>
    </xf>
    <xf numFmtId="0" fontId="34" fillId="0" borderId="0" xfId="3" applyFont="1" applyFill="1" applyBorder="1" applyAlignment="1">
      <alignment horizontal="center" vertical="center"/>
    </xf>
    <xf numFmtId="4" fontId="34" fillId="0" borderId="0" xfId="3" applyNumberFormat="1" applyFont="1" applyFill="1" applyBorder="1" applyAlignment="1">
      <alignment horizontal="center" vertical="center"/>
    </xf>
    <xf numFmtId="0" fontId="1" fillId="0" borderId="0" xfId="0" applyFont="1"/>
    <xf numFmtId="0" fontId="49" fillId="0" borderId="0" xfId="3" applyNumberFormat="1" applyFont="1" applyFill="1" applyBorder="1" applyAlignment="1" applyProtection="1">
      <alignment horizontal="center" vertical="center"/>
      <protection locked="0"/>
    </xf>
    <xf numFmtId="0" fontId="62" fillId="0" borderId="0" xfId="3" applyFont="1" applyFill="1" applyBorder="1" applyAlignment="1">
      <alignment horizontal="center" vertical="center"/>
    </xf>
    <xf numFmtId="0" fontId="65" fillId="0" borderId="0" xfId="3" applyNumberFormat="1" applyFont="1" applyFill="1" applyBorder="1" applyAlignment="1" applyProtection="1">
      <alignment horizontal="center" vertical="center"/>
      <protection locked="0"/>
    </xf>
    <xf numFmtId="4" fontId="65" fillId="0" borderId="0" xfId="3" applyNumberFormat="1" applyFont="1" applyFill="1" applyBorder="1" applyAlignment="1" applyProtection="1">
      <alignment horizontal="center" vertical="center"/>
      <protection locked="0"/>
    </xf>
    <xf numFmtId="0" fontId="66" fillId="0" borderId="0" xfId="3" applyFont="1" applyFill="1" applyBorder="1" applyAlignment="1">
      <alignment horizontal="center" vertical="center"/>
    </xf>
    <xf numFmtId="2" fontId="65" fillId="0" borderId="0" xfId="3" applyNumberFormat="1" applyFont="1" applyFill="1" applyBorder="1" applyAlignment="1" applyProtection="1">
      <alignment horizontal="left" vertical="center"/>
      <protection locked="0"/>
    </xf>
    <xf numFmtId="169" fontId="47" fillId="0" borderId="0" xfId="0" applyNumberFormat="1" applyFont="1"/>
    <xf numFmtId="10" fontId="47" fillId="0" borderId="0" xfId="2" applyNumberFormat="1" applyFont="1" applyFill="1" applyBorder="1"/>
    <xf numFmtId="0" fontId="65" fillId="0" borderId="0" xfId="3" applyNumberFormat="1" applyFont="1" applyFill="1" applyBorder="1" applyAlignment="1" applyProtection="1">
      <alignment horizontal="left" vertical="center"/>
      <protection locked="0"/>
    </xf>
    <xf numFmtId="2" fontId="1" fillId="0" borderId="0" xfId="2" applyNumberFormat="1" applyFont="1" applyFill="1" applyBorder="1" applyAlignment="1" applyProtection="1">
      <alignment horizontal="center" vertical="center"/>
      <protection locked="0"/>
    </xf>
    <xf numFmtId="0" fontId="44" fillId="0" borderId="0" xfId="0" applyFont="1"/>
    <xf numFmtId="0" fontId="67" fillId="0" borderId="0" xfId="0" applyFont="1" applyAlignment="1">
      <alignment horizontal="center" vertical="center"/>
    </xf>
    <xf numFmtId="4" fontId="67" fillId="0" borderId="0" xfId="0" applyNumberFormat="1" applyFont="1" applyAlignment="1">
      <alignment horizontal="center" vertical="center"/>
    </xf>
    <xf numFmtId="0" fontId="44" fillId="0" borderId="0" xfId="18" applyFont="1" applyFill="1" applyBorder="1" applyAlignment="1">
      <alignment vertical="center"/>
    </xf>
    <xf numFmtId="10" fontId="44" fillId="0" borderId="0" xfId="2" applyNumberFormat="1" applyFont="1" applyFill="1" applyBorder="1" applyAlignment="1">
      <alignment horizontal="center" vertical="center"/>
    </xf>
    <xf numFmtId="4" fontId="44" fillId="0" borderId="0" xfId="18" applyNumberFormat="1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4" fontId="44" fillId="0" borderId="0" xfId="2" applyNumberFormat="1" applyFont="1" applyFill="1" applyBorder="1" applyAlignment="1">
      <alignment horizontal="center" vertical="center"/>
    </xf>
    <xf numFmtId="164" fontId="44" fillId="0" borderId="0" xfId="4" applyFont="1" applyBorder="1" applyAlignment="1" applyProtection="1">
      <alignment vertical="center"/>
    </xf>
    <xf numFmtId="10" fontId="44" fillId="0" borderId="0" xfId="2" applyNumberFormat="1" applyFont="1" applyFill="1" applyBorder="1" applyAlignment="1" applyProtection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/>
    </xf>
    <xf numFmtId="0" fontId="54" fillId="0" borderId="0" xfId="0" applyFont="1" applyAlignment="1">
      <alignment horizontal="left"/>
    </xf>
    <xf numFmtId="0" fontId="68" fillId="0" borderId="0" xfId="0" applyFont="1"/>
    <xf numFmtId="0" fontId="69" fillId="0" borderId="0" xfId="0" applyFont="1"/>
    <xf numFmtId="0" fontId="69" fillId="0" borderId="0" xfId="15" applyFont="1" applyFill="1" applyBorder="1" applyAlignment="1" applyProtection="1">
      <alignment horizontal="left" vertical="center"/>
    </xf>
    <xf numFmtId="0" fontId="69" fillId="0" borderId="0" xfId="15" applyFont="1" applyFill="1" applyBorder="1" applyAlignment="1" applyProtection="1">
      <alignment horizontal="right"/>
    </xf>
    <xf numFmtId="0" fontId="71" fillId="0" borderId="0" xfId="0" applyFont="1"/>
    <xf numFmtId="171" fontId="68" fillId="0" borderId="0" xfId="0" applyNumberFormat="1" applyFont="1"/>
    <xf numFmtId="4" fontId="68" fillId="0" borderId="0" xfId="0" applyNumberFormat="1" applyFont="1"/>
    <xf numFmtId="0" fontId="70" fillId="0" borderId="0" xfId="0" applyFont="1" applyAlignment="1">
      <alignment horizontal="left"/>
    </xf>
    <xf numFmtId="0" fontId="72" fillId="0" borderId="0" xfId="3" applyNumberFormat="1" applyFont="1" applyFill="1" applyBorder="1" applyAlignment="1" applyProtection="1">
      <alignment horizontal="center" vertical="center"/>
      <protection locked="0"/>
    </xf>
    <xf numFmtId="4" fontId="72" fillId="0" borderId="0" xfId="3" applyNumberFormat="1" applyFont="1" applyFill="1" applyBorder="1" applyAlignment="1" applyProtection="1">
      <alignment horizontal="center" vertical="center"/>
      <protection locked="0"/>
    </xf>
    <xf numFmtId="10" fontId="72" fillId="0" borderId="0" xfId="3" applyNumberFormat="1" applyFont="1" applyFill="1" applyBorder="1" applyAlignment="1" applyProtection="1">
      <alignment horizontal="center" vertical="center"/>
      <protection locked="0"/>
    </xf>
    <xf numFmtId="1" fontId="72" fillId="0" borderId="0" xfId="3" applyNumberFormat="1" applyFont="1" applyFill="1" applyBorder="1" applyAlignment="1" applyProtection="1">
      <alignment horizontal="left" vertical="center"/>
      <protection locked="0"/>
    </xf>
    <xf numFmtId="0" fontId="72" fillId="0" borderId="0" xfId="3" applyNumberFormat="1" applyFont="1" applyFill="1" applyBorder="1" applyAlignment="1" applyProtection="1">
      <alignment horizontal="left" vertical="center"/>
      <protection locked="0"/>
    </xf>
    <xf numFmtId="0" fontId="6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4" fontId="0" fillId="0" borderId="0" xfId="0" applyNumberFormat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15" applyFont="1" applyFill="1" applyBorder="1" applyAlignment="1" applyProtection="1">
      <alignment vertical="center"/>
    </xf>
    <xf numFmtId="0" fontId="34" fillId="0" borderId="0" xfId="3" applyNumberFormat="1" applyFont="1" applyFill="1" applyBorder="1" applyAlignment="1" applyProtection="1">
      <alignment horizontal="center" vertical="center"/>
      <protection locked="0"/>
    </xf>
    <xf numFmtId="0" fontId="73" fillId="0" borderId="0" xfId="3" applyFont="1" applyFill="1" applyBorder="1" applyAlignment="1">
      <alignment horizontal="center" vertical="center"/>
    </xf>
    <xf numFmtId="0" fontId="1" fillId="0" borderId="0" xfId="3" applyNumberFormat="1" applyFont="1" applyFill="1" applyBorder="1" applyAlignment="1" applyProtection="1">
      <alignment horizontal="center" vertical="center"/>
      <protection locked="0"/>
    </xf>
    <xf numFmtId="10" fontId="34" fillId="0" borderId="0" xfId="3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left"/>
    </xf>
    <xf numFmtId="4" fontId="65" fillId="0" borderId="0" xfId="3" applyNumberFormat="1" applyFont="1" applyFill="1" applyBorder="1" applyAlignment="1" applyProtection="1">
      <alignment horizontal="center" vertical="center"/>
    </xf>
    <xf numFmtId="4" fontId="51" fillId="0" borderId="0" xfId="3" applyNumberFormat="1" applyFont="1" applyFill="1" applyBorder="1" applyAlignment="1" applyProtection="1">
      <alignment horizontal="center" vertical="center"/>
    </xf>
    <xf numFmtId="3" fontId="49" fillId="0" borderId="0" xfId="3" applyNumberFormat="1" applyFont="1" applyFill="1" applyBorder="1" applyAlignment="1" applyProtection="1">
      <alignment horizontal="center" vertical="center"/>
    </xf>
    <xf numFmtId="4" fontId="52" fillId="0" borderId="0" xfId="3" applyNumberFormat="1" applyFont="1" applyFill="1" applyBorder="1" applyAlignment="1" applyProtection="1">
      <alignment horizontal="center" vertical="center"/>
    </xf>
    <xf numFmtId="4" fontId="1" fillId="0" borderId="0" xfId="3" applyNumberFormat="1" applyFont="1" applyFill="1" applyBorder="1" applyAlignment="1" applyProtection="1">
      <alignment horizontal="center" vertical="center"/>
    </xf>
    <xf numFmtId="4" fontId="53" fillId="0" borderId="0" xfId="3" applyNumberFormat="1" applyFont="1" applyFill="1" applyBorder="1" applyAlignment="1" applyProtection="1">
      <alignment horizontal="center" vertical="center"/>
    </xf>
    <xf numFmtId="4" fontId="72" fillId="0" borderId="0" xfId="3" applyNumberFormat="1" applyFont="1" applyFill="1" applyBorder="1" applyAlignment="1" applyProtection="1">
      <alignment horizontal="center" vertical="center"/>
    </xf>
    <xf numFmtId="10" fontId="1" fillId="0" borderId="0" xfId="3" applyNumberFormat="1" applyFont="1" applyFill="1" applyBorder="1" applyAlignment="1" applyProtection="1">
      <alignment horizontal="center" vertical="center"/>
    </xf>
    <xf numFmtId="4" fontId="34" fillId="0" borderId="0" xfId="3" applyNumberFormat="1" applyFont="1" applyFill="1" applyBorder="1" applyAlignment="1" applyProtection="1">
      <alignment horizontal="center" vertical="center"/>
    </xf>
    <xf numFmtId="10" fontId="34" fillId="0" borderId="0" xfId="3" applyNumberFormat="1" applyFont="1" applyFill="1" applyBorder="1" applyAlignment="1" applyProtection="1">
      <alignment horizontal="center" vertical="center"/>
    </xf>
    <xf numFmtId="0" fontId="73" fillId="0" borderId="0" xfId="3" applyFont="1" applyFill="1" applyBorder="1" applyAlignment="1" applyProtection="1">
      <alignment horizontal="center" vertical="center"/>
    </xf>
    <xf numFmtId="0" fontId="34" fillId="0" borderId="0" xfId="3" applyFont="1" applyFill="1" applyBorder="1" applyAlignment="1" applyProtection="1">
      <alignment horizontal="center" vertical="center"/>
    </xf>
    <xf numFmtId="10" fontId="73" fillId="0" borderId="0" xfId="2" applyNumberFormat="1" applyFont="1" applyFill="1" applyBorder="1" applyAlignment="1" applyProtection="1">
      <alignment horizontal="center" vertical="center"/>
    </xf>
    <xf numFmtId="2" fontId="73" fillId="0" borderId="0" xfId="2" applyNumberFormat="1" applyFont="1" applyFill="1" applyBorder="1" applyAlignment="1" applyProtection="1">
      <alignment horizontal="right" vertical="center"/>
    </xf>
    <xf numFmtId="0" fontId="34" fillId="0" borderId="0" xfId="3" applyFont="1" applyFill="1" applyBorder="1" applyAlignment="1" applyProtection="1">
      <alignment horizontal="left" vertical="center"/>
    </xf>
    <xf numFmtId="2" fontId="73" fillId="0" borderId="0" xfId="3" applyNumberFormat="1" applyFont="1" applyFill="1" applyBorder="1" applyAlignment="1" applyProtection="1">
      <alignment horizontal="right" vertical="center"/>
    </xf>
    <xf numFmtId="3" fontId="34" fillId="0" borderId="0" xfId="3" applyNumberFormat="1" applyFont="1" applyFill="1" applyBorder="1" applyAlignment="1" applyProtection="1">
      <alignment horizontal="center" vertical="center"/>
    </xf>
    <xf numFmtId="4" fontId="1" fillId="0" borderId="0" xfId="1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75" fillId="0" borderId="0" xfId="0" applyFont="1"/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4" fontId="34" fillId="0" borderId="0" xfId="0" applyNumberFormat="1" applyFont="1" applyAlignment="1">
      <alignment horizontal="center" vertical="center"/>
    </xf>
    <xf numFmtId="0" fontId="74" fillId="0" borderId="0" xfId="0" applyFont="1"/>
    <xf numFmtId="8" fontId="0" fillId="0" borderId="0" xfId="0" applyNumberFormat="1" applyAlignment="1">
      <alignment horizontal="center"/>
    </xf>
    <xf numFmtId="9" fontId="77" fillId="0" borderId="0" xfId="17" applyNumberFormat="1" applyFont="1" applyFill="1"/>
    <xf numFmtId="9" fontId="77" fillId="0" borderId="0" xfId="17" applyNumberFormat="1" applyFont="1" applyAlignment="1">
      <alignment horizontal="center"/>
    </xf>
    <xf numFmtId="8" fontId="77" fillId="0" borderId="0" xfId="0" applyNumberFormat="1" applyFont="1" applyAlignment="1">
      <alignment horizontal="center"/>
    </xf>
    <xf numFmtId="2" fontId="76" fillId="0" borderId="3" xfId="0" applyNumberFormat="1" applyFont="1" applyBorder="1" applyAlignment="1">
      <alignment horizontal="center"/>
    </xf>
    <xf numFmtId="8" fontId="55" fillId="3" borderId="3" xfId="0" applyNumberFormat="1" applyFont="1" applyFill="1" applyBorder="1" applyAlignment="1">
      <alignment horizontal="center" vertical="center"/>
    </xf>
    <xf numFmtId="8" fontId="55" fillId="3" borderId="3" xfId="0" applyNumberFormat="1" applyFont="1" applyFill="1" applyBorder="1" applyAlignment="1">
      <alignment horizontal="center"/>
    </xf>
    <xf numFmtId="2" fontId="34" fillId="0" borderId="3" xfId="2" applyNumberFormat="1" applyFont="1" applyFill="1" applyBorder="1" applyAlignment="1">
      <alignment horizontal="center"/>
    </xf>
    <xf numFmtId="2" fontId="34" fillId="0" borderId="3" xfId="2" applyNumberFormat="1" applyFont="1" applyFill="1" applyBorder="1" applyAlignment="1">
      <alignment horizontal="center" vertical="center"/>
    </xf>
    <xf numFmtId="2" fontId="34" fillId="4" borderId="3" xfId="2" applyNumberFormat="1" applyFont="1" applyFill="1" applyBorder="1" applyAlignment="1">
      <alignment horizontal="center"/>
    </xf>
    <xf numFmtId="2" fontId="34" fillId="4" borderId="3" xfId="2" applyNumberFormat="1" applyFont="1" applyFill="1" applyBorder="1" applyAlignment="1">
      <alignment horizontal="center" vertical="center"/>
    </xf>
    <xf numFmtId="4" fontId="77" fillId="0" borderId="0" xfId="0" applyNumberFormat="1" applyFont="1"/>
    <xf numFmtId="4" fontId="66" fillId="0" borderId="0" xfId="0" applyNumberFormat="1" applyFont="1" applyAlignment="1">
      <alignment horizontal="center"/>
    </xf>
    <xf numFmtId="0" fontId="73" fillId="0" borderId="4" xfId="3" applyFont="1" applyFill="1" applyBorder="1" applyAlignment="1">
      <alignment horizontal="center" vertical="center"/>
    </xf>
    <xf numFmtId="0" fontId="73" fillId="0" borderId="4" xfId="3" applyFont="1" applyFill="1" applyBorder="1" applyAlignment="1" applyProtection="1">
      <alignment horizontal="center" vertical="center"/>
    </xf>
    <xf numFmtId="2" fontId="73" fillId="0" borderId="4" xfId="3" applyNumberFormat="1" applyFont="1" applyFill="1" applyBorder="1" applyAlignment="1" applyProtection="1">
      <alignment horizontal="right" vertical="center"/>
    </xf>
    <xf numFmtId="0" fontId="34" fillId="0" borderId="4" xfId="3" applyFont="1" applyFill="1" applyBorder="1" applyAlignment="1" applyProtection="1">
      <alignment horizontal="left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9" fontId="77" fillId="0" borderId="4" xfId="17" applyNumberFormat="1" applyFont="1" applyFill="1" applyBorder="1"/>
    <xf numFmtId="4" fontId="66" fillId="0" borderId="4" xfId="0" applyNumberFormat="1" applyFont="1" applyBorder="1" applyAlignment="1">
      <alignment horizontal="center"/>
    </xf>
    <xf numFmtId="176" fontId="77" fillId="0" borderId="0" xfId="0" applyNumberFormat="1" applyFont="1"/>
    <xf numFmtId="0" fontId="0" fillId="2" borderId="0" xfId="0" applyFill="1"/>
    <xf numFmtId="0" fontId="80" fillId="5" borderId="0" xfId="15" applyFont="1" applyFill="1" applyAlignment="1" applyProtection="1">
      <alignment horizontal="center" vertical="center"/>
    </xf>
    <xf numFmtId="0" fontId="62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2" fontId="55" fillId="3" borderId="3" xfId="0" applyNumberFormat="1" applyFont="1" applyFill="1" applyBorder="1" applyAlignment="1">
      <alignment horizontal="center"/>
    </xf>
    <xf numFmtId="2" fontId="66" fillId="0" borderId="3" xfId="0" applyNumberFormat="1" applyFont="1" applyBorder="1" applyAlignment="1">
      <alignment horizontal="center" vertical="center"/>
    </xf>
    <xf numFmtId="10" fontId="66" fillId="0" borderId="3" xfId="2" applyNumberFormat="1" applyFont="1" applyFill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2" fontId="81" fillId="0" borderId="0" xfId="0" applyNumberFormat="1" applyFont="1"/>
    <xf numFmtId="0" fontId="32" fillId="6" borderId="0" xfId="3" applyFont="1" applyFill="1" applyBorder="1" applyAlignment="1">
      <alignment horizontal="center" vertical="center"/>
    </xf>
    <xf numFmtId="4" fontId="32" fillId="6" borderId="0" xfId="3" applyNumberFormat="1" applyFont="1" applyFill="1" applyBorder="1" applyAlignment="1">
      <alignment horizontal="center" vertical="center"/>
    </xf>
    <xf numFmtId="0" fontId="31" fillId="6" borderId="0" xfId="3" applyFont="1" applyFill="1" applyBorder="1" applyAlignment="1">
      <alignment horizontal="center" vertical="center"/>
    </xf>
    <xf numFmtId="4" fontId="31" fillId="6" borderId="0" xfId="3" applyNumberFormat="1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/>
    </xf>
    <xf numFmtId="4" fontId="47" fillId="2" borderId="0" xfId="0" applyNumberFormat="1" applyFont="1" applyFill="1" applyAlignment="1">
      <alignment horizontal="center"/>
    </xf>
    <xf numFmtId="4" fontId="47" fillId="2" borderId="0" xfId="0" applyNumberFormat="1" applyFont="1" applyFill="1"/>
    <xf numFmtId="0" fontId="47" fillId="2" borderId="0" xfId="0" applyFont="1" applyFill="1"/>
    <xf numFmtId="0" fontId="50" fillId="0" borderId="0" xfId="3" applyFont="1" applyFill="1" applyBorder="1" applyAlignment="1">
      <alignment horizontal="left" vertical="center"/>
    </xf>
    <xf numFmtId="164" fontId="82" fillId="0" borderId="0" xfId="18" applyNumberFormat="1" applyFont="1" applyFill="1" applyBorder="1" applyAlignment="1" applyProtection="1">
      <alignment vertical="center"/>
    </xf>
    <xf numFmtId="3" fontId="31" fillId="6" borderId="0" xfId="3" applyNumberFormat="1" applyFont="1" applyFill="1" applyBorder="1" applyAlignment="1">
      <alignment horizontal="center" vertical="center"/>
    </xf>
    <xf numFmtId="2" fontId="31" fillId="6" borderId="0" xfId="3" applyNumberFormat="1" applyFont="1" applyFill="1" applyBorder="1" applyAlignment="1">
      <alignment horizontal="center" vertical="center"/>
    </xf>
    <xf numFmtId="168" fontId="31" fillId="6" borderId="0" xfId="3" applyNumberFormat="1" applyFont="1" applyFill="1" applyBorder="1" applyAlignment="1">
      <alignment horizontal="center" vertical="center"/>
    </xf>
    <xf numFmtId="0" fontId="83" fillId="6" borderId="0" xfId="3" quotePrefix="1" applyFont="1" applyFill="1" applyBorder="1" applyAlignment="1">
      <alignment horizontal="center" vertical="center"/>
    </xf>
    <xf numFmtId="168" fontId="83" fillId="6" borderId="0" xfId="3" applyNumberFormat="1" applyFont="1" applyFill="1" applyBorder="1" applyAlignment="1">
      <alignment horizontal="center" vertical="center"/>
    </xf>
    <xf numFmtId="0" fontId="83" fillId="6" borderId="0" xfId="3" applyFont="1" applyFill="1" applyBorder="1" applyAlignment="1">
      <alignment horizontal="center" vertical="center"/>
    </xf>
    <xf numFmtId="0" fontId="31" fillId="6" borderId="0" xfId="3" applyFont="1" applyFill="1" applyBorder="1" applyAlignment="1">
      <alignment horizontal="left" vertical="center"/>
    </xf>
    <xf numFmtId="0" fontId="31" fillId="6" borderId="0" xfId="3" applyNumberFormat="1" applyFont="1" applyFill="1" applyBorder="1" applyAlignment="1">
      <alignment horizontal="center" vertical="center"/>
    </xf>
    <xf numFmtId="0" fontId="31" fillId="6" borderId="0" xfId="3" applyFont="1" applyFill="1" applyBorder="1" applyAlignment="1">
      <alignment horizontal="center" vertical="center" wrapText="1"/>
    </xf>
    <xf numFmtId="0" fontId="32" fillId="6" borderId="0" xfId="3" applyFont="1" applyFill="1" applyBorder="1" applyAlignment="1">
      <alignment horizontal="center" vertical="center" wrapText="1"/>
    </xf>
    <xf numFmtId="0" fontId="37" fillId="6" borderId="0" xfId="3" applyFont="1" applyFill="1" applyBorder="1" applyAlignment="1">
      <alignment horizontal="center" vertical="center"/>
    </xf>
    <xf numFmtId="2" fontId="37" fillId="6" borderId="0" xfId="3" applyNumberFormat="1" applyFont="1" applyFill="1" applyBorder="1" applyAlignment="1">
      <alignment horizontal="center" vertical="center"/>
    </xf>
    <xf numFmtId="4" fontId="31" fillId="6" borderId="0" xfId="3" applyNumberFormat="1" applyFont="1" applyFill="1" applyBorder="1" applyAlignment="1" applyProtection="1">
      <alignment horizontal="center" vertical="center"/>
    </xf>
    <xf numFmtId="0" fontId="84" fillId="0" borderId="0" xfId="3" applyFont="1" applyFill="1" applyBorder="1" applyAlignment="1">
      <alignment horizontal="left" vertical="center"/>
    </xf>
    <xf numFmtId="0" fontId="85" fillId="0" borderId="0" xfId="3" applyFont="1" applyFill="1" applyBorder="1" applyAlignment="1">
      <alignment horizontal="left" vertical="center"/>
    </xf>
    <xf numFmtId="0" fontId="62" fillId="0" borderId="0" xfId="3" applyFont="1" applyFill="1" applyBorder="1" applyAlignment="1">
      <alignment vertical="center"/>
    </xf>
    <xf numFmtId="0" fontId="86" fillId="6" borderId="0" xfId="0" applyFont="1" applyFill="1" applyAlignment="1">
      <alignment horizontal="center" vertical="center"/>
    </xf>
    <xf numFmtId="0" fontId="86" fillId="6" borderId="0" xfId="3" applyFont="1" applyFill="1" applyBorder="1" applyAlignment="1">
      <alignment horizontal="center" vertical="center"/>
    </xf>
    <xf numFmtId="0" fontId="86" fillId="6" borderId="0" xfId="3" applyFont="1" applyFill="1" applyBorder="1" applyAlignment="1">
      <alignment horizontal="center" vertical="center" wrapText="1"/>
    </xf>
    <xf numFmtId="0" fontId="87" fillId="6" borderId="0" xfId="0" applyFont="1" applyFill="1" applyAlignment="1">
      <alignment horizontal="center" vertical="center"/>
    </xf>
    <xf numFmtId="0" fontId="87" fillId="6" borderId="0" xfId="3" applyFont="1" applyFill="1" applyBorder="1" applyAlignment="1">
      <alignment horizontal="center" vertical="center"/>
    </xf>
    <xf numFmtId="0" fontId="87" fillId="6" borderId="0" xfId="3" applyFont="1" applyFill="1" applyBorder="1" applyAlignment="1">
      <alignment horizontal="center" vertical="center" wrapText="1"/>
    </xf>
    <xf numFmtId="0" fontId="86" fillId="6" borderId="0" xfId="0" applyFont="1" applyFill="1" applyAlignment="1">
      <alignment horizontal="right" vertical="center"/>
    </xf>
    <xf numFmtId="4" fontId="86" fillId="6" borderId="0" xfId="0" applyNumberFormat="1" applyFont="1" applyFill="1" applyAlignment="1">
      <alignment horizontal="center" vertical="center"/>
    </xf>
    <xf numFmtId="0" fontId="30" fillId="6" borderId="0" xfId="3" applyFont="1" applyFill="1" applyBorder="1" applyAlignment="1">
      <alignment horizontal="center" vertical="center"/>
    </xf>
    <xf numFmtId="0" fontId="32" fillId="6" borderId="0" xfId="3" applyFont="1" applyFill="1" applyBorder="1" applyAlignment="1">
      <alignment horizontal="left" vertical="center"/>
    </xf>
    <xf numFmtId="0" fontId="70" fillId="0" borderId="1" xfId="3" applyFont="1" applyFill="1" applyAlignment="1">
      <alignment horizontal="center" vertical="center"/>
    </xf>
    <xf numFmtId="4" fontId="70" fillId="0" borderId="1" xfId="3" applyNumberFormat="1" applyFont="1" applyFill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64" fillId="7" borderId="0" xfId="0" applyFont="1" applyFill="1" applyAlignment="1">
      <alignment horizontal="center"/>
    </xf>
    <xf numFmtId="0" fontId="0" fillId="7" borderId="0" xfId="0" applyFill="1"/>
    <xf numFmtId="0" fontId="64" fillId="7" borderId="0" xfId="15" applyFont="1" applyFill="1" applyBorder="1" applyAlignment="1" applyProtection="1">
      <alignment horizontal="center"/>
    </xf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80" fillId="0" borderId="0" xfId="0" applyFont="1" applyAlignment="1">
      <alignment horizontal="center" vertical="center"/>
    </xf>
    <xf numFmtId="0" fontId="88" fillId="0" borderId="0" xfId="0" applyFont="1" applyAlignment="1">
      <alignment horizontal="center"/>
    </xf>
    <xf numFmtId="0" fontId="88" fillId="0" borderId="0" xfId="15" applyFont="1" applyFill="1" applyBorder="1" applyAlignment="1" applyProtection="1">
      <alignment horizontal="center"/>
    </xf>
    <xf numFmtId="0" fontId="89" fillId="2" borderId="0" xfId="0" applyFont="1" applyFill="1" applyAlignment="1">
      <alignment horizontal="left" vertical="center"/>
    </xf>
    <xf numFmtId="0" fontId="90" fillId="0" borderId="0" xfId="3" applyFont="1" applyFill="1" applyBorder="1" applyAlignment="1">
      <alignment horizontal="center" vertical="center"/>
    </xf>
    <xf numFmtId="10" fontId="1" fillId="0" borderId="0" xfId="2" applyNumberFormat="1" applyFont="1" applyFill="1" applyBorder="1" applyAlignment="1" applyProtection="1">
      <alignment horizontal="center" vertical="center"/>
      <protection locked="0"/>
    </xf>
    <xf numFmtId="4" fontId="37" fillId="5" borderId="0" xfId="3" applyNumberFormat="1" applyFont="1" applyFill="1" applyBorder="1" applyAlignment="1">
      <alignment horizontal="center" vertical="center"/>
    </xf>
    <xf numFmtId="3" fontId="37" fillId="5" borderId="0" xfId="3" applyNumberFormat="1" applyFont="1" applyFill="1" applyBorder="1" applyAlignment="1">
      <alignment horizontal="center" vertical="center"/>
    </xf>
    <xf numFmtId="0" fontId="91" fillId="0" borderId="0" xfId="0" applyFont="1"/>
    <xf numFmtId="4" fontId="0" fillId="0" borderId="0" xfId="0" applyNumberFormat="1"/>
    <xf numFmtId="14" fontId="47" fillId="0" borderId="0" xfId="0" applyNumberFormat="1" applyFont="1"/>
    <xf numFmtId="177" fontId="66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5" fontId="49" fillId="9" borderId="0" xfId="3" applyNumberFormat="1" applyFont="1" applyFill="1" applyBorder="1" applyAlignment="1" applyProtection="1">
      <alignment horizontal="center" vertical="center"/>
      <protection locked="0"/>
    </xf>
    <xf numFmtId="14" fontId="43" fillId="0" borderId="0" xfId="18" applyNumberFormat="1" applyFont="1" applyFill="1" applyBorder="1" applyAlignment="1">
      <alignment horizontal="right"/>
    </xf>
    <xf numFmtId="0" fontId="94" fillId="0" borderId="0" xfId="18" applyFont="1" applyFill="1" applyBorder="1" applyAlignment="1">
      <alignment horizontal="right"/>
    </xf>
    <xf numFmtId="3" fontId="1" fillId="9" borderId="0" xfId="3" applyNumberFormat="1" applyFont="1" applyFill="1" applyBorder="1" applyAlignment="1" applyProtection="1">
      <alignment horizontal="center" vertical="center"/>
      <protection locked="0"/>
    </xf>
    <xf numFmtId="4" fontId="1" fillId="9" borderId="0" xfId="3" applyNumberFormat="1" applyFont="1" applyFill="1" applyBorder="1" applyAlignment="1" applyProtection="1">
      <alignment horizontal="center" vertical="center"/>
    </xf>
    <xf numFmtId="0" fontId="65" fillId="0" borderId="0" xfId="3" quotePrefix="1" applyNumberFormat="1" applyFont="1" applyFill="1" applyBorder="1" applyAlignment="1" applyProtection="1">
      <alignment horizontal="center" vertical="center"/>
      <protection locked="0"/>
    </xf>
    <xf numFmtId="0" fontId="95" fillId="0" borderId="0" xfId="3" applyNumberFormat="1" applyFont="1" applyFill="1" applyBorder="1" applyAlignment="1" applyProtection="1">
      <alignment horizontal="center" vertical="center"/>
      <protection locked="0"/>
    </xf>
    <xf numFmtId="0" fontId="96" fillId="0" borderId="0" xfId="3" applyNumberFormat="1" applyFont="1" applyFill="1" applyBorder="1" applyAlignment="1" applyProtection="1">
      <alignment horizontal="center" vertical="center"/>
      <protection locked="0"/>
    </xf>
    <xf numFmtId="0" fontId="97" fillId="0" borderId="0" xfId="3" applyNumberFormat="1" applyFont="1" applyFill="1" applyBorder="1" applyAlignment="1" applyProtection="1">
      <alignment horizontal="center" vertical="center"/>
      <protection locked="0"/>
    </xf>
    <xf numFmtId="0" fontId="66" fillId="10" borderId="0" xfId="3" applyFont="1" applyFill="1" applyBorder="1" applyAlignment="1">
      <alignment horizontal="center" vertical="center"/>
    </xf>
    <xf numFmtId="0" fontId="66" fillId="11" borderId="0" xfId="3" applyFont="1" applyFill="1" applyBorder="1" applyAlignment="1">
      <alignment horizontal="center" vertical="center"/>
    </xf>
    <xf numFmtId="4" fontId="99" fillId="0" borderId="0" xfId="3" applyNumberFormat="1" applyFont="1" applyFill="1" applyBorder="1" applyAlignment="1" applyProtection="1">
      <alignment horizontal="center" vertical="center"/>
    </xf>
    <xf numFmtId="14" fontId="98" fillId="0" borderId="0" xfId="0" quotePrefix="1" applyNumberFormat="1" applyFont="1" applyAlignment="1">
      <alignment horizontal="center"/>
    </xf>
    <xf numFmtId="0" fontId="98" fillId="0" borderId="0" xfId="0" applyFont="1" applyAlignment="1">
      <alignment horizontal="center"/>
    </xf>
    <xf numFmtId="0" fontId="98" fillId="0" borderId="0" xfId="0" applyFont="1"/>
    <xf numFmtId="0" fontId="40" fillId="0" borderId="0" xfId="0" applyFont="1" applyAlignment="1">
      <alignment horizontal="center"/>
    </xf>
    <xf numFmtId="2" fontId="40" fillId="0" borderId="0" xfId="0" applyNumberFormat="1" applyFont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164" fontId="20" fillId="2" borderId="0" xfId="4" applyFont="1" applyFill="1" applyBorder="1" applyAlignment="1" applyProtection="1">
      <alignment horizontal="center"/>
    </xf>
    <xf numFmtId="164" fontId="60" fillId="0" borderId="0" xfId="4" applyFont="1" applyBorder="1" applyAlignment="1" applyProtection="1">
      <alignment horizontal="center" vertical="center" textRotation="90"/>
    </xf>
    <xf numFmtId="164" fontId="17" fillId="0" borderId="0" xfId="4" applyFont="1" applyBorder="1" applyAlignment="1" applyProtection="1">
      <alignment horizontal="center"/>
    </xf>
    <xf numFmtId="164" fontId="4" fillId="0" borderId="0" xfId="4" applyBorder="1" applyAlignment="1" applyProtection="1">
      <alignment horizontal="center"/>
    </xf>
    <xf numFmtId="0" fontId="85" fillId="0" borderId="0" xfId="3" applyFont="1" applyFill="1" applyBorder="1" applyAlignment="1">
      <alignment horizontal="center" vertical="center"/>
    </xf>
    <xf numFmtId="4" fontId="73" fillId="0" borderId="0" xfId="0" applyNumberFormat="1" applyFont="1" applyAlignment="1">
      <alignment horizontal="center"/>
    </xf>
    <xf numFmtId="4" fontId="73" fillId="0" borderId="3" xfId="0" applyNumberFormat="1" applyFont="1" applyBorder="1" applyAlignment="1">
      <alignment horizontal="center"/>
    </xf>
    <xf numFmtId="0" fontId="78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0" fillId="3" borderId="0" xfId="3" applyFont="1" applyFill="1" applyBorder="1" applyAlignment="1">
      <alignment horizontal="center" vertical="center"/>
    </xf>
    <xf numFmtId="0" fontId="79" fillId="8" borderId="0" xfId="15" applyFont="1" applyFill="1" applyBorder="1" applyAlignment="1" applyProtection="1">
      <alignment horizontal="center" vertical="center"/>
    </xf>
  </cellXfs>
  <cellStyles count="19">
    <cellStyle name="Excel Built-in Currency" xfId="7" xr:uid="{00000000-0005-0000-0000-000000000000}"/>
    <cellStyle name="Excel Built-in Normal" xfId="4" xr:uid="{00000000-0005-0000-0000-000001000000}"/>
    <cellStyle name="Excel Built-in Percent" xfId="8" xr:uid="{00000000-0005-0000-0000-000002000000}"/>
    <cellStyle name="Heading" xfId="9" xr:uid="{00000000-0005-0000-0000-000003000000}"/>
    <cellStyle name="Heading1" xfId="10" xr:uid="{00000000-0005-0000-0000-000004000000}"/>
    <cellStyle name="Hiperlink" xfId="15" builtinId="8"/>
    <cellStyle name="Moeda" xfId="17" builtinId="4"/>
    <cellStyle name="Moeda 2" xfId="16" xr:uid="{00000000-0005-0000-0000-000007000000}"/>
    <cellStyle name="Normal" xfId="0" builtinId="0"/>
    <cellStyle name="Normal 2" xfId="6" xr:uid="{00000000-0005-0000-0000-000009000000}"/>
    <cellStyle name="Normal 3" xfId="11" xr:uid="{00000000-0005-0000-0000-00000A000000}"/>
    <cellStyle name="Normal 4" xfId="12" xr:uid="{00000000-0005-0000-0000-00000B000000}"/>
    <cellStyle name="Porcentagem" xfId="2" builtinId="5"/>
    <cellStyle name="Porcentagem 2" xfId="5" xr:uid="{00000000-0005-0000-0000-00000D000000}"/>
    <cellStyle name="Result" xfId="13" xr:uid="{00000000-0005-0000-0000-00000E000000}"/>
    <cellStyle name="Result2" xfId="14" xr:uid="{00000000-0005-0000-0000-00000F000000}"/>
    <cellStyle name="Título 1" xfId="18" builtinId="16"/>
    <cellStyle name="Título 3" xfId="3" builtinId="18"/>
    <cellStyle name="Vírgula" xfId="1" builtinId="3"/>
  </cellStyles>
  <dxfs count="4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Avenir Light Oblique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Avenir Light Oblique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rgb="FF00823B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 (Corpo)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5"/>
        <color auto="1"/>
        <name val="Calibri (Corpo)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5"/>
        <color theme="1"/>
        <name val="Calibri (Corpo)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5"/>
        <color auto="1"/>
        <name val="Calibri (Corpo)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5"/>
        <color auto="1"/>
        <name val="Calibri (Corpo)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00823B"/>
      <color rgb="FFC00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pt-BR" sz="2400"/>
              <a:t>Composição do Custo Operacional Efetivo</a:t>
            </a:r>
            <a:r>
              <a:rPr lang="pt-BR" sz="2400" baseline="0"/>
              <a:t> (</a:t>
            </a:r>
            <a:r>
              <a:rPr lang="pt-BR" sz="2400"/>
              <a:t>COE)</a:t>
            </a:r>
          </a:p>
        </c:rich>
      </c:tx>
      <c:overlay val="0"/>
    </c:title>
    <c:autoTitleDeleted val="0"/>
    <c:view3D>
      <c:rotX val="30"/>
      <c:rotY val="40"/>
      <c:depthPercent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58730158730159E-2"/>
          <c:y val="0.17355892629985667"/>
          <c:w val="0.85282539682540115"/>
          <c:h val="0.76452844468061165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'Gráfico COE'!$A$4:$A$7</c:f>
              <c:strCache>
                <c:ptCount val="4"/>
                <c:pt idx="0">
                  <c:v>Pessoas</c:v>
                </c:pt>
                <c:pt idx="1">
                  <c:v>Mecanização</c:v>
                </c:pt>
                <c:pt idx="2">
                  <c:v>Insumos</c:v>
                </c:pt>
                <c:pt idx="3">
                  <c:v>Outros Gastos</c:v>
                </c:pt>
              </c:strCache>
            </c:strRef>
          </c:cat>
          <c:val>
            <c:numRef>
              <c:f>'Gráfico COE'!$B$4:$B$7</c:f>
              <c:numCache>
                <c:formatCode>General</c:formatCode>
                <c:ptCount val="4"/>
                <c:pt idx="0">
                  <c:v>5931</c:v>
                </c:pt>
                <c:pt idx="1">
                  <c:v>4970</c:v>
                </c:pt>
                <c:pt idx="2" formatCode="#,##0.00">
                  <c:v>11500.419155548414</c:v>
                </c:pt>
                <c:pt idx="3" formatCode="#,##0.00">
                  <c:v>3447.4775024341457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2-44E3-86D6-4E80FB8475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gradFill>
      <a:gsLst>
        <a:gs pos="19000">
          <a:schemeClr val="tx2">
            <a:alpha val="84692"/>
            <a:lumMod val="2710"/>
          </a:schemeClr>
        </a:gs>
        <a:gs pos="64000">
          <a:schemeClr val="accent1">
            <a:lumMod val="70000"/>
          </a:schemeClr>
        </a:gs>
      </a:gsLst>
      <a:lin ang="3000000" scaled="0"/>
    </a:gradFill>
    <a:ln>
      <a:solidFill>
        <a:schemeClr val="accent1">
          <a:shade val="50000"/>
          <a:alpha val="43477"/>
        </a:schemeClr>
      </a:solidFill>
    </a:ln>
    <a:effectLst>
      <a:outerShdw blurRad="228600" dist="25400" dir="2700000" sx="102000" sy="102000" algn="tl" rotWithShape="0">
        <a:prstClr val="black">
          <a:alpha val="72000"/>
        </a:prstClr>
      </a:outerShdw>
    </a:effectLst>
    <a:scene3d>
      <a:camera prst="orthographicFront"/>
      <a:lightRig rig="threePt" dir="t"/>
    </a:scene3d>
    <a:sp3d prstMaterial="metal">
      <a:bevelB w="152400" h="50800" prst="softRound"/>
    </a:sp3d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247" footer="0.314960620000002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bg1"/>
                </a:solidFill>
              </a:rPr>
              <a:t>Composição do Custo Operacional Total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F6-6A4E-8905-CACEDE10B59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F6-6A4E-8905-CACEDE10B59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F6-6A4E-8905-CACEDE10B59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7F6-6A4E-8905-CACEDE10B59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F6-6A4E-8905-CACEDE10B59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7F6-6A4E-8905-CACEDE10B59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F6-6A4E-8905-CACEDE10B5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COT'!$A$3:$A$8</c:f>
              <c:strCache>
                <c:ptCount val="6"/>
                <c:pt idx="0">
                  <c:v>Depreciação</c:v>
                </c:pt>
                <c:pt idx="1">
                  <c:v>Pró-labore</c:v>
                </c:pt>
                <c:pt idx="2">
                  <c:v>Condução da Lavoura</c:v>
                </c:pt>
                <c:pt idx="3">
                  <c:v>Colheita e Pós Colheita</c:v>
                </c:pt>
                <c:pt idx="4">
                  <c:v>Gastos Gerais</c:v>
                </c:pt>
                <c:pt idx="5">
                  <c:v>Juros de Custeio</c:v>
                </c:pt>
              </c:strCache>
            </c:strRef>
          </c:cat>
          <c:val>
            <c:numRef>
              <c:f>'Gráfico COT'!$B$3:$B$8</c:f>
              <c:numCache>
                <c:formatCode>General</c:formatCode>
                <c:ptCount val="6"/>
                <c:pt idx="0">
                  <c:v>3639.1255076535926</c:v>
                </c:pt>
                <c:pt idx="1">
                  <c:v>4350</c:v>
                </c:pt>
                <c:pt idx="2">
                  <c:v>21820.347726976986</c:v>
                </c:pt>
                <c:pt idx="3">
                  <c:v>581.07142857142856</c:v>
                </c:pt>
                <c:pt idx="4">
                  <c:v>2796.1210871601297</c:v>
                </c:pt>
                <c:pt idx="5">
                  <c:v>651.35641527401583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9-4639-AFD4-B011DC6F6FD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50"/>
        <c:splitType val="pos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>
      <a:gsLst>
        <a:gs pos="19000">
          <a:schemeClr val="tx2">
            <a:alpha val="84692"/>
            <a:lumMod val="2710"/>
          </a:schemeClr>
        </a:gs>
        <a:gs pos="64000">
          <a:schemeClr val="accent1">
            <a:lumMod val="70000"/>
          </a:schemeClr>
        </a:gs>
      </a:gsLst>
      <a:lin ang="135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274" footer="0.3149606200000027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300"/>
            </a:pPr>
            <a:r>
              <a:rPr lang="pt-BR" sz="2300"/>
              <a:t>Margens de Lucratividade e Remuneração sobre o Capital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R$</c:v>
          </c:tx>
          <c:invertIfNegative val="0"/>
          <c:cat>
            <c:strRef>
              <c:f>'Gráfico Margens'!$A$6:$A$9</c:f>
              <c:strCache>
                <c:ptCount val="4"/>
                <c:pt idx="0">
                  <c:v>Receita</c:v>
                </c:pt>
                <c:pt idx="1">
                  <c:v>Margem Bruta</c:v>
                </c:pt>
                <c:pt idx="2">
                  <c:v>Margem Líquida</c:v>
                </c:pt>
                <c:pt idx="3">
                  <c:v>Remuneração 'com terra'</c:v>
                </c:pt>
              </c:strCache>
            </c:strRef>
          </c:cat>
          <c:val>
            <c:numRef>
              <c:f>'Gráfico Margens'!$B$6:$B$9</c:f>
              <c:numCache>
                <c:formatCode>#,##0.00</c:formatCode>
                <c:ptCount val="4"/>
                <c:pt idx="0">
                  <c:v>58542.5</c:v>
                </c:pt>
                <c:pt idx="1">
                  <c:v>32693.603342017443</c:v>
                </c:pt>
                <c:pt idx="2">
                  <c:v>24704.477834363846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517-8BE8-9BC848EC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0181248"/>
        <c:axId val="200182784"/>
      </c:barChart>
      <c:lineChart>
        <c:grouping val="standard"/>
        <c:varyColors val="0"/>
        <c:ser>
          <c:idx val="1"/>
          <c:order val="1"/>
          <c:tx>
            <c:strRef>
              <c:f>'Gráfico Margens'!$C$5</c:f>
              <c:strCache>
                <c:ptCount val="1"/>
                <c:pt idx="0">
                  <c:v>Taxa de Remuneração do Capital</c:v>
                </c:pt>
              </c:strCache>
            </c:strRef>
          </c:tx>
          <c:spPr>
            <a:ln w="4762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2DA-4517-8BE8-9BC848ECEC4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2DA-4517-8BE8-9BC848ECEC4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2DA-4517-8BE8-9BC848ECEC4C}"/>
              </c:ext>
            </c:extLst>
          </c:dPt>
          <c:dPt>
            <c:idx val="3"/>
            <c:marker>
              <c:symbol val="dash"/>
              <c:size val="40"/>
            </c:marker>
            <c:bubble3D val="0"/>
            <c:extLst>
              <c:ext xmlns:c16="http://schemas.microsoft.com/office/drawing/2014/chart" uri="{C3380CC4-5D6E-409C-BE32-E72D297353CC}">
                <c16:uniqueId val="{00000004-B2DA-4517-8BE8-9BC848ECEC4C}"/>
              </c:ext>
            </c:extLst>
          </c:dPt>
          <c:dPt>
            <c:idx val="4"/>
            <c:marker>
              <c:symbol val="dash"/>
              <c:size val="40"/>
            </c:marker>
            <c:bubble3D val="0"/>
            <c:extLst>
              <c:ext xmlns:c16="http://schemas.microsoft.com/office/drawing/2014/chart" uri="{C3380CC4-5D6E-409C-BE32-E72D297353CC}">
                <c16:uniqueId val="{00000005-B2DA-4517-8BE8-9BC848ECEC4C}"/>
              </c:ext>
            </c:extLst>
          </c:dPt>
          <c:dLbls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DA-4517-8BE8-9BC848ECEC4C}"/>
                </c:ext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DA-4517-8BE8-9BC848ECEC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'Gráfico Margens'!$A$6:$A$9</c:f>
              <c:strCache>
                <c:ptCount val="4"/>
                <c:pt idx="0">
                  <c:v>Receita</c:v>
                </c:pt>
                <c:pt idx="1">
                  <c:v>Margem Bruta</c:v>
                </c:pt>
                <c:pt idx="2">
                  <c:v>Margem Líquida</c:v>
                </c:pt>
                <c:pt idx="3">
                  <c:v>Remuneração 'com terra'</c:v>
                </c:pt>
              </c:strCache>
            </c:strRef>
          </c:cat>
          <c:val>
            <c:numRef>
              <c:f>'Gráfico Margens'!$C$6:$C$9</c:f>
              <c:numCache>
                <c:formatCode>General</c:formatCode>
                <c:ptCount val="4"/>
                <c:pt idx="3" formatCode="0.00%">
                  <c:v>0.34848771503678366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DA-4517-8BE8-9BC848EC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02496"/>
        <c:axId val="200200960"/>
      </c:lineChart>
      <c:catAx>
        <c:axId val="20018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200182784"/>
        <c:crosses val="autoZero"/>
        <c:auto val="1"/>
        <c:lblAlgn val="ctr"/>
        <c:lblOffset val="100"/>
        <c:noMultiLvlLbl val="0"/>
      </c:catAx>
      <c:valAx>
        <c:axId val="20018278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00181248"/>
        <c:crosses val="autoZero"/>
        <c:crossBetween val="between"/>
      </c:valAx>
      <c:valAx>
        <c:axId val="20020096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crossAx val="200202496"/>
        <c:crosses val="max"/>
        <c:crossBetween val="between"/>
      </c:valAx>
      <c:catAx>
        <c:axId val="20020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0200960"/>
        <c:crossesAt val="0"/>
        <c:auto val="1"/>
        <c:lblAlgn val="ctr"/>
        <c:lblOffset val="100"/>
        <c:noMultiLvlLbl val="0"/>
      </c:catAx>
      <c:spPr>
        <a:gradFill flip="none" rotWithShape="1">
          <a:gsLst>
            <a:gs pos="19000">
              <a:schemeClr val="tx2">
                <a:alpha val="84692"/>
                <a:lumMod val="2710"/>
              </a:schemeClr>
            </a:gs>
            <a:gs pos="64000">
              <a:schemeClr val="accent1">
                <a:lumMod val="70000"/>
              </a:schemeClr>
            </a:gs>
          </a:gsLst>
          <a:lin ang="13500000" scaled="1"/>
          <a:tileRect/>
        </a:gradFill>
      </c:spPr>
    </c:plotArea>
    <c:legend>
      <c:legendPos val="b"/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spPr>
    <a:gradFill>
      <a:gsLst>
        <a:gs pos="19000">
          <a:schemeClr val="tx2">
            <a:alpha val="84692"/>
            <a:lumMod val="2710"/>
          </a:schemeClr>
        </a:gs>
        <a:gs pos="64000">
          <a:schemeClr val="accent1">
            <a:lumMod val="70000"/>
          </a:schemeClr>
        </a:gs>
      </a:gsLst>
      <a:lin ang="3000000" scaled="0"/>
    </a:gradFill>
    <a:effectLst>
      <a:outerShdw blurRad="228600" dist="25400" dir="2700000" sx="102000" sy="102000" algn="ctr" rotWithShape="0">
        <a:srgbClr val="000000">
          <a:alpha val="72000"/>
        </a:srgbClr>
      </a:outerShdw>
    </a:effectLst>
    <a:scene3d>
      <a:camera prst="orthographicFront"/>
      <a:lightRig rig="threePt" dir="t"/>
    </a:scene3d>
    <a:sp3d>
      <a:bevelB w="152400" h="50800" prst="softRound"/>
    </a:sp3d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252" footer="0.314960620000002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pt-BR" sz="2400"/>
              <a:t>Relação de troca por hectare - Custo Total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RT'!$A$11</c:f>
              <c:strCache>
                <c:ptCount val="1"/>
                <c:pt idx="0">
                  <c:v>COE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RT'!$A$9</c:f>
              <c:strCache>
                <c:ptCount val="1"/>
                <c:pt idx="0">
                  <c:v>toneladas / hectare</c:v>
                </c:pt>
              </c:strCache>
            </c:strRef>
          </c:cat>
          <c:val>
            <c:numRef>
              <c:f>'Gráfico RT'!$B$11</c:f>
              <c:numCache>
                <c:formatCode>#,##0.00</c:formatCode>
                <c:ptCount val="1"/>
                <c:pt idx="0">
                  <c:v>6.6231105584786834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D-48CA-9EB3-A57136B8F252}"/>
            </c:ext>
          </c:extLst>
        </c:ser>
        <c:ser>
          <c:idx val="1"/>
          <c:order val="1"/>
          <c:tx>
            <c:strRef>
              <c:f>'Gráfico RT'!$A$12</c:f>
              <c:strCache>
                <c:ptCount val="1"/>
                <c:pt idx="0">
                  <c:v>Depreciações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RT'!$A$9</c:f>
              <c:strCache>
                <c:ptCount val="1"/>
                <c:pt idx="0">
                  <c:v>toneladas / hectare</c:v>
                </c:pt>
              </c:strCache>
            </c:strRef>
          </c:cat>
          <c:val>
            <c:numRef>
              <c:f>'Gráfico RT'!$B$12</c:f>
              <c:numCache>
                <c:formatCode>#,##0.00</c:formatCode>
                <c:ptCount val="1"/>
                <c:pt idx="0">
                  <c:v>0.93243169688352712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D-48CA-9EB3-A57136B8F252}"/>
            </c:ext>
          </c:extLst>
        </c:ser>
        <c:ser>
          <c:idx val="3"/>
          <c:order val="2"/>
          <c:tx>
            <c:strRef>
              <c:f>'Gráfico RT'!$A$13</c:f>
              <c:strCache>
                <c:ptCount val="1"/>
                <c:pt idx="0">
                  <c:v>Pró-labore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RT'!$A$9</c:f>
              <c:strCache>
                <c:ptCount val="1"/>
                <c:pt idx="0">
                  <c:v>toneladas / hectare</c:v>
                </c:pt>
              </c:strCache>
            </c:strRef>
          </c:cat>
          <c:val>
            <c:numRef>
              <c:f>'Gráfico RT'!$B$13</c:f>
              <c:numCache>
                <c:formatCode>#,##0.00</c:formatCode>
                <c:ptCount val="1"/>
                <c:pt idx="0">
                  <c:v>1.1145748814963488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D-48CA-9EB3-A57136B8F252}"/>
            </c:ext>
          </c:extLst>
        </c:ser>
        <c:ser>
          <c:idx val="5"/>
          <c:order val="3"/>
          <c:tx>
            <c:strRef>
              <c:f>'Gráfico RT'!$A$14</c:f>
              <c:strCache>
                <c:ptCount val="1"/>
                <c:pt idx="0">
                  <c:v>Remuneração Capital Circulante + Remuneração Terra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RT'!$A$9</c:f>
              <c:strCache>
                <c:ptCount val="1"/>
                <c:pt idx="0">
                  <c:v>toneladas / hectare</c:v>
                </c:pt>
              </c:strCache>
            </c:strRef>
          </c:cat>
          <c:val>
            <c:numRef>
              <c:f>'Gráfico RT'!$B$14</c:f>
              <c:numCache>
                <c:formatCode>#,##0.00</c:formatCode>
                <c:ptCount val="1"/>
                <c:pt idx="0">
                  <c:v>3.1773431839755046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D-48CA-9EB3-A57136B8F252}"/>
            </c:ext>
          </c:extLst>
        </c:ser>
        <c:ser>
          <c:idx val="2"/>
          <c:order val="4"/>
          <c:tx>
            <c:strRef>
              <c:f>'Gráfico RT'!$A$15</c:f>
              <c:strCache>
                <c:ptCount val="1"/>
                <c:pt idx="0">
                  <c:v>Remuneração Bens de Capital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RT'!$A$9</c:f>
              <c:strCache>
                <c:ptCount val="1"/>
                <c:pt idx="0">
                  <c:v>toneladas / hectare</c:v>
                </c:pt>
              </c:strCache>
            </c:strRef>
          </c:cat>
          <c:val>
            <c:numRef>
              <c:f>'Gráfico RT'!$B$15</c:f>
              <c:numCache>
                <c:formatCode>#,##0.00</c:formatCode>
                <c:ptCount val="1"/>
                <c:pt idx="0">
                  <c:v>0.62862833772221749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0-4D6D-B535-22446C46FB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0634368"/>
        <c:axId val="200635904"/>
      </c:barChart>
      <c:catAx>
        <c:axId val="20063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635904"/>
        <c:crosses val="autoZero"/>
        <c:auto val="1"/>
        <c:lblAlgn val="ctr"/>
        <c:lblOffset val="100"/>
        <c:noMultiLvlLbl val="0"/>
      </c:catAx>
      <c:valAx>
        <c:axId val="20063590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00634368"/>
        <c:crosses val="autoZero"/>
        <c:crossBetween val="between"/>
      </c:valAx>
      <c:spPr>
        <a:gradFill>
          <a:gsLst>
            <a:gs pos="19000">
              <a:schemeClr val="tx2">
                <a:alpha val="84692"/>
                <a:lumMod val="2710"/>
              </a:schemeClr>
            </a:gs>
            <a:gs pos="64000">
              <a:schemeClr val="accent1">
                <a:lumMod val="70000"/>
              </a:schemeClr>
            </a:gs>
          </a:gsLst>
          <a:lin ang="13500000" scaled="1"/>
        </a:gradFill>
      </c:spPr>
    </c:plotArea>
    <c:legend>
      <c:legendPos val="b"/>
      <c:overlay val="0"/>
      <c:txPr>
        <a:bodyPr/>
        <a:lstStyle/>
        <a:p>
          <a:pPr>
            <a:defRPr b="1"/>
          </a:pPr>
          <a:endParaRPr lang="pt-BR"/>
        </a:p>
      </c:txPr>
    </c:legend>
    <c:plotVisOnly val="1"/>
    <c:dispBlanksAs val="gap"/>
    <c:showDLblsOverMax val="0"/>
  </c:chart>
  <c:spPr>
    <a:gradFill>
      <a:gsLst>
        <a:gs pos="19000">
          <a:schemeClr val="tx2">
            <a:alpha val="84692"/>
            <a:lumMod val="2710"/>
          </a:schemeClr>
        </a:gs>
        <a:gs pos="64000">
          <a:schemeClr val="accent1">
            <a:lumMod val="70000"/>
          </a:schemeClr>
        </a:gs>
      </a:gsLst>
      <a:lin ang="13500000" scaled="1"/>
    </a:gradFill>
    <a:effectLst>
      <a:outerShdw blurRad="228600" dist="25400" dir="2700000" sx="102000" sy="102000" algn="tl" rotWithShape="0">
        <a:prstClr val="black">
          <a:alpha val="72000"/>
        </a:prstClr>
      </a:outerShdw>
    </a:effectLst>
    <a:scene3d>
      <a:camera prst="orthographicFront"/>
      <a:lightRig rig="threePt" dir="t"/>
    </a:scene3d>
    <a:sp3d>
      <a:bevelB w="152400" h="50800" prst="softRound"/>
    </a:sp3d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252" footer="0.3149606200000025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9.png"/><Relationship Id="rId1" Type="http://schemas.openxmlformats.org/officeDocument/2006/relationships/hyperlink" Target="#Principal!A1"/><Relationship Id="rId4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#'Gr&#225;fico Margens'!A1"/><Relationship Id="rId7" Type="http://schemas.openxmlformats.org/officeDocument/2006/relationships/hyperlink" Target="#Simula&#231;&#245;es!A1"/><Relationship Id="rId2" Type="http://schemas.openxmlformats.org/officeDocument/2006/relationships/hyperlink" Target="#'Gr&#225;fico RT'!A1"/><Relationship Id="rId1" Type="http://schemas.openxmlformats.org/officeDocument/2006/relationships/hyperlink" Target="#'Gr&#225;fico COE'!A1"/><Relationship Id="rId6" Type="http://schemas.openxmlformats.org/officeDocument/2006/relationships/image" Target="../media/image9.png"/><Relationship Id="rId5" Type="http://schemas.openxmlformats.org/officeDocument/2006/relationships/hyperlink" Target="#Indice!A1"/><Relationship Id="rId4" Type="http://schemas.openxmlformats.org/officeDocument/2006/relationships/hyperlink" Target="#'Gr&#225;fico COT'!A1"/><Relationship Id="rId9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hyperlink" Target="#'Gr&#225;fico Margens'!A1"/><Relationship Id="rId7" Type="http://schemas.openxmlformats.org/officeDocument/2006/relationships/hyperlink" Target="#Simula&#231;&#245;es!A1"/><Relationship Id="rId2" Type="http://schemas.openxmlformats.org/officeDocument/2006/relationships/hyperlink" Target="#'Gr&#225;fico RT'!A1"/><Relationship Id="rId1" Type="http://schemas.openxmlformats.org/officeDocument/2006/relationships/hyperlink" Target="#'Gr&#225;fico COE'!A1"/><Relationship Id="rId6" Type="http://schemas.openxmlformats.org/officeDocument/2006/relationships/image" Target="../media/image9.png"/><Relationship Id="rId5" Type="http://schemas.openxmlformats.org/officeDocument/2006/relationships/hyperlink" Target="#Indice!A1"/><Relationship Id="rId4" Type="http://schemas.openxmlformats.org/officeDocument/2006/relationships/hyperlink" Target="#'Gr&#225;fico COT'!A1"/><Relationship Id="rId9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hyperlink" Target="#An&#225;lise!A52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hyperlink" Target="#An&#225;lise!A52"/><Relationship Id="rId1" Type="http://schemas.openxmlformats.org/officeDocument/2006/relationships/chart" Target="../charts/chart2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hyperlink" Target="#An&#225;lise!A52"/><Relationship Id="rId1" Type="http://schemas.openxmlformats.org/officeDocument/2006/relationships/chart" Target="../charts/chart3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hyperlink" Target="#An&#225;lise!A52"/><Relationship Id="rId1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#An&#225;lise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hyperlink" Target="#Principal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hyperlink" Target="#Indice!A1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hyperlink" Target="#Indice!A1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hyperlink" Target="#Indice!A1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8.png"/><Relationship Id="rId1" Type="http://schemas.openxmlformats.org/officeDocument/2006/relationships/hyperlink" Target="#Indice!A1"/><Relationship Id="rId6" Type="http://schemas.openxmlformats.org/officeDocument/2006/relationships/image" Target="../media/image9.png"/><Relationship Id="rId5" Type="http://schemas.openxmlformats.org/officeDocument/2006/relationships/hyperlink" Target="#Simula&#231;&#245;es!A1"/><Relationship Id="rId4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Simula&#231;&#245;es!A1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hyperlink" Target="#Principal!A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1.png"/><Relationship Id="rId1" Type="http://schemas.openxmlformats.org/officeDocument/2006/relationships/hyperlink" Target="#Principal!A1"/><Relationship Id="rId4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1.png"/><Relationship Id="rId1" Type="http://schemas.openxmlformats.org/officeDocument/2006/relationships/hyperlink" Target="#Principal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255867</xdr:colOff>
      <xdr:row>12</xdr:row>
      <xdr:rowOff>103617</xdr:rowOff>
    </xdr:from>
    <xdr:to>
      <xdr:col>19</xdr:col>
      <xdr:colOff>713</xdr:colOff>
      <xdr:row>21</xdr:row>
      <xdr:rowOff>270030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AA35DA-0E91-4C30-9088-9E581A8C9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6455" y="2434441"/>
          <a:ext cx="3740384" cy="2034060"/>
        </a:xfrm>
        <a:prstGeom prst="rect">
          <a:avLst/>
        </a:prstGeom>
      </xdr:spPr>
    </xdr:pic>
    <xdr:clientData/>
  </xdr:twoCellAnchor>
  <xdr:twoCellAnchor editAs="oneCell">
    <xdr:from>
      <xdr:col>2</xdr:col>
      <xdr:colOff>164353</xdr:colOff>
      <xdr:row>5</xdr:row>
      <xdr:rowOff>164354</xdr:rowOff>
    </xdr:from>
    <xdr:to>
      <xdr:col>12</xdr:col>
      <xdr:colOff>193</xdr:colOff>
      <xdr:row>22</xdr:row>
      <xdr:rowOff>196477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5091594-674E-454D-B031-7311E7E3E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706" y="1135530"/>
          <a:ext cx="6921500" cy="4051300"/>
        </a:xfrm>
        <a:prstGeom prst="rect">
          <a:avLst/>
        </a:prstGeom>
      </xdr:spPr>
    </xdr:pic>
    <xdr:clientData/>
  </xdr:twoCellAnchor>
  <xdr:twoCellAnchor editAs="oneCell">
    <xdr:from>
      <xdr:col>9</xdr:col>
      <xdr:colOff>539622</xdr:colOff>
      <xdr:row>24</xdr:row>
      <xdr:rowOff>161738</xdr:rowOff>
    </xdr:from>
    <xdr:to>
      <xdr:col>13</xdr:col>
      <xdr:colOff>1031</xdr:colOff>
      <xdr:row>28</xdr:row>
      <xdr:rowOff>13461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9EEE14-BF07-3847-AC83-8F20EB7B4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2955" y="5612155"/>
          <a:ext cx="1947837" cy="685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107</xdr:row>
      <xdr:rowOff>0</xdr:rowOff>
    </xdr:from>
    <xdr:to>
      <xdr:col>1</xdr:col>
      <xdr:colOff>1668133</xdr:colOff>
      <xdr:row>110</xdr:row>
      <xdr:rowOff>44753</xdr:rowOff>
    </xdr:to>
    <xdr:pic>
      <xdr:nvPicPr>
        <xdr:cNvPr id="10" name="Imagem 9" descr="Laboratório de Jato Propulsã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C1CAB1-5C34-9440-824D-DDA2BE003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22587857"/>
          <a:ext cx="1668133" cy="64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222763</xdr:colOff>
      <xdr:row>0</xdr:row>
      <xdr:rowOff>483932</xdr:rowOff>
    </xdr:from>
    <xdr:to>
      <xdr:col>1</xdr:col>
      <xdr:colOff>3881740</xdr:colOff>
      <xdr:row>5</xdr:row>
      <xdr:rowOff>139989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D1288314-9813-40DF-8329-F4287C815B84}"/>
            </a:ext>
          </a:extLst>
        </xdr:cNvPr>
        <xdr:cNvGrpSpPr/>
      </xdr:nvGrpSpPr>
      <xdr:grpSpPr>
        <a:xfrm>
          <a:off x="222763" y="483932"/>
          <a:ext cx="3908441" cy="1254896"/>
          <a:chOff x="6369087" y="447335"/>
          <a:chExt cx="3897103" cy="1215392"/>
        </a:xfrm>
      </xdr:grpSpPr>
      <xdr:pic>
        <xdr:nvPicPr>
          <xdr:cNvPr id="7" name="Imagem 6">
            <a:extLst>
              <a:ext uri="{FF2B5EF4-FFF2-40B4-BE49-F238E27FC236}">
                <a16:creationId xmlns:a16="http://schemas.microsoft.com/office/drawing/2014/main" id="{A66BF580-9D7A-484D-A7FE-FBDF7899B7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014911" y="826345"/>
            <a:ext cx="1251279" cy="757971"/>
          </a:xfrm>
          <a:prstGeom prst="rect">
            <a:avLst/>
          </a:prstGeom>
        </xdr:spPr>
      </xdr:pic>
      <xdr:pic>
        <xdr:nvPicPr>
          <xdr:cNvPr id="8" name="Imagem 7">
            <a:extLst>
              <a:ext uri="{FF2B5EF4-FFF2-40B4-BE49-F238E27FC236}">
                <a16:creationId xmlns:a16="http://schemas.microsoft.com/office/drawing/2014/main" id="{F40EC4BC-BB9B-4E29-9EE6-FC79F199F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369087" y="447335"/>
            <a:ext cx="2197337" cy="1215392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50</xdr:row>
      <xdr:rowOff>180975</xdr:rowOff>
    </xdr:from>
    <xdr:to>
      <xdr:col>2</xdr:col>
      <xdr:colOff>152401</xdr:colOff>
      <xdr:row>52</xdr:row>
      <xdr:rowOff>171451</xdr:rowOff>
    </xdr:to>
    <xdr:sp macro="" textlink="">
      <xdr:nvSpPr>
        <xdr:cNvPr id="6" name="Retângulo de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228600" y="10772775"/>
          <a:ext cx="3448051" cy="371476"/>
        </a:xfrm>
        <a:prstGeom prst="roundRect">
          <a:avLst/>
        </a:prstGeom>
        <a:solidFill>
          <a:schemeClr val="accent2">
            <a:lumMod val="5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/>
            <a:t>Custo Operacional Efetivo</a:t>
          </a:r>
        </a:p>
      </xdr:txBody>
    </xdr:sp>
    <xdr:clientData/>
  </xdr:twoCellAnchor>
  <xdr:twoCellAnchor>
    <xdr:from>
      <xdr:col>4</xdr:col>
      <xdr:colOff>1104900</xdr:colOff>
      <xdr:row>51</xdr:row>
      <xdr:rowOff>19049</xdr:rowOff>
    </xdr:from>
    <xdr:to>
      <xdr:col>5</xdr:col>
      <xdr:colOff>1266825</xdr:colOff>
      <xdr:row>54</xdr:row>
      <xdr:rowOff>161924</xdr:rowOff>
    </xdr:to>
    <xdr:sp macro="" textlink="">
      <xdr:nvSpPr>
        <xdr:cNvPr id="9" name="Retângulo de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6524625" y="10801349"/>
          <a:ext cx="2019300" cy="714375"/>
        </a:xfrm>
        <a:prstGeom prst="roundRect">
          <a:avLst/>
        </a:prstGeom>
        <a:solidFill>
          <a:schemeClr val="accent2">
            <a:lumMod val="5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/>
            <a:t>Relação de Troca</a:t>
          </a:r>
        </a:p>
      </xdr:txBody>
    </xdr:sp>
    <xdr:clientData/>
  </xdr:twoCellAnchor>
  <xdr:twoCellAnchor>
    <xdr:from>
      <xdr:col>2</xdr:col>
      <xdr:colOff>723900</xdr:colOff>
      <xdr:row>51</xdr:row>
      <xdr:rowOff>19050</xdr:rowOff>
    </xdr:from>
    <xdr:to>
      <xdr:col>4</xdr:col>
      <xdr:colOff>457200</xdr:colOff>
      <xdr:row>54</xdr:row>
      <xdr:rowOff>152400</xdr:rowOff>
    </xdr:to>
    <xdr:sp macro="" textlink="">
      <xdr:nvSpPr>
        <xdr:cNvPr id="13" name="Retângulo de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4770967" y="12414250"/>
          <a:ext cx="1900766" cy="692150"/>
        </a:xfrm>
        <a:prstGeom prst="roundRect">
          <a:avLst/>
        </a:prstGeom>
        <a:solidFill>
          <a:schemeClr val="accent2">
            <a:lumMod val="5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/>
            <a:t>Margens de Lucratividade</a:t>
          </a:r>
        </a:p>
      </xdr:txBody>
    </xdr:sp>
    <xdr:clientData/>
  </xdr:twoCellAnchor>
  <xdr:twoCellAnchor>
    <xdr:from>
      <xdr:col>1</xdr:col>
      <xdr:colOff>0</xdr:colOff>
      <xdr:row>52</xdr:row>
      <xdr:rowOff>161925</xdr:rowOff>
    </xdr:from>
    <xdr:to>
      <xdr:col>2</xdr:col>
      <xdr:colOff>152401</xdr:colOff>
      <xdr:row>54</xdr:row>
      <xdr:rowOff>152401</xdr:rowOff>
    </xdr:to>
    <xdr:sp macro="" textlink="">
      <xdr:nvSpPr>
        <xdr:cNvPr id="15" name="Retângulo de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219075" y="11134725"/>
          <a:ext cx="3457576" cy="371476"/>
        </a:xfrm>
        <a:prstGeom prst="roundRect">
          <a:avLst/>
        </a:prstGeom>
        <a:solidFill>
          <a:schemeClr val="accent2">
            <a:lumMod val="5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/>
            <a:t>Custo Operacional Total</a:t>
          </a:r>
        </a:p>
      </xdr:txBody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1668133</xdr:colOff>
      <xdr:row>59</xdr:row>
      <xdr:rowOff>3502</xdr:rowOff>
    </xdr:to>
    <xdr:pic>
      <xdr:nvPicPr>
        <xdr:cNvPr id="17" name="Imagem 16" descr="Laboratório de Jato Propulsã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7C1669-AE74-834B-B31C-74077C869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13062857"/>
          <a:ext cx="1668133" cy="6309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59070</xdr:colOff>
      <xdr:row>128</xdr:row>
      <xdr:rowOff>147674</xdr:rowOff>
    </xdr:from>
    <xdr:to>
      <xdr:col>1</xdr:col>
      <xdr:colOff>1727203</xdr:colOff>
      <xdr:row>132</xdr:row>
      <xdr:rowOff>24470</xdr:rowOff>
    </xdr:to>
    <xdr:pic>
      <xdr:nvPicPr>
        <xdr:cNvPr id="11" name="Imagem 10" descr="Laboratório de Jato Propulsã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733549B-E0B1-3B4B-9BFB-83FF10D6E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70" y="29230674"/>
          <a:ext cx="1668133" cy="638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497897</xdr:colOff>
      <xdr:row>108</xdr:row>
      <xdr:rowOff>173182</xdr:rowOff>
    </xdr:from>
    <xdr:to>
      <xdr:col>3</xdr:col>
      <xdr:colOff>797446</xdr:colOff>
      <xdr:row>119</xdr:row>
      <xdr:rowOff>88606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E45BA20D-F093-DE42-A909-4389C37F8D58}"/>
            </a:ext>
          </a:extLst>
        </xdr:cNvPr>
        <xdr:cNvSpPr txBox="1"/>
      </xdr:nvSpPr>
      <xdr:spPr>
        <a:xfrm rot="16200000">
          <a:off x="4453057" y="27390750"/>
          <a:ext cx="2303890" cy="299549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Variação no Preço Médio por saca</a:t>
          </a:r>
        </a:p>
      </xdr:txBody>
    </xdr:sp>
    <xdr:clientData/>
  </xdr:twoCellAnchor>
  <xdr:twoCellAnchor>
    <xdr:from>
      <xdr:col>3</xdr:col>
      <xdr:colOff>516857</xdr:colOff>
      <xdr:row>164</xdr:row>
      <xdr:rowOff>162443</xdr:rowOff>
    </xdr:from>
    <xdr:to>
      <xdr:col>3</xdr:col>
      <xdr:colOff>812206</xdr:colOff>
      <xdr:row>174</xdr:row>
      <xdr:rowOff>44304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D7DF5345-3505-AB4A-975C-8AB2E533A95B}"/>
            </a:ext>
          </a:extLst>
        </xdr:cNvPr>
        <xdr:cNvSpPr txBox="1"/>
      </xdr:nvSpPr>
      <xdr:spPr>
        <a:xfrm rot="16200000">
          <a:off x="4571701" y="38944699"/>
          <a:ext cx="2193261" cy="295349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Variação no Preço Médio por saca</a:t>
          </a:r>
        </a:p>
      </xdr:txBody>
    </xdr:sp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1668133</xdr:colOff>
      <xdr:row>188</xdr:row>
      <xdr:rowOff>47803</xdr:rowOff>
    </xdr:to>
    <xdr:pic>
      <xdr:nvPicPr>
        <xdr:cNvPr id="18" name="Imagem 17" descr="Laboratório de Jato Propulsã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99355A4-7A3A-2846-9022-E0BAE25E9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42595800"/>
          <a:ext cx="1668133" cy="619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1609651</xdr:colOff>
      <xdr:row>97</xdr:row>
      <xdr:rowOff>44299</xdr:rowOff>
    </xdr:from>
    <xdr:to>
      <xdr:col>4</xdr:col>
      <xdr:colOff>107527</xdr:colOff>
      <xdr:row>102</xdr:row>
      <xdr:rowOff>37170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3450D84B-52F3-724D-B1AE-6B8AC623B230}"/>
            </a:ext>
          </a:extLst>
        </xdr:cNvPr>
        <xdr:cNvGrpSpPr/>
      </xdr:nvGrpSpPr>
      <xdr:grpSpPr>
        <a:xfrm>
          <a:off x="1863651" y="24228728"/>
          <a:ext cx="4439662" cy="1235656"/>
          <a:chOff x="486906" y="383953"/>
          <a:chExt cx="4198108" cy="1233337"/>
        </a:xfrm>
      </xdr:grpSpPr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77B49C1D-8B39-C54E-8E4B-B0B2DCA9C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4167" y="768316"/>
            <a:ext cx="1480847" cy="774750"/>
          </a:xfrm>
          <a:prstGeom prst="rect">
            <a:avLst/>
          </a:prstGeom>
        </xdr:spPr>
      </xdr:pic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78C357E9-9B41-B343-BD9C-9471267C7B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486906" y="383953"/>
            <a:ext cx="2197337" cy="123333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1639186</xdr:colOff>
      <xdr:row>152</xdr:row>
      <xdr:rowOff>73823</xdr:rowOff>
    </xdr:from>
    <xdr:to>
      <xdr:col>4</xdr:col>
      <xdr:colOff>137062</xdr:colOff>
      <xdr:row>157</xdr:row>
      <xdr:rowOff>184836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CEC4B7B-D636-BC4C-9A86-B76BAAF2D495}"/>
            </a:ext>
          </a:extLst>
        </xdr:cNvPr>
        <xdr:cNvGrpSpPr/>
      </xdr:nvGrpSpPr>
      <xdr:grpSpPr>
        <a:xfrm>
          <a:off x="1893186" y="37457180"/>
          <a:ext cx="4439662" cy="1335656"/>
          <a:chOff x="486906" y="383953"/>
          <a:chExt cx="4198108" cy="1233337"/>
        </a:xfrm>
      </xdr:grpSpPr>
      <xdr:pic>
        <xdr:nvPicPr>
          <xdr:cNvPr id="23" name="Imagem 22">
            <a:extLst>
              <a:ext uri="{FF2B5EF4-FFF2-40B4-BE49-F238E27FC236}">
                <a16:creationId xmlns:a16="http://schemas.microsoft.com/office/drawing/2014/main" id="{B7A31932-62AF-8847-95A9-5BD5A73F9B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4167" y="768316"/>
            <a:ext cx="1480847" cy="774750"/>
          </a:xfrm>
          <a:prstGeom prst="rect">
            <a:avLst/>
          </a:prstGeom>
        </xdr:spPr>
      </xdr:pic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FA15EED9-9ADA-A54B-B069-FEF1B7A02C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486906" y="383953"/>
            <a:ext cx="2197337" cy="1233337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728133</xdr:colOff>
      <xdr:row>55</xdr:row>
      <xdr:rowOff>152400</xdr:rowOff>
    </xdr:from>
    <xdr:to>
      <xdr:col>4</xdr:col>
      <xdr:colOff>1714499</xdr:colOff>
      <xdr:row>59</xdr:row>
      <xdr:rowOff>48684</xdr:rowOff>
    </xdr:to>
    <xdr:sp macro="" textlink="">
      <xdr:nvSpPr>
        <xdr:cNvPr id="25" name="Retângulo de cantos arredondados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1BD9D20-4299-FC44-9843-62FBD433BC6C}"/>
            </a:ext>
          </a:extLst>
        </xdr:cNvPr>
        <xdr:cNvSpPr/>
      </xdr:nvSpPr>
      <xdr:spPr>
        <a:xfrm>
          <a:off x="6028266" y="13292667"/>
          <a:ext cx="1900766" cy="692150"/>
        </a:xfrm>
        <a:prstGeom prst="roundRect">
          <a:avLst/>
        </a:prstGeom>
        <a:solidFill>
          <a:schemeClr val="accent2">
            <a:lumMod val="5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/>
            <a:t>Simulações</a:t>
          </a:r>
        </a:p>
      </xdr:txBody>
    </xdr:sp>
    <xdr:clientData/>
  </xdr:twoCellAnchor>
  <xdr:twoCellAnchor>
    <xdr:from>
      <xdr:col>1</xdr:col>
      <xdr:colOff>346365</xdr:colOff>
      <xdr:row>1</xdr:row>
      <xdr:rowOff>259772</xdr:rowOff>
    </xdr:from>
    <xdr:to>
      <xdr:col>2</xdr:col>
      <xdr:colOff>693241</xdr:colOff>
      <xdr:row>7</xdr:row>
      <xdr:rowOff>31983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45D50B12-CFCD-4315-A801-3B4BD9CF6BF8}"/>
            </a:ext>
          </a:extLst>
        </xdr:cNvPr>
        <xdr:cNvGrpSpPr/>
      </xdr:nvGrpSpPr>
      <xdr:grpSpPr>
        <a:xfrm>
          <a:off x="600365" y="450272"/>
          <a:ext cx="4129662" cy="1259925"/>
          <a:chOff x="6369087" y="447335"/>
          <a:chExt cx="3897103" cy="1215392"/>
        </a:xfrm>
      </xdr:grpSpPr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9A5DF7E2-E62A-4C4A-8A0D-75EC10CA0F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014911" y="826345"/>
            <a:ext cx="1251279" cy="757971"/>
          </a:xfrm>
          <a:prstGeom prst="rect">
            <a:avLst/>
          </a:prstGeom>
        </xdr:spPr>
      </xdr:pic>
      <xdr:pic>
        <xdr:nvPicPr>
          <xdr:cNvPr id="31" name="Imagem 30">
            <a:extLst>
              <a:ext uri="{FF2B5EF4-FFF2-40B4-BE49-F238E27FC236}">
                <a16:creationId xmlns:a16="http://schemas.microsoft.com/office/drawing/2014/main" id="{5236EA3B-C771-438B-99DD-71FB43DBDA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369087" y="447335"/>
            <a:ext cx="2197337" cy="1215392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50</xdr:row>
      <xdr:rowOff>180975</xdr:rowOff>
    </xdr:from>
    <xdr:to>
      <xdr:col>2</xdr:col>
      <xdr:colOff>152401</xdr:colOff>
      <xdr:row>52</xdr:row>
      <xdr:rowOff>171451</xdr:rowOff>
    </xdr:to>
    <xdr:sp macro="" textlink="">
      <xdr:nvSpPr>
        <xdr:cNvPr id="2" name="Retângulo de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3DFE78-6820-4214-89ED-3BDB6857AEA2}"/>
            </a:ext>
          </a:extLst>
        </xdr:cNvPr>
        <xdr:cNvSpPr/>
      </xdr:nvSpPr>
      <xdr:spPr>
        <a:xfrm>
          <a:off x="247650" y="12115800"/>
          <a:ext cx="3690939" cy="352426"/>
        </a:xfrm>
        <a:prstGeom prst="roundRect">
          <a:avLst/>
        </a:prstGeom>
        <a:solidFill>
          <a:schemeClr val="accent2">
            <a:lumMod val="5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/>
            <a:t>Custo Operacional Efetivo</a:t>
          </a:r>
        </a:p>
      </xdr:txBody>
    </xdr:sp>
    <xdr:clientData/>
  </xdr:twoCellAnchor>
  <xdr:twoCellAnchor>
    <xdr:from>
      <xdr:col>4</xdr:col>
      <xdr:colOff>1104900</xdr:colOff>
      <xdr:row>51</xdr:row>
      <xdr:rowOff>19049</xdr:rowOff>
    </xdr:from>
    <xdr:to>
      <xdr:col>5</xdr:col>
      <xdr:colOff>1266825</xdr:colOff>
      <xdr:row>54</xdr:row>
      <xdr:rowOff>161924</xdr:rowOff>
    </xdr:to>
    <xdr:sp macro="" textlink="">
      <xdr:nvSpPr>
        <xdr:cNvPr id="3" name="Retângulo de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27DA7B-F20B-4302-AA65-CACE7DD9F818}"/>
            </a:ext>
          </a:extLst>
        </xdr:cNvPr>
        <xdr:cNvSpPr/>
      </xdr:nvSpPr>
      <xdr:spPr>
        <a:xfrm>
          <a:off x="6915150" y="12134849"/>
          <a:ext cx="2147888" cy="685800"/>
        </a:xfrm>
        <a:prstGeom prst="roundRect">
          <a:avLst/>
        </a:prstGeom>
        <a:solidFill>
          <a:schemeClr val="accent2">
            <a:lumMod val="5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/>
            <a:t>Relação de Troca</a:t>
          </a:r>
        </a:p>
      </xdr:txBody>
    </xdr:sp>
    <xdr:clientData/>
  </xdr:twoCellAnchor>
  <xdr:twoCellAnchor>
    <xdr:from>
      <xdr:col>2</xdr:col>
      <xdr:colOff>723900</xdr:colOff>
      <xdr:row>51</xdr:row>
      <xdr:rowOff>19050</xdr:rowOff>
    </xdr:from>
    <xdr:to>
      <xdr:col>4</xdr:col>
      <xdr:colOff>457200</xdr:colOff>
      <xdr:row>54</xdr:row>
      <xdr:rowOff>152400</xdr:rowOff>
    </xdr:to>
    <xdr:sp macro="" textlink="">
      <xdr:nvSpPr>
        <xdr:cNvPr id="4" name="Retângulo de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4A4021-D3E7-4190-8E7B-BC526F5FA622}"/>
            </a:ext>
          </a:extLst>
        </xdr:cNvPr>
        <xdr:cNvSpPr/>
      </xdr:nvSpPr>
      <xdr:spPr>
        <a:xfrm>
          <a:off x="4510088" y="12134850"/>
          <a:ext cx="1757362" cy="676275"/>
        </a:xfrm>
        <a:prstGeom prst="roundRect">
          <a:avLst/>
        </a:prstGeom>
        <a:solidFill>
          <a:schemeClr val="accent2">
            <a:lumMod val="5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/>
            <a:t>Margens de Lucratividade</a:t>
          </a:r>
        </a:p>
      </xdr:txBody>
    </xdr:sp>
    <xdr:clientData/>
  </xdr:twoCellAnchor>
  <xdr:twoCellAnchor>
    <xdr:from>
      <xdr:col>1</xdr:col>
      <xdr:colOff>0</xdr:colOff>
      <xdr:row>52</xdr:row>
      <xdr:rowOff>161925</xdr:rowOff>
    </xdr:from>
    <xdr:to>
      <xdr:col>2</xdr:col>
      <xdr:colOff>152401</xdr:colOff>
      <xdr:row>54</xdr:row>
      <xdr:rowOff>152401</xdr:rowOff>
    </xdr:to>
    <xdr:sp macro="" textlink="">
      <xdr:nvSpPr>
        <xdr:cNvPr id="5" name="Retângulo de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E88EE4-3624-4875-BFAE-BDB97A413CBA}"/>
            </a:ext>
          </a:extLst>
        </xdr:cNvPr>
        <xdr:cNvSpPr/>
      </xdr:nvSpPr>
      <xdr:spPr>
        <a:xfrm>
          <a:off x="238125" y="12458700"/>
          <a:ext cx="3700464" cy="352426"/>
        </a:xfrm>
        <a:prstGeom prst="roundRect">
          <a:avLst/>
        </a:prstGeom>
        <a:solidFill>
          <a:schemeClr val="accent2">
            <a:lumMod val="5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/>
            <a:t>Custo Operacional Total</a:t>
          </a:r>
        </a:p>
      </xdr:txBody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1677658</xdr:colOff>
      <xdr:row>59</xdr:row>
      <xdr:rowOff>51125</xdr:rowOff>
    </xdr:to>
    <xdr:pic>
      <xdr:nvPicPr>
        <xdr:cNvPr id="8" name="Imagem 7" descr="Laboratório de Jato Propulsã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F836F2-790B-4AF8-A683-F62B8E786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3020675"/>
          <a:ext cx="1668133" cy="594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59070</xdr:colOff>
      <xdr:row>128</xdr:row>
      <xdr:rowOff>147674</xdr:rowOff>
    </xdr:from>
    <xdr:to>
      <xdr:col>1</xdr:col>
      <xdr:colOff>1736728</xdr:colOff>
      <xdr:row>133</xdr:row>
      <xdr:rowOff>33996</xdr:rowOff>
    </xdr:to>
    <xdr:pic>
      <xdr:nvPicPr>
        <xdr:cNvPr id="9" name="Imagem 8" descr="Laboratório de Jato Propulsã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880C76A-E484-4071-B841-7A96A6561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95" y="30637199"/>
          <a:ext cx="1668133" cy="791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497897</xdr:colOff>
      <xdr:row>108</xdr:row>
      <xdr:rowOff>173182</xdr:rowOff>
    </xdr:from>
    <xdr:to>
      <xdr:col>3</xdr:col>
      <xdr:colOff>797446</xdr:colOff>
      <xdr:row>119</xdr:row>
      <xdr:rowOff>88606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092EEF6-C614-458F-AFB0-6FC65A808439}"/>
            </a:ext>
          </a:extLst>
        </xdr:cNvPr>
        <xdr:cNvSpPr txBox="1"/>
      </xdr:nvSpPr>
      <xdr:spPr>
        <a:xfrm rot="16200000">
          <a:off x="4457097" y="27322632"/>
          <a:ext cx="2287149" cy="299549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Variação no Preço Médio por saca</a:t>
          </a:r>
        </a:p>
      </xdr:txBody>
    </xdr:sp>
    <xdr:clientData/>
  </xdr:twoCellAnchor>
  <xdr:twoCellAnchor>
    <xdr:from>
      <xdr:col>3</xdr:col>
      <xdr:colOff>516857</xdr:colOff>
      <xdr:row>164</xdr:row>
      <xdr:rowOff>162443</xdr:rowOff>
    </xdr:from>
    <xdr:to>
      <xdr:col>3</xdr:col>
      <xdr:colOff>812206</xdr:colOff>
      <xdr:row>174</xdr:row>
      <xdr:rowOff>44304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E1EE44FB-D2D5-46E4-B3B0-DC74E7021716}"/>
            </a:ext>
          </a:extLst>
        </xdr:cNvPr>
        <xdr:cNvSpPr txBox="1"/>
      </xdr:nvSpPr>
      <xdr:spPr>
        <a:xfrm rot="16200000">
          <a:off x="4581226" y="39851162"/>
          <a:ext cx="2072611" cy="295349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Variação no Preço Médio por saca</a:t>
          </a:r>
        </a:p>
      </xdr:txBody>
    </xdr:sp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1677658</xdr:colOff>
      <xdr:row>188</xdr:row>
      <xdr:rowOff>47804</xdr:rowOff>
    </xdr:to>
    <xdr:pic>
      <xdr:nvPicPr>
        <xdr:cNvPr id="12" name="Imagem 11" descr="Laboratório de Jato Propulsã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83031A6-82D7-4656-A7D4-7E55B8AC1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3314938"/>
          <a:ext cx="1668133" cy="590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647626</xdr:colOff>
      <xdr:row>97</xdr:row>
      <xdr:rowOff>44299</xdr:rowOff>
    </xdr:from>
    <xdr:to>
      <xdr:col>4</xdr:col>
      <xdr:colOff>107527</xdr:colOff>
      <xdr:row>102</xdr:row>
      <xdr:rowOff>37170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B450C6D-8661-476D-9EA7-29879402FC0E}"/>
            </a:ext>
          </a:extLst>
        </xdr:cNvPr>
        <xdr:cNvGrpSpPr/>
      </xdr:nvGrpSpPr>
      <xdr:grpSpPr>
        <a:xfrm>
          <a:off x="901626" y="24751572"/>
          <a:ext cx="5417356" cy="1285962"/>
          <a:chOff x="486906" y="383953"/>
          <a:chExt cx="4198108" cy="1233337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1CB3B526-B0C7-4403-8A06-D238A1C4B2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4167" y="768316"/>
            <a:ext cx="1480847" cy="774750"/>
          </a:xfrm>
          <a:prstGeom prst="rect">
            <a:avLst/>
          </a:prstGeom>
        </xdr:spPr>
      </xdr:pic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BAD80A7A-7466-437B-A521-6E7AAB36F5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486906" y="383953"/>
            <a:ext cx="2197337" cy="1233337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886</xdr:colOff>
      <xdr:row>152</xdr:row>
      <xdr:rowOff>73823</xdr:rowOff>
    </xdr:from>
    <xdr:to>
      <xdr:col>4</xdr:col>
      <xdr:colOff>137062</xdr:colOff>
      <xdr:row>157</xdr:row>
      <xdr:rowOff>180073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6BE4914-C17C-4959-A67F-853125921D72}"/>
            </a:ext>
          </a:extLst>
        </xdr:cNvPr>
        <xdr:cNvGrpSpPr/>
      </xdr:nvGrpSpPr>
      <xdr:grpSpPr>
        <a:xfrm>
          <a:off x="4041795" y="37504187"/>
          <a:ext cx="2306722" cy="1260795"/>
          <a:chOff x="486906" y="383953"/>
          <a:chExt cx="4198108" cy="1233337"/>
        </a:xfrm>
      </xdr:grpSpPr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EF1A74EA-4B8A-42EA-87B1-27E48C9DB5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4167" y="768316"/>
            <a:ext cx="1480847" cy="774750"/>
          </a:xfrm>
          <a:prstGeom prst="rect">
            <a:avLst/>
          </a:prstGeom>
        </xdr:spPr>
      </xdr:pic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C9AEFF78-DD3E-4C1E-B6C5-21FDA15DE1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486906" y="383953"/>
            <a:ext cx="2197337" cy="1233337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728133</xdr:colOff>
      <xdr:row>55</xdr:row>
      <xdr:rowOff>152400</xdr:rowOff>
    </xdr:from>
    <xdr:to>
      <xdr:col>4</xdr:col>
      <xdr:colOff>1714499</xdr:colOff>
      <xdr:row>59</xdr:row>
      <xdr:rowOff>48684</xdr:rowOff>
    </xdr:to>
    <xdr:sp macro="" textlink="">
      <xdr:nvSpPr>
        <xdr:cNvPr id="19" name="Retângulo de cantos arredondados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BA64AD0-7677-4F27-804C-32E213FD5219}"/>
            </a:ext>
          </a:extLst>
        </xdr:cNvPr>
        <xdr:cNvSpPr/>
      </xdr:nvSpPr>
      <xdr:spPr>
        <a:xfrm>
          <a:off x="5681133" y="12992100"/>
          <a:ext cx="1843616" cy="667809"/>
        </a:xfrm>
        <a:prstGeom prst="roundRect">
          <a:avLst/>
        </a:prstGeom>
        <a:solidFill>
          <a:schemeClr val="accent2">
            <a:lumMod val="5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600" b="1"/>
            <a:t>Simulações</a:t>
          </a:r>
        </a:p>
      </xdr:txBody>
    </xdr:sp>
    <xdr:clientData/>
  </xdr:twoCellAnchor>
  <xdr:twoCellAnchor>
    <xdr:from>
      <xdr:col>1</xdr:col>
      <xdr:colOff>381000</xdr:colOff>
      <xdr:row>1</xdr:row>
      <xdr:rowOff>450272</xdr:rowOff>
    </xdr:from>
    <xdr:to>
      <xdr:col>2</xdr:col>
      <xdr:colOff>727876</xdr:colOff>
      <xdr:row>7</xdr:row>
      <xdr:rowOff>20437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48080BF2-D11F-4D16-BBE1-29C1713F53E4}"/>
            </a:ext>
          </a:extLst>
        </xdr:cNvPr>
        <xdr:cNvGrpSpPr/>
      </xdr:nvGrpSpPr>
      <xdr:grpSpPr>
        <a:xfrm>
          <a:off x="635000" y="634999"/>
          <a:ext cx="4133785" cy="1209620"/>
          <a:chOff x="6369087" y="447335"/>
          <a:chExt cx="3897103" cy="1215392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B28D7DAD-FADC-4FEA-8A88-16A1BA9787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014911" y="826345"/>
            <a:ext cx="1251279" cy="757971"/>
          </a:xfrm>
          <a:prstGeom prst="rect">
            <a:avLst/>
          </a:prstGeom>
        </xdr:spPr>
      </xdr:pic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7CBC3F33-B89B-4D7D-80D7-30B5A0CC96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369087" y="447335"/>
            <a:ext cx="2197337" cy="1215392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63805</xdr:colOff>
      <xdr:row>9</xdr:row>
      <xdr:rowOff>9525</xdr:rowOff>
    </xdr:from>
    <xdr:to>
      <xdr:col>21</xdr:col>
      <xdr:colOff>516439</xdr:colOff>
      <xdr:row>41</xdr:row>
      <xdr:rowOff>123371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513036</xdr:colOff>
      <xdr:row>43</xdr:row>
      <xdr:rowOff>95889</xdr:rowOff>
    </xdr:from>
    <xdr:to>
      <xdr:col>3</xdr:col>
      <xdr:colOff>73606</xdr:colOff>
      <xdr:row>46</xdr:row>
      <xdr:rowOff>162351</xdr:rowOff>
    </xdr:to>
    <xdr:pic>
      <xdr:nvPicPr>
        <xdr:cNvPr id="3" name="Imagem 2" descr="Laboratório de Jato Propulsã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BCAEC6-B061-1147-8075-6307EBFB0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36" y="8330405"/>
          <a:ext cx="1649925" cy="640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341397</xdr:colOff>
      <xdr:row>1</xdr:row>
      <xdr:rowOff>40967</xdr:rowOff>
    </xdr:from>
    <xdr:to>
      <xdr:col>16</xdr:col>
      <xdr:colOff>360795</xdr:colOff>
      <xdr:row>7</xdr:row>
      <xdr:rowOff>127207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83CB5DD-A3B5-1A44-9A7B-2D1F46FAA5D5}"/>
            </a:ext>
          </a:extLst>
        </xdr:cNvPr>
        <xdr:cNvGrpSpPr/>
      </xdr:nvGrpSpPr>
      <xdr:grpSpPr>
        <a:xfrm>
          <a:off x="7284064" y="227234"/>
          <a:ext cx="4184998" cy="1203840"/>
          <a:chOff x="4397204" y="300430"/>
          <a:chExt cx="4198108" cy="1233337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6E308EC8-29BC-7548-91A8-CDED852DAD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14465" y="684793"/>
            <a:ext cx="1480847" cy="774750"/>
          </a:xfrm>
          <a:prstGeom prst="rect">
            <a:avLst/>
          </a:prstGeom>
        </xdr:spPr>
      </xdr:pic>
      <xdr:pic>
        <xdr:nvPicPr>
          <xdr:cNvPr id="6" name="Imagem 5">
            <a:extLst>
              <a:ext uri="{FF2B5EF4-FFF2-40B4-BE49-F238E27FC236}">
                <a16:creationId xmlns:a16="http://schemas.microsoft.com/office/drawing/2014/main" id="{6BF89311-C803-004A-9C43-882D46F7BE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397204" y="300430"/>
            <a:ext cx="2197337" cy="1233337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532539</xdr:colOff>
      <xdr:row>11</xdr:row>
      <xdr:rowOff>65693</xdr:rowOff>
    </xdr:from>
    <xdr:to>
      <xdr:col>21</xdr:col>
      <xdr:colOff>263124</xdr:colOff>
      <xdr:row>43</xdr:row>
      <xdr:rowOff>179694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259949</xdr:colOff>
      <xdr:row>43</xdr:row>
      <xdr:rowOff>180897</xdr:rowOff>
    </xdr:from>
    <xdr:to>
      <xdr:col>1</xdr:col>
      <xdr:colOff>419906</xdr:colOff>
      <xdr:row>47</xdr:row>
      <xdr:rowOff>74474</xdr:rowOff>
    </xdr:to>
    <xdr:pic>
      <xdr:nvPicPr>
        <xdr:cNvPr id="4" name="Imagem 3" descr="Laboratório de Jato Propulsã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C71390-3A8B-BB48-B70B-D43B2A14E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949" y="8415413"/>
          <a:ext cx="1634796" cy="658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436989</xdr:colOff>
      <xdr:row>3</xdr:row>
      <xdr:rowOff>150216</xdr:rowOff>
    </xdr:from>
    <xdr:to>
      <xdr:col>16</xdr:col>
      <xdr:colOff>456387</xdr:colOff>
      <xdr:row>10</xdr:row>
      <xdr:rowOff>45273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EBAE4BD5-D199-2E48-B328-C955D2EC3863}"/>
            </a:ext>
          </a:extLst>
        </xdr:cNvPr>
        <xdr:cNvGrpSpPr/>
      </xdr:nvGrpSpPr>
      <xdr:grpSpPr>
        <a:xfrm>
          <a:off x="8149353" y="704398"/>
          <a:ext cx="4175761" cy="1188148"/>
          <a:chOff x="4397204" y="300430"/>
          <a:chExt cx="4198108" cy="1233337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3F0419A6-A539-C84A-9857-804186FC28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14465" y="684793"/>
            <a:ext cx="1480847" cy="774750"/>
          </a:xfrm>
          <a:prstGeom prst="rect">
            <a:avLst/>
          </a:prstGeom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7FFA0A23-99C0-1942-B366-21C7744A7C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397204" y="300430"/>
            <a:ext cx="2197337" cy="1233337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408469</xdr:colOff>
      <xdr:row>11</xdr:row>
      <xdr:rowOff>60462</xdr:rowOff>
    </xdr:from>
    <xdr:to>
      <xdr:col>21</xdr:col>
      <xdr:colOff>466858</xdr:colOff>
      <xdr:row>42</xdr:row>
      <xdr:rowOff>160658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328149</xdr:colOff>
      <xdr:row>43</xdr:row>
      <xdr:rowOff>140016</xdr:rowOff>
    </xdr:from>
    <xdr:to>
      <xdr:col>2</xdr:col>
      <xdr:colOff>581139</xdr:colOff>
      <xdr:row>46</xdr:row>
      <xdr:rowOff>179703</xdr:rowOff>
    </xdr:to>
    <xdr:pic>
      <xdr:nvPicPr>
        <xdr:cNvPr id="3" name="Imagem 2" descr="Laboratório de Jato Propulsã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690618-F5A1-9447-A2B6-CFDFC6EFE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149" y="8464038"/>
          <a:ext cx="1661033" cy="619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289891</xdr:colOff>
      <xdr:row>3</xdr:row>
      <xdr:rowOff>13805</xdr:rowOff>
    </xdr:from>
    <xdr:to>
      <xdr:col>16</xdr:col>
      <xdr:colOff>429521</xdr:colOff>
      <xdr:row>9</xdr:row>
      <xdr:rowOff>87577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F4687486-46F7-114A-9555-7EC7DAC22EEA}"/>
            </a:ext>
          </a:extLst>
        </xdr:cNvPr>
        <xdr:cNvGrpSpPr/>
      </xdr:nvGrpSpPr>
      <xdr:grpSpPr>
        <a:xfrm>
          <a:off x="7063224" y="599959"/>
          <a:ext cx="4145015" cy="1246080"/>
          <a:chOff x="4397204" y="300430"/>
          <a:chExt cx="4198108" cy="1233337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08A3C2F-A6EF-0841-91E8-0D1C50B51C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14465" y="684793"/>
            <a:ext cx="1480847" cy="774750"/>
          </a:xfrm>
          <a:prstGeom prst="rect">
            <a:avLst/>
          </a:prstGeom>
        </xdr:spPr>
      </xdr:pic>
      <xdr:pic>
        <xdr:nvPicPr>
          <xdr:cNvPr id="6" name="Imagem 5">
            <a:extLst>
              <a:ext uri="{FF2B5EF4-FFF2-40B4-BE49-F238E27FC236}">
                <a16:creationId xmlns:a16="http://schemas.microsoft.com/office/drawing/2014/main" id="{88556DAF-9B1A-BC45-A032-652EC5F847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397204" y="300430"/>
            <a:ext cx="2197337" cy="1233337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268644</xdr:colOff>
      <xdr:row>10</xdr:row>
      <xdr:rowOff>132430</xdr:rowOff>
    </xdr:from>
    <xdr:to>
      <xdr:col>20</xdr:col>
      <xdr:colOff>664644</xdr:colOff>
      <xdr:row>36</xdr:row>
      <xdr:rowOff>41591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317990</xdr:colOff>
      <xdr:row>37</xdr:row>
      <xdr:rowOff>56865</xdr:rowOff>
    </xdr:from>
    <xdr:to>
      <xdr:col>2</xdr:col>
      <xdr:colOff>570980</xdr:colOff>
      <xdr:row>40</xdr:row>
      <xdr:rowOff>92451</xdr:rowOff>
    </xdr:to>
    <xdr:pic>
      <xdr:nvPicPr>
        <xdr:cNvPr id="3" name="Imagem 2" descr="Laboratório de Jato Propulsã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56F70E-4523-CA49-A4DD-7C8ABE155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990" y="8373317"/>
          <a:ext cx="1645893" cy="609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81936</xdr:colOff>
      <xdr:row>3</xdr:row>
      <xdr:rowOff>13657</xdr:rowOff>
    </xdr:from>
    <xdr:to>
      <xdr:col>16</xdr:col>
      <xdr:colOff>101334</xdr:colOff>
      <xdr:row>9</xdr:row>
      <xdr:rowOff>99897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42FDF2BB-E209-594B-B75D-1F5318BCED72}"/>
            </a:ext>
          </a:extLst>
        </xdr:cNvPr>
        <xdr:cNvGrpSpPr/>
      </xdr:nvGrpSpPr>
      <xdr:grpSpPr>
        <a:xfrm>
          <a:off x="7024603" y="572457"/>
          <a:ext cx="4184998" cy="1203840"/>
          <a:chOff x="4397204" y="300430"/>
          <a:chExt cx="4198108" cy="1233337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D003AF57-4479-6F4E-A488-30DA5EF71C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14465" y="684793"/>
            <a:ext cx="1480847" cy="774750"/>
          </a:xfrm>
          <a:prstGeom prst="rect">
            <a:avLst/>
          </a:prstGeom>
        </xdr:spPr>
      </xdr:pic>
      <xdr:pic>
        <xdr:nvPicPr>
          <xdr:cNvPr id="6" name="Imagem 5">
            <a:extLst>
              <a:ext uri="{FF2B5EF4-FFF2-40B4-BE49-F238E27FC236}">
                <a16:creationId xmlns:a16="http://schemas.microsoft.com/office/drawing/2014/main" id="{97372519-F133-5947-B843-30AAB2574A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397204" y="300430"/>
            <a:ext cx="2197337" cy="1233337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425524</xdr:colOff>
      <xdr:row>3</xdr:row>
      <xdr:rowOff>55334</xdr:rowOff>
    </xdr:from>
    <xdr:to>
      <xdr:col>9</xdr:col>
      <xdr:colOff>366228</xdr:colOff>
      <xdr:row>8</xdr:row>
      <xdr:rowOff>312721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92A250B8-C509-0645-BDFA-D4BA8B55AB4F}"/>
            </a:ext>
          </a:extLst>
        </xdr:cNvPr>
        <xdr:cNvGrpSpPr/>
      </xdr:nvGrpSpPr>
      <xdr:grpSpPr>
        <a:xfrm>
          <a:off x="8027381" y="654048"/>
          <a:ext cx="4022847" cy="1255244"/>
          <a:chOff x="4397204" y="300430"/>
          <a:chExt cx="4198108" cy="1233337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A36B8293-B258-3F48-91C5-003D7DCCBE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14465" y="684793"/>
            <a:ext cx="1480847" cy="774750"/>
          </a:xfrm>
          <a:prstGeom prst="rect">
            <a:avLst/>
          </a:prstGeom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07AAF776-4B3D-8548-87AC-4E8E10544B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397204" y="300430"/>
            <a:ext cx="2197337" cy="123333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521607</xdr:colOff>
      <xdr:row>25</xdr:row>
      <xdr:rowOff>99785</xdr:rowOff>
    </xdr:from>
    <xdr:to>
      <xdr:col>1</xdr:col>
      <xdr:colOff>1428495</xdr:colOff>
      <xdr:row>29</xdr:row>
      <xdr:rowOff>172716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666CCA-AD35-4613-A8D2-23CFD23A5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1607" y="6957785"/>
          <a:ext cx="1668888" cy="807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5598275</xdr:colOff>
      <xdr:row>27</xdr:row>
      <xdr:rowOff>30238</xdr:rowOff>
    </xdr:from>
    <xdr:to>
      <xdr:col>4</xdr:col>
      <xdr:colOff>1422290</xdr:colOff>
      <xdr:row>29</xdr:row>
      <xdr:rowOff>58358</xdr:rowOff>
    </xdr:to>
    <xdr:pic>
      <xdr:nvPicPr>
        <xdr:cNvPr id="6" name="Imagem 5" descr="Laboratório de Jato Propulsã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087FE-628B-FF48-8F19-A3867E0F9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346" y="9109227"/>
          <a:ext cx="1576814" cy="617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922262</xdr:colOff>
      <xdr:row>0</xdr:row>
      <xdr:rowOff>498928</xdr:rowOff>
    </xdr:from>
    <xdr:to>
      <xdr:col>4</xdr:col>
      <xdr:colOff>4819365</xdr:colOff>
      <xdr:row>6</xdr:row>
      <xdr:rowOff>262891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69DF7723-7C0A-4EF2-A75B-A8F6DEAA8D84}"/>
            </a:ext>
          </a:extLst>
        </xdr:cNvPr>
        <xdr:cNvGrpSpPr/>
      </xdr:nvGrpSpPr>
      <xdr:grpSpPr>
        <a:xfrm>
          <a:off x="9236332" y="498928"/>
          <a:ext cx="3897103" cy="1255475"/>
          <a:chOff x="6369087" y="447335"/>
          <a:chExt cx="3897103" cy="1215392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6B7FD745-430B-49EA-AFC7-643371C350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014911" y="826345"/>
            <a:ext cx="1251279" cy="7579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2C581EF-242D-4EE2-9857-DD5B38B568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369087" y="447335"/>
            <a:ext cx="2197337" cy="121539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29</xdr:row>
      <xdr:rowOff>180975</xdr:rowOff>
    </xdr:from>
    <xdr:to>
      <xdr:col>2</xdr:col>
      <xdr:colOff>1164895</xdr:colOff>
      <xdr:row>33</xdr:row>
      <xdr:rowOff>92075</xdr:rowOff>
    </xdr:to>
    <xdr:pic>
      <xdr:nvPicPr>
        <xdr:cNvPr id="9" name="Imagem 8" descr="Laboratório de Jato Propulsã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B1F46-6A33-714D-91A9-A5BC094A9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3" y="8239125"/>
          <a:ext cx="1593520" cy="649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1763413</xdr:colOff>
      <xdr:row>1</xdr:row>
      <xdr:rowOff>83667</xdr:rowOff>
    </xdr:from>
    <xdr:to>
      <xdr:col>3</xdr:col>
      <xdr:colOff>1792594</xdr:colOff>
      <xdr:row>7</xdr:row>
      <xdr:rowOff>140613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9F5C74-DE1B-4E60-8053-62C44C1A380D}"/>
            </a:ext>
          </a:extLst>
        </xdr:cNvPr>
        <xdr:cNvGrpSpPr/>
      </xdr:nvGrpSpPr>
      <xdr:grpSpPr>
        <a:xfrm>
          <a:off x="2761270" y="275175"/>
          <a:ext cx="4161721" cy="1205994"/>
          <a:chOff x="6369087" y="447335"/>
          <a:chExt cx="3897103" cy="1215392"/>
        </a:xfrm>
      </xdr:grpSpPr>
      <xdr:pic>
        <xdr:nvPicPr>
          <xdr:cNvPr id="7" name="Imagem 6">
            <a:extLst>
              <a:ext uri="{FF2B5EF4-FFF2-40B4-BE49-F238E27FC236}">
                <a16:creationId xmlns:a16="http://schemas.microsoft.com/office/drawing/2014/main" id="{652F0B56-7BF5-4A45-BDE2-A50CC1DD71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014911" y="826345"/>
            <a:ext cx="1251279" cy="7579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40064EA-702A-4ECB-9F14-6DC49AE4DB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369087" y="447335"/>
            <a:ext cx="2197337" cy="1215392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188632</xdr:colOff>
      <xdr:row>53</xdr:row>
      <xdr:rowOff>242284</xdr:rowOff>
    </xdr:from>
    <xdr:to>
      <xdr:col>1</xdr:col>
      <xdr:colOff>1615838</xdr:colOff>
      <xdr:row>56</xdr:row>
      <xdr:rowOff>150227</xdr:rowOff>
    </xdr:to>
    <xdr:pic>
      <xdr:nvPicPr>
        <xdr:cNvPr id="10" name="Imagem 9" descr="Laboratório de Jato Propulsã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D1195-B099-7142-9BDC-0871BF9C5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32" y="11924417"/>
          <a:ext cx="1668133" cy="60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25213</xdr:colOff>
      <xdr:row>1</xdr:row>
      <xdr:rowOff>16810</xdr:rowOff>
    </xdr:from>
    <xdr:to>
      <xdr:col>2</xdr:col>
      <xdr:colOff>1438812</xdr:colOff>
      <xdr:row>4</xdr:row>
      <xdr:rowOff>694320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8E858075-A733-474E-B8CD-9897A6A6E699}"/>
            </a:ext>
          </a:extLst>
        </xdr:cNvPr>
        <xdr:cNvGrpSpPr/>
      </xdr:nvGrpSpPr>
      <xdr:grpSpPr>
        <a:xfrm>
          <a:off x="283182" y="205326"/>
          <a:ext cx="4052818" cy="1243057"/>
          <a:chOff x="6369087" y="447335"/>
          <a:chExt cx="3897103" cy="1215392"/>
        </a:xfrm>
      </xdr:grpSpPr>
      <xdr:pic>
        <xdr:nvPicPr>
          <xdr:cNvPr id="7" name="Imagem 6">
            <a:extLst>
              <a:ext uri="{FF2B5EF4-FFF2-40B4-BE49-F238E27FC236}">
                <a16:creationId xmlns:a16="http://schemas.microsoft.com/office/drawing/2014/main" id="{B5EC7DDA-19DF-43FE-9254-134A524509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014911" y="826345"/>
            <a:ext cx="1251279" cy="757971"/>
          </a:xfrm>
          <a:prstGeom prst="rect">
            <a:avLst/>
          </a:prstGeom>
        </xdr:spPr>
      </xdr:pic>
      <xdr:pic>
        <xdr:nvPicPr>
          <xdr:cNvPr id="8" name="Imagem 7">
            <a:extLst>
              <a:ext uri="{FF2B5EF4-FFF2-40B4-BE49-F238E27FC236}">
                <a16:creationId xmlns:a16="http://schemas.microsoft.com/office/drawing/2014/main" id="{DE6B3FA1-5218-405D-8AD0-6CFA99D698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369087" y="447335"/>
            <a:ext cx="2197337" cy="1215392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149413</xdr:rowOff>
    </xdr:from>
    <xdr:to>
      <xdr:col>1</xdr:col>
      <xdr:colOff>1668133</xdr:colOff>
      <xdr:row>35</xdr:row>
      <xdr:rowOff>20173</xdr:rowOff>
    </xdr:to>
    <xdr:pic>
      <xdr:nvPicPr>
        <xdr:cNvPr id="6" name="Imagem 5" descr="Laboratório de Jato Propulsã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85DF4-DBF1-B049-93FE-CA83A94E4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7799295"/>
          <a:ext cx="1668133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229720</xdr:colOff>
      <xdr:row>0</xdr:row>
      <xdr:rowOff>212911</xdr:rowOff>
    </xdr:from>
    <xdr:to>
      <xdr:col>3</xdr:col>
      <xdr:colOff>19867</xdr:colOff>
      <xdr:row>4</xdr:row>
      <xdr:rowOff>5156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A3C4253-9377-4789-BF1B-1F0D21C6BCA7}"/>
            </a:ext>
          </a:extLst>
        </xdr:cNvPr>
        <xdr:cNvGrpSpPr/>
      </xdr:nvGrpSpPr>
      <xdr:grpSpPr>
        <a:xfrm>
          <a:off x="229720" y="212911"/>
          <a:ext cx="4170351" cy="1226395"/>
          <a:chOff x="6369087" y="447335"/>
          <a:chExt cx="3897103" cy="1215392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FD94FD39-8220-4A16-9CCC-066C1766D5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014911" y="826345"/>
            <a:ext cx="1251279" cy="7579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1CF364AF-1138-4800-B9EB-60FAC485C4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369087" y="447335"/>
            <a:ext cx="2197337" cy="1215392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110435</xdr:colOff>
      <xdr:row>109</xdr:row>
      <xdr:rowOff>18405</xdr:rowOff>
    </xdr:from>
    <xdr:to>
      <xdr:col>1</xdr:col>
      <xdr:colOff>1520887</xdr:colOff>
      <xdr:row>112</xdr:row>
      <xdr:rowOff>84022</xdr:rowOff>
    </xdr:to>
    <xdr:pic>
      <xdr:nvPicPr>
        <xdr:cNvPr id="6" name="Imagem 5" descr="Laboratório de Jato Propulsã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E23251-36A6-8F4A-ACEF-CF3734E35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35" y="24185217"/>
          <a:ext cx="1668133" cy="617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123184</xdr:colOff>
      <xdr:row>1</xdr:row>
      <xdr:rowOff>353837</xdr:rowOff>
    </xdr:from>
    <xdr:to>
      <xdr:col>2</xdr:col>
      <xdr:colOff>365864</xdr:colOff>
      <xdr:row>7</xdr:row>
      <xdr:rowOff>23368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D1647072-1C90-450B-A22A-92DBFF75B9CF}"/>
            </a:ext>
          </a:extLst>
        </xdr:cNvPr>
        <xdr:cNvGrpSpPr/>
      </xdr:nvGrpSpPr>
      <xdr:grpSpPr>
        <a:xfrm>
          <a:off x="374048" y="541985"/>
          <a:ext cx="4146754" cy="1253111"/>
          <a:chOff x="6369087" y="447335"/>
          <a:chExt cx="3897103" cy="1215392"/>
        </a:xfrm>
      </xdr:grpSpPr>
      <xdr:pic>
        <xdr:nvPicPr>
          <xdr:cNvPr id="7" name="Imagem 6">
            <a:extLst>
              <a:ext uri="{FF2B5EF4-FFF2-40B4-BE49-F238E27FC236}">
                <a16:creationId xmlns:a16="http://schemas.microsoft.com/office/drawing/2014/main" id="{1F4FD688-341B-774C-AB51-7609157BCD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014911" y="826345"/>
            <a:ext cx="1251279" cy="757971"/>
          </a:xfrm>
          <a:prstGeom prst="rect">
            <a:avLst/>
          </a:prstGeom>
        </xdr:spPr>
      </xdr:pic>
      <xdr:pic>
        <xdr:nvPicPr>
          <xdr:cNvPr id="8" name="Imagem 7">
            <a:extLst>
              <a:ext uri="{FF2B5EF4-FFF2-40B4-BE49-F238E27FC236}">
                <a16:creationId xmlns:a16="http://schemas.microsoft.com/office/drawing/2014/main" id="{3858C3B0-5CE9-3943-B9B7-FDDB81C4BB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369087" y="447335"/>
            <a:ext cx="2197337" cy="121539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523097</xdr:colOff>
      <xdr:row>150</xdr:row>
      <xdr:rowOff>140533</xdr:rowOff>
    </xdr:from>
    <xdr:to>
      <xdr:col>3</xdr:col>
      <xdr:colOff>812207</xdr:colOff>
      <xdr:row>161</xdr:row>
      <xdr:rowOff>44304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45D5EA98-0411-A144-9518-155D12F49F6A}"/>
            </a:ext>
          </a:extLst>
        </xdr:cNvPr>
        <xdr:cNvSpPr txBox="1"/>
      </xdr:nvSpPr>
      <xdr:spPr>
        <a:xfrm rot="16200000">
          <a:off x="4459404" y="32508530"/>
          <a:ext cx="2253792" cy="28911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Variação no Preço dos Defensivos</a:t>
          </a:r>
        </a:p>
      </xdr:txBody>
    </xdr:sp>
    <xdr:clientData/>
  </xdr:twoCellAnchor>
  <xdr:twoCellAnchor>
    <xdr:from>
      <xdr:col>3</xdr:col>
      <xdr:colOff>516857</xdr:colOff>
      <xdr:row>218</xdr:row>
      <xdr:rowOff>162443</xdr:rowOff>
    </xdr:from>
    <xdr:to>
      <xdr:col>3</xdr:col>
      <xdr:colOff>812206</xdr:colOff>
      <xdr:row>228</xdr:row>
      <xdr:rowOff>44304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5AC11B4-DB49-8141-8628-5408E6ECEC01}"/>
            </a:ext>
          </a:extLst>
        </xdr:cNvPr>
        <xdr:cNvSpPr txBox="1"/>
      </xdr:nvSpPr>
      <xdr:spPr>
        <a:xfrm rot="16200000">
          <a:off x="4571701" y="21266299"/>
          <a:ext cx="2193261" cy="295349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Variação no Preço dos Defensivos</a:t>
          </a:r>
        </a:p>
      </xdr:txBody>
    </xdr:sp>
    <xdr:clientData/>
  </xdr:twoCellAnchor>
  <xdr:twoCellAnchor>
    <xdr:from>
      <xdr:col>3</xdr:col>
      <xdr:colOff>516857</xdr:colOff>
      <xdr:row>218</xdr:row>
      <xdr:rowOff>162443</xdr:rowOff>
    </xdr:from>
    <xdr:to>
      <xdr:col>3</xdr:col>
      <xdr:colOff>812206</xdr:colOff>
      <xdr:row>228</xdr:row>
      <xdr:rowOff>44304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312D90DA-F431-B045-B4D2-D8A91912DEC4}"/>
            </a:ext>
          </a:extLst>
        </xdr:cNvPr>
        <xdr:cNvSpPr txBox="1"/>
      </xdr:nvSpPr>
      <xdr:spPr>
        <a:xfrm rot="16200000">
          <a:off x="4780545" y="29800699"/>
          <a:ext cx="2245473" cy="295349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Variação no Preço dos Defensivos</a:t>
          </a:r>
        </a:p>
      </xdr:txBody>
    </xdr:sp>
    <xdr:clientData/>
  </xdr:twoCellAnchor>
  <xdr:twoCellAnchor>
    <xdr:from>
      <xdr:col>1</xdr:col>
      <xdr:colOff>3497101</xdr:colOff>
      <xdr:row>136</xdr:row>
      <xdr:rowOff>184057</xdr:rowOff>
    </xdr:from>
    <xdr:to>
      <xdr:col>4</xdr:col>
      <xdr:colOff>1185122</xdr:colOff>
      <xdr:row>144</xdr:row>
      <xdr:rowOff>18983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33B892D-71D6-494C-B60B-F6D3492E9759}"/>
            </a:ext>
          </a:extLst>
        </xdr:cNvPr>
        <xdr:cNvGrpSpPr/>
      </xdr:nvGrpSpPr>
      <xdr:grpSpPr>
        <a:xfrm>
          <a:off x="3747965" y="30773810"/>
          <a:ext cx="4210490" cy="1340111"/>
          <a:chOff x="486906" y="383953"/>
          <a:chExt cx="4198108" cy="1233337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A141B2F3-C318-A343-BC65-A5E32E11E6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04167" y="768316"/>
            <a:ext cx="1480847" cy="7747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DFAD36AB-80EF-1F40-862B-BB762525EF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86906" y="383953"/>
            <a:ext cx="2197337" cy="123333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3791594</xdr:colOff>
      <xdr:row>204</xdr:row>
      <xdr:rowOff>147244</xdr:rowOff>
    </xdr:from>
    <xdr:to>
      <xdr:col>4</xdr:col>
      <xdr:colOff>1479615</xdr:colOff>
      <xdr:row>211</xdr:row>
      <xdr:rowOff>575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06F38C1-D8FE-3F44-A19F-78C4FFC5E5F5}"/>
            </a:ext>
          </a:extLst>
        </xdr:cNvPr>
        <xdr:cNvGrpSpPr/>
      </xdr:nvGrpSpPr>
      <xdr:grpSpPr>
        <a:xfrm>
          <a:off x="4042458" y="46055392"/>
          <a:ext cx="4210490" cy="1311479"/>
          <a:chOff x="486906" y="383953"/>
          <a:chExt cx="4198108" cy="1233337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018854C7-A2BB-CE4E-99E7-38F403B44B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04167" y="768316"/>
            <a:ext cx="1480847" cy="774750"/>
          </a:xfrm>
          <a:prstGeom prst="rect">
            <a:avLst/>
          </a:prstGeom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490E5628-9C90-9542-9216-E641FA9DE3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86906" y="383953"/>
            <a:ext cx="2197337" cy="1233337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73624</xdr:colOff>
      <xdr:row>240</xdr:row>
      <xdr:rowOff>147247</xdr:rowOff>
    </xdr:from>
    <xdr:to>
      <xdr:col>1</xdr:col>
      <xdr:colOff>1741757</xdr:colOff>
      <xdr:row>244</xdr:row>
      <xdr:rowOff>43738</xdr:rowOff>
    </xdr:to>
    <xdr:pic>
      <xdr:nvPicPr>
        <xdr:cNvPr id="17" name="Imagem 16" descr="Laboratório de Jato Propulsã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25A0ED1-07B8-514C-A16D-45FF61F3E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5" y="52603769"/>
          <a:ext cx="1668133" cy="632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1668133</xdr:colOff>
      <xdr:row>176</xdr:row>
      <xdr:rowOff>154172</xdr:rowOff>
    </xdr:to>
    <xdr:pic>
      <xdr:nvPicPr>
        <xdr:cNvPr id="18" name="Imagem 17" descr="Laboratório de Jato Propulsã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7DEE154-4E4B-2D4A-82D5-F0AC66FBD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81" y="37363768"/>
          <a:ext cx="1668133" cy="632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3497101</xdr:colOff>
      <xdr:row>265</xdr:row>
      <xdr:rowOff>179294</xdr:rowOff>
    </xdr:from>
    <xdr:to>
      <xdr:col>4</xdr:col>
      <xdr:colOff>1185122</xdr:colOff>
      <xdr:row>273</xdr:row>
      <xdr:rowOff>18983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79E2C302-6A79-49DA-B4DF-510D59184CB8}"/>
            </a:ext>
          </a:extLst>
        </xdr:cNvPr>
        <xdr:cNvGrpSpPr/>
      </xdr:nvGrpSpPr>
      <xdr:grpSpPr>
        <a:xfrm>
          <a:off x="3747965" y="58818800"/>
          <a:ext cx="4210490" cy="1344874"/>
          <a:chOff x="486906" y="383953"/>
          <a:chExt cx="4198108" cy="1233337"/>
        </a:xfrm>
      </xdr:grpSpPr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0C52EA18-8C8E-4A42-9C26-96C2562470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204167" y="768316"/>
            <a:ext cx="1480847" cy="774750"/>
          </a:xfrm>
          <a:prstGeom prst="rect">
            <a:avLst/>
          </a:prstGeom>
        </xdr:spPr>
      </xdr:pic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AD7A7C1D-6EB9-4675-96D7-D2CEF9BE8D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86906" y="383953"/>
            <a:ext cx="2197337" cy="1233337"/>
          </a:xfrm>
          <a:prstGeom prst="rect">
            <a:avLst/>
          </a:prstGeom>
        </xdr:spPr>
      </xdr:pic>
    </xdr:grpSp>
    <xdr:clientData/>
  </xdr:twoCellAnchor>
  <xdr:oneCellAnchor>
    <xdr:from>
      <xdr:col>1</xdr:col>
      <xdr:colOff>31229</xdr:colOff>
      <xdr:row>293</xdr:row>
      <xdr:rowOff>0</xdr:rowOff>
    </xdr:from>
    <xdr:ext cx="1668133" cy="607000"/>
    <xdr:pic>
      <xdr:nvPicPr>
        <xdr:cNvPr id="23" name="Imagem 22" descr="Laboratório de Jato Propulsã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68E4E7-3672-4F54-9C12-EAF1AD80C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59" y="61256680"/>
          <a:ext cx="1668133" cy="60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</xdr:col>
      <xdr:colOff>1668133</xdr:colOff>
      <xdr:row>48</xdr:row>
      <xdr:rowOff>12700</xdr:rowOff>
    </xdr:to>
    <xdr:pic>
      <xdr:nvPicPr>
        <xdr:cNvPr id="8" name="Imagem 7" descr="Laboratório de Jato Propulsã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73AFE9-03CA-6C44-9380-EA0879550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24" y="9993690"/>
          <a:ext cx="1668133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59070</xdr:colOff>
      <xdr:row>128</xdr:row>
      <xdr:rowOff>147674</xdr:rowOff>
    </xdr:from>
    <xdr:to>
      <xdr:col>1</xdr:col>
      <xdr:colOff>1727203</xdr:colOff>
      <xdr:row>133</xdr:row>
      <xdr:rowOff>37172</xdr:rowOff>
    </xdr:to>
    <xdr:pic>
      <xdr:nvPicPr>
        <xdr:cNvPr id="5" name="Imagem 4" descr="Laboratório de Jato Propulsã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5E0FCD-0529-8648-94B9-79D932E68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70" y="31376974"/>
          <a:ext cx="1668133" cy="84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502097</xdr:colOff>
      <xdr:row>110</xdr:row>
      <xdr:rowOff>14769</xdr:rowOff>
    </xdr:from>
    <xdr:to>
      <xdr:col>3</xdr:col>
      <xdr:colOff>797446</xdr:colOff>
      <xdr:row>119</xdr:row>
      <xdr:rowOff>88606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92248E5-3435-5246-8FB4-934D7FF863E4}"/>
            </a:ext>
          </a:extLst>
        </xdr:cNvPr>
        <xdr:cNvSpPr txBox="1"/>
      </xdr:nvSpPr>
      <xdr:spPr>
        <a:xfrm rot="16200000">
          <a:off x="4835603" y="28002763"/>
          <a:ext cx="2194737" cy="295349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Variação nos Itens</a:t>
          </a:r>
          <a:r>
            <a:rPr lang="pt-BR" sz="1100" baseline="0"/>
            <a:t> Gerais</a:t>
          </a:r>
          <a:endParaRPr lang="pt-BR" sz="1100"/>
        </a:p>
      </xdr:txBody>
    </xdr:sp>
    <xdr:clientData/>
  </xdr:twoCellAnchor>
  <xdr:twoCellAnchor>
    <xdr:from>
      <xdr:col>1</xdr:col>
      <xdr:colOff>1609651</xdr:colOff>
      <xdr:row>97</xdr:row>
      <xdr:rowOff>44299</xdr:rowOff>
    </xdr:from>
    <xdr:to>
      <xdr:col>4</xdr:col>
      <xdr:colOff>107527</xdr:colOff>
      <xdr:row>102</xdr:row>
      <xdr:rowOff>37170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1F08CAB2-6A0C-6D47-961D-CD99F45A9D68}"/>
            </a:ext>
          </a:extLst>
        </xdr:cNvPr>
        <xdr:cNvGrpSpPr/>
      </xdr:nvGrpSpPr>
      <xdr:grpSpPr>
        <a:xfrm>
          <a:off x="1868583" y="20216338"/>
          <a:ext cx="5131468" cy="1262871"/>
          <a:chOff x="486906" y="383953"/>
          <a:chExt cx="4198108" cy="1233337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BD0C1658-7D3E-9644-B9C9-62D43C366B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204167" y="768316"/>
            <a:ext cx="1480847" cy="774750"/>
          </a:xfrm>
          <a:prstGeom prst="rect">
            <a:avLst/>
          </a:prstGeom>
        </xdr:spPr>
      </xdr:pic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8065F55A-6783-3A42-8A34-DAA5C93F13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86906" y="383953"/>
            <a:ext cx="2197337" cy="1233337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516857</xdr:colOff>
      <xdr:row>164</xdr:row>
      <xdr:rowOff>162443</xdr:rowOff>
    </xdr:from>
    <xdr:to>
      <xdr:col>3</xdr:col>
      <xdr:colOff>812206</xdr:colOff>
      <xdr:row>174</xdr:row>
      <xdr:rowOff>44304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DA4D5C46-8AA4-5142-9A1A-8438763E9153}"/>
            </a:ext>
          </a:extLst>
        </xdr:cNvPr>
        <xdr:cNvSpPr txBox="1"/>
      </xdr:nvSpPr>
      <xdr:spPr>
        <a:xfrm rot="16200000">
          <a:off x="4851101" y="41090999"/>
          <a:ext cx="2193261" cy="295349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Variação nos Itens</a:t>
          </a:r>
          <a:r>
            <a:rPr lang="pt-BR" sz="1100" baseline="0"/>
            <a:t> Gerais</a:t>
          </a:r>
          <a:endParaRPr lang="pt-BR" sz="1100"/>
        </a:p>
      </xdr:txBody>
    </xdr:sp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1668133</xdr:colOff>
      <xdr:row>188</xdr:row>
      <xdr:rowOff>47804</xdr:rowOff>
    </xdr:to>
    <xdr:pic>
      <xdr:nvPicPr>
        <xdr:cNvPr id="14" name="Imagem 13" descr="Laboratório de Jato Propulsã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D1BE97-15EA-5D42-A365-F44F9896D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44742100"/>
          <a:ext cx="1668133" cy="619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1639186</xdr:colOff>
      <xdr:row>152</xdr:row>
      <xdr:rowOff>73823</xdr:rowOff>
    </xdr:from>
    <xdr:to>
      <xdr:col>4</xdr:col>
      <xdr:colOff>137062</xdr:colOff>
      <xdr:row>157</xdr:row>
      <xdr:rowOff>184836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DC7C8547-82F6-5044-A201-E8923EEC8BDB}"/>
            </a:ext>
          </a:extLst>
        </xdr:cNvPr>
        <xdr:cNvGrpSpPr/>
      </xdr:nvGrpSpPr>
      <xdr:grpSpPr>
        <a:xfrm>
          <a:off x="1898118" y="32637609"/>
          <a:ext cx="5131468" cy="1344023"/>
          <a:chOff x="486906" y="383953"/>
          <a:chExt cx="4198108" cy="1233337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63522C95-D5E6-D74F-BF73-9A21DB1E02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204167" y="768316"/>
            <a:ext cx="1480847" cy="774750"/>
          </a:xfrm>
          <a:prstGeom prst="rect">
            <a:avLst/>
          </a:prstGeom>
        </xdr:spPr>
      </xdr:pic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92A271A8-45A9-434E-84E6-1D5992B61E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86906" y="383953"/>
            <a:ext cx="2197337" cy="123333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102054</xdr:colOff>
      <xdr:row>2</xdr:row>
      <xdr:rowOff>73705</xdr:rowOff>
    </xdr:from>
    <xdr:to>
      <xdr:col>2</xdr:col>
      <xdr:colOff>739112</xdr:colOff>
      <xdr:row>7</xdr:row>
      <xdr:rowOff>194855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8FBF046A-13EF-4BC8-A5BA-79198978FD98}"/>
            </a:ext>
          </a:extLst>
        </xdr:cNvPr>
        <xdr:cNvGrpSpPr/>
      </xdr:nvGrpSpPr>
      <xdr:grpSpPr>
        <a:xfrm>
          <a:off x="360986" y="443608"/>
          <a:ext cx="4114145" cy="1267849"/>
          <a:chOff x="6369087" y="447335"/>
          <a:chExt cx="3897103" cy="1215392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22B43E25-90C0-465E-98EC-ECF0C89B1E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014911" y="826345"/>
            <a:ext cx="1251279" cy="757971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0EB9BDAD-C265-4A99-B8F6-F0F065F440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6369087" y="447335"/>
            <a:ext cx="2197337" cy="1215392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1</xdr:col>
      <xdr:colOff>1668133</xdr:colOff>
      <xdr:row>47</xdr:row>
      <xdr:rowOff>33867</xdr:rowOff>
    </xdr:to>
    <xdr:pic>
      <xdr:nvPicPr>
        <xdr:cNvPr id="6" name="Imagem 5" descr="Laboratório de Jato Propulsã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B0AB45-0883-3544-A4AC-74A6CEA48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9588500"/>
          <a:ext cx="1668133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19051</xdr:colOff>
      <xdr:row>1</xdr:row>
      <xdr:rowOff>330200</xdr:rowOff>
    </xdr:from>
    <xdr:to>
      <xdr:col>1</xdr:col>
      <xdr:colOff>3916154</xdr:colOff>
      <xdr:row>6</xdr:row>
      <xdr:rowOff>377192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6ABDCCDF-0AB2-4C6D-80C2-1DD553548CFF}"/>
            </a:ext>
          </a:extLst>
        </xdr:cNvPr>
        <xdr:cNvGrpSpPr/>
      </xdr:nvGrpSpPr>
      <xdr:grpSpPr>
        <a:xfrm>
          <a:off x="269051" y="520200"/>
          <a:ext cx="3897103" cy="1236992"/>
          <a:chOff x="6369087" y="447335"/>
          <a:chExt cx="3897103" cy="1215392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49A92B5A-3AB7-48A3-AC75-D50F646B10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014911" y="826345"/>
            <a:ext cx="1251279" cy="7579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81D1A987-143F-48C8-B3B6-D71DB70A5F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369087" y="447335"/>
            <a:ext cx="2197337" cy="1215392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</xdr:col>
      <xdr:colOff>1668133</xdr:colOff>
      <xdr:row>21</xdr:row>
      <xdr:rowOff>33868</xdr:rowOff>
    </xdr:to>
    <xdr:pic>
      <xdr:nvPicPr>
        <xdr:cNvPr id="10" name="Imagem 9" descr="Laboratório de Jato Propulsã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C2EE5-20B7-C749-88C6-1689F9A8E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6959600"/>
          <a:ext cx="1668133" cy="643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241478</xdr:colOff>
      <xdr:row>0</xdr:row>
      <xdr:rowOff>523206</xdr:rowOff>
    </xdr:from>
    <xdr:to>
      <xdr:col>2</xdr:col>
      <xdr:colOff>637137</xdr:colOff>
      <xdr:row>3</xdr:row>
      <xdr:rowOff>417171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796D68F-BAEA-4600-ADCC-9C18721433CD}"/>
            </a:ext>
          </a:extLst>
        </xdr:cNvPr>
        <xdr:cNvGrpSpPr/>
      </xdr:nvGrpSpPr>
      <xdr:grpSpPr>
        <a:xfrm>
          <a:off x="241478" y="523206"/>
          <a:ext cx="4127505" cy="1222580"/>
          <a:chOff x="6369087" y="447335"/>
          <a:chExt cx="3897103" cy="1215392"/>
        </a:xfrm>
      </xdr:grpSpPr>
      <xdr:pic>
        <xdr:nvPicPr>
          <xdr:cNvPr id="7" name="Imagem 6">
            <a:extLst>
              <a:ext uri="{FF2B5EF4-FFF2-40B4-BE49-F238E27FC236}">
                <a16:creationId xmlns:a16="http://schemas.microsoft.com/office/drawing/2014/main" id="{75A95AE4-1017-4173-9950-CD66BF7880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014911" y="826345"/>
            <a:ext cx="1251279" cy="757971"/>
          </a:xfrm>
          <a:prstGeom prst="rect">
            <a:avLst/>
          </a:prstGeom>
        </xdr:spPr>
      </xdr:pic>
      <xdr:pic>
        <xdr:nvPicPr>
          <xdr:cNvPr id="8" name="Imagem 7">
            <a:extLst>
              <a:ext uri="{FF2B5EF4-FFF2-40B4-BE49-F238E27FC236}">
                <a16:creationId xmlns:a16="http://schemas.microsoft.com/office/drawing/2014/main" id="{68549634-41F4-4397-8D53-0BFBC76CC9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369087" y="447335"/>
            <a:ext cx="2197337" cy="1215392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E60BBE3-20B7-324C-AA27-8A7A4689D865}" name="Tabela23" displayName="Tabela23" ref="E8:E25" headerRowCount="0" totalsRowShown="0" headerRowDxfId="478" dataDxfId="477">
  <tableColumns count="1">
    <tableColumn id="1" xr3:uid="{3688A6FE-732F-EF45-B130-34B50D967D8D}" name="Coluna1" headerRowDxfId="476" dataDxfId="475"/>
  </tableColumns>
  <tableStyleInfo name="TableStyleLight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BEA6FD6-87F0-734C-ABAD-85092034CE73}" name="Tabela31" displayName="Tabela31" ref="B8:J22" headerRowCount="0" totalsRowShown="0" headerRowDxfId="399" dataDxfId="398" headerRowCellStyle="Título 3" dataCellStyle="Título 3">
  <tableColumns count="9">
    <tableColumn id="1" xr3:uid="{A2BC7260-C90C-074B-868D-43599052381A}" name="Coluna1" headerRowDxfId="397" dataDxfId="396" headerRowCellStyle="Título 3" dataCellStyle="Título 3"/>
    <tableColumn id="2" xr3:uid="{77A1791D-F018-1C41-B98B-5FF491073E5B}" name="Coluna2" headerRowDxfId="395" dataDxfId="394" headerRowCellStyle="Título 3" dataCellStyle="Título 3"/>
    <tableColumn id="3" xr3:uid="{B6D862DB-0C77-EB4F-B059-D4F95B9DB5F3}" name="Coluna3" headerRowDxfId="393" dataDxfId="392" headerRowCellStyle="Título 3" dataCellStyle="Título 3"/>
    <tableColumn id="4" xr3:uid="{79321643-869F-3A46-A0EC-03B45C544524}" name="Coluna4" headerRowDxfId="391" dataDxfId="390" headerRowCellStyle="Título 3" dataCellStyle="Título 3"/>
    <tableColumn id="5" xr3:uid="{60CCADBB-FC35-9B45-B536-387AA220EFA9}" name="Coluna5" headerRowDxfId="389" dataDxfId="388" headerRowCellStyle="Título 3" dataCellStyle="Título 3"/>
    <tableColumn id="6" xr3:uid="{096AB3B4-F9AE-9543-976B-62713949CB04}" name="Coluna6" headerRowDxfId="387" dataDxfId="386" headerRowCellStyle="Título 3" dataCellStyle="Título 3"/>
    <tableColumn id="7" xr3:uid="{50EBBF21-3E51-0946-A9F9-95829D5D5FB1}" name="Coluna7" headerRowDxfId="385" dataDxfId="384" headerRowCellStyle="Título 3" dataCellStyle="Título 3"/>
    <tableColumn id="8" xr3:uid="{9D1D5D66-087C-2E4C-B5D9-9C43B57662F9}" name="Coluna8" headerRowDxfId="383" dataDxfId="382" headerRowCellStyle="Título 3" dataCellStyle="Título 3"/>
    <tableColumn id="9" xr3:uid="{F15DD22B-B135-404C-B3A2-43F78A3515BD}" name="Coluna9" headerRowDxfId="381" dataDxfId="380" headerRowCellStyle="Título 3" dataCellStyle="Título 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7AB8664-F877-FE4A-BE2E-DD8FF61102B0}" name="Tabela32" displayName="Tabela32" ref="B27:C29" headerRowCount="0" totalsRowShown="0">
  <tableColumns count="2">
    <tableColumn id="1" xr3:uid="{B4CD2CA3-94B1-8B4B-BD5A-E9956955A46E}" name="Coluna1" headerRowDxfId="379" headerRowCellStyle="Título 3"/>
    <tableColumn id="2" xr3:uid="{5308B47A-7E5C-FB45-8CE7-73A519B77B14}" name="Coluna2" headerRowDxfId="378" headerRowCellStyle="Título 3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258D77-3B37-2243-8E66-394543A64227}" name="Tabela6" displayName="Tabela6" ref="B13:I65" totalsRowShown="0" headerRowDxfId="377" dataDxfId="376" headerRowCellStyle="Título 3" dataCellStyle="Título 3">
  <tableColumns count="8">
    <tableColumn id="1" xr3:uid="{023FEC3A-2350-BC46-A468-550320A40601}" name="Item" dataDxfId="375" dataCellStyle="Título 3"/>
    <tableColumn id="2" xr3:uid="{F8283C50-36DA-F348-89B0-ED89DA337901}" name="Unidade" dataDxfId="374" dataCellStyle="Título 3"/>
    <tableColumn id="3" xr3:uid="{4ABD7DEB-A908-9842-BEF6-316E0DB8CCFE}" name="N° Aplicações" dataDxfId="373" dataCellStyle="Título 3"/>
    <tableColumn id="4" xr3:uid="{2C0F0460-E902-6844-A276-4D7BD218E167}" name="Quantidade/aplicação" dataDxfId="372" dataCellStyle="Título 3"/>
    <tableColumn id="5" xr3:uid="{EFD9D213-87F3-7C4A-A07E-7902E3E3F09B}" name="Valor Unitário (R$)" dataDxfId="371" dataCellStyle="Título 3"/>
    <tableColumn id="6" xr3:uid="{4A73946E-A5FD-074B-A39E-22184AC8C4F1}" name="R$/ha" dataDxfId="370" dataCellStyle="Título 3"/>
    <tableColumn id="7" xr3:uid="{EAEE0B26-F6E7-B845-B0C2-CE744304E58C}" name="R$ (TOTAL)" dataDxfId="369" dataCellStyle="Título 3"/>
    <tableColumn id="8" xr3:uid="{2501959B-716C-0743-8C08-1C1736056733}" name="R$/tonelada" dataDxfId="368" dataCellStyle="Título 3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B7FFDD-B91B-5742-909D-4E2EF7B52C63}" name="Tabela7" displayName="Tabela7" ref="B70:J102" totalsRowShown="0" headerRowDxfId="367" dataDxfId="366" headerRowCellStyle="Título 3">
  <tableColumns count="9">
    <tableColumn id="1" xr3:uid="{7146FAB9-383C-8645-B575-DC7F210A1DB4}" name="Item" dataDxfId="365"/>
    <tableColumn id="2" xr3:uid="{59FAC8D1-B3DA-E74B-97C8-F0DFE2EB2C77}" name="Unidade" dataDxfId="364"/>
    <tableColumn id="3" xr3:uid="{0413444A-57EA-FC4F-B47A-6A374FF37452}" name="N° Aplicações" dataDxfId="363"/>
    <tableColumn id="4" xr3:uid="{D652E001-0849-3B4E-AEFE-3C9E70A62A22}" name="Valor Unitário (R$)" dataDxfId="362"/>
    <tableColumn id="5" xr3:uid="{C76B5F8C-EEBC-3C44-9A82-4A3D82FDB0FD}" name="Quantidade/ha/aplicação" dataDxfId="361"/>
    <tableColumn id="6" xr3:uid="{24109D46-F9B3-5F49-8839-E974E1D2851D}" name=" Total/ha (dia ou horas)" dataDxfId="360"/>
    <tableColumn id="7" xr3:uid="{41B7CE39-240D-7341-84B9-AC40611DF69F}" name="R$/ha" dataDxfId="359"/>
    <tableColumn id="8" xr3:uid="{2C17FD18-7740-7B41-A1C2-8432D089DDB0}" name="R$ (TOTAL)" dataDxfId="358"/>
    <tableColumn id="9" xr3:uid="{9C96F02D-BD7B-8141-9C6D-79C80BFC07E9}" name="R$/tonelada" dataDxfId="357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ABF3348-26BC-E040-AF06-D98279E13D8C}" name="Tabela34" displayName="Tabela34" ref="G8:H10" headerRowCount="0" totalsRowShown="0" headerRowDxfId="356" dataDxfId="355" dataCellStyle="Título 3">
  <tableColumns count="2">
    <tableColumn id="1" xr3:uid="{1B329F07-9AB8-A446-80D0-5C64C1E43EB2}" name="Coluna1" headerRowDxfId="354" dataDxfId="353" headerRowCellStyle="Título 3" dataCellStyle="Título 3"/>
    <tableColumn id="2" xr3:uid="{FE6D4648-2FEE-D847-9414-167DEE82A85E}" name="Coluna2" headerRowDxfId="352" dataDxfId="351" headerRowCellStyle="Título 3" dataCellStyle="Título 3"/>
  </tableColumns>
  <tableStyleInfo name="TableStyleLight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B01FB5-ABD0-9446-84BF-4104F7F4D172}" name="Tabela9" displayName="Tabela9" ref="D106:G108" totalsRowShown="0" headerRowDxfId="350" dataDxfId="349" headerRowCellStyle="Título 3" dataCellStyle="Título 3">
  <tableColumns count="4">
    <tableColumn id="1" xr3:uid="{1C45FE96-F5A2-AF46-A3B4-D400B2971F18}" name="Item" dataDxfId="348" dataCellStyle="Título 3"/>
    <tableColumn id="2" xr3:uid="{81F40C96-DA52-0443-B67B-73BF2B7E5C3C}" name="ESTIMADA (ha)" dataDxfId="347" dataCellStyle="Título 3">
      <calculatedColumnFormula>IF(ISERROR((SUM(Custos_Mecanização!E9:E21))/'Informações Gerais'!$E$16),0,(SUM(Custos_Mecanização!E9:E21))/'Informações Gerais'!$E$16)</calculatedColumnFormula>
    </tableColumn>
    <tableColumn id="3" xr3:uid="{F1EF3552-8390-304E-9F56-EDFB42A0941C}" name="REALIZADA (ha)" dataDxfId="346" dataCellStyle="Título 3">
      <calculatedColumnFormula>IF(ISERROR((SUMIF(C70:C99,C71,G70:G99))+(Atividade_ColheitaePós!$D$17)),0,(SUMIF(C70:C99,C71,G70:G99))+(Atividade_ColheitaePós!$D$17))</calculatedColumnFormula>
    </tableColumn>
    <tableColumn id="4" xr3:uid="{EAC12CC7-935E-2A48-BE8F-18FD5CE8F5FA}" name="RESÍDUO (ha)" dataDxfId="345" dataCellStyle="Título 3">
      <calculatedColumnFormula>IF(((E107-F107)&lt;0),"RESÍDUO INCOMPATÍVEL",(E107-F107))</calculatedColumnFormula>
    </tableColumn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BB47498-7209-764B-91B4-97580612DB50}" name="Tabela19" displayName="Tabela19" ref="F233:L239" headerRowCount="0" totalsRowShown="0" headerRowDxfId="344" dataDxfId="343">
  <tableColumns count="7">
    <tableColumn id="1" xr3:uid="{1377FC49-E01C-404E-B0E5-4008D41F396E}" name="Coluna1" headerRowDxfId="342" dataDxfId="341">
      <calculatedColumnFormula>((F222/$E$221)-1)*100</calculatedColumnFormula>
    </tableColumn>
    <tableColumn id="2" xr3:uid="{11E292EE-405B-8848-A85B-D5BCE180EC45}" name="Coluna2" headerRowDxfId="340" dataDxfId="339">
      <calculatedColumnFormula>((G222/$E$221)-1)*100</calculatedColumnFormula>
    </tableColumn>
    <tableColumn id="3" xr3:uid="{E8E60951-F50A-F84D-814C-4CA1C49F534E}" name="Coluna3" headerRowDxfId="338" dataDxfId="337">
      <calculatedColumnFormula>((H222/$E$221)-1)*100</calculatedColumnFormula>
    </tableColumn>
    <tableColumn id="4" xr3:uid="{9B7AE2D4-AB9C-6A49-9337-72312B41DB00}" name="Coluna4" headerRowDxfId="336" dataDxfId="335">
      <calculatedColumnFormula>((I222/$E$221)-1)*100</calculatedColumnFormula>
    </tableColumn>
    <tableColumn id="5" xr3:uid="{9A4D38AB-F1C9-9344-AC49-22A013579106}" name="Coluna5" headerRowDxfId="334" dataDxfId="333">
      <calculatedColumnFormula>((J222/$E$221)-1)*100</calculatedColumnFormula>
    </tableColumn>
    <tableColumn id="6" xr3:uid="{DD385228-8473-C24F-BE7D-4D7398EF7F46}" name="Coluna6" headerRowDxfId="332" dataDxfId="331">
      <calculatedColumnFormula>((K222/$E$221)-1)*100</calculatedColumnFormula>
    </tableColumn>
    <tableColumn id="7" xr3:uid="{B0C15535-3C33-E54F-9C03-875D8A098C6A}" name="Coluna7" headerRowDxfId="330" dataDxfId="329">
      <calculatedColumnFormula>((L222/$E$221)-1)*100</calculatedColumnFormula>
    </tableColumn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809EDC1-5D81-C846-A171-B38970059198}" name="Tabela1923" displayName="Tabela1923" ref="F166:L172" headerRowCount="0" totalsRowShown="0" headerRowDxfId="328" dataDxfId="327">
  <tableColumns count="7">
    <tableColumn id="1" xr3:uid="{574C6D0F-2150-C343-9908-1DF305C8BB29}" name="Coluna1" headerRowDxfId="326" dataDxfId="325">
      <calculatedColumnFormula>((F155/$E$154)-1)*100</calculatedColumnFormula>
    </tableColumn>
    <tableColumn id="2" xr3:uid="{2B282300-E28E-D84E-A73A-A1D5FBED05B0}" name="Coluna2" headerRowDxfId="324" dataDxfId="323">
      <calculatedColumnFormula>((G155/$E$154)-1)*100</calculatedColumnFormula>
    </tableColumn>
    <tableColumn id="3" xr3:uid="{B7932104-F51C-DD45-83F0-58ECED104B26}" name="Coluna3" headerRowDxfId="322" dataDxfId="321">
      <calculatedColumnFormula>((H155/$E$154)-1)*100</calculatedColumnFormula>
    </tableColumn>
    <tableColumn id="4" xr3:uid="{2EAB4591-C96F-584D-8494-17C3AAFC2233}" name="Coluna4" headerRowDxfId="320" dataDxfId="319">
      <calculatedColumnFormula>((I155/$E$154)-1)*100</calculatedColumnFormula>
    </tableColumn>
    <tableColumn id="5" xr3:uid="{71F5D9AE-6E11-8C45-8674-E61014749564}" name="Coluna5" headerRowDxfId="318" dataDxfId="317">
      <calculatedColumnFormula>((J155/$E$154)-1)*100</calculatedColumnFormula>
    </tableColumn>
    <tableColumn id="6" xr3:uid="{D403DA3A-0A34-3E4C-9D99-BD77A8F6013F}" name="Coluna6" headerRowDxfId="316" dataDxfId="315">
      <calculatedColumnFormula>((K155/$E$154)-1)*100</calculatedColumnFormula>
    </tableColumn>
    <tableColumn id="7" xr3:uid="{24953A1F-6392-D343-AB03-86C148B81D1D}" name="Coluna7" headerRowDxfId="314" dataDxfId="313">
      <calculatedColumnFormula>((L155/$E$154)-1)*100</calculatedColumnFormula>
    </tableColumn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E10183A-07AB-D846-A91D-0AE69CFD0169}" name="Tabela35" displayName="Tabela35" ref="F6:G9" headerRowCount="0" totalsRowShown="0" dataDxfId="312" dataCellStyle="Título 3">
  <tableColumns count="2">
    <tableColumn id="1" xr3:uid="{9B1BC02C-88FE-B84C-9C3C-6B98B05BEE38}" name="Coluna1" headerRowDxfId="311" dataDxfId="310" headerRowCellStyle="Título 3" dataCellStyle="Título 3"/>
    <tableColumn id="2" xr3:uid="{087E2791-2760-7248-B0E1-45C630DCC829}" name="Coluna2" headerRowDxfId="309" dataDxfId="308" headerRowCellStyle="Título 3" dataCellStyle="Título 3"/>
  </tableColumns>
  <tableStyleInfo name="TableStyleLight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29013CC-F5E5-D248-B99E-03479A12942B}" name="Tabela37" displayName="Tabela37" ref="B14:H20" totalsRowShown="0" headerRowDxfId="307" dataDxfId="306" headerRowCellStyle="Título 3" dataCellStyle="Título 3">
  <autoFilter ref="B14:H20" xr:uid="{729013CC-F5E5-D248-B99E-03479A12942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AB49BDA-F373-1146-B32E-5F7A39A54859}" name="Coluna1" dataDxfId="305" dataCellStyle="Título 3"/>
    <tableColumn id="2" xr3:uid="{B4ED89C4-7D4A-7A46-A88E-705E4D245A70}" name="Unidade" dataDxfId="304" dataCellStyle="Título 3"/>
    <tableColumn id="3" xr3:uid="{EAA65190-9C49-9F41-8266-C1AD39B46D62}" name="Quantidade/ha" dataDxfId="303" dataCellStyle="Título 3"/>
    <tableColumn id="4" xr3:uid="{E4BD3EE1-4B7F-C346-B040-3C924DB1AD4D}" name="Valor Unitário (R$)" dataDxfId="302" dataCellStyle="Título 3"/>
    <tableColumn id="5" xr3:uid="{59283B6F-3384-814D-B9EA-06070FC14BE5}" name="R$/ha" dataDxfId="301" dataCellStyle="Título 3"/>
    <tableColumn id="6" xr3:uid="{EA2EF4E0-5E44-504F-A6C3-289E7123D2F6}" name="R$ (TOTAL)" dataDxfId="300" dataCellStyle="Título 3"/>
    <tableColumn id="7" xr3:uid="{46303A6D-1722-824B-A80C-54BDC238209F}" name="R$/tonelada" dataDxfId="299" dataCellStyle="Título 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6433771-4AD7-4E42-8678-C04174B36A87}" name="Tabela28" displayName="Tabela28" ref="C11:E13" headerRowCount="0" totalsRowShown="0" headerRowDxfId="474" dataDxfId="473">
  <tableColumns count="3">
    <tableColumn id="1" xr3:uid="{E4A00FA7-152E-EA4C-A9C7-29EF47A7418C}" name="Coluna1" headerRowDxfId="472" dataDxfId="471" headerRowCellStyle="Título 1" dataCellStyle="Título 1"/>
    <tableColumn id="2" xr3:uid="{DA893464-DB7D-DB41-8D46-096C576F2B5B}" name="Coluna2" headerRowDxfId="470" dataDxfId="469" headerRowCellStyle="Título 1"/>
    <tableColumn id="3" xr3:uid="{F0D724F8-2651-8149-AE24-08FE8623BDE2}" name="Coluna3" headerRowDxfId="468" dataDxfId="467" headerRowCellStyle="Título 1" dataCellStyle="Título 1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A100985-319D-D844-AABB-1DD0945F86C2}" name="Tabela38" displayName="Tabela38" ref="B24:H43" totalsRowShown="0" headerRowDxfId="298" headerRowCellStyle="Título 3">
  <autoFilter ref="B24:H43" xr:uid="{9A100985-319D-D844-AABB-1DD0945F86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5D9DCF2-2101-FD4F-96DC-B89994CF708C}" name="Coluna1"/>
    <tableColumn id="2" xr3:uid="{351F002A-2991-114C-A605-B4CF69E22020}" name="Unidade"/>
    <tableColumn id="3" xr3:uid="{DE931982-AD8B-004C-88E2-8D9E78F1600F}" name="Quantidade"/>
    <tableColumn id="4" xr3:uid="{848AEC7C-971B-4C4C-A4B9-0C4DAF079787}" name="Valor Unitário (R$)"/>
    <tableColumn id="5" xr3:uid="{34BFB12A-8657-6F49-A52D-635DF282676E}" name="R$/ha" dataDxfId="297"/>
    <tableColumn id="6" xr3:uid="{F79D7D32-4381-C248-A5F6-6C4930B9D62B}" name="R$ (TOTAL)" dataDxfId="296"/>
    <tableColumn id="7" xr3:uid="{A929CDB4-8DF7-1D48-A71B-9BEA3AE6BFDA}" name="R$/tonelada" dataDxfId="295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2059F9-4501-1848-8840-DA0627F482BC}" name="Tabela19232546" displayName="Tabela19232546" ref="F122:L128" headerRowCount="0" totalsRowShown="0" headerRowDxfId="294" dataDxfId="293">
  <tableColumns count="7">
    <tableColumn id="1" xr3:uid="{B6308418-ACB6-CA4E-9AB4-1B522E9CA632}" name="Coluna1" headerRowDxfId="292" dataDxfId="291">
      <calculatedColumnFormula>((F113/$E$112)-1)*100</calculatedColumnFormula>
    </tableColumn>
    <tableColumn id="2" xr3:uid="{DDA8CB0F-9024-794A-B58A-AAD52CD68639}" name="Coluna2" headerRowDxfId="290" dataDxfId="289">
      <calculatedColumnFormula>((G113/$E$112)-1)*100</calculatedColumnFormula>
    </tableColumn>
    <tableColumn id="3" xr3:uid="{25C88E1D-50F1-0142-8499-B192E5D25443}" name="Coluna3" headerRowDxfId="288" dataDxfId="287">
      <calculatedColumnFormula>((H113/$E$112)-1)*100</calculatedColumnFormula>
    </tableColumn>
    <tableColumn id="4" xr3:uid="{E2E7E72E-69EA-C349-9C98-44A89264D331}" name="Coluna4" headerRowDxfId="286" dataDxfId="285">
      <calculatedColumnFormula>((I113/$E$112)-1)*100</calculatedColumnFormula>
    </tableColumn>
    <tableColumn id="5" xr3:uid="{BC6D2D95-00F4-2C49-A61F-FEB184E073C7}" name="Coluna5" headerRowDxfId="284" dataDxfId="283">
      <calculatedColumnFormula>((J113/$E$112)-1)*100</calculatedColumnFormula>
    </tableColumn>
    <tableColumn id="6" xr3:uid="{FFE124BD-3098-BB4B-B0D8-DD698D9EC152}" name="Coluna6" headerRowDxfId="282" dataDxfId="281">
      <calculatedColumnFormula>((K113/$E$112)-1)*100</calculatedColumnFormula>
    </tableColumn>
    <tableColumn id="7" xr3:uid="{72D17E12-7F42-6B4F-B739-998F18E23872}" name="Coluna7" headerRowDxfId="280" dataDxfId="279">
      <calculatedColumnFormula>((L113/$E$112)-1)*100</calculatedColumnFormula>
    </tableColumn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555824-6C77-7F4F-89D3-9AC48640B441}" name="Tabela1923252659" displayName="Tabela1923252659" ref="F177:L183" headerRowCount="0" totalsRowShown="0" headerRowDxfId="278" dataDxfId="277">
  <tableColumns count="7">
    <tableColumn id="1" xr3:uid="{9D0C90E4-F44A-5543-9BF3-71921CAE9C4D}" name="Coluna1" headerRowDxfId="276" dataDxfId="275">
      <calculatedColumnFormula>((F168/$E$167)-1)*100</calculatedColumnFormula>
    </tableColumn>
    <tableColumn id="2" xr3:uid="{CF7B3D4F-6BD0-D549-8896-42DAEDFACB3A}" name="Coluna2" headerRowDxfId="274" dataDxfId="273">
      <calculatedColumnFormula>((G168/$E$167)-1)*100</calculatedColumnFormula>
    </tableColumn>
    <tableColumn id="3" xr3:uid="{2699EEE9-EB7E-264E-A68C-3E94BC11C5F2}" name="Coluna3" headerRowDxfId="272" dataDxfId="271">
      <calculatedColumnFormula>((H168/$E$167)-1)*100</calculatedColumnFormula>
    </tableColumn>
    <tableColumn id="4" xr3:uid="{6F02E731-4E4E-994E-946A-BD72B4C231B3}" name="Coluna4" headerRowDxfId="270" dataDxfId="269">
      <calculatedColumnFormula>((I168/$E$167)-1)*100</calculatedColumnFormula>
    </tableColumn>
    <tableColumn id="5" xr3:uid="{AD985F69-71C7-4045-9C25-4F847DFFF8A4}" name="Coluna5" headerRowDxfId="268" dataDxfId="267">
      <calculatedColumnFormula>((J168/$E$167)-1)*100</calculatedColumnFormula>
    </tableColumn>
    <tableColumn id="6" xr3:uid="{6EB85078-4093-3844-B041-2D98E1FF7D20}" name="Coluna6" headerRowDxfId="266" dataDxfId="265">
      <calculatedColumnFormula>((K168/$E$167)-1)*100</calculatedColumnFormula>
    </tableColumn>
    <tableColumn id="7" xr3:uid="{19FB5523-215E-DA45-90AF-837F50D550B1}" name="Coluna7" headerRowDxfId="264" dataDxfId="263">
      <calculatedColumnFormula>((L168/$E$167)-1)*100</calculatedColumnFormula>
    </tableColumn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ABDECDD-06DC-EA4C-A4B4-F7D3740AC9C3}" name="Tabela39" displayName="Tabela39" ref="B10:F42" totalsRowShown="0" headerRowDxfId="262" dataDxfId="261" headerRowCellStyle="Título 3" dataCellStyle="Título 3">
  <autoFilter ref="B10:F42" xr:uid="{5ABDECDD-06DC-EA4C-A4B4-F7D3740AC9C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8A6866C-D24C-9847-8EBE-57449D6914C2}" name="Item" dataDxfId="260" dataCellStyle="Título 3"/>
    <tableColumn id="2" xr3:uid="{497BBC15-DDCC-BE48-A59F-23A829FF3FB6}" name="R$(TOTAL)" dataDxfId="259" dataCellStyle="Título 3"/>
    <tableColumn id="3" xr3:uid="{989EB8DF-84CE-4E4F-B8CB-7C02D55D7699}" name="Percentual de utilização Manga"/>
    <tableColumn id="4" xr3:uid="{976A53EC-DAAE-8A4A-8602-0A1349DC6F5C}" name="R$/ha" dataDxfId="258" dataCellStyle="Título 3"/>
    <tableColumn id="5" xr3:uid="{2139FE40-4CBE-6A43-B1AB-85394E006EFC}" name="R$/tonelada" dataDxfId="257" dataCellStyle="Título 3"/>
  </tableColumns>
  <tableStyleInfo name="TableStyleMedium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78B6C3D-3B98-1E41-8DA2-87B082969AF4}" name="Tabela43" displayName="Tabela43" ref="B7:F10" totalsRowShown="0" headerRowDxfId="256" dataDxfId="255" headerRowCellStyle="Título 3">
  <autoFilter ref="B7:F10" xr:uid="{578B6C3D-3B98-1E41-8DA2-87B082969AF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7E2D60F-5524-AA47-AC43-D1EF2041876D}" name="PROPRIEDADE E USO DA TERRA" dataDxfId="254" dataCellStyle="Título 1"/>
    <tableColumn id="2" xr3:uid="{61837AC7-E795-EE43-A79E-3C29F7515B8C}" name="Coluna1" dataDxfId="253" dataCellStyle="Título 1"/>
    <tableColumn id="3" xr3:uid="{D7737C11-58F2-D546-B006-6EDDB8773E38}" name="Coluna2" dataDxfId="252"/>
    <tableColumn id="4" xr3:uid="{C15498D2-D657-394D-AE30-56A739A3E2D5}" name="Coluna3" dataDxfId="251" dataCellStyle="Porcentagem"/>
    <tableColumn id="5" xr3:uid="{6FFC0A26-E744-F948-A0E1-74801494E1F2}" name="Remuneração da Terra (R$/ha)" dataDxfId="250" dataCellStyle="Título 1"/>
  </tableColumns>
  <tableStyleInfo name="TableStyleMedium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8D3EA3F2-D17B-D14D-9816-BADF355D5244}" name="Tabela44" displayName="Tabela44" ref="B13:F18" totalsRowShown="0" headerRowDxfId="249" dataDxfId="248" headerRowCellStyle="Título 3" dataCellStyle="Porcentagem">
  <autoFilter ref="B13:F18" xr:uid="{8D3EA3F2-D17B-D14D-9816-BADF355D524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E3C22C-B4BB-5A41-9F40-1942EC7BD56E}" name="JUROS DE CUSTEIO" dataDxfId="247"/>
    <tableColumn id="2" xr3:uid="{4718D7DB-1EC2-4746-93DA-60261BE5DFF2}" name="Participação no COE" dataDxfId="246" dataCellStyle="Porcentagem"/>
    <tableColumn id="3" xr3:uid="{BC1FAAD0-6971-D742-9350-4CBB0791EC58}" name="% a. a." dataDxfId="245" dataCellStyle="Porcentagem"/>
    <tableColumn id="4" xr3:uid="{11A51CCE-C0C9-774E-9E76-9A1534FA9800}" name="Parcela do COE (R$/ha)" dataDxfId="244" dataCellStyle="Porcentagem"/>
    <tableColumn id="5" xr3:uid="{69826CF8-5B7B-DA47-87BA-6008FAD63038}" name="Juros (R$/ha)" dataDxfId="243" dataCellStyle="Porcentagem"/>
  </tableColumns>
  <tableStyleInfo name="TableStyleMedium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CACC0C6-6939-7D45-B7D8-EC0B7039A078}" name="Tabela45" displayName="Tabela45" ref="B11:F13" totalsRowShown="0" headerRowDxfId="242" headerRowCellStyle="Título 3">
  <autoFilter ref="B11:F13" xr:uid="{ECACC0C6-6939-7D45-B7D8-EC0B7039A07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16D913F-1A2B-0F4F-A5D9-D32CB74F2040}" name="Investimento de implantação para 1ha"/>
    <tableColumn id="2" xr3:uid="{95083ADB-28B7-8243-96D4-9C5D5D32BA10}" name="Valor novo (R$)"/>
    <tableColumn id="3" xr3:uid="{6EE0E45F-7F36-0541-B5DB-00AF5D77B350}" name="Expectativa de vida útil (anos)"/>
    <tableColumn id="4" xr3:uid="{5B9DBE31-368B-1E4F-8C13-81587854D3CC}" name="Valor Residual"/>
    <tableColumn id="5" xr3:uid="{0334E09B-5E52-A144-96B3-68FF6E274D7A}" name="Depreciação/ano (R$)">
      <calculatedColumnFormula>F11*'Informações Gerais'!$E$16</calculatedColumnFormula>
    </tableColumn>
  </tableColumns>
  <tableStyleInfo name="TableStyleMedium4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33296AE6-3866-4145-A3B4-FB6EA36E135D}" name="Tabela46" displayName="Tabela46" ref="B16:H29" totalsRowShown="0" headerRowDxfId="241" dataDxfId="240" headerRowCellStyle="Título 3" dataCellStyle="Título 3">
  <autoFilter ref="B16:H29" xr:uid="{33296AE6-3866-4145-A3B4-FB6EA36E13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3F68E25-9AB8-214F-874F-A2B4D1E2D360}" name=" Tratores Próprios" dataDxfId="239" dataCellStyle="Título 3"/>
    <tableColumn id="2" xr3:uid="{717948FF-B0B5-5D41-981A-258C7B9743D3}" name="Quantidade" dataDxfId="238" dataCellStyle="Título 3"/>
    <tableColumn id="3" xr3:uid="{F33D99BD-C450-0C42-81EA-1E452753F86B}" name="Especificações" dataDxfId="237" dataCellStyle="Título 3"/>
    <tableColumn id="4" xr3:uid="{B462686D-F526-5D45-A225-BC4872AA355E}" name="Valor de novo (R$)" dataDxfId="236" dataCellStyle="Título 3"/>
    <tableColumn id="5" xr3:uid="{F00D947F-78FE-E34C-A26C-D3B88F5B149C}" name="Expectativa de vida útil (anos)" dataDxfId="235" dataCellStyle="Título 3"/>
    <tableColumn id="6" xr3:uid="{7692080D-12A9-F242-BAE7-003DBE979D49}" name="Residual" dataDxfId="234" dataCellStyle="Título 3"/>
    <tableColumn id="7" xr3:uid="{21E3F217-A24F-A045-8517-9CF09A6D57C8}" name="Depreciação/ano (R$)" dataDxfId="233" dataCellStyle="Título 3"/>
  </tableColumns>
  <tableStyleInfo name="TableStyleMedium4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212B8CF-1881-B34C-9752-F8116F66BA4F}" name="Tabela47" displayName="Tabela47" ref="B32:H50" totalsRowShown="0" headerRowDxfId="232" dataDxfId="231" headerRowCellStyle="Título 3" dataCellStyle="Título 3">
  <autoFilter ref="B32:H50" xr:uid="{3212B8CF-1881-B34C-9752-F8116F66B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697B354-5AF2-7F44-9C0A-4310C84BCFAC}" name=" Máquinas Próprias e Implementos" dataDxfId="230" dataCellStyle="Título 3"/>
    <tableColumn id="2" xr3:uid="{B5DF0674-5C2D-2A47-8823-3B6C94FFF3A7}" name="Quantidade" dataDxfId="229" dataCellStyle="Título 3"/>
    <tableColumn id="3" xr3:uid="{88012E6E-DA46-FD47-9F39-7D3CDE3358FD}" name="Especificações" dataDxfId="228" dataCellStyle="Título 3"/>
    <tableColumn id="4" xr3:uid="{6BE475E1-5AA1-2B4E-B0D6-A463FB1EA436}" name="Valor de novo (R$)" dataDxfId="227" dataCellStyle="Título 3"/>
    <tableColumn id="5" xr3:uid="{7E147DFD-1E17-8342-987D-7093CDB8C847}" name="Expectativa de vida útil (anos)" dataDxfId="226" dataCellStyle="Título 3"/>
    <tableColumn id="6" xr3:uid="{C93497B4-C8B5-EF46-A760-AB6789EAC810}" name="Residual" dataDxfId="225" dataCellStyle="Título 3"/>
    <tableColumn id="7" xr3:uid="{C7F9EECD-30CE-D64A-94C4-B8CCA83D599F}" name="Depreciação/ano (R$)" dataDxfId="224" dataCellStyle="Título 3"/>
  </tableColumns>
  <tableStyleInfo name="TableStyleMedium4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D73073A-6511-D148-AB5B-A9C75760ECBC}" name="Tabela48" displayName="Tabela48" ref="B53:H64" totalsRowShown="0" headerRowDxfId="223" dataDxfId="222" headerRowCellStyle="Título 3" dataCellStyle="Título 3">
  <autoFilter ref="B53:H64" xr:uid="{4D73073A-6511-D148-AB5B-A9C75760E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7BECEE6-F6A2-F044-8560-810E5EA80E0E}" name="Animais" dataDxfId="221" dataCellStyle="Título 3"/>
    <tableColumn id="2" xr3:uid="{93B572DE-26C0-C14C-BEFC-670572112843}" name="Quantidade" dataDxfId="220" dataCellStyle="Título 3"/>
    <tableColumn id="3" xr3:uid="{89F5A670-1F41-5542-9882-EAC851B029A2}" name="Especificações" dataDxfId="219" dataCellStyle="Título 3"/>
    <tableColumn id="4" xr3:uid="{A6F8CC7F-3689-544A-887B-5724603B3331}" name="Valor de novo (R$)" dataDxfId="218" dataCellStyle="Título 3"/>
    <tableColumn id="5" xr3:uid="{B0AB69DB-FCB2-014C-82EB-15C1FCD3AAED}" name="Expectativa de vida útil (anos)" dataDxfId="217" dataCellStyle="Título 3"/>
    <tableColumn id="6" xr3:uid="{051A3D8C-0A49-7C44-AE54-A6A25F7720BB}" name="Residual" dataDxfId="216" dataCellStyle="Título 3"/>
    <tableColumn id="7" xr3:uid="{E9C44151-636D-BC45-94C1-61DEEE35AF3A}" name="Depreciação/ano (R$)" dataDxfId="215" dataCellStyle="Título 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5A8A558-1B74-E34E-8B61-D8D08C9673BC}" name="Tabela29" displayName="Tabela29" ref="C15:E22" headerRowCount="0" totalsRowShown="0" headerRowDxfId="466" dataDxfId="465">
  <tableColumns count="3">
    <tableColumn id="1" xr3:uid="{B454491F-DFF6-714E-9123-59E1DFC06215}" name="Coluna1" headerRowDxfId="464" dataDxfId="463" headerRowCellStyle="Título 1" dataCellStyle="Título 1"/>
    <tableColumn id="2" xr3:uid="{1AD6EFDF-2ED1-3C46-8902-349D79FE0CCC}" name="Coluna2" headerRowDxfId="462" dataDxfId="461" headerRowCellStyle="Título 1" dataCellStyle="Título 1"/>
    <tableColumn id="3" xr3:uid="{EA1FCA02-422E-E343-A872-B4647414E8B9}" name="Coluna3" headerRowDxfId="460" dataDxfId="459" headerRowCellStyle="Título 1" dataCellStyle="Título 1"/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348FCBC1-BABA-2947-866F-966E25A7608C}" name="Tabela49" displayName="Tabela49" ref="B67:H85" totalsRowShown="0" headerRowDxfId="214" dataDxfId="213" headerRowCellStyle="Título 3" dataCellStyle="Título 3">
  <autoFilter ref="B67:H85" xr:uid="{348FCBC1-BABA-2947-866F-966E25A760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7DF5DED-CA1E-D844-8C2C-879324DF61D4}" name=" Benfeitorias específicas Manga" dataDxfId="212" dataCellStyle="Título 3"/>
    <tableColumn id="2" xr3:uid="{28325BD4-E32E-5D4B-A280-882E6C2590EA}" name="Valor do m² (R$)" dataDxfId="211" dataCellStyle="Título 3"/>
    <tableColumn id="3" xr3:uid="{45AA59AD-6655-5744-B941-4C2A6FC31E6A}" name="Quantidade de m²" dataDxfId="210" dataCellStyle="Título 3"/>
    <tableColumn id="4" xr3:uid="{E18B2476-BFBD-8F49-858D-D74053295E33}" name="Valor de novo (R$)" dataDxfId="209" dataCellStyle="Título 3"/>
    <tableColumn id="5" xr3:uid="{4E96664D-B27F-8040-92E1-B0CB8E31E400}" name="Expectativa de vida útil (anos)" dataDxfId="208" dataCellStyle="Título 3"/>
    <tableColumn id="6" xr3:uid="{8BD9532D-C842-FD4F-B251-95CDC5C1FC49}" name="Residual" dataDxfId="207" dataCellStyle="Título 3"/>
    <tableColumn id="7" xr3:uid="{03A12F4C-BD6C-C24D-9FF8-42EE1A831280}" name="Depreciação/ano (R$)" dataDxfId="206" dataCellStyle="Título 3"/>
  </tableColumns>
  <tableStyleInfo name="TableStyleMedium4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B1775838-B601-394F-8CC2-458C9A1139C5}" name="Tabela50" displayName="Tabela50" ref="B88:H101" totalsRowShown="0" headerRowDxfId="205" dataDxfId="204" headerRowCellStyle="Título 3" dataCellStyle="Título 3">
  <autoFilter ref="B88:H101" xr:uid="{B1775838-B601-394F-8CC2-458C9A1139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ACFC698-5F98-7D41-B12B-68DAD59C154B}" name="Investimentos em Irrigação" dataDxfId="203" dataCellStyle="Título 3"/>
    <tableColumn id="2" xr3:uid="{ABBA05B9-88C6-EB42-A415-7D71F6E16AB2}" name="Valor  unitário (R$)" dataDxfId="202" dataCellStyle="Título 3"/>
    <tableColumn id="3" xr3:uid="{63B5F34E-939B-0C45-BD70-99AA125E8867}" name="Quantidade " dataDxfId="201" dataCellStyle="Título 3"/>
    <tableColumn id="4" xr3:uid="{A1DD7FCE-508E-1E43-9B22-9EE9F8578863}" name="Valor de novo (R$)" dataDxfId="200" dataCellStyle="Título 3"/>
    <tableColumn id="5" xr3:uid="{63A1DC71-39A4-7D4C-A7CA-5F66B82137FC}" name="Expectativa de vida útil (anos)" dataDxfId="199" dataCellStyle="Título 3"/>
    <tableColumn id="6" xr3:uid="{4F74CC23-701F-BE46-BB12-23A4459F071D}" name="Residual" dataDxfId="198" dataCellStyle="Título 3"/>
    <tableColumn id="7" xr3:uid="{2544E8EE-C5A8-6F48-AA13-681C5F086ABE}" name="Depreciação/ano (R$)" dataDxfId="197" dataCellStyle="Título 3"/>
  </tableColumns>
  <tableStyleInfo name="TableStyleMedium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539A4535-7AFB-F34E-BBB5-F7851D1BCAC8}" name="Tabela52" displayName="Tabela52" ref="B104:H106" headerRowCount="0" totalsRowShown="0" headerRowDxfId="196" dataDxfId="195" headerRowCellStyle="Título 3" dataCellStyle="Título 3">
  <tableColumns count="7">
    <tableColumn id="1" xr3:uid="{0AA9B198-2E91-444D-8B4C-AF4E51726342}" name="Coluna1" headerRowDxfId="194" headerRowCellStyle="Título 3"/>
    <tableColumn id="2" xr3:uid="{5F9075ED-76F3-A641-8F2A-4E5B6861F2DC}" name="Coluna2" headerRowDxfId="193" dataDxfId="192" headerRowCellStyle="Título 3" dataCellStyle="Título 3"/>
    <tableColumn id="3" xr3:uid="{EE38FC29-41FC-F34C-A7CB-043F532AD2BF}" name="Coluna3" headerRowDxfId="191" dataDxfId="190" headerRowCellStyle="Título 3" dataCellStyle="Título 3"/>
    <tableColumn id="4" xr3:uid="{68B3517C-3D23-C041-9F91-87408B8B2108}" name="Coluna4" headerRowDxfId="189" dataDxfId="188" headerRowCellStyle="Título 3" dataCellStyle="Título 3"/>
    <tableColumn id="5" xr3:uid="{D4A28996-631B-E445-AC1D-AE86264A2A3C}" name="Coluna5" headerRowDxfId="187" dataDxfId="186" headerRowCellStyle="Título 3" dataCellStyle="Título 3"/>
    <tableColumn id="6" xr3:uid="{4A332355-A098-6445-BA72-132B97E44FAB}" name="Coluna6" headerRowDxfId="185" dataDxfId="184" headerRowCellStyle="Título 3" dataCellStyle="Título 3"/>
    <tableColumn id="7" xr3:uid="{67B68B94-3612-8A46-8FAA-0B670EF36C49}" name="Coluna7" headerRowDxfId="183" dataDxfId="182" headerRowCellStyle="Título 3" dataCellStyle="Título 3">
      <calculatedColumnFormula>IF(ISERROR(H103/'Informações Gerais'!$E$16),0,H103/'Informações Gerais'!$E$16)</calculatedColumnFormula>
    </tableColumn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1FA6542E-AE87-C549-B514-4B557EF21878}" name="Tabela56" displayName="Tabela56" ref="B12:C16" headerRowCount="0" totalsRowShown="0" dataDxfId="181" dataCellStyle="Título 3">
  <tableColumns count="2">
    <tableColumn id="1" xr3:uid="{F66C7E7C-AB70-824C-AB9B-289898EC4236}" name="Coluna1" headerRowDxfId="180" dataDxfId="179" headerRowCellStyle="Título 3" dataCellStyle="Título 3"/>
    <tableColumn id="2" xr3:uid="{E8F1AD30-90A8-DD43-B54F-8FAC6AD54ADB}" name="Coluna2" headerRowDxfId="178" dataDxfId="177" headerRowCellStyle="Título 3" dataCellStyle="Título 3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6887435-F15F-074F-B2A5-2D0793A1875A}" name="Tabela57" displayName="Tabela57" ref="B19:F25" headerRowCount="0" totalsRowShown="0" headerRowDxfId="11" dataDxfId="10" headerRowCellStyle="Título 3" dataCellStyle="Título 3">
  <tableColumns count="5">
    <tableColumn id="1" xr3:uid="{96BAF8B4-F3F8-6342-BA1A-6945B9036750}" name="Coluna1" headerRowDxfId="9" dataDxfId="8" headerRowCellStyle="Título 3" dataCellStyle="Título 3"/>
    <tableColumn id="2" xr3:uid="{84CEF780-DD93-DD49-9C57-591990ED66A0}" name="Coluna2" headerRowDxfId="7" dataDxfId="6" headerRowCellStyle="Título 3" dataCellStyle="Título 3"/>
    <tableColumn id="3" xr3:uid="{5235E49B-0D58-C746-BD31-6329DDB40002}" name="Coluna3" headerRowDxfId="5" dataDxfId="4" headerRowCellStyle="Título 3" dataCellStyle="Título 3"/>
    <tableColumn id="4" xr3:uid="{B2B3C604-01CC-DD44-8844-F321E0AB00EF}" name="Coluna4" headerRowDxfId="3" dataDxfId="2" headerRowCellStyle="Título 3" dataCellStyle="Título 3"/>
    <tableColumn id="5" xr3:uid="{46DCA398-145A-8640-B903-4A860CEF4C68}" name="Coluna5" headerRowDxfId="1" dataDxfId="0" headerRowCellStyle="Título 3" dataCellStyle="Título 3"/>
  </tableColumns>
  <tableStyleInfo name="TableStyleMedium3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64A84D71-394E-314D-9622-F88FC914FDB6}" name="Tabela58" displayName="Tabela58" ref="B28:F32" headerRowCount="0" totalsRowShown="0" headerRowDxfId="176" dataDxfId="175" headerRowCellStyle="Título 3" dataCellStyle="Título 3">
  <tableColumns count="5">
    <tableColumn id="1" xr3:uid="{A5F39723-74EB-5447-890D-97368BA77A48}" name="Coluna1" headerRowDxfId="174" dataDxfId="173" headerRowCellStyle="Título 3" dataCellStyle="Título 3"/>
    <tableColumn id="2" xr3:uid="{57FB14E7-438A-C943-A025-D5CB77E5BE43}" name="Coluna2" headerRowDxfId="172" dataDxfId="171" headerRowCellStyle="Título 3" dataCellStyle="Título 3"/>
    <tableColumn id="3" xr3:uid="{5A4B47C4-60EA-154D-873F-0AFF2DA0CABB}" name="Coluna3" headerRowDxfId="170" dataDxfId="169" headerRowCellStyle="Título 3" dataCellStyle="Título 3"/>
    <tableColumn id="4" xr3:uid="{C5D1C222-4FF1-534B-AFA8-F5C7AB1F3C6A}" name="Coluna4" headerRowDxfId="168" dataDxfId="167" headerRowCellStyle="Título 3" dataCellStyle="Título 3"/>
    <tableColumn id="5" xr3:uid="{16583485-F622-174C-869B-5409F032DC97}" name="Coluna5" headerRowDxfId="166" dataDxfId="165" headerRowCellStyle="Título 3" dataCellStyle="Título 3"/>
  </tableColumns>
  <tableStyleInfo name="TableStyleMedium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620B6318-4086-1844-852A-EDEA96DAC65E}" name="Tabela59" displayName="Tabela59" ref="B35:F40" headerRowCount="0" totalsRowShown="0" headerRowDxfId="164" dataDxfId="163" headerRowCellStyle="Título 3" dataCellStyle="Título 3">
  <tableColumns count="5">
    <tableColumn id="1" xr3:uid="{3825B949-9629-D147-B1E8-05461CEBF181}" name="Coluna1" headerRowDxfId="162" dataDxfId="161" headerRowCellStyle="Título 3" dataCellStyle="Título 3"/>
    <tableColumn id="2" xr3:uid="{0A50F11F-D654-D640-A12B-FA66971BB234}" name="Coluna2" headerRowDxfId="160" dataDxfId="159" headerRowCellStyle="Título 3" dataCellStyle="Título 3"/>
    <tableColumn id="3" xr3:uid="{3332A491-FB40-3045-9204-ED5203F38083}" name="Coluna3" headerRowDxfId="158" dataDxfId="157" headerRowCellStyle="Título 3" dataCellStyle="Título 3"/>
    <tableColumn id="4" xr3:uid="{97063D79-395A-654F-B0D2-A079ACAD1F5E}" name="Coluna4" headerRowDxfId="156" dataDxfId="155" headerRowCellStyle="Título 3" dataCellStyle="Título 3"/>
    <tableColumn id="5" xr3:uid="{65C383FA-7B38-D84D-BA34-DBA9F5718668}" name="Coluna5" headerRowDxfId="154" dataDxfId="153" headerRowCellStyle="Título 3" dataCellStyle="Título 3"/>
  </tableColumns>
  <tableStyleInfo name="TableStyleMedium3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9CFBA7EC-9899-0E43-94D6-3D4D7E2A2A78}" name="Tabela60" displayName="Tabela60" ref="B43:F50" headerRowCount="0" totalsRowShown="0" headerRowDxfId="152" dataDxfId="151" headerRowCellStyle="Título 3" dataCellStyle="Título 3">
  <tableColumns count="5">
    <tableColumn id="1" xr3:uid="{5CC50286-562E-7B4A-BE5E-08A85F83F88E}" name="Coluna1" headerRowDxfId="150" dataDxfId="149" headerRowCellStyle="Título 3" dataCellStyle="Título 3"/>
    <tableColumn id="2" xr3:uid="{65922DF2-EB06-3848-A212-C4457C3889BF}" name="Coluna2" headerRowDxfId="148" dataDxfId="147" headerRowCellStyle="Título 3" dataCellStyle="Título 3"/>
    <tableColumn id="3" xr3:uid="{48953310-1B97-E344-AC98-26B78988C844}" name="Coluna3" headerRowDxfId="146" dataDxfId="145" headerRowCellStyle="Título 3" dataCellStyle="Título 3"/>
    <tableColumn id="4" xr3:uid="{0FF7505B-CE64-3742-8743-36875A30EBEC}" name="Coluna4" headerRowDxfId="144" dataDxfId="143" headerRowCellStyle="Título 3" dataCellStyle="Título 3"/>
    <tableColumn id="5" xr3:uid="{72DF8C55-9940-6647-9979-75EED3A46E30}" name="Coluna5" headerRowDxfId="142" headerRowCellStyle="Título 3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DFBD3A-27CC-FA4B-A868-8B746E925068}" name="Tabela2" displayName="Tabela2" ref="J16:N32" totalsRowShown="0" headerRowDxfId="141" dataDxfId="140">
  <autoFilter ref="J16:N32" xr:uid="{1EDFBD3A-27CC-FA4B-A868-8B746E92506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966E4A3-D7F5-F64B-BB40-483F9C28AD61}" name="Indicadores" dataDxfId="139"/>
    <tableColumn id="2" xr3:uid="{89E9B5F0-28C6-8D43-9421-21038C2BCCAE}" name="Coluna1" dataDxfId="138"/>
    <tableColumn id="3" xr3:uid="{1C266747-E692-E341-917F-6CEC4CD1D3CB}" name="Coluna2" dataDxfId="137"/>
    <tableColumn id="4" xr3:uid="{1F8F0DCB-6314-5645-93B0-AD01B624A734}" name="Valor" dataDxfId="136"/>
    <tableColumn id="5" xr3:uid="{7A9A1CFD-D878-7941-979F-57A0DD75C728}" name="Unidade" dataDxfId="135"/>
  </tableColumns>
  <tableStyleInfo name="TableStyleMedium3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4DD55E-BE4A-8D43-B39D-575FF6A6BBDA}" name="Tabela1923254" displayName="Tabela1923254" ref="F122:L128" headerRowCount="0" totalsRowShown="0" headerRowDxfId="134" dataDxfId="133">
  <tableColumns count="7">
    <tableColumn id="1" xr3:uid="{31D1BBEC-CF56-4A43-A6B1-6CD4E8BC37EA}" name="Coluna1" headerRowDxfId="132" dataDxfId="131">
      <calculatedColumnFormula>((F113/$E$112)-1)*100</calculatedColumnFormula>
    </tableColumn>
    <tableColumn id="2" xr3:uid="{C5218D33-30F8-2944-BF85-47ACC254B4F1}" name="Coluna2" headerRowDxfId="130" dataDxfId="129">
      <calculatedColumnFormula>((G113/$E$112)-1)*100</calculatedColumnFormula>
    </tableColumn>
    <tableColumn id="3" xr3:uid="{B989E3E3-78BC-9F4F-8B15-3F25A8664146}" name="Coluna3" headerRowDxfId="128" dataDxfId="127">
      <calculatedColumnFormula>((H113/$E$112)-1)*100</calculatedColumnFormula>
    </tableColumn>
    <tableColumn id="4" xr3:uid="{731255CD-FC3C-8741-B86E-DCB24399AACB}" name="Coluna4" headerRowDxfId="126" dataDxfId="125">
      <calculatedColumnFormula>((I113/$E$112)-1)*100</calculatedColumnFormula>
    </tableColumn>
    <tableColumn id="5" xr3:uid="{A07026D4-5FDC-8643-810A-B74C5F3D4665}" name="Coluna5" headerRowDxfId="124" dataDxfId="123">
      <calculatedColumnFormula>((J113/$E$112)-1)*100</calculatedColumnFormula>
    </tableColumn>
    <tableColumn id="6" xr3:uid="{718401E9-3746-A846-BF5F-7F02EABF2DFA}" name="Coluna6" headerRowDxfId="122" dataDxfId="121">
      <calculatedColumnFormula>((K113/$E$112)-1)*100</calculatedColumnFormula>
    </tableColumn>
    <tableColumn id="7" xr3:uid="{52B0E1B7-4052-5648-BD41-36C862D93527}" name="Coluna7" headerRowDxfId="120" dataDxfId="119">
      <calculatedColumnFormula>((L113/$E$112)-1)*100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3D15BF1-871F-2648-A827-558F78959DCC}" name="Tabela30" displayName="Tabela30" ref="C24:E29" headerRowCount="0" totalsRowShown="0" headerRowDxfId="458" dataDxfId="457">
  <tableColumns count="3">
    <tableColumn id="1" xr3:uid="{CD788C6D-5BD8-9B40-8101-6B75CE85C7C4}" name="Coluna1" headerRowDxfId="456" dataDxfId="455" headerRowCellStyle="Título 1" dataCellStyle="Título 1"/>
    <tableColumn id="2" xr3:uid="{987B4E03-1EC4-FC45-B0BF-20DFED9F40BA}" name="Coluna2" headerRowDxfId="454" dataDxfId="453" headerRowCellStyle="Título 1" dataCellStyle="Título 1"/>
    <tableColumn id="3" xr3:uid="{A3330122-9ED9-B349-A0A6-8EB8457344F0}" name="Coluna3" headerRowDxfId="452" dataDxfId="451" headerRowCellStyle="Título 1" dataCellStyle="Título 1"/>
  </tableColumns>
  <tableStyleInfo name="TableStyleMedium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ABF73D-4132-D14F-8514-F6790A354F17}" name="Tabela192325265" displayName="Tabela192325265" ref="F177:L183" headerRowCount="0" totalsRowShown="0" headerRowDxfId="118" dataDxfId="117">
  <tableColumns count="7">
    <tableColumn id="1" xr3:uid="{5C99744F-5849-7146-8C0D-10F605557645}" name="Coluna1" headerRowDxfId="116" dataDxfId="115">
      <calculatedColumnFormula>((F168/$E$167)-1)*100</calculatedColumnFormula>
    </tableColumn>
    <tableColumn id="2" xr3:uid="{4B74067C-CA48-394D-A9BE-77A8738AD3FF}" name="Coluna2" headerRowDxfId="114" dataDxfId="113">
      <calculatedColumnFormula>((G168/$E$167)-1)*100</calculatedColumnFormula>
    </tableColumn>
    <tableColumn id="3" xr3:uid="{E4646B77-4987-2649-B58C-3FD413106783}" name="Coluna3" headerRowDxfId="112" dataDxfId="111">
      <calculatedColumnFormula>((H168/$E$167)-1)*100</calculatedColumnFormula>
    </tableColumn>
    <tableColumn id="4" xr3:uid="{F9618086-310A-3F49-83F1-05CBE8F83671}" name="Coluna4" headerRowDxfId="110" dataDxfId="109">
      <calculatedColumnFormula>((I168/$E$167)-1)*100</calculatedColumnFormula>
    </tableColumn>
    <tableColumn id="5" xr3:uid="{41F9B212-DC81-ED4E-8977-1562CCCF1300}" name="Coluna5" headerRowDxfId="108" dataDxfId="107">
      <calculatedColumnFormula>((J168/$E$167)-1)*100</calculatedColumnFormula>
    </tableColumn>
    <tableColumn id="6" xr3:uid="{57B19D19-6255-FE4C-9AAE-B14C91104351}" name="Coluna6" headerRowDxfId="106" dataDxfId="105">
      <calculatedColumnFormula>((K168/$E$167)-1)*100</calculatedColumnFormula>
    </tableColumn>
    <tableColumn id="7" xr3:uid="{7D5D1CC4-BB4E-A842-B3A3-59AAD53B4BEB}" name="Coluna7" headerRowDxfId="104" dataDxfId="103">
      <calculatedColumnFormula>((L168/$E$167)-1)*100</calculatedColumnFormula>
    </tableColumn>
  </tableColumns>
  <tableStyleInfo name="TableStyleMedium3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9E8580-C9A5-434A-94C1-D69D9CA29FBC}" name="Tabela5611" displayName="Tabela5611" ref="B12:C16" headerRowCount="0" totalsRowShown="0" dataDxfId="102" dataCellStyle="Título 3">
  <tableColumns count="2">
    <tableColumn id="1" xr3:uid="{14D35164-2767-4791-8E42-FFE8C47F8EE0}" name="Coluna1" headerRowDxfId="101" dataDxfId="100" headerRowCellStyle="Título 3" dataCellStyle="Título 3"/>
    <tableColumn id="2" xr3:uid="{4C61FD31-D9DB-4FC8-B5BC-31C4950BBF79}" name="Coluna2" headerRowDxfId="99" dataDxfId="98" headerRowCellStyle="Título 3" dataCellStyle="Título 3"/>
  </tableColumns>
  <tableStyleInfo name="TableStyleMedium3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75FA905-9F39-49FB-8A6C-26BEBD194E54}" name="Tabela5712" displayName="Tabela5712" ref="B19:F25" headerRowCount="0" totalsRowShown="0" headerRowDxfId="97" dataDxfId="96" headerRowCellStyle="Título 3" dataCellStyle="Título 3">
  <tableColumns count="5">
    <tableColumn id="1" xr3:uid="{84BB7CA3-A438-44EE-833A-640129283413}" name="Coluna1" headerRowDxfId="95" dataDxfId="94" headerRowCellStyle="Título 3" dataCellStyle="Título 3"/>
    <tableColumn id="2" xr3:uid="{F5B0D2D2-995F-4F20-9C6B-A207AEEEF155}" name="Coluna2" headerRowDxfId="93" dataDxfId="92" headerRowCellStyle="Título 3" dataCellStyle="Título 3"/>
    <tableColumn id="3" xr3:uid="{AFA40B36-2F93-495F-9FB3-8CEDE0B98D5A}" name="Coluna3" headerRowDxfId="91" dataDxfId="90" headerRowCellStyle="Título 3" dataCellStyle="Título 3"/>
    <tableColumn id="4" xr3:uid="{624C45E1-DDBC-4896-85B6-F19355DAB55D}" name="Coluna4" headerRowDxfId="89" dataDxfId="88" headerRowCellStyle="Título 3" dataCellStyle="Título 3"/>
    <tableColumn id="5" xr3:uid="{2EC36210-BCE2-4B4D-902B-1B48ED890604}" name="Coluna5" headerRowDxfId="87" dataDxfId="86" headerRowCellStyle="Título 3" dataCellStyle="Título 3"/>
  </tableColumns>
  <tableStyleInfo name="TableStyleMedium3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95D556C-86EC-43E6-854B-FE623EDC9D1A}" name="Tabela5813" displayName="Tabela5813" ref="B28:F32" headerRowCount="0" totalsRowShown="0" headerRowDxfId="85" dataDxfId="84" headerRowCellStyle="Título 3" dataCellStyle="Título 3">
  <tableColumns count="5">
    <tableColumn id="1" xr3:uid="{A7B1B36C-90D5-4B97-9AE6-95919FD038A8}" name="Coluna1" headerRowDxfId="83" dataDxfId="82" headerRowCellStyle="Título 3" dataCellStyle="Título 3"/>
    <tableColumn id="2" xr3:uid="{7BA1E8FB-68FC-494B-AFBE-B64BD890AB6C}" name="Coluna2" headerRowDxfId="81" dataDxfId="80" headerRowCellStyle="Título 3" dataCellStyle="Título 3"/>
    <tableColumn id="3" xr3:uid="{A98578CE-8333-4D76-BA6A-E9C33006CD80}" name="Coluna3" headerRowDxfId="79" dataDxfId="78" headerRowCellStyle="Título 3" dataCellStyle="Título 3"/>
    <tableColumn id="4" xr3:uid="{D2F08EC7-A479-4DCD-B770-841EFE797E0F}" name="Coluna4" headerRowDxfId="77" dataDxfId="76" headerRowCellStyle="Título 3" dataCellStyle="Título 3"/>
    <tableColumn id="5" xr3:uid="{89CE70B9-A47C-4829-B65A-1F3EF4FAD803}" name="Coluna5" headerRowDxfId="75" dataDxfId="74" headerRowCellStyle="Título 3" dataCellStyle="Título 3"/>
  </tableColumns>
  <tableStyleInfo name="TableStyleMedium3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BC4400-E1C9-4977-9FAA-4896186D3AB1}" name="Tabela5914" displayName="Tabela5914" ref="B35:F40" headerRowCount="0" totalsRowShown="0" headerRowDxfId="73" dataDxfId="72" headerRowCellStyle="Título 3" dataCellStyle="Título 3">
  <tableColumns count="5">
    <tableColumn id="1" xr3:uid="{27B42AF8-8417-4334-B1C5-86AE5AAC0CA2}" name="Coluna1" headerRowDxfId="71" dataDxfId="70" headerRowCellStyle="Título 3" dataCellStyle="Título 3"/>
    <tableColumn id="2" xr3:uid="{AB3EBEFF-6275-4B14-8351-EC2A25AC90FD}" name="Coluna2" headerRowDxfId="69" dataDxfId="68" headerRowCellStyle="Título 3" dataCellStyle="Título 3"/>
    <tableColumn id="3" xr3:uid="{9A2CCA2D-C6B2-45A8-A822-748130D216B4}" name="Coluna3" headerRowDxfId="67" dataDxfId="66" headerRowCellStyle="Título 3" dataCellStyle="Título 3"/>
    <tableColumn id="4" xr3:uid="{603861D1-03A3-4415-BBBA-7564FB114BDB}" name="Coluna4" headerRowDxfId="65" dataDxfId="64" headerRowCellStyle="Título 3" dataCellStyle="Título 3"/>
    <tableColumn id="5" xr3:uid="{E56B0FDD-49C4-4A9B-B3E0-214EED548FB6}" name="Coluna5" headerRowDxfId="63" dataDxfId="62" headerRowCellStyle="Título 3" dataCellStyle="Título 3"/>
  </tableColumns>
  <tableStyleInfo name="TableStyleMedium3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4BA647-CC12-4528-B923-175235398CF7}" name="Tabela6015" displayName="Tabela6015" ref="B43:F50" headerRowCount="0" totalsRowShown="0" headerRowDxfId="61" dataDxfId="60" headerRowCellStyle="Título 3" dataCellStyle="Título 3">
  <tableColumns count="5">
    <tableColumn id="1" xr3:uid="{E3D3FE73-AB43-437B-9D41-3924342D3843}" name="Coluna1" headerRowDxfId="59" dataDxfId="58" headerRowCellStyle="Título 3" dataCellStyle="Título 3"/>
    <tableColumn id="2" xr3:uid="{EA1C953D-A94A-43DA-9EAF-FDDA769F6CF0}" name="Coluna2" headerRowDxfId="57" dataDxfId="56" headerRowCellStyle="Título 3" dataCellStyle="Título 3"/>
    <tableColumn id="3" xr3:uid="{8911DA83-CD23-48CF-8B6B-C4C380D76124}" name="Coluna3" headerRowDxfId="55" dataDxfId="54" headerRowCellStyle="Título 3" dataCellStyle="Título 3"/>
    <tableColumn id="4" xr3:uid="{6AFC893A-261D-454D-B035-07D10C745C57}" name="Coluna4" headerRowDxfId="53" dataDxfId="52" headerRowCellStyle="Título 3" dataCellStyle="Título 3"/>
    <tableColumn id="5" xr3:uid="{3138B064-2B2B-4CC2-8B61-70C90CD822AB}" name="Coluna5" headerRowDxfId="51" headerRowCellStyle="Título 3"/>
  </tableColumns>
  <tableStyleInfo name="TableStyleMedium3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18A283-7964-4F6D-83AC-7275D77AED33}" name="Tabela217" displayName="Tabela217" ref="J16:N32" totalsRowShown="0" headerRowDxfId="50" dataDxfId="49">
  <autoFilter ref="J16:N32" xr:uid="{7118A283-7964-4F6D-83AC-7275D77AED33}"/>
  <tableColumns count="5">
    <tableColumn id="1" xr3:uid="{DE9C5269-70DC-4132-96EA-76832EA82B89}" name="Indicadores" dataDxfId="48"/>
    <tableColumn id="2" xr3:uid="{3058AF68-8CB5-4B7E-8304-7C7BAC2A823B}" name="Coluna1" dataDxfId="47"/>
    <tableColumn id="3" xr3:uid="{C68C9314-798D-4902-8E91-B6F968BAC62D}" name="Coluna2" dataDxfId="46"/>
    <tableColumn id="4" xr3:uid="{535E85C1-BF8E-45CA-B8C2-CA4A9CB8D4D3}" name="Valor" dataDxfId="45"/>
    <tableColumn id="5" xr3:uid="{AB6D7241-9B42-4C12-A6A5-F933B1E21B41}" name="Unidade" dataDxfId="44"/>
  </tableColumns>
  <tableStyleInfo name="TableStyleMedium3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4E32CE-A552-4913-B17A-71FCD6D8823F}" name="Tabela192325418" displayName="Tabela192325418" ref="F122:L128" headerRowCount="0" totalsRowShown="0" headerRowDxfId="43" dataDxfId="42">
  <tableColumns count="7">
    <tableColumn id="1" xr3:uid="{7138A644-93AB-463E-8E7A-EF2C2D8E5273}" name="Coluna1" headerRowDxfId="41" dataDxfId="40">
      <calculatedColumnFormula>((F113/$E$112)-1)*100</calculatedColumnFormula>
    </tableColumn>
    <tableColumn id="2" xr3:uid="{F21FBD35-2787-4159-97E6-3D585A197C62}" name="Coluna2" headerRowDxfId="39" dataDxfId="38">
      <calculatedColumnFormula>((G113/$E$112)-1)*100</calculatedColumnFormula>
    </tableColumn>
    <tableColumn id="3" xr3:uid="{704A7863-AD9B-495A-A05F-2076FA9A3D35}" name="Coluna3" headerRowDxfId="37" dataDxfId="36">
      <calculatedColumnFormula>((H113/$E$112)-1)*100</calculatedColumnFormula>
    </tableColumn>
    <tableColumn id="4" xr3:uid="{1C68D516-337A-4848-8306-2C37408143B8}" name="Coluna4" headerRowDxfId="35" dataDxfId="34">
      <calculatedColumnFormula>((I113/$E$112)-1)*100</calculatedColumnFormula>
    </tableColumn>
    <tableColumn id="5" xr3:uid="{C2EC8308-5003-4E3E-9B05-1DE2BA7DBA8A}" name="Coluna5" headerRowDxfId="33" dataDxfId="32">
      <calculatedColumnFormula>((J113/$E$112)-1)*100</calculatedColumnFormula>
    </tableColumn>
    <tableColumn id="6" xr3:uid="{E4211957-EC53-4EAA-BFEE-4B2AFEC628D8}" name="Coluna6" headerRowDxfId="31" dataDxfId="30">
      <calculatedColumnFormula>((K113/$E$112)-1)*100</calculatedColumnFormula>
    </tableColumn>
    <tableColumn id="7" xr3:uid="{CE0332F1-BC0E-4626-A5F3-60F6C84D70EB}" name="Coluna7" headerRowDxfId="29" dataDxfId="28">
      <calculatedColumnFormula>((L113/$E$112)-1)*100</calculatedColumnFormula>
    </tableColumn>
  </tableColumns>
  <tableStyleInfo name="TableStyleMedium3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851C43-181A-4B86-9820-AF21A101D452}" name="Tabela19232526519" displayName="Tabela19232526519" ref="F177:L183" headerRowCount="0" totalsRowShown="0" headerRowDxfId="27" dataDxfId="26">
  <tableColumns count="7">
    <tableColumn id="1" xr3:uid="{CFE20EC2-EAD4-43D0-8C6F-6C3D12BDF1C2}" name="Coluna1" headerRowDxfId="25" dataDxfId="24">
      <calculatedColumnFormula>((F168/$E$167)-1)*100</calculatedColumnFormula>
    </tableColumn>
    <tableColumn id="2" xr3:uid="{45E188FB-328C-4A32-98DB-380EE14785F1}" name="Coluna2" headerRowDxfId="23" dataDxfId="22">
      <calculatedColumnFormula>((G168/$E$167)-1)*100</calculatedColumnFormula>
    </tableColumn>
    <tableColumn id="3" xr3:uid="{EDC292AF-0090-4BC1-9739-8CA6A09BF7C2}" name="Coluna3" headerRowDxfId="21" dataDxfId="20">
      <calculatedColumnFormula>((H168/$E$167)-1)*100</calculatedColumnFormula>
    </tableColumn>
    <tableColumn id="4" xr3:uid="{1EA22A51-E31C-415F-85C7-44B10D29943B}" name="Coluna4" headerRowDxfId="19" dataDxfId="18">
      <calculatedColumnFormula>((I168/$E$167)-1)*100</calculatedColumnFormula>
    </tableColumn>
    <tableColumn id="5" xr3:uid="{37FF7428-0B54-4332-A4A7-044159521313}" name="Coluna5" headerRowDxfId="17" dataDxfId="16">
      <calculatedColumnFormula>((J168/$E$167)-1)*100</calculatedColumnFormula>
    </tableColumn>
    <tableColumn id="6" xr3:uid="{48C1B542-852F-4302-8F24-6AC1A992F136}" name="Coluna6" headerRowDxfId="15" dataDxfId="14">
      <calculatedColumnFormula>((K168/$E$167)-1)*100</calculatedColumnFormula>
    </tableColumn>
    <tableColumn id="7" xr3:uid="{67D475FC-77C5-4BDF-9D41-F7DF41FB22A6}" name="Coluna7" headerRowDxfId="13" dataDxfId="12">
      <calculatedColumnFormula>((L168/$E$167)-1)*100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ECAE809-3946-E14B-A0AF-91FAA7788B8B}" name="Tabela15" displayName="Tabela15" ref="B8:M24" totalsRowShown="0" headerRowDxfId="450" dataDxfId="449" headerRowCellStyle="Título 3" dataCellStyle="Título 3">
  <tableColumns count="12">
    <tableColumn id="1" xr3:uid="{A1AF53FB-F049-8D4F-B023-9929C1CC9600}" name="Funcionários" dataDxfId="448" dataCellStyle="Título 3"/>
    <tableColumn id="2" xr3:uid="{78A4F37C-AAEB-9948-A3EA-DBA713922EFB}" name="N° de Funcionários" dataDxfId="447" dataCellStyle="Título 3"/>
    <tableColumn id="3" xr3:uid="{686E868A-7852-A942-8C62-81C6BA74851D}" name="Salário Mínimo (R$)" dataDxfId="446" dataCellStyle="Título 3"/>
    <tableColumn id="4" xr3:uid="{B334350E-A82A-5A42-BBB5-FB65D7F3CFF0}" name="Fator (nº de salários)" dataDxfId="445" dataCellStyle="Título 3"/>
    <tableColumn id="5" xr3:uid="{3E67CE0D-F279-8B49-A80A-D74D20327EBB}" name="Salário líquido" dataDxfId="444" dataCellStyle="Título 3"/>
    <tableColumn id="6" xr3:uid="{4113BF87-A8C4-1143-B0B7-2E4ADFEDA6EC}" name=" Encargos Trabalhistas" dataDxfId="443" dataCellStyle="Porcentagem"/>
    <tableColumn id="7" xr3:uid="{F20CF44D-20C4-0848-908F-65C132C7B733}" name="Nº de Meses" dataDxfId="442" dataCellStyle="Título 3"/>
    <tableColumn id="8" xr3:uid="{240CC046-DC58-7449-9345-5B04F2E9286C}" name="Nº de Dias Trabalhados" dataDxfId="441" dataCellStyle="Título 3"/>
    <tableColumn id="9" xr3:uid="{234779A8-251E-AC4D-9A0F-A8A2709EF033}" name="Custo de treinamento (R$)" dataDxfId="440" dataCellStyle="Título 3"/>
    <tableColumn id="10" xr3:uid="{2038493A-EFEE-0446-82FE-45314F29B075}" name="Valor Total (R$)" dataDxfId="439" dataCellStyle="Título 3"/>
    <tableColumn id="11" xr3:uid="{B0A6B191-EAD6-9040-9AE3-E204A9C3F128}" name="Custo do Dia Trabalhado (R$)" dataDxfId="438" dataCellStyle="Título 3"/>
    <tableColumn id="12" xr3:uid="{9B83B4A3-864D-6B4E-823B-5C40593715EF}" name="Custo da Hora Trabalhada(R$)" dataDxfId="437" dataCellStyle="Título 3">
      <calculatedColumnFormula>IF(ISERROR((L9/8)),0,((L9/8)))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0A6CB6C-8921-C64C-89CC-48D45E6D74C9}" name="Tabela20" displayName="Tabela20" ref="B27:M30" totalsRowShown="0" headerRowDxfId="436" dataDxfId="435" headerRowCellStyle="Título 3">
  <autoFilter ref="B27:M30" xr:uid="{B0A6CB6C-8921-C64C-89CC-48D45E6D74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F9AC61C1-D44E-C64D-B6C8-089EC8FEB54B}" name="Pessoas" dataDxfId="434"/>
    <tableColumn id="2" xr3:uid="{81F96FC7-797C-0848-9AF4-9A49899B40AB}" name="Coluna2" dataDxfId="433"/>
    <tableColumn id="3" xr3:uid="{C1D01A48-B5FB-BA4A-95E2-75D33B4932D2}" name="Coluna1" dataDxfId="432"/>
    <tableColumn id="4" xr3:uid="{FB4841C8-1518-DF40-B894-824F4E7479CE}" name="Coluna3" dataDxfId="431"/>
    <tableColumn id="5" xr3:uid="{9711F0ED-EF62-9841-BFFB-301B4B46C37E}" name="R$/dia" dataDxfId="430"/>
    <tableColumn id="6" xr3:uid="{9CDA9C65-3A18-834D-9773-3C2E69CFE2BE}" name=" Encargos Trabalhistas" dataDxfId="429"/>
    <tableColumn id="7" xr3:uid="{45E040B0-6AF2-194B-B71F-63D7842213E6}" name="Coluna5" dataDxfId="428"/>
    <tableColumn id="8" xr3:uid="{7A9064CA-0B27-334C-A621-1430712230CA}" name="Nº de Dias Trabalhados" dataDxfId="427"/>
    <tableColumn id="9" xr3:uid="{62DF34C2-0589-C84F-B842-33752F0B60E7}" name="Valor Total (R$)" dataDxfId="426"/>
    <tableColumn id="10" xr3:uid="{7809B069-D3B4-E74F-B0AA-CEF069DEF52F}" name="Coluna4" dataDxfId="425"/>
    <tableColumn id="11" xr3:uid="{726E5A22-FD83-934A-81BC-FACF4711912C}" name="Custo do dia trabalhado (R$)" dataDxfId="424" dataCellStyle="Título 3"/>
    <tableColumn id="12" xr3:uid="{638F9714-D682-F042-AAD4-06B274B92358}" name="Custo da Hora Trabalhada(R$)" dataDxfId="423" dataCellStyle="Título 3">
      <calculatedColumnFormula>IF(ISERROR((L28/8)),0,((L28/8)))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4B323B5-44E7-EA4C-8EAB-859E4A25351A}" name="Tabela21" displayName="Tabela21" ref="B33:M46" totalsRowShown="0" headerRowDxfId="422" dataDxfId="421" headerRowCellStyle="Título 3" dataCellStyle="Vírgula">
  <autoFilter ref="B33:M46" xr:uid="{44B323B5-44E7-EA4C-8EAB-859E4A2535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7F1D0CEA-A940-9141-8E0F-72797BC7E135}" name="Funcionários" dataDxfId="420" dataCellStyle="Título 3"/>
    <tableColumn id="2" xr3:uid="{51B885CF-C348-4A40-A9D3-8E46F2861EF1}" name="N° de Funcionários" dataDxfId="419" dataCellStyle="Título 3"/>
    <tableColumn id="3" xr3:uid="{CAA1EA4C-EE91-7B47-AC77-234F4FEEA092}" name="Salário Mínimo (R$)" dataDxfId="418" dataCellStyle="Título 3"/>
    <tableColumn id="4" xr3:uid="{D75ADA4B-A021-F242-8410-D390C4AAE1E7}" name="Fator (nº de salários)" dataDxfId="417" dataCellStyle="Título 3"/>
    <tableColumn id="5" xr3:uid="{076B2F3E-60F3-204D-8FAD-0C630BC9D4F6}" name="Salário líquido" dataDxfId="416" dataCellStyle="Título 3"/>
    <tableColumn id="6" xr3:uid="{F2392B16-C977-0541-ACD1-2F123688A87C}" name=" Encargos Trabalhistas" dataDxfId="415" dataCellStyle="Porcentagem"/>
    <tableColumn id="7" xr3:uid="{1268CF6A-5C67-C440-9CDE-BF954481EAB9}" name="Nº de Meses" dataDxfId="414" dataCellStyle="Vírgula"/>
    <tableColumn id="8" xr3:uid="{D40865FF-9EF0-1246-895E-FC05D721CA29}" name="Nº de Dias Trabalhados" dataDxfId="413" dataCellStyle="Título 3"/>
    <tableColumn id="9" xr3:uid="{80CFD35B-AF7E-9547-924A-1CD63111C656}" name="Custo de treinamento (R$)" dataDxfId="412" dataCellStyle="Título 3"/>
    <tableColumn id="10" xr3:uid="{A1C81F9D-28D9-3847-83A5-C08A79167970}" name="Valor Total (R$)" dataDxfId="411" dataCellStyle="Vírgula"/>
    <tableColumn id="11" xr3:uid="{816B0DFC-5C42-6040-8BD7-28A083CF38F9}" name="Custo do Dia Trabalhado (R$)" dataDxfId="410" dataCellStyle="Vírgula"/>
    <tableColumn id="12" xr3:uid="{D3F15D05-5F53-514F-B445-ED1AE313DA7C}" name="Custo da Hora Trabalhada(R$)" dataDxfId="409" dataCellStyle="Vírgula">
      <calculatedColumnFormula>IF(ISERROR((L34/8)),0,((L34/8)))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D82F16-42BA-114E-B4C4-A07102861BFB}" name="Tabela1" displayName="Tabela1" ref="B48:D53" totalsRowShown="0" headerRowDxfId="408" dataDxfId="407">
  <autoFilter ref="B48:D53" xr:uid="{F4D82F16-42BA-114E-B4C4-A07102861BFB}">
    <filterColumn colId="0" hiddenButton="1"/>
    <filterColumn colId="1" hiddenButton="1"/>
    <filterColumn colId="2" hiddenButton="1"/>
  </autoFilter>
  <tableColumns count="3">
    <tableColumn id="1" xr3:uid="{A0B26D4C-F686-9C43-A480-34E600722045}" name="Coluna1" dataDxfId="406"/>
    <tableColumn id="2" xr3:uid="{CA8BAE54-1D90-174E-B3A1-29C5723D5AE8}" name="Tratorista" dataDxfId="405"/>
    <tableColumn id="3" xr3:uid="{E9A85029-3288-4447-B8A5-7A979F469E21}" name="Coluna2" dataDxfId="404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4C0E1E4-183E-409A-A7E7-28E11B15BBB3}" name="Tabela24" displayName="Tabela24" ref="F48:H53" totalsRowShown="0" dataDxfId="403">
  <tableColumns count="3">
    <tableColumn id="1" xr3:uid="{CE55BE2C-0E98-42A8-B866-4FF3A589184E}" name="Coluna1" dataDxfId="402"/>
    <tableColumn id="2" xr3:uid="{E93F09C9-6A58-4E35-A8AD-FA7E1FCDEFDA}" name="Necessidade de tratorista" dataDxfId="401"/>
    <tableColumn id="3" xr3:uid="{D50FF594-ECDA-4B73-A002-53DD21D84D6E}" name="Coluna22" dataDxfId="40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3" Type="http://schemas.openxmlformats.org/officeDocument/2006/relationships/vmlDrawing" Target="../drawings/vmlDrawing4.vml"/><Relationship Id="rId7" Type="http://schemas.openxmlformats.org/officeDocument/2006/relationships/table" Target="../tables/table2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28.xml"/><Relationship Id="rId11" Type="http://schemas.openxmlformats.org/officeDocument/2006/relationships/comments" Target="../comments4.xml"/><Relationship Id="rId5" Type="http://schemas.openxmlformats.org/officeDocument/2006/relationships/table" Target="../tables/table2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10" Type="http://schemas.openxmlformats.org/officeDocument/2006/relationships/table" Target="../tables/table40.xml"/><Relationship Id="rId4" Type="http://schemas.openxmlformats.org/officeDocument/2006/relationships/table" Target="../tables/table34.xml"/><Relationship Id="rId9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7.xml"/><Relationship Id="rId3" Type="http://schemas.openxmlformats.org/officeDocument/2006/relationships/table" Target="../tables/table42.xml"/><Relationship Id="rId7" Type="http://schemas.openxmlformats.org/officeDocument/2006/relationships/table" Target="../tables/table46.xml"/><Relationship Id="rId2" Type="http://schemas.openxmlformats.org/officeDocument/2006/relationships/table" Target="../tables/table41.xml"/><Relationship Id="rId1" Type="http://schemas.openxmlformats.org/officeDocument/2006/relationships/drawing" Target="../drawings/drawing12.xml"/><Relationship Id="rId6" Type="http://schemas.openxmlformats.org/officeDocument/2006/relationships/table" Target="../tables/table45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Relationship Id="rId9" Type="http://schemas.openxmlformats.org/officeDocument/2006/relationships/table" Target="../tables/table4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1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comments" Target="../comments2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2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Relationship Id="rId9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E21:O31"/>
  <sheetViews>
    <sheetView showGridLines="0" showRowColHeaders="0" zoomScale="114" zoomScaleNormal="85" workbookViewId="0"/>
  </sheetViews>
  <sheetFormatPr baseColWidth="10" defaultColWidth="8.6640625" defaultRowHeight="15"/>
  <cols>
    <col min="1" max="1" width="3.33203125" customWidth="1"/>
    <col min="2" max="2" width="42.1640625" customWidth="1"/>
    <col min="9" max="9" width="14.33203125" customWidth="1"/>
  </cols>
  <sheetData>
    <row r="21" spans="5:15" ht="25.5" customHeight="1">
      <c r="G21" s="15"/>
      <c r="H21" s="16"/>
      <c r="I21" s="16"/>
      <c r="J21" s="16"/>
      <c r="K21" s="16"/>
      <c r="L21" s="16"/>
    </row>
    <row r="22" spans="5:15" ht="62">
      <c r="E22" s="319"/>
      <c r="F22" s="319"/>
      <c r="G22" s="319"/>
      <c r="H22" s="319"/>
      <c r="I22" s="319"/>
      <c r="J22" s="319"/>
      <c r="K22" s="319"/>
      <c r="L22" s="319"/>
      <c r="M22" s="319"/>
    </row>
    <row r="23" spans="5:15" ht="36" customHeight="1"/>
    <row r="24" spans="5:15" ht="25.5" customHeight="1">
      <c r="K24" s="320"/>
      <c r="L24" s="320"/>
      <c r="M24" s="320"/>
    </row>
    <row r="25" spans="5:15" ht="18.75" customHeight="1">
      <c r="K25" s="320"/>
      <c r="L25" s="320"/>
      <c r="M25" s="320"/>
    </row>
    <row r="26" spans="5:15" ht="18.75" customHeight="1">
      <c r="O26" s="25"/>
    </row>
    <row r="31" spans="5:15" ht="33">
      <c r="I31" s="107"/>
    </row>
  </sheetData>
  <mergeCells count="2">
    <mergeCell ref="E22:M22"/>
    <mergeCell ref="K24:M25"/>
  </mergeCells>
  <hyperlinks>
    <hyperlink ref="O25:O26" location="Indice!A1" display="INICIO" xr:uid="{00000000-0004-0000-0000-000000000000}"/>
  </hyperlink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B1:H114"/>
  <sheetViews>
    <sheetView showGridLines="0" showRowColHeaders="0" zoomScale="112" zoomScaleNormal="85" workbookViewId="0"/>
  </sheetViews>
  <sheetFormatPr baseColWidth="10" defaultColWidth="9.1640625" defaultRowHeight="15"/>
  <cols>
    <col min="1" max="1" width="3.33203125" style="157" bestFit="1" customWidth="1"/>
    <col min="2" max="2" width="58" style="157" customWidth="1"/>
    <col min="3" max="3" width="23.1640625" style="157" bestFit="1" customWidth="1"/>
    <col min="4" max="4" width="36" style="157" bestFit="1" customWidth="1"/>
    <col min="5" max="5" width="22.6640625" style="157" bestFit="1" customWidth="1"/>
    <col min="6" max="6" width="36" style="157" bestFit="1" customWidth="1"/>
    <col min="7" max="7" width="11.6640625" style="157" customWidth="1"/>
    <col min="8" max="8" width="26.33203125" style="157" bestFit="1" customWidth="1"/>
    <col min="9" max="16384" width="9.1640625" style="157"/>
  </cols>
  <sheetData>
    <row r="1" spans="2:8" ht="65" customHeight="1"/>
    <row r="5" spans="2:8">
      <c r="B5" s="158"/>
      <c r="C5" s="159"/>
      <c r="H5" s="160"/>
    </row>
    <row r="6" spans="2:8">
      <c r="B6" s="158"/>
      <c r="C6" s="159"/>
      <c r="H6" s="160"/>
    </row>
    <row r="7" spans="2:8">
      <c r="B7" s="158"/>
      <c r="C7" s="159"/>
      <c r="D7" s="28"/>
      <c r="H7" s="160"/>
    </row>
    <row r="8" spans="2:8">
      <c r="B8" s="158"/>
      <c r="C8" s="159"/>
      <c r="H8" s="160"/>
    </row>
    <row r="9" spans="2:8">
      <c r="B9" s="158"/>
      <c r="C9" s="159"/>
      <c r="H9" s="160"/>
    </row>
    <row r="10" spans="2:8">
      <c r="B10" s="158"/>
    </row>
    <row r="11" spans="2:8" s="28" customFormat="1" ht="24">
      <c r="B11" s="272" t="s">
        <v>23</v>
      </c>
      <c r="C11" s="240" t="s">
        <v>196</v>
      </c>
      <c r="D11" s="240" t="s">
        <v>88</v>
      </c>
      <c r="E11" s="240" t="s">
        <v>197</v>
      </c>
      <c r="F11" s="240" t="s">
        <v>114</v>
      </c>
    </row>
    <row r="12" spans="2:8" ht="16">
      <c r="B12" s="165" t="s">
        <v>22</v>
      </c>
      <c r="C12" s="166">
        <f>55000-23000</f>
        <v>32000</v>
      </c>
      <c r="D12" s="166">
        <v>30</v>
      </c>
      <c r="E12" s="167">
        <v>0</v>
      </c>
      <c r="F12" s="188">
        <f>IF(ISERROR((C12)*(1-E12)/D12),0,((C12)*(1-E12))/D12)</f>
        <v>1066.6666666666667</v>
      </c>
    </row>
    <row r="13" spans="2:8" ht="21">
      <c r="B13" s="238" t="s">
        <v>194</v>
      </c>
      <c r="C13" s="240"/>
      <c r="D13" s="241"/>
      <c r="E13" s="241"/>
      <c r="F13" s="241">
        <f>F12*'Informações Gerais'!$E$16</f>
        <v>6400</v>
      </c>
    </row>
    <row r="16" spans="2:8" ht="24">
      <c r="B16" s="272" t="s">
        <v>76</v>
      </c>
      <c r="C16" s="240" t="s">
        <v>16</v>
      </c>
      <c r="D16" s="240" t="s">
        <v>20</v>
      </c>
      <c r="E16" s="240" t="s">
        <v>113</v>
      </c>
      <c r="F16" s="240" t="s">
        <v>88</v>
      </c>
      <c r="G16" s="240" t="s">
        <v>18</v>
      </c>
      <c r="H16" s="240" t="s">
        <v>114</v>
      </c>
    </row>
    <row r="17" spans="2:8" ht="16">
      <c r="B17" s="168">
        <f>IF(ISERROR(Custos_Mecanização!B10),,(Custos_Mecanização!B10))</f>
        <v>0</v>
      </c>
      <c r="C17" s="166">
        <v>1</v>
      </c>
      <c r="D17" s="166"/>
      <c r="E17" s="188">
        <f>IF(ISBLANK(B17), " ",IF(ISERROR(Custos_Mecanização!C10), ,(Custos_Mecanização!C10)))</f>
        <v>0</v>
      </c>
      <c r="F17" s="166"/>
      <c r="G17" s="167"/>
      <c r="H17" s="188">
        <f>IF(ISBLANK(B17), " ",IF((ISERROR(((E17*C17)*(1-G17))/F17)),0,(((E17*C17)*(1-G17))/F17)))</f>
        <v>0</v>
      </c>
    </row>
    <row r="18" spans="2:8" ht="16">
      <c r="B18" s="168">
        <f>IF(ISERROR(Custos_Mecanização!B11),,(Custos_Mecanização!B11))</f>
        <v>0</v>
      </c>
      <c r="C18" s="166">
        <v>1</v>
      </c>
      <c r="D18" s="166"/>
      <c r="E18" s="188">
        <f>IF(ISBLANK(B18), " ",IF(ISERROR(Custos_Mecanização!C11), ,(Custos_Mecanização!C11)))</f>
        <v>0</v>
      </c>
      <c r="F18" s="166"/>
      <c r="G18" s="167"/>
      <c r="H18" s="188">
        <f t="shared" ref="H18:H28" si="0">IF(ISBLANK(B18), " ",IF((ISERROR(((E18*C18)*(1-G18))/F18)),0,(((E18*C18)*(1-G18))/F18)))</f>
        <v>0</v>
      </c>
    </row>
    <row r="19" spans="2:8" ht="16">
      <c r="B19" s="168">
        <f>IF(ISERROR(Custos_Mecanização!B12),,(Custos_Mecanização!B12))</f>
        <v>0</v>
      </c>
      <c r="C19" s="166">
        <v>1</v>
      </c>
      <c r="D19" s="166"/>
      <c r="E19" s="188">
        <f>IF(ISBLANK(B19), " ",IF(ISERROR(Custos_Mecanização!C12), ,(Custos_Mecanização!C12)))</f>
        <v>0</v>
      </c>
      <c r="F19" s="166"/>
      <c r="G19" s="167"/>
      <c r="H19" s="188">
        <f t="shared" si="0"/>
        <v>0</v>
      </c>
    </row>
    <row r="20" spans="2:8" ht="16">
      <c r="B20" s="168">
        <f>IF(ISERROR(Custos_Mecanização!B13),,(Custos_Mecanização!B13))</f>
        <v>0</v>
      </c>
      <c r="C20" s="166">
        <v>1</v>
      </c>
      <c r="D20" s="166"/>
      <c r="E20" s="188">
        <f>IF(ISBLANK(B20), " ",IF(ISERROR(Custos_Mecanização!C13), ,(Custos_Mecanização!C13)))</f>
        <v>0</v>
      </c>
      <c r="F20" s="166"/>
      <c r="G20" s="167"/>
      <c r="H20" s="188">
        <f t="shared" si="0"/>
        <v>0</v>
      </c>
    </row>
    <row r="21" spans="2:8" ht="16">
      <c r="B21" s="168">
        <f>IF(ISERROR(Custos_Mecanização!B14),,(Custos_Mecanização!B14))</f>
        <v>0</v>
      </c>
      <c r="C21" s="166">
        <v>1</v>
      </c>
      <c r="D21" s="166"/>
      <c r="E21" s="188">
        <f>IF(ISBLANK(B21), " ",IF(ISERROR(Custos_Mecanização!C14), ,(Custos_Mecanização!C14)))</f>
        <v>0</v>
      </c>
      <c r="F21" s="166"/>
      <c r="G21" s="167"/>
      <c r="H21" s="188">
        <f t="shared" si="0"/>
        <v>0</v>
      </c>
    </row>
    <row r="22" spans="2:8" ht="16">
      <c r="B22" s="168">
        <f>IF(ISERROR(Custos_Mecanização!B15),,(Custos_Mecanização!B15))</f>
        <v>0</v>
      </c>
      <c r="C22" s="166">
        <v>1</v>
      </c>
      <c r="D22" s="166"/>
      <c r="E22" s="188">
        <f>IF(ISBLANK(B22), " ",IF(ISERROR(Custos_Mecanização!C15), ,(Custos_Mecanização!C15)))</f>
        <v>0</v>
      </c>
      <c r="F22" s="166"/>
      <c r="G22" s="167"/>
      <c r="H22" s="188">
        <f t="shared" si="0"/>
        <v>0</v>
      </c>
    </row>
    <row r="23" spans="2:8" ht="16">
      <c r="B23" s="168">
        <f>IF(ISERROR(Custos_Mecanização!B16),,(Custos_Mecanização!B16))</f>
        <v>0</v>
      </c>
      <c r="C23" s="166">
        <v>1</v>
      </c>
      <c r="D23" s="166"/>
      <c r="E23" s="188">
        <f>IF(ISBLANK(B23), " ",IF(ISERROR(Custos_Mecanização!C16), ,(Custos_Mecanização!C16)))</f>
        <v>0</v>
      </c>
      <c r="F23" s="166"/>
      <c r="G23" s="167"/>
      <c r="H23" s="188">
        <f t="shared" si="0"/>
        <v>0</v>
      </c>
    </row>
    <row r="24" spans="2:8" ht="16">
      <c r="B24" s="168">
        <f>IF(ISERROR(Custos_Mecanização!B17),,(Custos_Mecanização!B17))</f>
        <v>0</v>
      </c>
      <c r="C24" s="166">
        <v>1</v>
      </c>
      <c r="D24" s="166"/>
      <c r="E24" s="188">
        <f>IF(ISBLANK(B24), " ",IF(ISERROR(Custos_Mecanização!C17), ,(Custos_Mecanização!C17)))</f>
        <v>0</v>
      </c>
      <c r="F24" s="166"/>
      <c r="G24" s="167"/>
      <c r="H24" s="188">
        <f t="shared" si="0"/>
        <v>0</v>
      </c>
    </row>
    <row r="25" spans="2:8" ht="16">
      <c r="B25" s="168">
        <f>IF(ISERROR(Custos_Mecanização!B18),,(Custos_Mecanização!B18))</f>
        <v>0</v>
      </c>
      <c r="C25" s="166">
        <v>1</v>
      </c>
      <c r="D25" s="166"/>
      <c r="E25" s="188">
        <f>IF(ISBLANK(B25), " ",IF(ISERROR(Custos_Mecanização!C18), ,(Custos_Mecanização!C18)))</f>
        <v>0</v>
      </c>
      <c r="F25" s="166"/>
      <c r="G25" s="167"/>
      <c r="H25" s="188">
        <f t="shared" si="0"/>
        <v>0</v>
      </c>
    </row>
    <row r="26" spans="2:8" ht="16">
      <c r="B26" s="168">
        <f>IF(ISERROR(Custos_Mecanização!B19),,(Custos_Mecanização!B19))</f>
        <v>0</v>
      </c>
      <c r="C26" s="166">
        <v>1</v>
      </c>
      <c r="D26" s="166"/>
      <c r="E26" s="188">
        <f>IF(ISBLANK(B26), " ",IF(ISERROR(Custos_Mecanização!C19), ,(Custos_Mecanização!C19)))</f>
        <v>0</v>
      </c>
      <c r="F26" s="166"/>
      <c r="G26" s="167"/>
      <c r="H26" s="188">
        <f t="shared" si="0"/>
        <v>0</v>
      </c>
    </row>
    <row r="27" spans="2:8" ht="16">
      <c r="B27" s="168" t="str">
        <f>IF(ISERROR(Custos_Mecanização!B20),,(Custos_Mecanização!B20))</f>
        <v>Trator Arbus Pulverização (terceirizado)</v>
      </c>
      <c r="C27" s="166">
        <v>1</v>
      </c>
      <c r="D27" s="166"/>
      <c r="E27" s="188">
        <f>IF(ISBLANK(B27), " ",IF(ISERROR(Custos_Mecanização!C20), ,(Custos_Mecanização!C20)))</f>
        <v>0</v>
      </c>
      <c r="F27" s="166"/>
      <c r="G27" s="167"/>
      <c r="H27" s="188">
        <f t="shared" si="0"/>
        <v>0</v>
      </c>
    </row>
    <row r="28" spans="2:8" ht="16">
      <c r="B28" s="168" t="str">
        <f>IF(ISERROR(Custos_Mecanização!B21),,(Custos_Mecanização!B21))</f>
        <v>Trator para Roçagem (terceirizado)</v>
      </c>
      <c r="C28" s="166">
        <v>1</v>
      </c>
      <c r="D28" s="166"/>
      <c r="E28" s="188">
        <f>IF(ISBLANK(B28), " ",IF(ISERROR(Custos_Mecanização!C21), ,(Custos_Mecanização!C21)))</f>
        <v>0</v>
      </c>
      <c r="F28" s="166"/>
      <c r="G28" s="167"/>
      <c r="H28" s="188">
        <f t="shared" si="0"/>
        <v>0</v>
      </c>
    </row>
    <row r="29" spans="2:8" ht="21">
      <c r="B29" s="238" t="s">
        <v>42</v>
      </c>
      <c r="C29" s="241"/>
      <c r="D29" s="241"/>
      <c r="E29" s="260">
        <f>IF(ISERROR(SUM(E17:E28)),0,(SUM(E17:E28)))</f>
        <v>0</v>
      </c>
      <c r="F29" s="241"/>
      <c r="G29" s="241"/>
      <c r="H29" s="260">
        <f>IF(ISERROR(SUM(H17:H28)),0,(SUM(H17:H28)))</f>
        <v>0</v>
      </c>
    </row>
    <row r="32" spans="2:8" ht="24">
      <c r="B32" s="272" t="s">
        <v>21</v>
      </c>
      <c r="C32" s="240" t="s">
        <v>16</v>
      </c>
      <c r="D32" s="240" t="s">
        <v>20</v>
      </c>
      <c r="E32" s="240" t="s">
        <v>113</v>
      </c>
      <c r="F32" s="240" t="s">
        <v>88</v>
      </c>
      <c r="G32" s="240" t="s">
        <v>18</v>
      </c>
      <c r="H32" s="240" t="s">
        <v>114</v>
      </c>
    </row>
    <row r="33" spans="2:8" ht="16">
      <c r="B33" s="169" t="s">
        <v>342</v>
      </c>
      <c r="C33" s="166">
        <v>2</v>
      </c>
      <c r="D33" s="166"/>
      <c r="E33" s="166">
        <v>1200</v>
      </c>
      <c r="F33" s="166">
        <v>5</v>
      </c>
      <c r="G33" s="167">
        <v>0</v>
      </c>
      <c r="H33" s="188">
        <f>IF(ISBLANK(B33), " ",IF((ISERROR(((E33*C33)*(1-G33))/F33)),0,(((E33*C33)*(1-G33))/F33)))</f>
        <v>480</v>
      </c>
    </row>
    <row r="34" spans="2:8" ht="16">
      <c r="B34" s="169" t="s">
        <v>340</v>
      </c>
      <c r="C34" s="166">
        <v>1</v>
      </c>
      <c r="D34" s="166"/>
      <c r="E34" s="166">
        <v>2000</v>
      </c>
      <c r="F34" s="166">
        <v>5</v>
      </c>
      <c r="G34" s="167">
        <v>0</v>
      </c>
      <c r="H34" s="188">
        <f t="shared" ref="H34:H49" si="1">IF(ISBLANK(B34), " ",IF((ISERROR(((E34*C34)*(1-G34))/F34)),0,(((E34*C34)*(1-G34))/F34)))</f>
        <v>400</v>
      </c>
    </row>
    <row r="35" spans="2:8" ht="16">
      <c r="B35" s="169" t="s">
        <v>341</v>
      </c>
      <c r="C35" s="166">
        <v>1</v>
      </c>
      <c r="D35" s="166"/>
      <c r="E35" s="166">
        <v>1000</v>
      </c>
      <c r="F35" s="166">
        <v>12</v>
      </c>
      <c r="G35" s="167">
        <v>0.05</v>
      </c>
      <c r="H35" s="188">
        <f t="shared" si="1"/>
        <v>79.166666666666671</v>
      </c>
    </row>
    <row r="36" spans="2:8" ht="16">
      <c r="B36" s="169" t="s">
        <v>343</v>
      </c>
      <c r="C36" s="166">
        <v>1</v>
      </c>
      <c r="D36" s="166"/>
      <c r="E36" s="166">
        <v>112000</v>
      </c>
      <c r="F36" s="166">
        <v>10</v>
      </c>
      <c r="G36" s="167">
        <v>0.3</v>
      </c>
      <c r="H36" s="188">
        <f t="shared" si="1"/>
        <v>7840</v>
      </c>
    </row>
    <row r="37" spans="2:8" ht="16">
      <c r="B37" s="169"/>
      <c r="C37" s="166"/>
      <c r="D37" s="166"/>
      <c r="E37" s="166"/>
      <c r="F37" s="166"/>
      <c r="G37" s="167"/>
      <c r="H37" s="188" t="str">
        <f t="shared" si="1"/>
        <v xml:space="preserve"> </v>
      </c>
    </row>
    <row r="38" spans="2:8" ht="16">
      <c r="B38" s="169"/>
      <c r="C38" s="166"/>
      <c r="D38" s="166"/>
      <c r="E38" s="166"/>
      <c r="F38" s="166"/>
      <c r="G38" s="167"/>
      <c r="H38" s="188" t="str">
        <f t="shared" si="1"/>
        <v xml:space="preserve"> </v>
      </c>
    </row>
    <row r="39" spans="2:8" ht="16">
      <c r="B39" s="169"/>
      <c r="C39" s="166"/>
      <c r="D39" s="166"/>
      <c r="E39" s="166"/>
      <c r="F39" s="166"/>
      <c r="G39" s="167"/>
      <c r="H39" s="188" t="str">
        <f t="shared" si="1"/>
        <v xml:space="preserve"> </v>
      </c>
    </row>
    <row r="40" spans="2:8" ht="16">
      <c r="B40" s="169"/>
      <c r="C40" s="166"/>
      <c r="D40" s="166"/>
      <c r="E40" s="166"/>
      <c r="F40" s="166"/>
      <c r="G40" s="167"/>
      <c r="H40" s="188" t="str">
        <f t="shared" si="1"/>
        <v xml:space="preserve"> </v>
      </c>
    </row>
    <row r="41" spans="2:8" ht="16">
      <c r="B41" s="169"/>
      <c r="C41" s="166"/>
      <c r="D41" s="166"/>
      <c r="E41" s="166"/>
      <c r="F41" s="166"/>
      <c r="G41" s="167"/>
      <c r="H41" s="188" t="str">
        <f t="shared" si="1"/>
        <v xml:space="preserve"> </v>
      </c>
    </row>
    <row r="42" spans="2:8" ht="16">
      <c r="B42" s="169"/>
      <c r="C42" s="166"/>
      <c r="D42" s="166"/>
      <c r="E42" s="166"/>
      <c r="F42" s="166"/>
      <c r="G42" s="167"/>
      <c r="H42" s="188" t="str">
        <f t="shared" si="1"/>
        <v xml:space="preserve"> </v>
      </c>
    </row>
    <row r="43" spans="2:8" ht="16">
      <c r="B43" s="169"/>
      <c r="C43" s="166"/>
      <c r="D43" s="166"/>
      <c r="E43" s="166"/>
      <c r="F43" s="166"/>
      <c r="G43" s="167"/>
      <c r="H43" s="188" t="str">
        <f t="shared" si="1"/>
        <v xml:space="preserve"> </v>
      </c>
    </row>
    <row r="44" spans="2:8" ht="16">
      <c r="B44" s="169"/>
      <c r="C44" s="166"/>
      <c r="D44" s="166"/>
      <c r="E44" s="166"/>
      <c r="F44" s="166"/>
      <c r="G44" s="167"/>
      <c r="H44" s="188" t="str">
        <f t="shared" si="1"/>
        <v xml:space="preserve"> </v>
      </c>
    </row>
    <row r="45" spans="2:8" ht="16">
      <c r="B45" s="169"/>
      <c r="C45" s="166"/>
      <c r="D45" s="166"/>
      <c r="E45" s="166"/>
      <c r="F45" s="166"/>
      <c r="G45" s="167"/>
      <c r="H45" s="188" t="str">
        <f t="shared" si="1"/>
        <v xml:space="preserve"> </v>
      </c>
    </row>
    <row r="46" spans="2:8" ht="16">
      <c r="B46" s="169"/>
      <c r="C46" s="166"/>
      <c r="D46" s="166"/>
      <c r="E46" s="166"/>
      <c r="F46" s="166"/>
      <c r="G46" s="167"/>
      <c r="H46" s="188" t="str">
        <f t="shared" si="1"/>
        <v xml:space="preserve"> </v>
      </c>
    </row>
    <row r="47" spans="2:8" ht="16">
      <c r="B47" s="169"/>
      <c r="C47" s="166"/>
      <c r="D47" s="166"/>
      <c r="E47" s="166"/>
      <c r="F47" s="166"/>
      <c r="G47" s="167"/>
      <c r="H47" s="188" t="str">
        <f t="shared" si="1"/>
        <v xml:space="preserve"> </v>
      </c>
    </row>
    <row r="48" spans="2:8" ht="16">
      <c r="B48" s="169"/>
      <c r="C48" s="166"/>
      <c r="D48" s="166"/>
      <c r="E48" s="166"/>
      <c r="F48" s="166"/>
      <c r="G48" s="167"/>
      <c r="H48" s="188" t="str">
        <f t="shared" si="1"/>
        <v xml:space="preserve"> </v>
      </c>
    </row>
    <row r="49" spans="2:8" ht="16">
      <c r="B49" s="169"/>
      <c r="C49" s="166"/>
      <c r="D49" s="166"/>
      <c r="E49" s="166"/>
      <c r="F49" s="166"/>
      <c r="G49" s="167"/>
      <c r="H49" s="188" t="str">
        <f t="shared" si="1"/>
        <v xml:space="preserve"> </v>
      </c>
    </row>
    <row r="50" spans="2:8" ht="21">
      <c r="B50" s="238" t="s">
        <v>123</v>
      </c>
      <c r="C50" s="241"/>
      <c r="D50" s="241"/>
      <c r="E50" s="241">
        <f>IF(ISERROR(SUM((C33*E33),(C34*E34),(C35*E35),(C36*E36),(C37*E37),(C38*E38),(C39*E39),(C40*E40),(C41*E41),(C42*E42),(C43*E43),(C44*E44),(C45*E45),(C46*E46),(C47*E47),(C48*E48),(C49*E49))),0,SUM((C33*E33),(C34*E34),(C35*E35),(C36*E36),(C37*E37),(C38*E38),(C39*E39),(C40*E40),(C41*E41),(C42*E42),(C43*E43),(C44*E44),(C45*E45),(C46*E46),(C47*E47),(C48*E48),(C49*E49)))</f>
        <v>117400</v>
      </c>
      <c r="F50" s="241"/>
      <c r="G50" s="241"/>
      <c r="H50" s="260">
        <f>IF(ISERROR(SUM(H33:H49)),0,(SUM(H33:H49)))</f>
        <v>8799.1666666666661</v>
      </c>
    </row>
    <row r="51" spans="2:8">
      <c r="B51" s="161"/>
    </row>
    <row r="53" spans="2:8" ht="24">
      <c r="B53" s="272" t="s">
        <v>75</v>
      </c>
      <c r="C53" s="240" t="s">
        <v>16</v>
      </c>
      <c r="D53" s="240" t="s">
        <v>20</v>
      </c>
      <c r="E53" s="240" t="s">
        <v>113</v>
      </c>
      <c r="F53" s="240" t="s">
        <v>88</v>
      </c>
      <c r="G53" s="240" t="s">
        <v>18</v>
      </c>
      <c r="H53" s="240" t="s">
        <v>114</v>
      </c>
    </row>
    <row r="54" spans="2:8" ht="16">
      <c r="B54" s="169"/>
      <c r="C54" s="166"/>
      <c r="D54" s="166"/>
      <c r="E54" s="166"/>
      <c r="F54" s="166"/>
      <c r="G54" s="167"/>
      <c r="H54" s="188" t="str">
        <f>IF(ISBLANK(B54), " ",IF((ISERROR(((E54*C54)*(1-G54))/F54)),0,(((E54*C54)*(1-G54))/F54)))</f>
        <v xml:space="preserve"> </v>
      </c>
    </row>
    <row r="55" spans="2:8" ht="16">
      <c r="B55" s="169"/>
      <c r="C55" s="166"/>
      <c r="D55" s="166"/>
      <c r="E55" s="166"/>
      <c r="F55" s="166"/>
      <c r="G55" s="167"/>
      <c r="H55" s="188" t="str">
        <f t="shared" ref="H55:H63" si="2">IF(ISBLANK(B55), " ",IF((ISERROR(((E55*C55)*(1-G55))/F55)),0,(((E55*C55)*(1-G55))/F55)))</f>
        <v xml:space="preserve"> </v>
      </c>
    </row>
    <row r="56" spans="2:8" ht="16">
      <c r="B56" s="169"/>
      <c r="C56" s="166"/>
      <c r="D56" s="166"/>
      <c r="E56" s="166"/>
      <c r="F56" s="166"/>
      <c r="G56" s="167"/>
      <c r="H56" s="188" t="str">
        <f t="shared" si="2"/>
        <v xml:space="preserve"> </v>
      </c>
    </row>
    <row r="57" spans="2:8" ht="16">
      <c r="B57" s="169"/>
      <c r="C57" s="166"/>
      <c r="D57" s="166"/>
      <c r="E57" s="166"/>
      <c r="F57" s="166"/>
      <c r="G57" s="167"/>
      <c r="H57" s="188" t="str">
        <f t="shared" si="2"/>
        <v xml:space="preserve"> </v>
      </c>
    </row>
    <row r="58" spans="2:8" ht="16">
      <c r="B58" s="169"/>
      <c r="C58" s="166"/>
      <c r="D58" s="166"/>
      <c r="E58" s="166"/>
      <c r="F58" s="166"/>
      <c r="G58" s="167"/>
      <c r="H58" s="188" t="str">
        <f t="shared" si="2"/>
        <v xml:space="preserve"> </v>
      </c>
    </row>
    <row r="59" spans="2:8" ht="16">
      <c r="B59" s="169"/>
      <c r="C59" s="166"/>
      <c r="D59" s="166"/>
      <c r="E59" s="166"/>
      <c r="F59" s="166"/>
      <c r="G59" s="167"/>
      <c r="H59" s="188" t="str">
        <f t="shared" si="2"/>
        <v xml:space="preserve"> </v>
      </c>
    </row>
    <row r="60" spans="2:8" ht="16">
      <c r="B60" s="169"/>
      <c r="C60" s="166"/>
      <c r="D60" s="166"/>
      <c r="E60" s="166"/>
      <c r="F60" s="166"/>
      <c r="G60" s="167"/>
      <c r="H60" s="188" t="str">
        <f t="shared" si="2"/>
        <v xml:space="preserve"> </v>
      </c>
    </row>
    <row r="61" spans="2:8" ht="16">
      <c r="B61" s="169"/>
      <c r="C61" s="166"/>
      <c r="D61" s="166"/>
      <c r="E61" s="166"/>
      <c r="F61" s="166"/>
      <c r="G61" s="167"/>
      <c r="H61" s="188" t="str">
        <f t="shared" si="2"/>
        <v xml:space="preserve"> </v>
      </c>
    </row>
    <row r="62" spans="2:8" ht="16">
      <c r="B62" s="169"/>
      <c r="C62" s="166"/>
      <c r="D62" s="166"/>
      <c r="E62" s="166"/>
      <c r="F62" s="166"/>
      <c r="G62" s="167"/>
      <c r="H62" s="188" t="str">
        <f t="shared" si="2"/>
        <v xml:space="preserve"> </v>
      </c>
    </row>
    <row r="63" spans="2:8" ht="16">
      <c r="B63" s="169"/>
      <c r="C63" s="166"/>
      <c r="D63" s="166"/>
      <c r="E63" s="166"/>
      <c r="F63" s="166"/>
      <c r="G63" s="167"/>
      <c r="H63" s="188" t="str">
        <f t="shared" si="2"/>
        <v xml:space="preserve"> </v>
      </c>
    </row>
    <row r="64" spans="2:8" ht="21">
      <c r="B64" s="238" t="s">
        <v>122</v>
      </c>
      <c r="C64" s="241"/>
      <c r="D64" s="241"/>
      <c r="E64" s="241">
        <f>IF(ISERROR(SUM(E54:E63)),0,(SUM(E54:E63)))</f>
        <v>0</v>
      </c>
      <c r="F64" s="241"/>
      <c r="G64" s="241"/>
      <c r="H64" s="260">
        <f>IF(ISERROR(SUM(H54:H63)),0,(SUM(H54:H63)))</f>
        <v>0</v>
      </c>
    </row>
    <row r="67" spans="2:8" ht="24">
      <c r="B67" s="272" t="s">
        <v>256</v>
      </c>
      <c r="C67" s="240" t="s">
        <v>115</v>
      </c>
      <c r="D67" s="240" t="s">
        <v>19</v>
      </c>
      <c r="E67" s="240" t="s">
        <v>113</v>
      </c>
      <c r="F67" s="240" t="s">
        <v>88</v>
      </c>
      <c r="G67" s="240" t="s">
        <v>18</v>
      </c>
      <c r="H67" s="240" t="s">
        <v>114</v>
      </c>
    </row>
    <row r="68" spans="2:8" ht="16">
      <c r="B68" s="169" t="s">
        <v>338</v>
      </c>
      <c r="C68" s="166">
        <v>18</v>
      </c>
      <c r="D68" s="166">
        <f>SQRT(60000)*4</f>
        <v>979.79589711327128</v>
      </c>
      <c r="E68" s="188">
        <f>IF(ISBLANK(B68), " ",IF(ISERROR(Tabela49[[#This Row],[Valor do m² (R$)]]*Tabela49[[#This Row],[Quantidade de m²]]), ,(Tabela49[[#This Row],[Valor do m² (R$)]]*Tabela49[[#This Row],[Quantidade de m²]])))</f>
        <v>17636.326148038883</v>
      </c>
      <c r="F68" s="166">
        <v>25</v>
      </c>
      <c r="G68" s="167">
        <v>0</v>
      </c>
      <c r="H68" s="188">
        <f>IF(ISBLANK(B68), " ",IF((ISERROR(E68*(1-G68)/F68)),0,((E68*(1-G68))/F68)))</f>
        <v>705.45304592155526</v>
      </c>
    </row>
    <row r="69" spans="2:8" ht="16">
      <c r="B69" s="169" t="s">
        <v>344</v>
      </c>
      <c r="C69" s="166">
        <v>700</v>
      </c>
      <c r="D69" s="166">
        <v>50</v>
      </c>
      <c r="E69" s="188">
        <f>IF(ISBLANK(B69), " ",IF(ISERROR(Tabela49[[#This Row],[Valor do m² (R$)]]*Tabela49[[#This Row],[Quantidade de m²]]), ,(Tabela49[[#This Row],[Valor do m² (R$)]]*Tabela49[[#This Row],[Quantidade de m²]])))</f>
        <v>35000</v>
      </c>
      <c r="F69" s="166">
        <v>40</v>
      </c>
      <c r="G69" s="167">
        <v>0.2</v>
      </c>
      <c r="H69" s="188">
        <f t="shared" ref="H69:H84" si="3">IF(ISBLANK(B69), " ",IF((ISERROR(E69*(1-G69)/F69)),0,((E69*(1-G69))/F69)))</f>
        <v>700</v>
      </c>
    </row>
    <row r="70" spans="2:8" ht="16">
      <c r="B70" s="169"/>
      <c r="C70" s="166"/>
      <c r="D70" s="166"/>
      <c r="E70" s="188" t="str">
        <f>IF(ISBLANK(B70), " ",IF(ISERROR(Tabela49[[#This Row],[Valor do m² (R$)]]*Tabela49[[#This Row],[Quantidade de m²]]), ,(Tabela49[[#This Row],[Valor do m² (R$)]]*Tabela49[[#This Row],[Quantidade de m²]])))</f>
        <v xml:space="preserve"> </v>
      </c>
      <c r="F70" s="166"/>
      <c r="G70" s="167"/>
      <c r="H70" s="188" t="str">
        <f t="shared" si="3"/>
        <v xml:space="preserve"> </v>
      </c>
    </row>
    <row r="71" spans="2:8" ht="16">
      <c r="B71" s="169"/>
      <c r="C71" s="166"/>
      <c r="D71" s="166"/>
      <c r="E71" s="188" t="str">
        <f>IF(ISBLANK(B71), " ",IF(ISERROR(Tabela49[[#This Row],[Valor do m² (R$)]]*Tabela49[[#This Row],[Quantidade de m²]]), ,(Tabela49[[#This Row],[Valor do m² (R$)]]*Tabela49[[#This Row],[Quantidade de m²]])))</f>
        <v xml:space="preserve"> </v>
      </c>
      <c r="F71" s="166"/>
      <c r="G71" s="167"/>
      <c r="H71" s="188" t="str">
        <f t="shared" si="3"/>
        <v xml:space="preserve"> </v>
      </c>
    </row>
    <row r="72" spans="2:8" ht="16">
      <c r="B72" s="169"/>
      <c r="C72" s="166"/>
      <c r="D72" s="166"/>
      <c r="E72" s="188" t="str">
        <f>IF(ISBLANK(B72), " ",IF(ISERROR(Tabela49[[#This Row],[Valor do m² (R$)]]*Tabela49[[#This Row],[Quantidade de m²]]), ,(Tabela49[[#This Row],[Valor do m² (R$)]]*Tabela49[[#This Row],[Quantidade de m²]])))</f>
        <v xml:space="preserve"> </v>
      </c>
      <c r="F72" s="166"/>
      <c r="G72" s="167"/>
      <c r="H72" s="188" t="str">
        <f t="shared" si="3"/>
        <v xml:space="preserve"> </v>
      </c>
    </row>
    <row r="73" spans="2:8" ht="16">
      <c r="B73" s="169"/>
      <c r="C73" s="166"/>
      <c r="D73" s="166"/>
      <c r="E73" s="188" t="str">
        <f>IF(ISBLANK(B73), " ",IF(ISERROR(Tabela49[[#This Row],[Valor do m² (R$)]]*Tabela49[[#This Row],[Quantidade de m²]]), ,(Tabela49[[#This Row],[Valor do m² (R$)]]*Tabela49[[#This Row],[Quantidade de m²]])))</f>
        <v xml:space="preserve"> </v>
      </c>
      <c r="F73" s="166"/>
      <c r="G73" s="167"/>
      <c r="H73" s="188" t="str">
        <f t="shared" si="3"/>
        <v xml:space="preserve"> </v>
      </c>
    </row>
    <row r="74" spans="2:8" ht="16">
      <c r="B74" s="169"/>
      <c r="C74" s="166"/>
      <c r="D74" s="166"/>
      <c r="E74" s="188" t="str">
        <f>IF(ISBLANK(B74), " ",IF(ISERROR(Tabela49[[#This Row],[Valor do m² (R$)]]*Tabela49[[#This Row],[Quantidade de m²]]), ,(Tabela49[[#This Row],[Valor do m² (R$)]]*Tabela49[[#This Row],[Quantidade de m²]])))</f>
        <v xml:space="preserve"> </v>
      </c>
      <c r="F74" s="166"/>
      <c r="G74" s="167"/>
      <c r="H74" s="188" t="str">
        <f t="shared" si="3"/>
        <v xml:space="preserve"> </v>
      </c>
    </row>
    <row r="75" spans="2:8" ht="16">
      <c r="B75" s="169"/>
      <c r="C75" s="166"/>
      <c r="D75" s="166"/>
      <c r="E75" s="188" t="str">
        <f>IF(ISBLANK(B75), " ",IF(ISERROR(Tabela49[[#This Row],[Valor do m² (R$)]]*Tabela49[[#This Row],[Quantidade de m²]]), ,(Tabela49[[#This Row],[Valor do m² (R$)]]*Tabela49[[#This Row],[Quantidade de m²]])))</f>
        <v xml:space="preserve"> </v>
      </c>
      <c r="F75" s="166"/>
      <c r="G75" s="167"/>
      <c r="H75" s="188" t="str">
        <f t="shared" si="3"/>
        <v xml:space="preserve"> </v>
      </c>
    </row>
    <row r="76" spans="2:8" ht="16">
      <c r="B76" s="169"/>
      <c r="C76" s="166"/>
      <c r="D76" s="166"/>
      <c r="E76" s="188" t="str">
        <f>IF(ISBLANK(B76), " ",IF(ISERROR(Tabela49[[#This Row],[Valor do m² (R$)]]*Tabela49[[#This Row],[Quantidade de m²]]), ,(Tabela49[[#This Row],[Valor do m² (R$)]]*Tabela49[[#This Row],[Quantidade de m²]])))</f>
        <v xml:space="preserve"> </v>
      </c>
      <c r="F76" s="166"/>
      <c r="G76" s="167"/>
      <c r="H76" s="188" t="str">
        <f t="shared" si="3"/>
        <v xml:space="preserve"> </v>
      </c>
    </row>
    <row r="77" spans="2:8" ht="16">
      <c r="B77" s="169"/>
      <c r="C77" s="166"/>
      <c r="D77" s="166"/>
      <c r="E77" s="188" t="str">
        <f>IF(ISBLANK(B77), " ",IF(ISERROR(Tabela49[[#This Row],[Valor do m² (R$)]]*Tabela49[[#This Row],[Quantidade de m²]]), ,(Tabela49[[#This Row],[Valor do m² (R$)]]*Tabela49[[#This Row],[Quantidade de m²]])))</f>
        <v xml:space="preserve"> </v>
      </c>
      <c r="F77" s="166"/>
      <c r="G77" s="167"/>
      <c r="H77" s="188" t="str">
        <f t="shared" si="3"/>
        <v xml:space="preserve"> </v>
      </c>
    </row>
    <row r="78" spans="2:8" ht="16">
      <c r="B78" s="169"/>
      <c r="C78" s="166"/>
      <c r="D78" s="166"/>
      <c r="E78" s="188" t="str">
        <f>IF(ISBLANK(B78), " ",IF(ISERROR(Tabela49[[#This Row],[Valor do m² (R$)]]*Tabela49[[#This Row],[Quantidade de m²]]), ,(Tabela49[[#This Row],[Valor do m² (R$)]]*Tabela49[[#This Row],[Quantidade de m²]])))</f>
        <v xml:space="preserve"> </v>
      </c>
      <c r="F78" s="166"/>
      <c r="G78" s="167"/>
      <c r="H78" s="188" t="str">
        <f t="shared" si="3"/>
        <v xml:space="preserve"> </v>
      </c>
    </row>
    <row r="79" spans="2:8" ht="16">
      <c r="B79" s="169"/>
      <c r="C79" s="166"/>
      <c r="D79" s="166"/>
      <c r="E79" s="188" t="str">
        <f>IF(ISBLANK(B79), " ",IF(ISERROR(Tabela49[[#This Row],[Valor do m² (R$)]]*Tabela49[[#This Row],[Quantidade de m²]]), ,(Tabela49[[#This Row],[Valor do m² (R$)]]*Tabela49[[#This Row],[Quantidade de m²]])))</f>
        <v xml:space="preserve"> </v>
      </c>
      <c r="F79" s="166"/>
      <c r="G79" s="167"/>
      <c r="H79" s="188" t="str">
        <f t="shared" si="3"/>
        <v xml:space="preserve"> </v>
      </c>
    </row>
    <row r="80" spans="2:8" ht="16">
      <c r="B80" s="169"/>
      <c r="C80" s="166"/>
      <c r="D80" s="166"/>
      <c r="E80" s="188" t="str">
        <f>IF(ISBLANK(B80), " ",IF(ISERROR(Tabela49[[#This Row],[Valor do m² (R$)]]*Tabela49[[#This Row],[Quantidade de m²]]), ,(Tabela49[[#This Row],[Valor do m² (R$)]]*Tabela49[[#This Row],[Quantidade de m²]])))</f>
        <v xml:space="preserve"> </v>
      </c>
      <c r="F80" s="166"/>
      <c r="G80" s="167"/>
      <c r="H80" s="188" t="str">
        <f t="shared" si="3"/>
        <v xml:space="preserve"> </v>
      </c>
    </row>
    <row r="81" spans="2:8" ht="16">
      <c r="B81" s="169"/>
      <c r="C81" s="166"/>
      <c r="D81" s="166"/>
      <c r="E81" s="188" t="str">
        <f>IF(ISBLANK(B81), " ",IF(ISERROR(Tabela49[[#This Row],[Valor do m² (R$)]]*Tabela49[[#This Row],[Quantidade de m²]]), ,(Tabela49[[#This Row],[Valor do m² (R$)]]*Tabela49[[#This Row],[Quantidade de m²]])))</f>
        <v xml:space="preserve"> </v>
      </c>
      <c r="F81" s="166"/>
      <c r="G81" s="167"/>
      <c r="H81" s="188" t="str">
        <f t="shared" si="3"/>
        <v xml:space="preserve"> </v>
      </c>
    </row>
    <row r="82" spans="2:8" ht="16">
      <c r="B82" s="169"/>
      <c r="C82" s="166"/>
      <c r="D82" s="166"/>
      <c r="E82" s="188" t="str">
        <f>IF(ISBLANK(B82), " ",IF(ISERROR(Tabela49[[#This Row],[Valor do m² (R$)]]*Tabela49[[#This Row],[Quantidade de m²]]), ,(Tabela49[[#This Row],[Valor do m² (R$)]]*Tabela49[[#This Row],[Quantidade de m²]])))</f>
        <v xml:space="preserve"> </v>
      </c>
      <c r="F82" s="166"/>
      <c r="G82" s="167"/>
      <c r="H82" s="188" t="str">
        <f t="shared" si="3"/>
        <v xml:space="preserve"> </v>
      </c>
    </row>
    <row r="83" spans="2:8" ht="16">
      <c r="B83" s="169"/>
      <c r="C83" s="166"/>
      <c r="D83" s="166"/>
      <c r="E83" s="188" t="str">
        <f>IF(ISBLANK(B83), " ",IF(ISERROR(Tabela49[[#This Row],[Valor do m² (R$)]]*Tabela49[[#This Row],[Quantidade de m²]]), ,(Tabela49[[#This Row],[Valor do m² (R$)]]*Tabela49[[#This Row],[Quantidade de m²]])))</f>
        <v xml:space="preserve"> </v>
      </c>
      <c r="F83" s="166"/>
      <c r="G83" s="167"/>
      <c r="H83" s="188" t="str">
        <f t="shared" si="3"/>
        <v xml:space="preserve"> </v>
      </c>
    </row>
    <row r="84" spans="2:8" ht="16">
      <c r="B84" s="169"/>
      <c r="C84" s="166"/>
      <c r="D84" s="166"/>
      <c r="E84" s="188" t="str">
        <f>IF(ISBLANK(B84), " ",IF(ISERROR(Tabela49[[#This Row],[Valor do m² (R$)]]*Tabela49[[#This Row],[Quantidade de m²]]), ,(Tabela49[[#This Row],[Valor do m² (R$)]]*Tabela49[[#This Row],[Quantidade de m²]])))</f>
        <v xml:space="preserve"> </v>
      </c>
      <c r="F84" s="166"/>
      <c r="G84" s="167"/>
      <c r="H84" s="188" t="str">
        <f t="shared" si="3"/>
        <v xml:space="preserve"> </v>
      </c>
    </row>
    <row r="85" spans="2:8" ht="21">
      <c r="B85" s="238" t="s">
        <v>121</v>
      </c>
      <c r="C85" s="241"/>
      <c r="D85" s="241"/>
      <c r="E85" s="241">
        <f>IF(ISERROR(SUM(E68:E84)),0,(SUM(E68:E84)))</f>
        <v>52636.326148038883</v>
      </c>
      <c r="F85" s="241"/>
      <c r="G85" s="241"/>
      <c r="H85" s="260">
        <f>IF(ISERROR(SUM(H68:H84)),0,(SUM(H68:H84)))</f>
        <v>1405.4530459215553</v>
      </c>
    </row>
    <row r="86" spans="2:8">
      <c r="H86" s="162"/>
    </row>
    <row r="88" spans="2:8" ht="24">
      <c r="B88" s="272" t="s">
        <v>74</v>
      </c>
      <c r="C88" s="240" t="s">
        <v>116</v>
      </c>
      <c r="D88" s="240" t="s">
        <v>77</v>
      </c>
      <c r="E88" s="240" t="s">
        <v>113</v>
      </c>
      <c r="F88" s="240" t="s">
        <v>88</v>
      </c>
      <c r="G88" s="240" t="s">
        <v>18</v>
      </c>
      <c r="H88" s="240" t="s">
        <v>114</v>
      </c>
    </row>
    <row r="89" spans="2:8" ht="16">
      <c r="B89" s="169" t="s">
        <v>345</v>
      </c>
      <c r="C89" s="166">
        <v>18500</v>
      </c>
      <c r="D89" s="166">
        <v>6</v>
      </c>
      <c r="E89" s="166">
        <f>IF(ISBLANK(B89), " ",IF(ISERROR(Tabela50[[#This Row],[Valor  unitário (R$)]]*Tabela50[[#This Row],[Quantidade ]]), ,(Tabela50[[#This Row],[Valor  unitário (R$)]]*Tabela50[[#This Row],[Quantidade ]])))</f>
        <v>111000</v>
      </c>
      <c r="F89" s="166">
        <v>20</v>
      </c>
      <c r="G89" s="167">
        <v>0.2</v>
      </c>
      <c r="H89" s="188">
        <f>IF(ISBLANK(B89), " ",IF((ISERROR(E89*(1-G89)/F89)),0,((E89*(1-G89))/F89)))</f>
        <v>4440</v>
      </c>
    </row>
    <row r="90" spans="2:8" ht="16">
      <c r="B90" s="169" t="s">
        <v>346</v>
      </c>
      <c r="C90" s="166">
        <f>4000+7500+900+1200</f>
        <v>13600</v>
      </c>
      <c r="D90" s="166">
        <v>1</v>
      </c>
      <c r="E90" s="166">
        <f>IF(ISBLANK(B90), " ",IF(ISERROR(Tabela50[[#This Row],[Valor  unitário (R$)]]*Tabela50[[#This Row],[Quantidade ]]), ,(Tabela50[[#This Row],[Valor  unitário (R$)]]*Tabela50[[#This Row],[Quantidade ]])))</f>
        <v>13600</v>
      </c>
      <c r="F90" s="166">
        <v>15</v>
      </c>
      <c r="G90" s="167">
        <v>0.2</v>
      </c>
      <c r="H90" s="188">
        <f t="shared" ref="H90:H100" si="4">IF(ISBLANK(B90), " ",IF((ISERROR(E90*(1-G90)/F90)),0,((E90*(1-G90))/F90)))</f>
        <v>725.33333333333337</v>
      </c>
    </row>
    <row r="91" spans="2:8" ht="16">
      <c r="B91" s="169" t="s">
        <v>339</v>
      </c>
      <c r="C91" s="166">
        <v>270</v>
      </c>
      <c r="D91" s="166">
        <v>15</v>
      </c>
      <c r="E91" s="166">
        <f>IF(ISBLANK(B91), " ",IF(ISERROR(Tabela50[[#This Row],[Valor  unitário (R$)]]*Tabela50[[#This Row],[Quantidade ]]), ,(Tabela50[[#This Row],[Valor  unitário (R$)]]*Tabela50[[#This Row],[Quantidade ]])))</f>
        <v>4050</v>
      </c>
      <c r="F91" s="166">
        <v>50</v>
      </c>
      <c r="G91" s="167">
        <v>0.2</v>
      </c>
      <c r="H91" s="188">
        <f t="shared" si="4"/>
        <v>64.8</v>
      </c>
    </row>
    <row r="92" spans="2:8" ht="16">
      <c r="B92" s="169"/>
      <c r="C92" s="166"/>
      <c r="D92" s="166"/>
      <c r="E92" s="166" t="str">
        <f>IF(ISBLANK(B92), " ",IF(ISERROR(Tabela50[[#This Row],[Valor  unitário (R$)]]*Tabela50[[#This Row],[Quantidade ]]), ,(Tabela50[[#This Row],[Valor  unitário (R$)]]*Tabela50[[#This Row],[Quantidade ]])))</f>
        <v xml:space="preserve"> </v>
      </c>
      <c r="F92" s="166"/>
      <c r="G92" s="167"/>
      <c r="H92" s="188" t="str">
        <f t="shared" si="4"/>
        <v xml:space="preserve"> </v>
      </c>
    </row>
    <row r="93" spans="2:8" ht="16">
      <c r="B93" s="169"/>
      <c r="C93" s="166"/>
      <c r="D93" s="166"/>
      <c r="E93" s="166" t="str">
        <f>IF(ISBLANK(B93), " ",IF(ISERROR(Tabela50[[#This Row],[Valor  unitário (R$)]]*Tabela50[[#This Row],[Quantidade ]]), ,(Tabela50[[#This Row],[Valor  unitário (R$)]]*Tabela50[[#This Row],[Quantidade ]])))</f>
        <v xml:space="preserve"> </v>
      </c>
      <c r="F93" s="166"/>
      <c r="G93" s="167"/>
      <c r="H93" s="188" t="str">
        <f t="shared" si="4"/>
        <v xml:space="preserve"> </v>
      </c>
    </row>
    <row r="94" spans="2:8" ht="16">
      <c r="B94" s="169"/>
      <c r="C94" s="166"/>
      <c r="D94" s="166"/>
      <c r="E94" s="166" t="str">
        <f>IF(ISBLANK(B94), " ",IF(ISERROR(Tabela50[[#This Row],[Valor  unitário (R$)]]*Tabela50[[#This Row],[Quantidade ]]), ,(Tabela50[[#This Row],[Valor  unitário (R$)]]*Tabela50[[#This Row],[Quantidade ]])))</f>
        <v xml:space="preserve"> </v>
      </c>
      <c r="F94" s="166"/>
      <c r="G94" s="167"/>
      <c r="H94" s="188" t="str">
        <f t="shared" si="4"/>
        <v xml:space="preserve"> </v>
      </c>
    </row>
    <row r="95" spans="2:8" ht="16">
      <c r="B95" s="169"/>
      <c r="C95" s="166"/>
      <c r="D95" s="166"/>
      <c r="E95" s="166" t="str">
        <f>IF(ISBLANK(B95), " ",IF(ISERROR(Tabela50[[#This Row],[Valor  unitário (R$)]]*Tabela50[[#This Row],[Quantidade ]]), ,(Tabela50[[#This Row],[Valor  unitário (R$)]]*Tabela50[[#This Row],[Quantidade ]])))</f>
        <v xml:space="preserve"> </v>
      </c>
      <c r="F95" s="166"/>
      <c r="G95" s="167"/>
      <c r="H95" s="188" t="str">
        <f t="shared" si="4"/>
        <v xml:space="preserve"> </v>
      </c>
    </row>
    <row r="96" spans="2:8" ht="16">
      <c r="B96" s="169"/>
      <c r="C96" s="166"/>
      <c r="D96" s="166"/>
      <c r="E96" s="166" t="str">
        <f>IF(ISBLANK(B96), " ",IF(ISERROR(Tabela50[[#This Row],[Valor  unitário (R$)]]*Tabela50[[#This Row],[Quantidade ]]), ,(Tabela50[[#This Row],[Valor  unitário (R$)]]*Tabela50[[#This Row],[Quantidade ]])))</f>
        <v xml:space="preserve"> </v>
      </c>
      <c r="F96" s="166"/>
      <c r="G96" s="167"/>
      <c r="H96" s="188" t="str">
        <f t="shared" si="4"/>
        <v xml:space="preserve"> </v>
      </c>
    </row>
    <row r="97" spans="2:8" ht="16">
      <c r="B97" s="169"/>
      <c r="C97" s="166"/>
      <c r="D97" s="166"/>
      <c r="E97" s="166" t="str">
        <f>IF(ISBLANK(B97), " ",IF(ISERROR(Tabela50[[#This Row],[Valor  unitário (R$)]]*Tabela50[[#This Row],[Quantidade ]]), ,(Tabela50[[#This Row],[Valor  unitário (R$)]]*Tabela50[[#This Row],[Quantidade ]])))</f>
        <v xml:space="preserve"> </v>
      </c>
      <c r="F97" s="166"/>
      <c r="G97" s="167"/>
      <c r="H97" s="188" t="str">
        <f t="shared" si="4"/>
        <v xml:space="preserve"> </v>
      </c>
    </row>
    <row r="98" spans="2:8" ht="16">
      <c r="B98" s="169"/>
      <c r="C98" s="166"/>
      <c r="D98" s="166"/>
      <c r="E98" s="166" t="str">
        <f>IF(ISBLANK(B98), " ",IF(ISERROR(Tabela50[[#This Row],[Valor  unitário (R$)]]*Tabela50[[#This Row],[Quantidade ]]), ,(Tabela50[[#This Row],[Valor  unitário (R$)]]*Tabela50[[#This Row],[Quantidade ]])))</f>
        <v xml:space="preserve"> </v>
      </c>
      <c r="F98" s="166"/>
      <c r="G98" s="167"/>
      <c r="H98" s="188" t="str">
        <f t="shared" si="4"/>
        <v xml:space="preserve"> </v>
      </c>
    </row>
    <row r="99" spans="2:8" ht="16">
      <c r="B99" s="169"/>
      <c r="C99" s="166"/>
      <c r="D99" s="166"/>
      <c r="E99" s="166" t="str">
        <f>IF(ISBLANK(B99), " ",IF(ISERROR(Tabela50[[#This Row],[Valor  unitário (R$)]]*Tabela50[[#This Row],[Quantidade ]]), ,(Tabela50[[#This Row],[Valor  unitário (R$)]]*Tabela50[[#This Row],[Quantidade ]])))</f>
        <v xml:space="preserve"> </v>
      </c>
      <c r="F99" s="166"/>
      <c r="G99" s="167"/>
      <c r="H99" s="188" t="str">
        <f t="shared" si="4"/>
        <v xml:space="preserve"> </v>
      </c>
    </row>
    <row r="100" spans="2:8" ht="16">
      <c r="B100" s="169"/>
      <c r="C100" s="166"/>
      <c r="D100" s="166"/>
      <c r="E100" s="166" t="str">
        <f>IF(ISBLANK(B100), " ",IF(ISERROR(Tabela50[[#This Row],[Valor  unitário (R$)]]*Tabela50[[#This Row],[Quantidade ]]), ,(Tabela50[[#This Row],[Valor  unitário (R$)]]*Tabela50[[#This Row],[Quantidade ]])))</f>
        <v xml:space="preserve"> </v>
      </c>
      <c r="F100" s="166"/>
      <c r="G100" s="167"/>
      <c r="H100" s="188" t="str">
        <f t="shared" si="4"/>
        <v xml:space="preserve"> </v>
      </c>
    </row>
    <row r="101" spans="2:8" ht="21">
      <c r="B101" s="238" t="s">
        <v>119</v>
      </c>
      <c r="C101" s="241"/>
      <c r="D101" s="241"/>
      <c r="E101" s="241">
        <f>IF(ISERROR(SUM(E89:E100)),0,(SUM(E89:E100)))</f>
        <v>128650</v>
      </c>
      <c r="F101" s="241"/>
      <c r="G101" s="241"/>
      <c r="H101" s="241">
        <f>IF(ISERROR(SUM(H89:H100)),0,(SUM(H89:H100)))</f>
        <v>5230.1333333333332</v>
      </c>
    </row>
    <row r="102" spans="2:8">
      <c r="C102" s="163"/>
      <c r="D102" s="163"/>
      <c r="E102" s="163"/>
      <c r="F102" s="163"/>
    </row>
    <row r="103" spans="2:8">
      <c r="B103"/>
      <c r="C103"/>
      <c r="D103"/>
      <c r="E103"/>
      <c r="F103"/>
      <c r="G103"/>
      <c r="H103"/>
    </row>
    <row r="104" spans="2:8" ht="21">
      <c r="B104" s="273" t="s">
        <v>120</v>
      </c>
      <c r="C104" s="240"/>
      <c r="D104" s="240"/>
      <c r="E104" s="240"/>
      <c r="F104" s="240"/>
      <c r="G104" s="240"/>
      <c r="H104" s="241">
        <f>SUM((F13,H50,H64,H85,H101,H29))</f>
        <v>21834.753045921556</v>
      </c>
    </row>
    <row r="105" spans="2:8" ht="20" thickBot="1">
      <c r="C105" s="274"/>
      <c r="D105" s="274"/>
      <c r="E105" s="274"/>
      <c r="F105" s="274"/>
      <c r="G105" s="274"/>
      <c r="H105" s="275"/>
    </row>
    <row r="106" spans="2:8" ht="19">
      <c r="B106" s="254" t="s">
        <v>67</v>
      </c>
      <c r="C106" s="240"/>
      <c r="D106" s="240"/>
      <c r="E106" s="240"/>
      <c r="F106" s="240"/>
      <c r="G106" s="240"/>
      <c r="H106" s="241">
        <f>IF(ISERROR(H104/'Informações Gerais'!$E$16),0,H104/'Informações Gerais'!$E$16)</f>
        <v>3639.1255076535926</v>
      </c>
    </row>
    <row r="107" spans="2:8" ht="19">
      <c r="B107" s="164"/>
    </row>
    <row r="113" spans="5:5">
      <c r="E113" s="163"/>
    </row>
    <row r="114" spans="5:5">
      <c r="E114" s="163"/>
    </row>
  </sheetData>
  <pageMargins left="0.511811024" right="0.511811024" top="0.78740157499999996" bottom="0.78740157499999996" header="0.31496062000000002" footer="0.31496062000000002"/>
  <pageSetup orientation="portrait" r:id="rId1"/>
  <ignoredErrors>
    <ignoredError sqref="B17 B18:B28 E89 E91:E100" unlockedFormula="1"/>
    <ignoredError sqref="H104 F12 H106" calculatedColumn="1"/>
  </ignoredErrors>
  <drawing r:id="rId2"/>
  <legacyDrawing r:id="rId3"/>
  <tableParts count="7"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2:N191"/>
  <sheetViews>
    <sheetView showGridLines="0" showRowColHeaders="0" tabSelected="1" topLeftCell="A32" zoomScale="140" zoomScaleNormal="140" workbookViewId="0">
      <selection activeCell="H59" sqref="H59"/>
    </sheetView>
  </sheetViews>
  <sheetFormatPr baseColWidth="10" defaultColWidth="9.1640625" defaultRowHeight="15"/>
  <cols>
    <col min="1" max="1" width="3.33203125" bestFit="1" customWidth="1"/>
    <col min="2" max="2" width="49.6640625" bestFit="1" customWidth="1"/>
    <col min="3" max="3" width="16.33203125" customWidth="1"/>
    <col min="4" max="4" width="12" customWidth="1"/>
    <col min="5" max="5" width="27.6640625" bestFit="1" customWidth="1"/>
    <col min="6" max="6" width="19.33203125" bestFit="1" customWidth="1"/>
    <col min="7" max="8" width="12" bestFit="1" customWidth="1"/>
    <col min="9" max="9" width="11.6640625" bestFit="1" customWidth="1"/>
    <col min="10" max="10" width="63.6640625" customWidth="1"/>
    <col min="11" max="12" width="12" bestFit="1" customWidth="1"/>
    <col min="13" max="13" width="17.6640625" style="171" customWidth="1"/>
    <col min="14" max="14" width="15.6640625" style="171" bestFit="1" customWidth="1"/>
  </cols>
  <sheetData>
    <row r="2" spans="2:14" ht="42.75" customHeight="1"/>
    <row r="9" spans="2:14">
      <c r="C9" s="176"/>
    </row>
    <row r="11" spans="2:14" ht="27" customHeight="1">
      <c r="B11" s="330" t="s">
        <v>91</v>
      </c>
      <c r="C11" s="330"/>
    </row>
    <row r="12" spans="2:14" ht="19">
      <c r="B12" s="177" t="s">
        <v>30</v>
      </c>
      <c r="C12" s="198">
        <f>'Informações Gerais'!$E$16</f>
        <v>6</v>
      </c>
    </row>
    <row r="13" spans="2:14" ht="19">
      <c r="B13" s="177" t="s">
        <v>249</v>
      </c>
      <c r="C13" s="198">
        <f>'Informações Gerais'!E17</f>
        <v>15</v>
      </c>
    </row>
    <row r="14" spans="2:14" ht="19">
      <c r="B14" s="177" t="s">
        <v>251</v>
      </c>
      <c r="C14" s="198">
        <f>C12*C13</f>
        <v>90</v>
      </c>
    </row>
    <row r="15" spans="2:14" ht="19">
      <c r="B15" s="177" t="s">
        <v>252</v>
      </c>
      <c r="C15" s="190">
        <f>'Informações Gerais'!$E$28</f>
        <v>3902.8333333333335</v>
      </c>
      <c r="E15" s="296"/>
    </row>
    <row r="16" spans="2:14" ht="24">
      <c r="B16" s="177" t="s">
        <v>257</v>
      </c>
      <c r="C16" s="190">
        <f>C14*C15</f>
        <v>351255</v>
      </c>
      <c r="J16" s="201" t="s">
        <v>198</v>
      </c>
      <c r="K16" s="202" t="s">
        <v>185</v>
      </c>
      <c r="L16" s="202" t="s">
        <v>186</v>
      </c>
      <c r="M16" s="201" t="s">
        <v>199</v>
      </c>
      <c r="N16" s="201" t="s">
        <v>24</v>
      </c>
    </row>
    <row r="17" spans="2:14" ht="19">
      <c r="J17" s="203" t="s">
        <v>200</v>
      </c>
      <c r="K17" s="204"/>
      <c r="L17" s="204"/>
      <c r="M17" s="205">
        <f>IF(ISERROR((((SUM(Inventário!$E$29,Inventário!$E$50,Inventário!$E$64,Inventário!$E$85,Inventário!$E$101))/2)+(('Informações Gerais'!$E$16*Inventário!$C$12)/2)+('Informações Gerais'!$E$16*'Juros de Custeio_Uso da Terra'!$F$9))),0,((((SUM(Inventário!$E$29,Inventário!$E$50,Inventário!$E$64,Inventário!$E$85,Inventário!$E$101))/2)+(('Informações Gerais'!$E$16*Inventário!$C$12)/2)+('Informações Gerais'!$E$16*'Juros de Custeio_Uso da Terra'!$F$9))))</f>
        <v>425343.16307401942</v>
      </c>
      <c r="N17" s="203" t="s">
        <v>201</v>
      </c>
    </row>
    <row r="18" spans="2:14" s="171" customFormat="1" ht="27" customHeight="1">
      <c r="B18" s="330" t="s">
        <v>63</v>
      </c>
      <c r="C18" s="330"/>
      <c r="D18" s="330"/>
      <c r="E18" s="330"/>
      <c r="F18" s="330"/>
      <c r="J18" s="203" t="s">
        <v>202</v>
      </c>
      <c r="K18" s="204"/>
      <c r="L18" s="204"/>
      <c r="M18" s="205">
        <f>IF(ISERROR((((SUM(Inventário!$E$29,Inventário!$E$50,Inventário!$E$64,Inventário!$E$85,Inventário!$E$101))/2))),0,((((SUM(Inventário!$E$29,Inventário!$E$50,Inventário!$E$64,Inventário!$E$85,Inventário!$E$101))/2))))</f>
        <v>149343.16307401942</v>
      </c>
      <c r="N18" s="203" t="s">
        <v>201</v>
      </c>
    </row>
    <row r="19" spans="2:14" ht="21">
      <c r="B19" s="178"/>
      <c r="C19" s="131" t="s">
        <v>66</v>
      </c>
      <c r="D19" s="131" t="s">
        <v>250</v>
      </c>
      <c r="E19" s="131" t="s">
        <v>25</v>
      </c>
      <c r="F19" s="131" t="s">
        <v>117</v>
      </c>
      <c r="H19" s="296"/>
      <c r="I19" s="296"/>
      <c r="J19" s="203" t="s">
        <v>203</v>
      </c>
      <c r="K19" s="204"/>
      <c r="L19" s="204"/>
      <c r="M19" s="205">
        <f>IF(ISERROR($C$48/$C$13),0,($C$48/$C$13))</f>
        <v>4726.0351452668829</v>
      </c>
      <c r="N19" s="203" t="s">
        <v>204</v>
      </c>
    </row>
    <row r="20" spans="2:14" ht="19">
      <c r="B20" s="179" t="s">
        <v>38</v>
      </c>
      <c r="C20" s="186">
        <f>'Atividades_Condução '!$H$102</f>
        <v>21820.347726976986</v>
      </c>
      <c r="D20" s="186">
        <f>'Atividades_Condução '!J102</f>
        <v>1454.6898484651324</v>
      </c>
      <c r="E20" s="186">
        <f>'Atividades_Condução '!$I$102</f>
        <v>130922.0863618619</v>
      </c>
      <c r="F20" s="189">
        <f>IF(ISERROR($C$20/$C$24),0,($C$20/$C$24))</f>
        <v>0.8441500624065712</v>
      </c>
      <c r="H20" s="296"/>
      <c r="J20" s="203" t="s">
        <v>205</v>
      </c>
      <c r="K20" s="204"/>
      <c r="L20" s="204"/>
      <c r="M20" s="205">
        <f>SUM('Pessoas MOB'!K24,'Pessoas MOB'!K30,'Pessoas MOB'!K46,Atividade_ColheitaePós!G19)/C14</f>
        <v>265.66666666666669</v>
      </c>
      <c r="N20" s="203" t="s">
        <v>204</v>
      </c>
    </row>
    <row r="21" spans="2:14" ht="19">
      <c r="B21" s="179" t="s">
        <v>37</v>
      </c>
      <c r="C21" s="186">
        <f>Atividade_ColheitaePós!$F$43</f>
        <v>581.07142857142856</v>
      </c>
      <c r="D21" s="186">
        <f>Atividade_ColheitaePós!H43</f>
        <v>38.738095238095241</v>
      </c>
      <c r="E21" s="186">
        <f>Atividade_ColheitaePós!$G$43</f>
        <v>3486.4285714285716</v>
      </c>
      <c r="F21" s="189">
        <f>IF(ISERROR($C$21/$C$24),0,($C$21/$C$24))</f>
        <v>2.2479544727182169E-2</v>
      </c>
      <c r="H21" s="296"/>
      <c r="J21" s="203" t="s">
        <v>206</v>
      </c>
      <c r="K21" s="204"/>
      <c r="L21" s="204"/>
      <c r="M21" s="205">
        <f>IF(ISERROR(('Juros de Custeio_Uso da Terra'!$F$18*Análise!$C$12)),0,('Juros de Custeio_Uso da Terra'!$F$18*Análise!$C$12))</f>
        <v>3908.1384916440948</v>
      </c>
      <c r="N21" s="203" t="s">
        <v>201</v>
      </c>
    </row>
    <row r="22" spans="2:14" ht="19">
      <c r="B22" s="179" t="s">
        <v>39</v>
      </c>
      <c r="C22" s="186">
        <f>'Gastos Gerais'!$E$42</f>
        <v>2796.1210871601297</v>
      </c>
      <c r="D22" s="186">
        <f>'Gastos Gerais'!F42</f>
        <v>186.40807247734199</v>
      </c>
      <c r="E22" s="186">
        <f>IF(ISERROR($C$22*'Informações Gerais'!$E$16),0,($C$22*'Informações Gerais'!$E$16))</f>
        <v>16776.72652296078</v>
      </c>
      <c r="F22" s="189">
        <f>IF(ISERROR($C$22/$C$24),0,($C$22/$C$24))</f>
        <v>0.10817177708421231</v>
      </c>
      <c r="J22" s="203" t="s">
        <v>207</v>
      </c>
      <c r="K22" s="204"/>
      <c r="L22" s="204"/>
      <c r="M22" s="205">
        <f>M21/C14</f>
        <v>43.423761018267719</v>
      </c>
      <c r="N22" s="203" t="s">
        <v>204</v>
      </c>
    </row>
    <row r="23" spans="2:14" ht="19">
      <c r="B23" s="179" t="s">
        <v>145</v>
      </c>
      <c r="C23" s="186">
        <f>IF(ISERROR('Juros de Custeio_Uso da Terra'!$F$18),0,('Juros de Custeio_Uso da Terra'!$F$18))</f>
        <v>651.35641527401583</v>
      </c>
      <c r="D23" s="186">
        <f>'Juros de Custeio_Uso da Terra'!F18/$C$13</f>
        <v>43.423761018267719</v>
      </c>
      <c r="E23" s="186">
        <f>IF(ISERROR($C$23*'Informações Gerais'!E$16),0,($C$23*'Informações Gerais'!E$16))</f>
        <v>3908.1384916440948</v>
      </c>
      <c r="F23" s="189">
        <f>IF(ISERROR($C$23/$C$24),0,($C$23/$C$24))</f>
        <v>2.519861578203441E-2</v>
      </c>
      <c r="J23" s="203" t="s">
        <v>208</v>
      </c>
      <c r="K23" s="203"/>
      <c r="L23" s="203"/>
      <c r="M23" s="205">
        <f>D46/D44*100</f>
        <v>42.199219087609606</v>
      </c>
      <c r="N23" s="203" t="s">
        <v>181</v>
      </c>
    </row>
    <row r="24" spans="2:14" ht="21">
      <c r="B24" s="178" t="s">
        <v>36</v>
      </c>
      <c r="C24" s="190">
        <f>IF(ISERROR(SUM(C20:C23)),0,(SUM(C20:C23)))</f>
        <v>25848.896657982557</v>
      </c>
      <c r="D24" s="190">
        <f>IF(ISERROR(SUM(D20:D23)),0,(SUM(D20:D23)))</f>
        <v>1723.2597771988371</v>
      </c>
      <c r="E24" s="190">
        <f>IF(ISERROR(SUM(E20:E23)),0,(SUM(E20:E23)))</f>
        <v>155093.37994789536</v>
      </c>
      <c r="F24" s="191">
        <f>SUM(F20:F23)</f>
        <v>1</v>
      </c>
      <c r="J24" s="203" t="s">
        <v>209</v>
      </c>
      <c r="K24" s="204"/>
      <c r="L24" s="204"/>
      <c r="M24" s="205">
        <f>D47/D44</f>
        <v>0.16826075609624791</v>
      </c>
      <c r="N24" s="203" t="s">
        <v>210</v>
      </c>
    </row>
    <row r="25" spans="2:14" ht="19">
      <c r="J25" s="203" t="s">
        <v>211</v>
      </c>
      <c r="K25" s="204"/>
      <c r="L25" s="204"/>
      <c r="M25" s="205">
        <f>IF(ISERROR(($E$40/$D$44)),0,($E$40/$D$44))</f>
        <v>74.856531951337701</v>
      </c>
      <c r="N25" s="203" t="s">
        <v>212</v>
      </c>
    </row>
    <row r="26" spans="2:14" s="171" customFormat="1" ht="19">
      <c r="G26"/>
      <c r="J26" s="203" t="s">
        <v>213</v>
      </c>
      <c r="K26" s="204"/>
      <c r="L26" s="204"/>
      <c r="M26" s="205">
        <f>IF(ISERROR(($C$40/$D$44)),0,($C$40/$D$44))</f>
        <v>12.476088658556284</v>
      </c>
      <c r="N26" s="203" t="s">
        <v>214</v>
      </c>
    </row>
    <row r="27" spans="2:14" ht="22.25" customHeight="1">
      <c r="B27" s="330" t="s">
        <v>64</v>
      </c>
      <c r="C27" s="330"/>
      <c r="D27" s="330"/>
      <c r="E27" s="330"/>
      <c r="F27" s="330"/>
      <c r="J27" s="203" t="s">
        <v>215</v>
      </c>
      <c r="K27" s="204"/>
      <c r="L27" s="204"/>
      <c r="M27" s="205">
        <f>IF(ISERROR(($E$44/$E$40)),0,($E$44/$E$40))</f>
        <v>1.2022998882516582</v>
      </c>
      <c r="N27" s="203" t="s">
        <v>201</v>
      </c>
    </row>
    <row r="28" spans="2:14" ht="21">
      <c r="B28" s="178"/>
      <c r="C28" s="131" t="s">
        <v>66</v>
      </c>
      <c r="D28" s="131" t="s">
        <v>250</v>
      </c>
      <c r="E28" s="131" t="s">
        <v>25</v>
      </c>
      <c r="F28" s="131" t="s">
        <v>118</v>
      </c>
      <c r="G28" s="296"/>
      <c r="J28" s="203" t="s">
        <v>216</v>
      </c>
      <c r="K28" s="204"/>
      <c r="L28" s="204"/>
      <c r="M28" s="205">
        <f>IF(ISERROR(($E$47/$M$17*100)),0,($E$47/$M$17*100))</f>
        <v>13.895234956980445</v>
      </c>
      <c r="N28" s="203" t="s">
        <v>217</v>
      </c>
    </row>
    <row r="29" spans="2:14" ht="19">
      <c r="B29" s="179" t="s">
        <v>36</v>
      </c>
      <c r="C29" s="186">
        <f>$C$24</f>
        <v>25848.896657982557</v>
      </c>
      <c r="D29" s="186">
        <f>$D$24</f>
        <v>1723.2597771988371</v>
      </c>
      <c r="E29" s="186">
        <f>$E$24</f>
        <v>155093.37994789536</v>
      </c>
      <c r="F29" s="189">
        <f>IF(ISERROR($C$29/$C$32),0,($C$29/$C$32))</f>
        <v>0.76390093166358675</v>
      </c>
      <c r="G29" s="296"/>
      <c r="J29" s="203" t="s">
        <v>218</v>
      </c>
      <c r="K29" s="204"/>
      <c r="L29" s="204"/>
      <c r="M29" s="205">
        <f>IF(ISERROR(($E$44/$M$17*100)),0,($E$44/$M$17*100))</f>
        <v>82.581555434305557</v>
      </c>
      <c r="N29" s="203" t="s">
        <v>181</v>
      </c>
    </row>
    <row r="30" spans="2:14" ht="19">
      <c r="B30" s="179" t="s">
        <v>35</v>
      </c>
      <c r="C30" s="186">
        <f>Inventário!$H$106</f>
        <v>3639.1255076535926</v>
      </c>
      <c r="D30" s="186">
        <f>Tabela58[[#This Row],[Coluna2]]/$C$13</f>
        <v>242.60836717690617</v>
      </c>
      <c r="E30" s="186">
        <f>Inventário!$H$104</f>
        <v>21834.753045921556</v>
      </c>
      <c r="F30" s="189">
        <f>IF(ISERROR($C$30/$C$32),0,($C$30/$C$32))</f>
        <v>0.10754545551865227</v>
      </c>
      <c r="G30" s="296"/>
      <c r="J30" s="203" t="s">
        <v>219</v>
      </c>
      <c r="K30" s="204"/>
      <c r="L30" s="204"/>
      <c r="M30" s="205">
        <f>IF(ISERROR(($E$46/$M$17*100)),0,($E$46/$M$17*100))</f>
        <v>34.848771503678364</v>
      </c>
      <c r="N30" s="203" t="s">
        <v>181</v>
      </c>
    </row>
    <row r="31" spans="2:14" ht="19">
      <c r="B31" s="179" t="s">
        <v>160</v>
      </c>
      <c r="C31" s="313">
        <f>1450*12*1.5/6</f>
        <v>4350</v>
      </c>
      <c r="D31" s="186">
        <f>Tabela58[[#This Row],[Coluna2]]/$C$13</f>
        <v>290</v>
      </c>
      <c r="E31" s="186">
        <f>IF(ISERROR($C$31*'Informações Gerais'!E$16),0,($C$31*'Informações Gerais'!E$16))</f>
        <v>26100</v>
      </c>
      <c r="F31" s="189">
        <f>IF(ISERROR($C$31/$C$32),0,($C$31/$C$32))</f>
        <v>0.12855361281776087</v>
      </c>
      <c r="J31" s="203" t="s">
        <v>220</v>
      </c>
      <c r="K31" s="204"/>
      <c r="L31" s="204"/>
      <c r="M31" s="205">
        <f>IF(ISERROR(($E$46/$M$18*100)),0,($E$46/$M$18*100))</f>
        <v>99.252529513330927</v>
      </c>
      <c r="N31" s="203" t="s">
        <v>181</v>
      </c>
    </row>
    <row r="32" spans="2:14" ht="21">
      <c r="B32" s="178" t="s">
        <v>34</v>
      </c>
      <c r="C32" s="190">
        <f>IF(ISERROR(SUM(C29:C31)),0,(SUM(C29:C31)))</f>
        <v>33838.022165636154</v>
      </c>
      <c r="D32" s="190">
        <f>IF(ISERROR(SUM(D29:D31)),0,(SUM(D29:D31)))</f>
        <v>2255.8681443757432</v>
      </c>
      <c r="E32" s="190">
        <f>IF(ISERROR(SUM(E29:E31)),0,(SUM(E29:E31)))</f>
        <v>203028.13299381692</v>
      </c>
      <c r="F32" s="191">
        <f>SUM(F29:F31)</f>
        <v>0.99999999999999989</v>
      </c>
      <c r="G32" s="296"/>
      <c r="J32" s="203" t="s">
        <v>221</v>
      </c>
      <c r="K32" s="204"/>
      <c r="L32" s="204"/>
      <c r="M32" s="205">
        <f>IF('Pessoas MOB'!F28=0,'Pessoas MOB'!L9,'Pessoas MOB'!F28)</f>
        <v>93.669402985074626</v>
      </c>
      <c r="N32" s="203" t="s">
        <v>222</v>
      </c>
    </row>
    <row r="33" spans="2:7" ht="21">
      <c r="B33" s="178"/>
      <c r="C33" s="132"/>
      <c r="D33" s="132"/>
      <c r="E33" s="132"/>
      <c r="F33" s="180"/>
      <c r="G33" s="296"/>
    </row>
    <row r="34" spans="2:7" ht="24">
      <c r="B34" s="330" t="s">
        <v>136</v>
      </c>
      <c r="C34" s="330"/>
      <c r="D34" s="330"/>
      <c r="E34" s="330"/>
      <c r="F34" s="330"/>
    </row>
    <row r="35" spans="2:7" ht="21">
      <c r="B35" s="178"/>
      <c r="C35" s="131" t="s">
        <v>66</v>
      </c>
      <c r="D35" s="131" t="s">
        <v>250</v>
      </c>
      <c r="E35" s="131" t="s">
        <v>25</v>
      </c>
      <c r="F35" s="131" t="s">
        <v>118</v>
      </c>
      <c r="G35" s="296"/>
    </row>
    <row r="36" spans="2:7" ht="16">
      <c r="B36" s="179" t="s">
        <v>34</v>
      </c>
      <c r="C36" s="186">
        <f>C32</f>
        <v>33838.022165636154</v>
      </c>
      <c r="D36" s="186">
        <f>D32</f>
        <v>2255.8681443757432</v>
      </c>
      <c r="E36" s="186">
        <f>E32</f>
        <v>203028.13299381692</v>
      </c>
      <c r="F36" s="189">
        <f>IF(ISERROR($C$36/$C$40),0,($C$36/$C$40))</f>
        <v>0.69493872431825565</v>
      </c>
      <c r="G36" s="296"/>
    </row>
    <row r="37" spans="2:7" ht="16">
      <c r="B37" s="179" t="s">
        <v>182</v>
      </c>
      <c r="C37" s="186">
        <f>IF(ISERROR((((100%-(SUM('Juros de Custeio_Uso da Terra'!C14:C17)))*'Juros de Custeio_Uso da Terra'!$E$18)/2)*0.06),0,(((100%-(SUM('Juros de Custeio_Uso da Terra'!C14:C17)))*'Juros de Custeio_Uso da Terra'!$E$18)/2)*0.06)</f>
        <v>400.64088985906579</v>
      </c>
      <c r="D37" s="186">
        <f>Tabela59[[#This Row],[Coluna2]]/$C$13</f>
        <v>26.709392657271053</v>
      </c>
      <c r="E37" s="186">
        <f>IF(ISERROR($C$37*'Informações Gerais'!E$16),0,($C$37*'Informações Gerais'!E$16))</f>
        <v>2403.8453391543949</v>
      </c>
      <c r="F37" s="189">
        <f>IF(ISERROR($C$37/$C$40),0,($C$37/$C$40))</f>
        <v>8.2280479498928073E-3</v>
      </c>
      <c r="G37" s="296"/>
    </row>
    <row r="38" spans="2:7" ht="16">
      <c r="B38" s="179" t="s">
        <v>161</v>
      </c>
      <c r="C38" s="186">
        <f>IF(ISERROR('Juros de Custeio_Uso da Terra'!$F$8),0,('Juros de Custeio_Uso da Terra'!$F$8))</f>
        <v>12000</v>
      </c>
      <c r="D38" s="186">
        <f>Tabela59[[#This Row],[Coluna2]]/$C$13</f>
        <v>800</v>
      </c>
      <c r="E38" s="186">
        <f>IF(ISERROR($C$38*'Informações Gerais'!E$16),0,($C$38*'Informações Gerais'!E$16))</f>
        <v>72000</v>
      </c>
      <c r="F38" s="189">
        <f>IF(ISERROR($C$38/$C$40),0,($C$38/$C$40))</f>
        <v>0.24644657571883499</v>
      </c>
    </row>
    <row r="39" spans="2:7" ht="16">
      <c r="B39" s="179" t="s">
        <v>163</v>
      </c>
      <c r="C39" s="186">
        <f>(IF(ISERROR(((SUM((Inventário!C12*'Informações Gerais'!$E$16),Inventário!E29,Inventário!E50,Inventário!E64,Inventário!E85,Inventário!E101)/2)*0.06)/'Informações Gerais'!$E$16),0,(((SUM((Inventário!C12*'Informações Gerais'!$E$16),Inventário!E29,Inventário!E50,Inventário!E64,Inventário!E85,Inventário!E101)/2)*0.06)/'Informações Gerais'!$E$16)))</f>
        <v>2453.4316307401946</v>
      </c>
      <c r="D39" s="186">
        <f>Tabela59[[#This Row],[Coluna2]]/$C$13</f>
        <v>163.56210871601297</v>
      </c>
      <c r="E39" s="186">
        <f>IF(ISERROR($C$39*'Informações Gerais'!E$16),0,($C$39*'Informações Gerais'!E$16))</f>
        <v>14720.589784441167</v>
      </c>
      <c r="F39" s="189">
        <f>IF(ISERROR($C$39/$C$40),0,($C$39/$C$40))</f>
        <v>5.0386652013016515E-2</v>
      </c>
    </row>
    <row r="40" spans="2:7" ht="21">
      <c r="B40" s="178" t="s">
        <v>142</v>
      </c>
      <c r="C40" s="190">
        <f>IF(ISERROR(SUM(C36:C39)),0,(SUM(C36:C39)))</f>
        <v>48692.094686235418</v>
      </c>
      <c r="D40" s="190">
        <f>IF(ISERROR(SUM(D36:D39)),0,(SUM(D36:D39)))</f>
        <v>3246.1396457490273</v>
      </c>
      <c r="E40" s="190">
        <f>IF(ISERROR(SUM(E36:E39)),0,(SUM(E36:E39)))</f>
        <v>292152.56811741251</v>
      </c>
      <c r="F40" s="191">
        <f>IF(ISERROR(SUM(F36:F39)),0,(SUM(F36:F39)))</f>
        <v>1</v>
      </c>
    </row>
    <row r="41" spans="2:7" ht="21">
      <c r="B41" s="178"/>
      <c r="C41" s="132"/>
      <c r="D41" s="132"/>
      <c r="E41" s="132"/>
      <c r="F41" s="180"/>
    </row>
    <row r="42" spans="2:7" s="171" customFormat="1" ht="27" customHeight="1">
      <c r="B42" s="330" t="s">
        <v>65</v>
      </c>
      <c r="C42" s="330"/>
      <c r="D42" s="330"/>
      <c r="E42" s="330"/>
      <c r="F42" s="330"/>
    </row>
    <row r="43" spans="2:7" ht="21">
      <c r="B43" s="178"/>
      <c r="C43" s="131" t="s">
        <v>66</v>
      </c>
      <c r="D43" s="131" t="s">
        <v>250</v>
      </c>
      <c r="E43" s="131" t="s">
        <v>25</v>
      </c>
      <c r="F43" s="131"/>
    </row>
    <row r="44" spans="2:7" ht="19">
      <c r="B44" s="177" t="s">
        <v>33</v>
      </c>
      <c r="C44" s="190">
        <f>$C$13*$C$15</f>
        <v>58542.5</v>
      </c>
      <c r="D44" s="190">
        <f>$C$15</f>
        <v>3902.8333333333335</v>
      </c>
      <c r="E44" s="190">
        <f>$C$16</f>
        <v>351255</v>
      </c>
      <c r="F44" s="186"/>
    </row>
    <row r="45" spans="2:7" ht="21">
      <c r="B45" s="178" t="s">
        <v>32</v>
      </c>
      <c r="C45" s="190">
        <f>$C$44-$C$24</f>
        <v>32693.603342017443</v>
      </c>
      <c r="D45" s="190">
        <f>$D$44-$D$24</f>
        <v>2179.5735561344964</v>
      </c>
      <c r="E45" s="190">
        <f>$E$44-$E$24</f>
        <v>196161.62005210464</v>
      </c>
      <c r="F45" s="192"/>
    </row>
    <row r="46" spans="2:7" ht="21">
      <c r="B46" s="178" t="s">
        <v>31</v>
      </c>
      <c r="C46" s="190">
        <f>$C$44-$C$32</f>
        <v>24704.477834363846</v>
      </c>
      <c r="D46" s="190">
        <f>$D$44-$D$32</f>
        <v>1646.9651889575903</v>
      </c>
      <c r="E46" s="190">
        <f>$E$44-$E$32</f>
        <v>148226.86700618308</v>
      </c>
      <c r="F46" s="192"/>
    </row>
    <row r="47" spans="2:7" ht="21">
      <c r="B47" s="178" t="s">
        <v>162</v>
      </c>
      <c r="C47" s="190">
        <f>$C$44-$C$40</f>
        <v>9850.4053137645824</v>
      </c>
      <c r="D47" s="190">
        <f>$D$44-$D$40</f>
        <v>656.69368758430619</v>
      </c>
      <c r="E47" s="190">
        <f>$E$44-$E$40</f>
        <v>59102.431882587494</v>
      </c>
      <c r="F47" s="193"/>
    </row>
    <row r="48" spans="2:7" ht="21">
      <c r="B48" s="178" t="s">
        <v>178</v>
      </c>
      <c r="C48" s="190">
        <f>IF(ISERROR((((SUM(Inventário!$E$29,Inventário!$E$50,Inventário!$E$64,Inventário!$E$85,Inventário!$E$101))/2)+(('Informações Gerais'!$E$16*Inventário!$C$12)/2)+('Informações Gerais'!$E$16*'Juros de Custeio_Uso da Terra'!$F$9))/$C$12),0,((((SUM(Inventário!$E$29,Inventário!$E$50,Inventário!$E$64,Inventário!$E$85,Inventário!$E$101))/2)+(('Informações Gerais'!$E$16*Inventário!$C$12)/2)+('Informações Gerais'!$E$16*'Juros de Custeio_Uso da Terra'!$F$9))/$C$12))</f>
        <v>70890.527179003242</v>
      </c>
      <c r="D48" s="190">
        <f>IF(ISERROR($C$48/$C$13),0,($C$48/$C$13))</f>
        <v>4726.0351452668829</v>
      </c>
      <c r="E48" s="190"/>
      <c r="F48" s="193"/>
    </row>
    <row r="49" spans="2:6" ht="21">
      <c r="B49" s="178" t="s">
        <v>158</v>
      </c>
      <c r="C49" s="194"/>
      <c r="D49" s="194"/>
      <c r="E49" s="195">
        <f>IF(ISERROR(($E$46/((SUM(Inventário!$E$29,Inventário!$E$50,Inventário!$E$64,Inventário!$E$85,Inventário!$E$101)/2)+(('Informações Gerais'!$E$16*Inventário!$C$12)/2)+('Informações Gerais'!$E$16*'Juros de Custeio_Uso da Terra'!$F$9)))*100),0,($E$46/(((SUM(Inventário!$E$29,Inventário!$E$50,Inventário!$E$64,Inventário!$E$85,Inventário!$E$101)/2)+(('Informações Gerais'!$E$16*Inventário!$C$12)/2)+('Informações Gerais'!$E$16*'Juros de Custeio_Uso da Terra'!$F$9))))*100)</f>
        <v>34.848771503678364</v>
      </c>
      <c r="F49" s="196" t="s">
        <v>181</v>
      </c>
    </row>
    <row r="50" spans="2:6" ht="21">
      <c r="B50" s="178" t="s">
        <v>180</v>
      </c>
      <c r="C50" s="192"/>
      <c r="D50" s="192"/>
      <c r="E50" s="197">
        <f>IF(ISERROR(($C$40/$D$44)),0,($C$40/$D$44))</f>
        <v>12.476088658556284</v>
      </c>
      <c r="F50" s="196" t="s">
        <v>253</v>
      </c>
    </row>
    <row r="52" spans="2:6">
      <c r="C52" s="173"/>
    </row>
    <row r="53" spans="2:6">
      <c r="B53" s="171"/>
      <c r="C53" s="174"/>
      <c r="E53" s="175"/>
    </row>
    <row r="54" spans="2:6">
      <c r="D54" s="172"/>
    </row>
    <row r="57" spans="2:6" ht="19">
      <c r="B57" s="181"/>
    </row>
    <row r="62" spans="2:6" ht="21">
      <c r="B62" s="178"/>
      <c r="C62" s="192"/>
      <c r="D62" s="192"/>
      <c r="E62" s="197"/>
      <c r="F62" s="196"/>
    </row>
    <row r="63" spans="2:6" ht="21">
      <c r="B63" s="178"/>
      <c r="C63" s="192"/>
      <c r="D63" s="192"/>
      <c r="E63" s="197"/>
      <c r="F63" s="196"/>
    </row>
    <row r="64" spans="2:6" ht="21">
      <c r="B64" s="178"/>
      <c r="C64" s="192"/>
      <c r="D64" s="192"/>
      <c r="E64" s="197"/>
      <c r="F64" s="196"/>
    </row>
    <row r="65" spans="2:6" ht="21">
      <c r="B65" s="178"/>
      <c r="C65" s="192"/>
      <c r="D65" s="192"/>
      <c r="E65" s="197"/>
      <c r="F65" s="196"/>
    </row>
    <row r="66" spans="2:6" ht="21">
      <c r="B66" s="178"/>
      <c r="C66" s="192"/>
      <c r="D66" s="192"/>
      <c r="E66" s="197"/>
      <c r="F66" s="196"/>
    </row>
    <row r="67" spans="2:6" ht="21">
      <c r="B67" s="178"/>
      <c r="C67" s="192"/>
      <c r="D67" s="192"/>
      <c r="E67" s="197"/>
      <c r="F67" s="196"/>
    </row>
    <row r="68" spans="2:6" ht="21">
      <c r="B68" s="178"/>
      <c r="C68" s="192"/>
      <c r="D68" s="192"/>
      <c r="E68" s="197"/>
      <c r="F68" s="196"/>
    </row>
    <row r="69" spans="2:6" ht="21">
      <c r="B69" s="178"/>
      <c r="C69" s="192"/>
      <c r="D69" s="192"/>
      <c r="E69" s="197"/>
      <c r="F69" s="196"/>
    </row>
    <row r="70" spans="2:6" ht="21">
      <c r="B70" s="178"/>
      <c r="C70" s="192"/>
      <c r="D70" s="192"/>
      <c r="E70" s="197"/>
      <c r="F70" s="196"/>
    </row>
    <row r="71" spans="2:6" ht="21">
      <c r="B71" s="178"/>
      <c r="C71" s="192"/>
      <c r="D71" s="192"/>
      <c r="E71" s="197"/>
      <c r="F71" s="196"/>
    </row>
    <row r="72" spans="2:6" ht="21">
      <c r="B72" s="178"/>
      <c r="C72" s="192"/>
      <c r="D72" s="192"/>
      <c r="E72" s="197"/>
      <c r="F72" s="196"/>
    </row>
    <row r="73" spans="2:6" ht="21">
      <c r="B73" s="178"/>
      <c r="C73" s="192"/>
      <c r="D73" s="192"/>
      <c r="E73" s="197"/>
      <c r="F73" s="196"/>
    </row>
    <row r="74" spans="2:6" ht="21">
      <c r="B74" s="178"/>
      <c r="C74" s="192"/>
      <c r="D74" s="192"/>
      <c r="E74" s="197"/>
      <c r="F74" s="196"/>
    </row>
    <row r="75" spans="2:6" ht="21">
      <c r="B75" s="178"/>
      <c r="C75" s="192"/>
      <c r="D75" s="192"/>
      <c r="E75" s="197"/>
      <c r="F75" s="196"/>
    </row>
    <row r="76" spans="2:6" ht="21">
      <c r="B76" s="178"/>
      <c r="C76" s="192"/>
      <c r="D76" s="192"/>
      <c r="E76" s="197"/>
      <c r="F76" s="196"/>
    </row>
    <row r="77" spans="2:6" ht="21">
      <c r="B77" s="178"/>
      <c r="C77" s="192"/>
      <c r="D77" s="192"/>
      <c r="E77" s="197"/>
      <c r="F77" s="196"/>
    </row>
    <row r="78" spans="2:6" ht="21">
      <c r="B78" s="178"/>
      <c r="C78" s="192"/>
      <c r="D78" s="192"/>
      <c r="E78" s="197"/>
      <c r="F78" s="196"/>
    </row>
    <row r="79" spans="2:6" ht="21">
      <c r="B79" s="178"/>
      <c r="C79" s="192"/>
      <c r="D79" s="192"/>
      <c r="E79" s="197"/>
      <c r="F79" s="196"/>
    </row>
    <row r="80" spans="2:6" ht="21">
      <c r="B80" s="178"/>
      <c r="C80" s="192"/>
      <c r="D80" s="192"/>
      <c r="E80" s="197"/>
      <c r="F80" s="196"/>
    </row>
    <row r="81" spans="2:13" ht="21">
      <c r="B81" s="178"/>
      <c r="C81" s="192"/>
      <c r="D81" s="192"/>
      <c r="E81" s="197"/>
      <c r="F81" s="196"/>
    </row>
    <row r="82" spans="2:13" ht="21">
      <c r="B82" s="178"/>
      <c r="C82" s="192"/>
      <c r="D82" s="192"/>
      <c r="E82" s="197"/>
      <c r="F82" s="196"/>
    </row>
    <row r="83" spans="2:13" ht="21">
      <c r="B83" s="178"/>
      <c r="C83" s="192"/>
      <c r="D83" s="192"/>
      <c r="E83" s="197"/>
      <c r="F83" s="196"/>
    </row>
    <row r="84" spans="2:13" ht="21">
      <c r="B84" s="178"/>
      <c r="C84" s="192"/>
      <c r="D84" s="192"/>
      <c r="E84" s="197"/>
      <c r="F84" s="196"/>
    </row>
    <row r="85" spans="2:13" ht="21">
      <c r="B85" s="178"/>
      <c r="C85" s="192"/>
      <c r="D85" s="192"/>
      <c r="E85" s="197"/>
      <c r="F85" s="196"/>
    </row>
    <row r="86" spans="2:13" ht="21">
      <c r="B86" s="178"/>
      <c r="C86" s="192"/>
      <c r="D86" s="192"/>
      <c r="E86" s="197"/>
      <c r="F86" s="196"/>
    </row>
    <row r="87" spans="2:13" ht="21">
      <c r="B87" s="178"/>
      <c r="C87" s="192"/>
      <c r="D87" s="192"/>
      <c r="E87" s="197"/>
      <c r="F87" s="196"/>
    </row>
    <row r="88" spans="2:13" ht="21">
      <c r="B88" s="178"/>
      <c r="C88" s="192"/>
      <c r="D88" s="192"/>
      <c r="E88" s="197"/>
      <c r="F88" s="196"/>
    </row>
    <row r="89" spans="2:13" ht="21">
      <c r="B89" s="178"/>
      <c r="C89" s="192"/>
      <c r="D89" s="192"/>
      <c r="E89" s="197"/>
      <c r="F89" s="196"/>
    </row>
    <row r="90" spans="2:13" ht="21">
      <c r="B90" s="178"/>
      <c r="C90" s="192"/>
      <c r="D90" s="192"/>
      <c r="E90" s="197"/>
      <c r="F90" s="196"/>
    </row>
    <row r="91" spans="2:13" ht="21">
      <c r="B91" s="178"/>
      <c r="C91" s="192"/>
      <c r="D91" s="192"/>
      <c r="E91" s="197"/>
      <c r="F91" s="196"/>
    </row>
    <row r="92" spans="2:13" ht="21">
      <c r="B92" s="178"/>
      <c r="C92" s="192"/>
      <c r="D92" s="192"/>
      <c r="E92" s="197"/>
      <c r="F92" s="196"/>
    </row>
    <row r="93" spans="2:13" ht="21">
      <c r="B93" s="178"/>
      <c r="C93" s="192"/>
      <c r="D93" s="192"/>
      <c r="E93" s="197"/>
      <c r="F93" s="196"/>
    </row>
    <row r="94" spans="2:13" ht="21">
      <c r="B94" s="178"/>
      <c r="C94" s="192"/>
      <c r="D94" s="192"/>
      <c r="E94" s="197"/>
      <c r="F94" s="196"/>
    </row>
    <row r="95" spans="2:13">
      <c r="M95"/>
    </row>
    <row r="96" spans="2:13" ht="22" thickBot="1">
      <c r="B96" s="220"/>
      <c r="C96" s="221"/>
      <c r="D96" s="221"/>
      <c r="E96" s="222"/>
      <c r="F96" s="223"/>
      <c r="G96" s="224"/>
      <c r="H96" s="224"/>
      <c r="I96" s="224"/>
      <c r="J96" s="224"/>
      <c r="K96" s="224"/>
      <c r="L96" s="224"/>
      <c r="M96" s="225"/>
    </row>
    <row r="97" spans="2:12" ht="22" thickTop="1">
      <c r="B97" s="178"/>
      <c r="C97" s="192"/>
      <c r="D97" s="192"/>
      <c r="E97" s="197"/>
      <c r="F97" s="196"/>
    </row>
    <row r="98" spans="2:12" ht="21">
      <c r="B98" s="178"/>
      <c r="C98" s="192"/>
      <c r="D98" s="192"/>
      <c r="E98" s="197"/>
      <c r="F98" s="196"/>
    </row>
    <row r="99" spans="2:12" ht="21">
      <c r="B99" s="178"/>
      <c r="C99" s="192"/>
      <c r="D99" s="192"/>
      <c r="E99" s="197"/>
      <c r="F99" s="196"/>
    </row>
    <row r="100" spans="2:12" ht="21">
      <c r="B100" s="178"/>
      <c r="C100" s="192"/>
      <c r="D100" s="192"/>
      <c r="E100" s="197"/>
      <c r="F100" s="196"/>
    </row>
    <row r="101" spans="2:12" ht="21">
      <c r="B101" s="178"/>
      <c r="C101" s="192"/>
      <c r="D101" s="192"/>
      <c r="E101" s="197"/>
      <c r="F101" s="196"/>
    </row>
    <row r="103" spans="2:12">
      <c r="C103" s="173"/>
    </row>
    <row r="104" spans="2:12">
      <c r="B104" s="171"/>
      <c r="C104" s="174"/>
      <c r="E104" s="175"/>
    </row>
    <row r="105" spans="2:12" ht="33" customHeight="1">
      <c r="B105" s="328" t="s">
        <v>227</v>
      </c>
      <c r="C105" s="328"/>
      <c r="D105" s="328"/>
      <c r="E105" s="328"/>
      <c r="F105" s="328"/>
    </row>
    <row r="108" spans="2:12" ht="21">
      <c r="C108" s="99"/>
      <c r="D108" s="99"/>
      <c r="F108" s="327" t="s">
        <v>223</v>
      </c>
      <c r="G108" s="327"/>
      <c r="H108" s="327"/>
      <c r="I108" s="327"/>
      <c r="J108" s="327"/>
      <c r="K108" s="327"/>
      <c r="L108" s="327"/>
    </row>
    <row r="109" spans="2:12">
      <c r="D109" s="99"/>
      <c r="F109" s="209">
        <v>-0.3</v>
      </c>
      <c r="G109" s="209">
        <v>-0.2</v>
      </c>
      <c r="H109" s="209">
        <v>-0.1</v>
      </c>
      <c r="I109" s="209">
        <v>0</v>
      </c>
      <c r="J109" s="209">
        <v>0.1</v>
      </c>
      <c r="K109" s="209">
        <v>0.2</v>
      </c>
      <c r="L109" s="209">
        <v>0.3</v>
      </c>
    </row>
    <row r="110" spans="2:12">
      <c r="D110" s="207"/>
      <c r="F110" s="210">
        <f>$D$24+($D$24*F109)</f>
        <v>1206.2818440391861</v>
      </c>
      <c r="G110" s="210">
        <f t="shared" ref="G110:L110" si="0">$D$24+($D$24*G109)</f>
        <v>1378.6078217590698</v>
      </c>
      <c r="H110" s="210">
        <f t="shared" si="0"/>
        <v>1550.9337994789535</v>
      </c>
      <c r="I110" s="210">
        <f t="shared" si="0"/>
        <v>1723.2597771988371</v>
      </c>
      <c r="J110" s="210">
        <f t="shared" si="0"/>
        <v>1895.5857549187208</v>
      </c>
      <c r="K110" s="210">
        <f t="shared" si="0"/>
        <v>2067.9117326386045</v>
      </c>
      <c r="L110" s="210">
        <f t="shared" si="0"/>
        <v>2240.2377103584881</v>
      </c>
    </row>
    <row r="111" spans="2:12">
      <c r="L111" s="171"/>
    </row>
    <row r="112" spans="2:12" ht="19">
      <c r="D112" s="329"/>
      <c r="E112" s="211">
        <f>M23</f>
        <v>42.199219087609606</v>
      </c>
      <c r="F112" s="212">
        <v>306.93600016902951</v>
      </c>
      <c r="G112" s="212">
        <v>350.78400019317661</v>
      </c>
      <c r="H112" s="212">
        <v>394.63200021732365</v>
      </c>
      <c r="I112" s="212">
        <v>438.48000024147075</v>
      </c>
      <c r="J112" s="212">
        <v>482.32800026561785</v>
      </c>
      <c r="K112" s="212">
        <v>526.17600028976494</v>
      </c>
      <c r="L112" s="212">
        <v>570.02400031391198</v>
      </c>
    </row>
    <row r="113" spans="2:12" ht="19">
      <c r="B113" s="208">
        <v>-0.3</v>
      </c>
      <c r="C113" s="228">
        <f>$C$15*(1+B113)</f>
        <v>2731.9833333333331</v>
      </c>
      <c r="D113" s="329"/>
      <c r="E113" s="213">
        <v>582.75</v>
      </c>
      <c r="F113" s="214">
        <f t="dataTable" ref="F113:L119" dt2D="1" dtr="1" r1="D24" r2="C15" ca="1"/>
        <v>-44.065957502520071</v>
      </c>
      <c r="G113" s="214">
        <v>-51.590281830988026</v>
      </c>
      <c r="H113" s="214">
        <v>-59.114606159455995</v>
      </c>
      <c r="I113" s="216">
        <v>-66.638930487923972</v>
      </c>
      <c r="J113" s="214">
        <v>-74.163254816391927</v>
      </c>
      <c r="K113" s="214">
        <v>-81.687579144859896</v>
      </c>
      <c r="L113" s="215">
        <v>-89.211903473327851</v>
      </c>
    </row>
    <row r="114" spans="2:12" ht="19">
      <c r="B114" s="208">
        <v>-0.2</v>
      </c>
      <c r="C114" s="228">
        <f t="shared" ref="C114:C119" si="1">$C$15*(1+B114)</f>
        <v>3122.2666666666669</v>
      </c>
      <c r="D114" s="329"/>
      <c r="E114" s="213">
        <v>666</v>
      </c>
      <c r="F114" s="214">
        <v>-26.057712814705063</v>
      </c>
      <c r="G114" s="214">
        <v>-32.641496602114529</v>
      </c>
      <c r="H114" s="214">
        <v>-39.225280389523995</v>
      </c>
      <c r="I114" s="216">
        <v>-45.809064176933475</v>
      </c>
      <c r="J114" s="214">
        <v>-52.392847964342934</v>
      </c>
      <c r="K114" s="214">
        <v>-58.976631751752407</v>
      </c>
      <c r="L114" s="215">
        <v>-65.56041553916188</v>
      </c>
    </row>
    <row r="115" spans="2:12" ht="19">
      <c r="B115" s="208">
        <v>-0.1</v>
      </c>
      <c r="C115" s="228">
        <f t="shared" si="1"/>
        <v>3512.55</v>
      </c>
      <c r="D115" s="329"/>
      <c r="E115" s="213">
        <v>749.25</v>
      </c>
      <c r="F115" s="214">
        <v>-12.051300279737832</v>
      </c>
      <c r="G115" s="214">
        <v>-17.903552535212913</v>
      </c>
      <c r="H115" s="214">
        <v>-23.755804790687993</v>
      </c>
      <c r="I115" s="216">
        <v>-29.60805704616309</v>
      </c>
      <c r="J115" s="214">
        <v>-35.460309301638169</v>
      </c>
      <c r="K115" s="214">
        <v>-41.312561557113249</v>
      </c>
      <c r="L115" s="215">
        <v>-47.164813812588328</v>
      </c>
    </row>
    <row r="116" spans="2:12" ht="19">
      <c r="B116" s="208">
        <v>0</v>
      </c>
      <c r="C116" s="228">
        <f t="shared" si="1"/>
        <v>3902.8333333333335</v>
      </c>
      <c r="D116" s="329"/>
      <c r="E116" s="213">
        <v>832.5</v>
      </c>
      <c r="F116" s="216">
        <v>-0.84617025176404947</v>
      </c>
      <c r="G116" s="216">
        <v>-6.1131972816916225</v>
      </c>
      <c r="H116" s="216">
        <v>-11.380224311619195</v>
      </c>
      <c r="I116" s="216">
        <v>-16.647251341546781</v>
      </c>
      <c r="J116" s="216">
        <v>-21.914278371474353</v>
      </c>
      <c r="K116" s="216">
        <v>-27.181305401401922</v>
      </c>
      <c r="L116" s="217">
        <v>-32.448332431329497</v>
      </c>
    </row>
    <row r="117" spans="2:12" ht="19">
      <c r="B117" s="208">
        <v>0.1</v>
      </c>
      <c r="C117" s="228">
        <f t="shared" si="1"/>
        <v>4293.1166666666668</v>
      </c>
      <c r="D117" s="329"/>
      <c r="E117" s="213">
        <v>915.75000000000011</v>
      </c>
      <c r="F117" s="214">
        <v>8.3216634074872395</v>
      </c>
      <c r="G117" s="214">
        <v>3.5334570166439918</v>
      </c>
      <c r="H117" s="214">
        <v>-1.254749374199255</v>
      </c>
      <c r="I117" s="216">
        <v>-6.0429557650425147</v>
      </c>
      <c r="J117" s="214">
        <v>-10.83116215588576</v>
      </c>
      <c r="K117" s="214">
        <v>-15.61936854672901</v>
      </c>
      <c r="L117" s="215">
        <v>-20.407574937572257</v>
      </c>
    </row>
    <row r="118" spans="2:12" ht="19">
      <c r="B118" s="208">
        <v>0.2</v>
      </c>
      <c r="C118" s="228">
        <f t="shared" si="1"/>
        <v>4683.3999999999996</v>
      </c>
      <c r="D118" s="329"/>
      <c r="E118" s="213">
        <v>999</v>
      </c>
      <c r="F118" s="214">
        <v>15.961524790196627</v>
      </c>
      <c r="G118" s="214">
        <v>11.572335598590316</v>
      </c>
      <c r="H118" s="214">
        <v>7.1831464069840045</v>
      </c>
      <c r="I118" s="216">
        <v>2.793957215377683</v>
      </c>
      <c r="J118" s="214">
        <v>-1.5952319762286276</v>
      </c>
      <c r="K118" s="214">
        <v>-5.9844211678349382</v>
      </c>
      <c r="L118" s="215">
        <v>-10.373610359441249</v>
      </c>
    </row>
    <row r="119" spans="2:12" ht="19">
      <c r="B119" s="208">
        <v>0.3</v>
      </c>
      <c r="C119" s="228">
        <f t="shared" si="1"/>
        <v>5073.6833333333334</v>
      </c>
      <c r="D119" s="329"/>
      <c r="E119" s="213">
        <v>1082.25</v>
      </c>
      <c r="F119" s="214">
        <v>22.426022883258423</v>
      </c>
      <c r="G119" s="214">
        <v>18.374463629467982</v>
      </c>
      <c r="H119" s="214">
        <v>14.322904375677542</v>
      </c>
      <c r="I119" s="216">
        <v>10.271345121887093</v>
      </c>
      <c r="J119" s="214">
        <v>6.2197858680966513</v>
      </c>
      <c r="K119" s="214">
        <v>2.1682266143062114</v>
      </c>
      <c r="L119" s="215">
        <v>-1.8833326394842291</v>
      </c>
    </row>
    <row r="121" spans="2:12">
      <c r="E121" s="39"/>
      <c r="F121" s="209">
        <v>-0.3</v>
      </c>
      <c r="G121" s="209">
        <v>-0.2</v>
      </c>
      <c r="H121" s="209">
        <v>-0.1</v>
      </c>
      <c r="I121" s="209">
        <v>0</v>
      </c>
      <c r="J121" s="209">
        <v>0.1</v>
      </c>
      <c r="K121" s="209">
        <v>0.2</v>
      </c>
      <c r="L121" s="209">
        <v>0.3</v>
      </c>
    </row>
    <row r="122" spans="2:12" ht="19">
      <c r="E122" s="208">
        <v>-0.3</v>
      </c>
      <c r="F122" s="219">
        <f t="shared" ref="F122:L128" si="2">((F113/$E$112)-1)*100</f>
        <v>-204.42363260570042</v>
      </c>
      <c r="G122" s="219">
        <f t="shared" si="2"/>
        <v>-222.2541149964924</v>
      </c>
      <c r="H122" s="219">
        <f t="shared" si="2"/>
        <v>-240.08459738728442</v>
      </c>
      <c r="I122" s="219">
        <f t="shared" si="2"/>
        <v>-257.91507977807646</v>
      </c>
      <c r="J122" s="219">
        <f t="shared" si="2"/>
        <v>-275.74556216886839</v>
      </c>
      <c r="K122" s="219">
        <f t="shared" si="2"/>
        <v>-293.57604455966043</v>
      </c>
      <c r="L122" s="219">
        <f t="shared" si="2"/>
        <v>-311.40652695045242</v>
      </c>
    </row>
    <row r="123" spans="2:12" ht="19">
      <c r="E123" s="208">
        <v>-0.2</v>
      </c>
      <c r="F123" s="219">
        <f t="shared" si="2"/>
        <v>-161.74927730441354</v>
      </c>
      <c r="G123" s="219">
        <f t="shared" si="2"/>
        <v>-177.35094939635653</v>
      </c>
      <c r="H123" s="219">
        <f t="shared" si="2"/>
        <v>-192.95262148829951</v>
      </c>
      <c r="I123" s="219">
        <f t="shared" si="2"/>
        <v>-208.5542935802425</v>
      </c>
      <c r="J123" s="219">
        <f t="shared" si="2"/>
        <v>-224.15596567218552</v>
      </c>
      <c r="K123" s="219">
        <f t="shared" si="2"/>
        <v>-239.75763776412853</v>
      </c>
      <c r="L123" s="219">
        <f t="shared" si="2"/>
        <v>-255.35930985607155</v>
      </c>
    </row>
    <row r="124" spans="2:12" ht="19">
      <c r="E124" s="208">
        <v>-0.1</v>
      </c>
      <c r="F124" s="219">
        <f t="shared" si="2"/>
        <v>-128.55811207007926</v>
      </c>
      <c r="G124" s="219">
        <f t="shared" si="2"/>
        <v>-142.42626504069526</v>
      </c>
      <c r="H124" s="219">
        <f t="shared" si="2"/>
        <v>-156.29441801131122</v>
      </c>
      <c r="I124" s="219">
        <f t="shared" si="2"/>
        <v>-170.16257098192727</v>
      </c>
      <c r="J124" s="219">
        <f t="shared" si="2"/>
        <v>-184.03072395254324</v>
      </c>
      <c r="K124" s="219">
        <f t="shared" si="2"/>
        <v>-197.89887692315924</v>
      </c>
      <c r="L124" s="219">
        <f t="shared" si="2"/>
        <v>-211.76702989377523</v>
      </c>
    </row>
    <row r="125" spans="2:12" ht="19">
      <c r="E125" s="208">
        <v>0</v>
      </c>
      <c r="F125" s="219">
        <f t="shared" si="2"/>
        <v>-102.00517988261186</v>
      </c>
      <c r="G125" s="219">
        <f t="shared" si="2"/>
        <v>-114.48651755616623</v>
      </c>
      <c r="H125" s="219">
        <f t="shared" si="2"/>
        <v>-126.96785522972063</v>
      </c>
      <c r="I125" s="219">
        <f t="shared" si="2"/>
        <v>-139.44919290327508</v>
      </c>
      <c r="J125" s="219">
        <f t="shared" si="2"/>
        <v>-151.93053057682943</v>
      </c>
      <c r="K125" s="219">
        <f t="shared" si="2"/>
        <v>-164.4118682503838</v>
      </c>
      <c r="L125" s="219">
        <f t="shared" si="2"/>
        <v>-176.89320592393821</v>
      </c>
    </row>
    <row r="126" spans="2:12" ht="19">
      <c r="E126" s="208">
        <v>0.1</v>
      </c>
      <c r="F126" s="219">
        <f t="shared" si="2"/>
        <v>-80.280053547411214</v>
      </c>
      <c r="G126" s="219">
        <f t="shared" si="2"/>
        <v>-91.626724159733385</v>
      </c>
      <c r="H126" s="219">
        <f t="shared" si="2"/>
        <v>-102.97339477205556</v>
      </c>
      <c r="I126" s="219">
        <f t="shared" si="2"/>
        <v>-114.32006538437776</v>
      </c>
      <c r="J126" s="219">
        <f t="shared" si="2"/>
        <v>-125.66673599669993</v>
      </c>
      <c r="K126" s="219">
        <f t="shared" si="2"/>
        <v>-137.0134066090221</v>
      </c>
      <c r="L126" s="219">
        <f t="shared" si="2"/>
        <v>-148.36007722134428</v>
      </c>
    </row>
    <row r="127" spans="2:12" ht="19">
      <c r="E127" s="208">
        <v>0.2</v>
      </c>
      <c r="F127" s="219">
        <f t="shared" si="2"/>
        <v>-62.175781601410726</v>
      </c>
      <c r="G127" s="219">
        <f t="shared" si="2"/>
        <v>-72.576896329372715</v>
      </c>
      <c r="H127" s="219">
        <f t="shared" si="2"/>
        <v>-82.978011057334712</v>
      </c>
      <c r="I127" s="219">
        <f t="shared" si="2"/>
        <v>-93.379125785296736</v>
      </c>
      <c r="J127" s="219">
        <f t="shared" si="2"/>
        <v>-103.78024051325872</v>
      </c>
      <c r="K127" s="219">
        <f t="shared" si="2"/>
        <v>-114.1813552412207</v>
      </c>
      <c r="L127" s="219">
        <f t="shared" si="2"/>
        <v>-124.58246996918272</v>
      </c>
    </row>
    <row r="128" spans="2:12" ht="19">
      <c r="E128" s="208">
        <v>0.3</v>
      </c>
      <c r="F128" s="219">
        <f t="shared" si="2"/>
        <v>-46.856782262487229</v>
      </c>
      <c r="G128" s="219">
        <f t="shared" si="2"/>
        <v>-56.457811242144452</v>
      </c>
      <c r="H128" s="219">
        <f t="shared" si="2"/>
        <v>-66.058840221801674</v>
      </c>
      <c r="I128" s="219">
        <f t="shared" si="2"/>
        <v>-75.659869201458918</v>
      </c>
      <c r="J128" s="219">
        <f t="shared" si="2"/>
        <v>-85.260898181116147</v>
      </c>
      <c r="K128" s="219">
        <f t="shared" si="2"/>
        <v>-94.861927160773362</v>
      </c>
      <c r="L128" s="219">
        <f t="shared" si="2"/>
        <v>-104.46295614043059</v>
      </c>
    </row>
    <row r="129" spans="1:13" ht="19">
      <c r="E129" s="208"/>
      <c r="F129" s="219"/>
      <c r="G129" s="219"/>
      <c r="H129" s="219"/>
      <c r="I129" s="219"/>
      <c r="J129" s="219"/>
      <c r="K129" s="219"/>
      <c r="L129" s="219"/>
    </row>
    <row r="130" spans="1:13" ht="19">
      <c r="E130" s="208"/>
      <c r="F130" s="219"/>
      <c r="G130" s="219"/>
      <c r="H130" s="219"/>
      <c r="I130" s="219"/>
      <c r="J130" s="219"/>
      <c r="K130" s="219"/>
      <c r="L130" s="219"/>
    </row>
    <row r="131" spans="1:13" ht="19">
      <c r="E131" s="208"/>
      <c r="F131" s="219"/>
      <c r="G131" s="219"/>
      <c r="H131" s="219"/>
      <c r="I131" s="219"/>
      <c r="J131" s="219"/>
      <c r="K131" s="219"/>
      <c r="L131" s="219"/>
    </row>
    <row r="132" spans="1:13" ht="19">
      <c r="E132" s="208"/>
      <c r="F132" s="219"/>
      <c r="G132" s="219"/>
      <c r="H132" s="219"/>
      <c r="I132" s="219"/>
      <c r="J132" s="219"/>
      <c r="K132" s="219"/>
      <c r="L132" s="219"/>
    </row>
    <row r="133" spans="1:13" ht="20" thickBot="1">
      <c r="A133" s="224"/>
      <c r="B133" s="224"/>
      <c r="C133" s="224"/>
      <c r="D133" s="224"/>
      <c r="E133" s="226"/>
      <c r="F133" s="227"/>
      <c r="G133" s="227"/>
      <c r="H133" s="227"/>
      <c r="I133" s="227"/>
      <c r="J133" s="227"/>
      <c r="K133" s="227"/>
      <c r="L133" s="227"/>
      <c r="M133" s="225"/>
    </row>
    <row r="134" spans="1:13" ht="20" thickTop="1">
      <c r="E134" s="208"/>
      <c r="F134" s="219"/>
      <c r="G134" s="219"/>
      <c r="H134" s="219"/>
      <c r="I134" s="219"/>
      <c r="J134" s="219"/>
      <c r="K134" s="219"/>
      <c r="L134" s="219"/>
    </row>
    <row r="135" spans="1:13" ht="19">
      <c r="E135" s="208"/>
      <c r="F135" s="219"/>
      <c r="G135" s="219"/>
      <c r="H135" s="219"/>
      <c r="I135" s="219"/>
      <c r="J135" s="219"/>
      <c r="K135" s="219"/>
      <c r="L135" s="219"/>
    </row>
    <row r="136" spans="1:13" ht="19">
      <c r="E136" s="208"/>
      <c r="F136" s="219"/>
      <c r="G136" s="219"/>
      <c r="H136" s="219"/>
      <c r="I136" s="219"/>
      <c r="J136" s="219"/>
      <c r="K136" s="219"/>
      <c r="L136" s="219"/>
    </row>
    <row r="137" spans="1:13" ht="19">
      <c r="E137" s="208"/>
      <c r="F137" s="219"/>
      <c r="G137" s="219"/>
      <c r="H137" s="219"/>
      <c r="I137" s="219"/>
      <c r="J137" s="219"/>
      <c r="K137" s="219"/>
      <c r="L137" s="219"/>
    </row>
    <row r="138" spans="1:13" ht="19">
      <c r="E138" s="208"/>
      <c r="F138" s="219"/>
      <c r="G138" s="219"/>
      <c r="H138" s="219"/>
      <c r="I138" s="219"/>
      <c r="J138" s="219"/>
      <c r="K138" s="219"/>
      <c r="L138" s="219"/>
    </row>
    <row r="139" spans="1:13" ht="19">
      <c r="E139" s="208"/>
      <c r="F139" s="219"/>
      <c r="G139" s="219"/>
      <c r="H139" s="219"/>
      <c r="I139" s="219"/>
      <c r="J139" s="219"/>
      <c r="K139" s="219"/>
      <c r="L139" s="219"/>
    </row>
    <row r="140" spans="1:13" ht="19">
      <c r="E140" s="208"/>
      <c r="F140" s="219"/>
      <c r="G140" s="219"/>
      <c r="H140" s="219"/>
      <c r="I140" s="219"/>
      <c r="J140" s="219"/>
      <c r="K140" s="219"/>
      <c r="L140" s="219"/>
    </row>
    <row r="141" spans="1:13" ht="19">
      <c r="E141" s="208"/>
      <c r="F141" s="219"/>
      <c r="G141" s="219"/>
      <c r="H141" s="219"/>
      <c r="I141" s="219"/>
      <c r="J141" s="219"/>
      <c r="K141" s="219"/>
      <c r="L141" s="219"/>
    </row>
    <row r="142" spans="1:13" ht="19">
      <c r="E142" s="208"/>
      <c r="F142" s="219"/>
      <c r="G142" s="219"/>
      <c r="H142" s="219"/>
      <c r="I142" s="219"/>
      <c r="J142" s="219"/>
      <c r="K142" s="219"/>
      <c r="L142" s="219"/>
    </row>
    <row r="143" spans="1:13" ht="19">
      <c r="E143" s="208"/>
      <c r="F143" s="219"/>
      <c r="G143" s="219"/>
      <c r="H143" s="219"/>
      <c r="I143" s="219"/>
      <c r="J143" s="219"/>
      <c r="K143" s="219"/>
      <c r="L143" s="219"/>
    </row>
    <row r="144" spans="1:13" ht="19">
      <c r="E144" s="208"/>
      <c r="F144" s="219"/>
      <c r="G144" s="219"/>
      <c r="H144" s="219"/>
      <c r="I144" s="219"/>
      <c r="J144" s="219"/>
      <c r="K144" s="219"/>
      <c r="L144" s="219"/>
    </row>
    <row r="145" spans="1:12" ht="19">
      <c r="E145" s="208"/>
      <c r="F145" s="219"/>
      <c r="G145" s="219"/>
      <c r="H145" s="219"/>
      <c r="I145" s="219"/>
      <c r="J145" s="219"/>
      <c r="K145" s="219"/>
      <c r="L145" s="219"/>
    </row>
    <row r="146" spans="1:12" ht="19">
      <c r="E146" s="208"/>
      <c r="F146" s="219"/>
      <c r="G146" s="219"/>
      <c r="H146" s="219"/>
      <c r="I146" s="219"/>
      <c r="J146" s="219"/>
      <c r="K146" s="219"/>
      <c r="L146" s="219"/>
    </row>
    <row r="147" spans="1:12" ht="19">
      <c r="E147" s="208"/>
      <c r="F147" s="219"/>
      <c r="G147" s="219"/>
      <c r="H147" s="219"/>
      <c r="I147" s="219"/>
      <c r="J147" s="219"/>
      <c r="K147" s="219"/>
      <c r="L147" s="219"/>
    </row>
    <row r="148" spans="1:12" ht="19">
      <c r="E148" s="208"/>
      <c r="F148" s="219"/>
      <c r="G148" s="219"/>
      <c r="H148" s="219"/>
      <c r="I148" s="219"/>
      <c r="J148" s="219"/>
      <c r="K148" s="219"/>
      <c r="L148" s="219"/>
    </row>
    <row r="149" spans="1:12" ht="19">
      <c r="E149" s="208"/>
      <c r="F149" s="219"/>
      <c r="G149" s="219"/>
      <c r="H149" s="219"/>
      <c r="I149" s="219"/>
      <c r="J149" s="219"/>
      <c r="K149" s="219"/>
      <c r="L149" s="219"/>
    </row>
    <row r="151" spans="1:12" ht="22" thickBot="1">
      <c r="A151" s="220"/>
      <c r="B151" s="221"/>
      <c r="C151" s="221"/>
      <c r="D151" s="222"/>
      <c r="E151" s="223"/>
      <c r="F151" s="224"/>
      <c r="G151" s="224"/>
      <c r="H151" s="224"/>
      <c r="I151" s="224"/>
      <c r="J151" s="224"/>
      <c r="K151" s="224"/>
      <c r="L151" s="225"/>
    </row>
    <row r="152" spans="1:12" ht="20" thickTop="1">
      <c r="E152" s="208"/>
      <c r="F152" s="219"/>
      <c r="G152" s="219"/>
      <c r="H152" s="219"/>
      <c r="I152" s="219"/>
      <c r="J152" s="219"/>
      <c r="K152" s="219"/>
      <c r="L152" s="219"/>
    </row>
    <row r="153" spans="1:12" ht="19">
      <c r="E153" s="208"/>
      <c r="F153" s="219"/>
      <c r="G153" s="219"/>
      <c r="H153" s="219"/>
      <c r="I153" s="219"/>
      <c r="J153" s="219"/>
      <c r="K153" s="219"/>
      <c r="L153" s="219"/>
    </row>
    <row r="154" spans="1:12" ht="19">
      <c r="E154" s="208"/>
      <c r="F154" s="219"/>
      <c r="G154" s="219"/>
      <c r="H154" s="219"/>
      <c r="I154" s="219"/>
      <c r="J154" s="219"/>
      <c r="K154" s="219"/>
      <c r="L154" s="219"/>
    </row>
    <row r="155" spans="1:12" ht="19">
      <c r="E155" s="208"/>
      <c r="F155" s="219"/>
      <c r="G155" s="219"/>
      <c r="H155" s="219"/>
      <c r="I155" s="219"/>
      <c r="J155" s="219"/>
      <c r="K155" s="219"/>
      <c r="L155" s="219"/>
    </row>
    <row r="156" spans="1:12" ht="19">
      <c r="E156" s="208"/>
      <c r="F156" s="219"/>
      <c r="G156" s="219"/>
      <c r="H156" s="219"/>
      <c r="I156" s="219"/>
      <c r="J156" s="219"/>
      <c r="K156" s="219"/>
      <c r="L156" s="219"/>
    </row>
    <row r="157" spans="1:12" ht="19">
      <c r="E157" s="208"/>
      <c r="F157" s="219"/>
      <c r="G157" s="219"/>
      <c r="H157" s="219"/>
      <c r="I157" s="219"/>
      <c r="J157" s="219"/>
      <c r="K157" s="219"/>
      <c r="L157" s="219"/>
    </row>
    <row r="158" spans="1:12" ht="19">
      <c r="E158" s="208"/>
      <c r="F158" s="219"/>
      <c r="G158" s="219"/>
      <c r="H158" s="219"/>
      <c r="I158" s="219"/>
      <c r="J158" s="219"/>
      <c r="K158" s="219"/>
      <c r="L158" s="219"/>
    </row>
    <row r="159" spans="1:12" ht="19">
      <c r="E159" s="208"/>
      <c r="F159" s="219"/>
      <c r="G159" s="219"/>
      <c r="H159" s="219"/>
      <c r="I159" s="219"/>
      <c r="J159" s="219"/>
      <c r="K159" s="219"/>
      <c r="L159" s="219"/>
    </row>
    <row r="160" spans="1:12" ht="32" customHeight="1">
      <c r="B160" s="328" t="s">
        <v>228</v>
      </c>
      <c r="C160" s="328"/>
      <c r="D160" s="328"/>
      <c r="E160" s="328"/>
      <c r="F160" s="328"/>
    </row>
    <row r="163" spans="2:12" ht="21">
      <c r="F163" s="327" t="s">
        <v>223</v>
      </c>
      <c r="G163" s="327"/>
      <c r="H163" s="327"/>
      <c r="I163" s="327"/>
      <c r="J163" s="327"/>
      <c r="K163" s="327"/>
      <c r="L163" s="327"/>
    </row>
    <row r="164" spans="2:12">
      <c r="F164" s="209">
        <v>-0.3</v>
      </c>
      <c r="G164" s="209">
        <v>-0.2</v>
      </c>
      <c r="H164" s="209">
        <v>-0.1</v>
      </c>
      <c r="I164" s="209">
        <v>0</v>
      </c>
      <c r="J164" s="209">
        <v>0.1</v>
      </c>
      <c r="K164" s="209">
        <v>0.2</v>
      </c>
      <c r="L164" s="209">
        <v>0.3</v>
      </c>
    </row>
    <row r="165" spans="2:12">
      <c r="F165" s="210">
        <f>$D$24+($D$24*F164)</f>
        <v>1206.2818440391861</v>
      </c>
      <c r="G165" s="210">
        <f t="shared" ref="G165:L165" si="3">$D$24+($D$24*G164)</f>
        <v>1378.6078217590698</v>
      </c>
      <c r="H165" s="210">
        <f t="shared" si="3"/>
        <v>1550.9337994789535</v>
      </c>
      <c r="I165" s="210">
        <f t="shared" si="3"/>
        <v>1723.2597771988371</v>
      </c>
      <c r="J165" s="210">
        <f t="shared" si="3"/>
        <v>1895.5857549187208</v>
      </c>
      <c r="K165" s="210">
        <f t="shared" si="3"/>
        <v>2067.9117326386045</v>
      </c>
      <c r="L165" s="210">
        <f t="shared" si="3"/>
        <v>2240.2377103584881</v>
      </c>
    </row>
    <row r="167" spans="2:12" ht="19">
      <c r="E167" s="211">
        <f>D45</f>
        <v>2179.5735561344964</v>
      </c>
      <c r="F167" s="212">
        <v>306.93600016902951</v>
      </c>
      <c r="G167" s="212">
        <v>350.78400019317661</v>
      </c>
      <c r="H167" s="212">
        <v>394.63200021732365</v>
      </c>
      <c r="I167" s="212">
        <v>438.48000024147075</v>
      </c>
      <c r="J167" s="212">
        <v>482.32800026561785</v>
      </c>
      <c r="K167" s="212">
        <v>526.17600028976494</v>
      </c>
      <c r="L167" s="212">
        <v>570.02400031391198</v>
      </c>
    </row>
    <row r="168" spans="2:12" ht="19">
      <c r="B168" s="208">
        <v>-0.3</v>
      </c>
      <c r="C168" s="228">
        <f>$C$15*(1+B168)</f>
        <v>2731.9833333333331</v>
      </c>
      <c r="E168" s="213">
        <v>582.75</v>
      </c>
      <c r="F168" s="214">
        <f t="dataTable" ref="F168:L174" dt2D="1" dtr="1" r1="D24" r2="C15" ca="1"/>
        <v>275.81399983097049</v>
      </c>
      <c r="G168" s="214">
        <v>231.96599980682339</v>
      </c>
      <c r="H168" s="214">
        <v>188.11799978267635</v>
      </c>
      <c r="I168" s="216">
        <v>144.26999975852925</v>
      </c>
      <c r="J168" s="214">
        <v>100.42199973438215</v>
      </c>
      <c r="K168" s="214">
        <v>56.573999710235057</v>
      </c>
      <c r="L168" s="215">
        <v>12.725999686088016</v>
      </c>
    </row>
    <row r="169" spans="2:12" ht="19">
      <c r="B169" s="208">
        <v>-0.2</v>
      </c>
      <c r="C169" s="228">
        <f t="shared" ref="C169:C174" si="4">$C$15*(1+B169)</f>
        <v>3122.2666666666669</v>
      </c>
      <c r="E169" s="213">
        <v>666</v>
      </c>
      <c r="F169" s="214">
        <v>359.06399983097049</v>
      </c>
      <c r="G169" s="214">
        <v>315.21599980682339</v>
      </c>
      <c r="H169" s="214">
        <v>271.36799978267635</v>
      </c>
      <c r="I169" s="216">
        <v>227.51999975852925</v>
      </c>
      <c r="J169" s="214">
        <v>183.67199973438215</v>
      </c>
      <c r="K169" s="214">
        <v>139.82399971023506</v>
      </c>
      <c r="L169" s="215">
        <v>95.975999686088016</v>
      </c>
    </row>
    <row r="170" spans="2:12" ht="19">
      <c r="B170" s="208">
        <v>-0.1</v>
      </c>
      <c r="C170" s="228">
        <f t="shared" si="4"/>
        <v>3512.55</v>
      </c>
      <c r="E170" s="213">
        <v>749.25</v>
      </c>
      <c r="F170" s="214">
        <v>442.31399983097049</v>
      </c>
      <c r="G170" s="214">
        <v>398.46599980682339</v>
      </c>
      <c r="H170" s="214">
        <v>354.61799978267635</v>
      </c>
      <c r="I170" s="216">
        <v>310.76999975852925</v>
      </c>
      <c r="J170" s="214">
        <v>266.92199973438215</v>
      </c>
      <c r="K170" s="214">
        <v>223.07399971023506</v>
      </c>
      <c r="L170" s="215">
        <v>179.22599968608802</v>
      </c>
    </row>
    <row r="171" spans="2:12" ht="19">
      <c r="B171" s="208">
        <v>0</v>
      </c>
      <c r="C171" s="228">
        <f t="shared" si="4"/>
        <v>3902.8333333333335</v>
      </c>
      <c r="E171" s="213">
        <v>832.5</v>
      </c>
      <c r="F171" s="216">
        <v>525.56399983097049</v>
      </c>
      <c r="G171" s="216">
        <v>481.71599980682339</v>
      </c>
      <c r="H171" s="216">
        <v>437.86799978267635</v>
      </c>
      <c r="I171" s="216">
        <v>394.01999975852925</v>
      </c>
      <c r="J171" s="216">
        <v>350.17199973438215</v>
      </c>
      <c r="K171" s="216">
        <v>306.32399971023506</v>
      </c>
      <c r="L171" s="217">
        <v>262.47599968608802</v>
      </c>
    </row>
    <row r="172" spans="2:12" ht="19">
      <c r="B172" s="208">
        <v>0.1</v>
      </c>
      <c r="C172" s="228">
        <f t="shared" si="4"/>
        <v>4293.1166666666668</v>
      </c>
      <c r="E172" s="213">
        <v>915.75000000000011</v>
      </c>
      <c r="F172" s="214">
        <v>608.8139998309706</v>
      </c>
      <c r="G172" s="214">
        <v>564.96599980682345</v>
      </c>
      <c r="H172" s="214">
        <v>521.11799978267641</v>
      </c>
      <c r="I172" s="216">
        <v>477.26999975852937</v>
      </c>
      <c r="J172" s="214">
        <v>433.42199973438227</v>
      </c>
      <c r="K172" s="214">
        <v>389.57399971023517</v>
      </c>
      <c r="L172" s="215">
        <v>345.72599968608813</v>
      </c>
    </row>
    <row r="173" spans="2:12" ht="19">
      <c r="B173" s="208">
        <v>0.2</v>
      </c>
      <c r="C173" s="228">
        <f t="shared" si="4"/>
        <v>4683.3999999999996</v>
      </c>
      <c r="E173" s="213">
        <v>999</v>
      </c>
      <c r="F173" s="214">
        <v>692.06399983097049</v>
      </c>
      <c r="G173" s="214">
        <v>648.21599980682345</v>
      </c>
      <c r="H173" s="214">
        <v>604.36799978267641</v>
      </c>
      <c r="I173" s="216">
        <v>560.51999975852925</v>
      </c>
      <c r="J173" s="214">
        <v>516.6719997343821</v>
      </c>
      <c r="K173" s="214">
        <v>472.82399971023506</v>
      </c>
      <c r="L173" s="215">
        <v>428.97599968608802</v>
      </c>
    </row>
    <row r="174" spans="2:12" ht="19">
      <c r="B174" s="208">
        <v>0.3</v>
      </c>
      <c r="C174" s="228">
        <f t="shared" si="4"/>
        <v>5073.6833333333334</v>
      </c>
      <c r="E174" s="213">
        <v>1082.25</v>
      </c>
      <c r="F174" s="214">
        <v>775.31399983097049</v>
      </c>
      <c r="G174" s="214">
        <v>731.46599980682345</v>
      </c>
      <c r="H174" s="214">
        <v>687.61799978267641</v>
      </c>
      <c r="I174" s="216">
        <v>643.76999975852925</v>
      </c>
      <c r="J174" s="214">
        <v>599.9219997343821</v>
      </c>
      <c r="K174" s="214">
        <v>556.07399971023506</v>
      </c>
      <c r="L174" s="215">
        <v>512.22599968608802</v>
      </c>
    </row>
    <row r="176" spans="2:12">
      <c r="E176" s="39"/>
      <c r="F176" s="209">
        <v>-0.3</v>
      </c>
      <c r="G176" s="209">
        <v>-0.2</v>
      </c>
      <c r="H176" s="209">
        <v>-0.1</v>
      </c>
      <c r="I176" s="209">
        <v>0</v>
      </c>
      <c r="J176" s="209">
        <v>0.1</v>
      </c>
      <c r="K176" s="209">
        <v>0.2</v>
      </c>
      <c r="L176" s="209">
        <v>0.3</v>
      </c>
    </row>
    <row r="177" spans="2:13" ht="19">
      <c r="E177" s="208">
        <v>-0.3</v>
      </c>
      <c r="F177" s="219">
        <f t="shared" ref="F177:L183" si="5">((F168/$E$167)-1)*100</f>
        <v>-87.345506231956207</v>
      </c>
      <c r="G177" s="219">
        <f t="shared" si="5"/>
        <v>-89.357275915100644</v>
      </c>
      <c r="H177" s="219">
        <f t="shared" si="5"/>
        <v>-91.369045598245094</v>
      </c>
      <c r="I177" s="219">
        <f t="shared" si="5"/>
        <v>-93.380815281389545</v>
      </c>
      <c r="J177" s="219">
        <f t="shared" si="5"/>
        <v>-95.392584964533981</v>
      </c>
      <c r="K177" s="219">
        <f t="shared" si="5"/>
        <v>-97.404354647678431</v>
      </c>
      <c r="L177" s="219">
        <f t="shared" si="5"/>
        <v>-99.416124330822868</v>
      </c>
    </row>
    <row r="178" spans="2:13" ht="19">
      <c r="E178" s="208">
        <v>-0.2</v>
      </c>
      <c r="F178" s="219">
        <f t="shared" si="5"/>
        <v>-83.525951724805509</v>
      </c>
      <c r="G178" s="219">
        <f t="shared" si="5"/>
        <v>-85.537721407949945</v>
      </c>
      <c r="H178" s="219">
        <f t="shared" si="5"/>
        <v>-87.549491091094396</v>
      </c>
      <c r="I178" s="219">
        <f t="shared" si="5"/>
        <v>-89.561260774238832</v>
      </c>
      <c r="J178" s="219">
        <f t="shared" si="5"/>
        <v>-91.573030457383283</v>
      </c>
      <c r="K178" s="219">
        <f t="shared" si="5"/>
        <v>-93.584800140527719</v>
      </c>
      <c r="L178" s="219">
        <f t="shared" si="5"/>
        <v>-95.596569823672169</v>
      </c>
    </row>
    <row r="179" spans="2:13" ht="19">
      <c r="E179" s="208">
        <v>-0.1</v>
      </c>
      <c r="F179" s="219">
        <f t="shared" si="5"/>
        <v>-79.706397217654796</v>
      </c>
      <c r="G179" s="219">
        <f t="shared" si="5"/>
        <v>-81.718166900799233</v>
      </c>
      <c r="H179" s="219">
        <f t="shared" si="5"/>
        <v>-83.729936583943683</v>
      </c>
      <c r="I179" s="219">
        <f t="shared" si="5"/>
        <v>-85.741706267088119</v>
      </c>
      <c r="J179" s="219">
        <f t="shared" si="5"/>
        <v>-87.75347595023257</v>
      </c>
      <c r="K179" s="219">
        <f t="shared" si="5"/>
        <v>-89.76524563337702</v>
      </c>
      <c r="L179" s="219">
        <f t="shared" si="5"/>
        <v>-91.777015316521471</v>
      </c>
    </row>
    <row r="180" spans="2:13" ht="19">
      <c r="E180" s="208">
        <v>0</v>
      </c>
      <c r="F180" s="219">
        <f t="shared" si="5"/>
        <v>-75.886842710504098</v>
      </c>
      <c r="G180" s="219">
        <f t="shared" si="5"/>
        <v>-77.898612393648534</v>
      </c>
      <c r="H180" s="219">
        <f t="shared" si="5"/>
        <v>-79.910382076792985</v>
      </c>
      <c r="I180" s="219">
        <f t="shared" si="5"/>
        <v>-81.922151759937421</v>
      </c>
      <c r="J180" s="219">
        <f t="shared" si="5"/>
        <v>-83.933921443081871</v>
      </c>
      <c r="K180" s="219">
        <f t="shared" si="5"/>
        <v>-85.945691126226322</v>
      </c>
      <c r="L180" s="219">
        <f t="shared" si="5"/>
        <v>-87.957460809370772</v>
      </c>
    </row>
    <row r="181" spans="2:13" ht="19">
      <c r="E181" s="208">
        <v>0.1</v>
      </c>
      <c r="F181" s="219">
        <f t="shared" si="5"/>
        <v>-72.067288203353385</v>
      </c>
      <c r="G181" s="219">
        <f t="shared" si="5"/>
        <v>-74.079057886497836</v>
      </c>
      <c r="H181" s="219">
        <f t="shared" si="5"/>
        <v>-76.090827569642272</v>
      </c>
      <c r="I181" s="219">
        <f t="shared" si="5"/>
        <v>-78.102597252786722</v>
      </c>
      <c r="J181" s="219">
        <f t="shared" si="5"/>
        <v>-80.114366935931173</v>
      </c>
      <c r="K181" s="219">
        <f t="shared" si="5"/>
        <v>-82.126136619075623</v>
      </c>
      <c r="L181" s="219">
        <f t="shared" si="5"/>
        <v>-84.13790630222006</v>
      </c>
    </row>
    <row r="182" spans="2:13" ht="19">
      <c r="E182" s="208">
        <v>0.2</v>
      </c>
      <c r="F182" s="219">
        <f t="shared" si="5"/>
        <v>-68.247733696202701</v>
      </c>
      <c r="G182" s="219">
        <f t="shared" si="5"/>
        <v>-70.259503379347137</v>
      </c>
      <c r="H182" s="219">
        <f t="shared" si="5"/>
        <v>-72.271273062491574</v>
      </c>
      <c r="I182" s="219">
        <f t="shared" si="5"/>
        <v>-74.283042745636024</v>
      </c>
      <c r="J182" s="219">
        <f t="shared" si="5"/>
        <v>-76.29481242878046</v>
      </c>
      <c r="K182" s="219">
        <f t="shared" si="5"/>
        <v>-78.306582111924911</v>
      </c>
      <c r="L182" s="219">
        <f t="shared" si="5"/>
        <v>-80.318351795069361</v>
      </c>
    </row>
    <row r="183" spans="2:13" ht="19">
      <c r="E183" s="208">
        <v>0.3</v>
      </c>
      <c r="F183" s="219">
        <f t="shared" si="5"/>
        <v>-64.428179189051988</v>
      </c>
      <c r="G183" s="219">
        <f t="shared" si="5"/>
        <v>-66.439948872196425</v>
      </c>
      <c r="H183" s="219">
        <f t="shared" si="5"/>
        <v>-68.451718555340875</v>
      </c>
      <c r="I183" s="219">
        <f t="shared" si="5"/>
        <v>-70.463488238485311</v>
      </c>
      <c r="J183" s="219">
        <f t="shared" si="5"/>
        <v>-72.475257921629762</v>
      </c>
      <c r="K183" s="219">
        <f t="shared" si="5"/>
        <v>-74.487027604774212</v>
      </c>
      <c r="L183" s="219">
        <f t="shared" si="5"/>
        <v>-76.498797287918663</v>
      </c>
    </row>
    <row r="190" spans="2:13" ht="22" thickBot="1">
      <c r="B190" s="220"/>
      <c r="C190" s="221"/>
      <c r="D190" s="221"/>
      <c r="E190" s="222"/>
      <c r="F190" s="223"/>
      <c r="G190" s="224"/>
      <c r="H190" s="224"/>
      <c r="I190" s="224"/>
      <c r="J190" s="224"/>
      <c r="K190" s="224"/>
      <c r="L190" s="224"/>
      <c r="M190" s="225"/>
    </row>
    <row r="191" spans="2:13" ht="22" thickTop="1">
      <c r="B191" s="178"/>
      <c r="C191" s="192"/>
      <c r="D191" s="192"/>
      <c r="E191" s="197"/>
      <c r="F191" s="196"/>
    </row>
  </sheetData>
  <mergeCells count="10">
    <mergeCell ref="B11:C11"/>
    <mergeCell ref="B18:F18"/>
    <mergeCell ref="B27:F27"/>
    <mergeCell ref="B42:F42"/>
    <mergeCell ref="B34:F34"/>
    <mergeCell ref="B105:F105"/>
    <mergeCell ref="F108:L108"/>
    <mergeCell ref="D112:D119"/>
    <mergeCell ref="B160:F160"/>
    <mergeCell ref="F163:L163"/>
  </mergeCells>
  <pageMargins left="0.511811024" right="0.511811024" top="0.78740157499999996" bottom="0.78740157499999996" header="0.31496062000000002" footer="0.31496062000000002"/>
  <pageSetup orientation="portrait" horizontalDpi="4294967293" r:id="rId1"/>
  <ignoredErrors>
    <ignoredError sqref="B34:F34" unlockedFormula="1"/>
    <ignoredError sqref="C15" formula="1"/>
  </ignoredErrors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77B1-F083-4010-B9DB-DD0F14E0020B}">
  <dimension ref="A2:N191"/>
  <sheetViews>
    <sheetView showGridLines="0" topLeftCell="A4" zoomScale="55" zoomScaleNormal="55" workbookViewId="0">
      <selection activeCell="M23" sqref="M23"/>
    </sheetView>
  </sheetViews>
  <sheetFormatPr baseColWidth="10" defaultColWidth="9.1640625" defaultRowHeight="15"/>
  <cols>
    <col min="1" max="1" width="3.33203125" bestFit="1" customWidth="1"/>
    <col min="2" max="2" width="49.6640625" bestFit="1" customWidth="1"/>
    <col min="3" max="3" width="16.33203125" customWidth="1"/>
    <col min="4" max="4" width="12" customWidth="1"/>
    <col min="5" max="5" width="27.6640625" bestFit="1" customWidth="1"/>
    <col min="6" max="6" width="19.33203125" bestFit="1" customWidth="1"/>
    <col min="7" max="8" width="12" bestFit="1" customWidth="1"/>
    <col min="9" max="9" width="11.6640625" bestFit="1" customWidth="1"/>
    <col min="10" max="10" width="11.6640625" customWidth="1"/>
    <col min="11" max="12" width="12" bestFit="1" customWidth="1"/>
    <col min="13" max="13" width="17.6640625" style="171" customWidth="1"/>
    <col min="14" max="14" width="15.6640625" style="171" bestFit="1" customWidth="1"/>
  </cols>
  <sheetData>
    <row r="2" spans="2:14" ht="57.75" customHeight="1"/>
    <row r="9" spans="2:14">
      <c r="C9" s="176"/>
    </row>
    <row r="11" spans="2:14" ht="27" customHeight="1">
      <c r="B11" s="330" t="s">
        <v>91</v>
      </c>
      <c r="C11" s="330"/>
    </row>
    <row r="12" spans="2:14" ht="19">
      <c r="B12" s="177" t="s">
        <v>30</v>
      </c>
      <c r="C12" s="198">
        <f>'Informações Gerais'!$E$16</f>
        <v>6</v>
      </c>
    </row>
    <row r="13" spans="2:14" ht="19">
      <c r="B13" s="177" t="s">
        <v>83</v>
      </c>
      <c r="C13" s="198">
        <f>'Atividades_Condução '!L24/'Atividades_Condução '!M24</f>
        <v>1042.4999999999998</v>
      </c>
    </row>
    <row r="14" spans="2:14" ht="19">
      <c r="B14" s="177" t="s">
        <v>86</v>
      </c>
      <c r="C14" s="198">
        <f>C12*C13</f>
        <v>6254.9999999999982</v>
      </c>
    </row>
    <row r="15" spans="2:14" ht="19">
      <c r="B15" s="177" t="s">
        <v>89</v>
      </c>
      <c r="C15" s="190">
        <f>'Informações Gerais'!$E$28</f>
        <v>3902.8333333333335</v>
      </c>
    </row>
    <row r="16" spans="2:14" ht="24">
      <c r="B16" s="177" t="s">
        <v>90</v>
      </c>
      <c r="C16" s="190">
        <f>C14*C15</f>
        <v>24412222.499999993</v>
      </c>
      <c r="J16" s="201" t="s">
        <v>198</v>
      </c>
      <c r="K16" s="202" t="s">
        <v>185</v>
      </c>
      <c r="L16" s="202" t="s">
        <v>186</v>
      </c>
      <c r="M16" s="201" t="s">
        <v>199</v>
      </c>
      <c r="N16" s="201" t="s">
        <v>24</v>
      </c>
    </row>
    <row r="17" spans="2:14" ht="19">
      <c r="J17" s="203" t="s">
        <v>200</v>
      </c>
      <c r="K17" s="204"/>
      <c r="L17" s="204"/>
      <c r="M17" s="205">
        <f>IF(ISERROR((((SUM(Inventário!$E$29,Inventário!$E$50,Inventário!$E$64,Inventário!$E$85,Inventário!$E$101))/2)+(('Informações Gerais'!$E$16*Inventário!$C$12)/2)+('Informações Gerais'!$E$16*'Juros de Custeio_Uso da Terra'!$F$9))),0,((((SUM(Inventário!$E$29,Inventário!$E$50,Inventário!$E$64,Inventário!$E$85,Inventário!$E$101))/2)+(('Informações Gerais'!$E$16*Inventário!$C$12)/2)+('Informações Gerais'!$E$16*'Juros de Custeio_Uso da Terra'!$F$9))))</f>
        <v>425343.16307401942</v>
      </c>
      <c r="N17" s="203" t="s">
        <v>201</v>
      </c>
    </row>
    <row r="18" spans="2:14" s="171" customFormat="1" ht="27" customHeight="1">
      <c r="B18" s="330" t="s">
        <v>63</v>
      </c>
      <c r="C18" s="330"/>
      <c r="D18" s="330"/>
      <c r="E18" s="330"/>
      <c r="F18" s="330"/>
      <c r="J18" s="203" t="s">
        <v>202</v>
      </c>
      <c r="K18" s="204"/>
      <c r="L18" s="204"/>
      <c r="M18" s="205">
        <f>IF(ISERROR((((SUM(Inventário!$E$29,Inventário!$E$50,Inventário!$E$64,Inventário!$E$85,Inventário!$E$101))/2))),0,((((SUM(Inventário!$E$29,Inventário!$E$50,Inventário!$E$64,Inventário!$E$85,Inventário!$E$101))/2))))</f>
        <v>149343.16307401942</v>
      </c>
      <c r="N18" s="203" t="s">
        <v>201</v>
      </c>
    </row>
    <row r="19" spans="2:14" ht="21">
      <c r="B19" s="178"/>
      <c r="C19" s="131" t="s">
        <v>66</v>
      </c>
      <c r="D19" s="131" t="s">
        <v>92</v>
      </c>
      <c r="E19" s="131" t="s">
        <v>25</v>
      </c>
      <c r="F19" s="131" t="s">
        <v>117</v>
      </c>
      <c r="J19" s="203" t="s">
        <v>203</v>
      </c>
      <c r="K19" s="204"/>
      <c r="L19" s="204"/>
      <c r="M19" s="205">
        <f>IF(ISERROR($C$48/$C$13),0,($C$48/$C$13))</f>
        <v>68.000505687293298</v>
      </c>
      <c r="N19" s="203" t="s">
        <v>204</v>
      </c>
    </row>
    <row r="20" spans="2:14" ht="19">
      <c r="B20" s="179" t="s">
        <v>38</v>
      </c>
      <c r="C20" s="186">
        <f>'Atividades_Condução '!$H$102</f>
        <v>21820.347726976986</v>
      </c>
      <c r="D20" s="186">
        <f>Tabela5712[[#This Row],[Coluna2]]/$C$13</f>
        <v>20.930789186548672</v>
      </c>
      <c r="E20" s="186">
        <f>'Atividades_Condução '!$I$102</f>
        <v>130922.0863618619</v>
      </c>
      <c r="F20" s="189">
        <f>IF(ISERROR($C$20/$C$24),0,($C$20/$C$24))</f>
        <v>0.8441500624065712</v>
      </c>
      <c r="J20" s="203" t="s">
        <v>205</v>
      </c>
      <c r="K20" s="204"/>
      <c r="L20" s="204"/>
      <c r="M20" s="205">
        <f>SUM('Pessoas MOB'!K24,'Pessoas MOB'!K30,'Pessoas MOB'!K46,Atividade_ColheitaePós!G19)/C14</f>
        <v>3.8225419664268596</v>
      </c>
      <c r="N20" s="203" t="s">
        <v>204</v>
      </c>
    </row>
    <row r="21" spans="2:14" ht="19">
      <c r="B21" s="179" t="s">
        <v>37</v>
      </c>
      <c r="C21" s="186">
        <f>Atividade_ColheitaePós!$F$43</f>
        <v>581.07142857142856</v>
      </c>
      <c r="D21" s="186">
        <f>Tabela5712[[#This Row],[Coluna2]]/$C$13</f>
        <v>0.55738266529633451</v>
      </c>
      <c r="E21" s="186">
        <f>Atividade_ColheitaePós!$G$43</f>
        <v>3486.4285714285716</v>
      </c>
      <c r="F21" s="189">
        <f>IF(ISERROR($C$21/$C$24),0,($C$21/$C$24))</f>
        <v>2.2479544727182169E-2</v>
      </c>
      <c r="J21" s="203" t="s">
        <v>206</v>
      </c>
      <c r="K21" s="204"/>
      <c r="L21" s="204"/>
      <c r="M21" s="205">
        <f>IF(ISERROR(('Juros de Custeio_Uso da Terra'!$F$18*Análise!$C$12)),0,('Juros de Custeio_Uso da Terra'!$F$18*Análise!$C$12))</f>
        <v>3908.1384916440948</v>
      </c>
      <c r="N21" s="203" t="s">
        <v>201</v>
      </c>
    </row>
    <row r="22" spans="2:14" ht="19">
      <c r="B22" s="179" t="s">
        <v>39</v>
      </c>
      <c r="C22" s="186">
        <f>'Gastos Gerais'!$E$42</f>
        <v>2796.1210871601297</v>
      </c>
      <c r="D22" s="186">
        <f>Tabela5712[[#This Row],[Coluna2]]/$C$13</f>
        <v>2.6821305392423311</v>
      </c>
      <c r="E22" s="186">
        <f>IF(ISERROR($C$22*'Informações Gerais'!$E$16),0,($C$22*'Informações Gerais'!$E$16))</f>
        <v>16776.72652296078</v>
      </c>
      <c r="F22" s="189">
        <f>IF(ISERROR($C$22/$C$24),0,($C$22/$C$24))</f>
        <v>0.10817177708421231</v>
      </c>
      <c r="J22" s="203" t="s">
        <v>207</v>
      </c>
      <c r="K22" s="204"/>
      <c r="L22" s="204"/>
      <c r="M22" s="205">
        <f>M21/C14</f>
        <v>0.62480231680960763</v>
      </c>
      <c r="N22" s="203" t="s">
        <v>204</v>
      </c>
    </row>
    <row r="23" spans="2:14" ht="19">
      <c r="B23" s="179" t="s">
        <v>145</v>
      </c>
      <c r="C23" s="186">
        <f>IF(ISERROR('Juros de Custeio_Uso da Terra'!$F$18),0,('Juros de Custeio_Uso da Terra'!$F$18))</f>
        <v>651.35641527401583</v>
      </c>
      <c r="D23" s="186">
        <f>Tabela5712[[#This Row],[Coluna2]]/$C$13</f>
        <v>0.62480231680960763</v>
      </c>
      <c r="E23" s="186">
        <f>IF(ISERROR($C$23*'Informações Gerais'!E$16),0,($C$23*'Informações Gerais'!E$16))</f>
        <v>3908.1384916440948</v>
      </c>
      <c r="F23" s="189">
        <f>IF(ISERROR($C$23/$C$24),0,($C$23/$C$24))</f>
        <v>2.519861578203441E-2</v>
      </c>
      <c r="J23" s="203" t="s">
        <v>208</v>
      </c>
      <c r="K23" s="203"/>
      <c r="L23" s="203"/>
      <c r="M23" s="205">
        <f>D46/D44*100</f>
        <v>99.275247745288993</v>
      </c>
      <c r="N23" s="203" t="s">
        <v>181</v>
      </c>
    </row>
    <row r="24" spans="2:14" ht="21">
      <c r="B24" s="178" t="s">
        <v>36</v>
      </c>
      <c r="C24" s="190">
        <f>IF(ISERROR(SUM(C20:C23)),0,(SUM(C20:C23)))</f>
        <v>25848.896657982557</v>
      </c>
      <c r="D24" s="190">
        <f>IF(ISERROR(SUM(D20:D23)),0,(SUM(D20:D23)))</f>
        <v>24.795104707896943</v>
      </c>
      <c r="E24" s="190">
        <f>IF(ISERROR(SUM(E20:E23)),0,(SUM(E20:E23)))</f>
        <v>155093.37994789536</v>
      </c>
      <c r="F24" s="191">
        <f>SUM(F20:F23)</f>
        <v>1</v>
      </c>
      <c r="J24" s="203" t="s">
        <v>209</v>
      </c>
      <c r="K24" s="204"/>
      <c r="L24" s="204"/>
      <c r="M24" s="205">
        <f>D47/D44</f>
        <v>0.98910166544166911</v>
      </c>
      <c r="N24" s="203" t="s">
        <v>210</v>
      </c>
    </row>
    <row r="25" spans="2:14" ht="19">
      <c r="J25" s="203" t="s">
        <v>211</v>
      </c>
      <c r="K25" s="204"/>
      <c r="L25" s="204"/>
      <c r="M25" s="205">
        <f>IF(ISERROR(($E$40/$D$44)),0,($E$40/$D$44))</f>
        <v>68.169082662359614</v>
      </c>
      <c r="N25" s="203" t="s">
        <v>212</v>
      </c>
    </row>
    <row r="26" spans="2:14" s="171" customFormat="1" ht="19">
      <c r="J26" s="203" t="s">
        <v>213</v>
      </c>
      <c r="K26" s="204"/>
      <c r="L26" s="204"/>
      <c r="M26" s="205">
        <f>IF(ISERROR(($C$40/$D$44)),0,($C$40/$D$44))</f>
        <v>11.361513777059933</v>
      </c>
      <c r="N26" s="203" t="s">
        <v>214</v>
      </c>
    </row>
    <row r="27" spans="2:14" ht="22.25" customHeight="1">
      <c r="B27" s="330" t="s">
        <v>64</v>
      </c>
      <c r="C27" s="330"/>
      <c r="D27" s="330"/>
      <c r="E27" s="330"/>
      <c r="F27" s="330"/>
      <c r="J27" s="203" t="s">
        <v>215</v>
      </c>
      <c r="K27" s="204"/>
      <c r="L27" s="204"/>
      <c r="M27" s="205">
        <f>IF(ISERROR(($E$44/$E$40)),0,($E$44/$E$40))</f>
        <v>91.757139097513075</v>
      </c>
      <c r="N27" s="203" t="s">
        <v>201</v>
      </c>
    </row>
    <row r="28" spans="2:14" ht="21">
      <c r="B28" s="178"/>
      <c r="C28" s="131" t="s">
        <v>66</v>
      </c>
      <c r="D28" s="131" t="s">
        <v>92</v>
      </c>
      <c r="E28" s="131" t="s">
        <v>25</v>
      </c>
      <c r="F28" s="131" t="s">
        <v>118</v>
      </c>
      <c r="J28" s="203" t="s">
        <v>216</v>
      </c>
      <c r="K28" s="204"/>
      <c r="L28" s="204"/>
      <c r="M28" s="205">
        <f>IF(ISERROR(($E$47/$M$17*100)),0,($E$47/$M$17*100))</f>
        <v>5676.8680040310401</v>
      </c>
      <c r="N28" s="203" t="s">
        <v>217</v>
      </c>
    </row>
    <row r="29" spans="2:14" ht="19">
      <c r="B29" s="179" t="s">
        <v>36</v>
      </c>
      <c r="C29" s="186">
        <f>$C$24</f>
        <v>25848.896657982557</v>
      </c>
      <c r="D29" s="186">
        <f>$D$24</f>
        <v>24.795104707896943</v>
      </c>
      <c r="E29" s="186">
        <f>$E$24</f>
        <v>155093.37994789536</v>
      </c>
      <c r="F29" s="189">
        <f>IF(ISERROR($C$29/$C$32),0,($C$29/$C$32))</f>
        <v>0.8765897052297239</v>
      </c>
      <c r="J29" s="203" t="s">
        <v>218</v>
      </c>
      <c r="K29" s="204"/>
      <c r="L29" s="204"/>
      <c r="M29" s="205">
        <f>IF(ISERROR(($E$44/$M$17*100)),0,($E$44/$M$17*100))</f>
        <v>5739.4181026842343</v>
      </c>
      <c r="N29" s="203" t="s">
        <v>181</v>
      </c>
    </row>
    <row r="30" spans="2:14" ht="19">
      <c r="B30" s="179" t="s">
        <v>35</v>
      </c>
      <c r="C30" s="186">
        <f>Inventário!$H$106</f>
        <v>3639.1255076535926</v>
      </c>
      <c r="D30" s="186">
        <f>Tabela5813[[#This Row],[Coluna2]]/$C$13</f>
        <v>3.4907678730490104</v>
      </c>
      <c r="E30" s="186">
        <f>Inventário!$H$104</f>
        <v>21834.753045921556</v>
      </c>
      <c r="F30" s="189">
        <f>IF(ISERROR($C$30/$C$32),0,($C$30/$C$32))</f>
        <v>0.1234102947702761</v>
      </c>
      <c r="J30" s="203" t="s">
        <v>219</v>
      </c>
      <c r="K30" s="204"/>
      <c r="L30" s="204"/>
      <c r="M30" s="205">
        <f>IF(ISERROR(($E$46/$M$17*100)),0,($E$46/$M$17*100))</f>
        <v>5697.8215405777382</v>
      </c>
      <c r="N30" s="203" t="s">
        <v>181</v>
      </c>
    </row>
    <row r="31" spans="2:14" ht="19">
      <c r="B31" s="179" t="s">
        <v>160</v>
      </c>
      <c r="C31" s="186">
        <v>0</v>
      </c>
      <c r="D31" s="186">
        <f>Tabela5813[[#This Row],[Coluna2]]/$C$13</f>
        <v>0</v>
      </c>
      <c r="E31" s="186">
        <f>IF(ISERROR($C$31*'Informações Gerais'!E$16),0,($C$31*'Informações Gerais'!E$16))</f>
        <v>0</v>
      </c>
      <c r="F31" s="189">
        <f>IF(ISERROR($C$31/$C$32),0,($C$31/$C$32))</f>
        <v>0</v>
      </c>
      <c r="J31" s="203" t="s">
        <v>220</v>
      </c>
      <c r="K31" s="204"/>
      <c r="L31" s="204"/>
      <c r="M31" s="205">
        <f>IF(ISERROR(($E$46/$M$18*100)),0,($E$46/$M$18*100))</f>
        <v>16227.923574241131</v>
      </c>
      <c r="N31" s="203" t="s">
        <v>181</v>
      </c>
    </row>
    <row r="32" spans="2:14" ht="21">
      <c r="B32" s="178" t="s">
        <v>34</v>
      </c>
      <c r="C32" s="190">
        <f>IF(ISERROR(SUM(C29:C31)),0,(SUM(C29:C31)))</f>
        <v>29488.02216563615</v>
      </c>
      <c r="D32" s="190">
        <f>IF(ISERROR(SUM(D29:D31)),0,(SUM(D29:D31)))</f>
        <v>28.285872580945952</v>
      </c>
      <c r="E32" s="190">
        <f>IF(ISERROR(SUM(E29:E31)),0,(SUM(E29:E31)))</f>
        <v>176928.13299381692</v>
      </c>
      <c r="F32" s="191">
        <f>SUM(F29:F31)</f>
        <v>1</v>
      </c>
      <c r="J32" s="203" t="s">
        <v>221</v>
      </c>
      <c r="K32" s="204"/>
      <c r="L32" s="204"/>
      <c r="M32" s="205">
        <v>80</v>
      </c>
      <c r="N32" s="203" t="s">
        <v>222</v>
      </c>
    </row>
    <row r="33" spans="2:6" ht="21">
      <c r="B33" s="178"/>
      <c r="C33" s="132"/>
      <c r="D33" s="132"/>
      <c r="E33" s="132"/>
      <c r="F33" s="180"/>
    </row>
    <row r="34" spans="2:6" ht="24">
      <c r="B34" s="330" t="s">
        <v>136</v>
      </c>
      <c r="C34" s="330"/>
      <c r="D34" s="330"/>
      <c r="E34" s="330"/>
      <c r="F34" s="330"/>
    </row>
    <row r="35" spans="2:6" ht="21">
      <c r="B35" s="178"/>
      <c r="C35" s="131" t="s">
        <v>66</v>
      </c>
      <c r="D35" s="131" t="s">
        <v>92</v>
      </c>
      <c r="E35" s="131" t="s">
        <v>25</v>
      </c>
      <c r="F35" s="131" t="s">
        <v>118</v>
      </c>
    </row>
    <row r="36" spans="2:6" ht="16">
      <c r="B36" s="179" t="s">
        <v>34</v>
      </c>
      <c r="C36" s="186">
        <f>C32</f>
        <v>29488.02216563615</v>
      </c>
      <c r="D36" s="186">
        <f>D32</f>
        <v>28.285872580945952</v>
      </c>
      <c r="E36" s="186">
        <f>E32</f>
        <v>176928.13299381692</v>
      </c>
      <c r="F36" s="189">
        <f>IF(ISERROR($C$36/$C$40),0,($C$36/$C$40))</f>
        <v>0.66501193446753804</v>
      </c>
    </row>
    <row r="37" spans="2:6" ht="16">
      <c r="B37" s="179" t="s">
        <v>182</v>
      </c>
      <c r="C37" s="186">
        <f>IF(ISERROR((((100%-(SUM('Juros de Custeio_Uso da Terra'!C14:C17)))*'Juros de Custeio_Uso da Terra'!$E$18)/2)*0.06),0,(((100%-(SUM('Juros de Custeio_Uso da Terra'!C14:C17)))*'Juros de Custeio_Uso da Terra'!$E$18)/2)*0.06)</f>
        <v>400.64088985906579</v>
      </c>
      <c r="D37" s="186">
        <f>Tabela5914[[#This Row],[Coluna2]]/$C$13</f>
        <v>0.38430780801828862</v>
      </c>
      <c r="E37" s="186">
        <f>IF(ISERROR($C$37*'Informações Gerais'!E$16),0,($C$37*'Informações Gerais'!E$16))</f>
        <v>2403.8453391543949</v>
      </c>
      <c r="F37" s="189">
        <f>IF(ISERROR($C$37/$C$40),0,($C$37/$C$40))</f>
        <v>9.0352269709854729E-3</v>
      </c>
    </row>
    <row r="38" spans="2:6" ht="16">
      <c r="B38" s="179" t="s">
        <v>161</v>
      </c>
      <c r="C38" s="186">
        <f>IF(ISERROR('Juros de Custeio_Uso da Terra'!$F$8),0,('Juros de Custeio_Uso da Terra'!$F$8))</f>
        <v>12000</v>
      </c>
      <c r="D38" s="186">
        <f>Tabela5914[[#This Row],[Coluna2]]/$C$13</f>
        <v>11.510791366906478</v>
      </c>
      <c r="E38" s="186">
        <f>IF(ISERROR($C$38*'Informações Gerais'!E$16),0,($C$38*'Informações Gerais'!E$16))</f>
        <v>72000</v>
      </c>
      <c r="F38" s="189">
        <f>IF(ISERROR($C$38/$C$40),0,($C$38/$C$40))</f>
        <v>0.27062320995234845</v>
      </c>
    </row>
    <row r="39" spans="2:6" ht="16">
      <c r="B39" s="179" t="s">
        <v>163</v>
      </c>
      <c r="C39" s="186">
        <f>(IF(ISERROR(((SUM((Inventário!C12*'Informações Gerais'!$E$16),Inventário!E29,Inventário!E50,Inventário!E64,Inventário!E85,Inventário!E101)/2)*0.06)/'Informações Gerais'!$E$16),0,(((SUM((Inventário!C12*'Informações Gerais'!$E$16),Inventário!E29,Inventário!E50,Inventário!E64,Inventário!E85,Inventário!E101)/2)*0.06)/'Informações Gerais'!$E$16)))</f>
        <v>2453.4316307401946</v>
      </c>
      <c r="D39" s="186">
        <f>Tabela5914[[#This Row],[Coluna2]]/$C$13</f>
        <v>2.353411636201626</v>
      </c>
      <c r="E39" s="186">
        <f>IF(ISERROR($C$39*'Informações Gerais'!E$16),0,($C$39*'Informações Gerais'!E$16))</f>
        <v>14720.589784441167</v>
      </c>
      <c r="F39" s="189">
        <f>IF(ISERROR($C$39/$C$40),0,($C$39/$C$40))</f>
        <v>5.5329628609128025E-2</v>
      </c>
    </row>
    <row r="40" spans="2:6" ht="21">
      <c r="B40" s="178" t="s">
        <v>142</v>
      </c>
      <c r="C40" s="190">
        <f>IF(ISERROR(SUM(C36:C39)),0,(SUM(C36:C39)))</f>
        <v>44342.09468623541</v>
      </c>
      <c r="D40" s="190">
        <f>IF(ISERROR(SUM(D36:D39)),0,(SUM(D36:D39)))</f>
        <v>42.534383392072343</v>
      </c>
      <c r="E40" s="190">
        <f>IF(ISERROR(SUM(E36:E39)),0,(SUM(E36:E39)))</f>
        <v>266052.56811741251</v>
      </c>
      <c r="F40" s="191">
        <f>IF(ISERROR(SUM(F36:F39)),0,(SUM(F36:F39)))</f>
        <v>1</v>
      </c>
    </row>
    <row r="41" spans="2:6" ht="21">
      <c r="B41" s="178"/>
      <c r="C41" s="132"/>
      <c r="D41" s="132"/>
      <c r="E41" s="132"/>
      <c r="F41" s="180"/>
    </row>
    <row r="42" spans="2:6" s="171" customFormat="1" ht="27" customHeight="1">
      <c r="B42" s="330" t="s">
        <v>65</v>
      </c>
      <c r="C42" s="330"/>
      <c r="D42" s="330"/>
      <c r="E42" s="330"/>
      <c r="F42" s="330"/>
    </row>
    <row r="43" spans="2:6" ht="21">
      <c r="B43" s="178"/>
      <c r="C43" s="131" t="s">
        <v>66</v>
      </c>
      <c r="D43" s="131" t="s">
        <v>92</v>
      </c>
      <c r="E43" s="131" t="s">
        <v>25</v>
      </c>
      <c r="F43" s="131"/>
    </row>
    <row r="44" spans="2:6" ht="19">
      <c r="B44" s="177" t="s">
        <v>33</v>
      </c>
      <c r="C44" s="190">
        <f>$C$13*$C$15</f>
        <v>4068703.7499999991</v>
      </c>
      <c r="D44" s="190">
        <f>$C$15</f>
        <v>3902.8333333333335</v>
      </c>
      <c r="E44" s="190">
        <f>$C$16</f>
        <v>24412222.499999993</v>
      </c>
      <c r="F44" s="186"/>
    </row>
    <row r="45" spans="2:6" ht="21">
      <c r="B45" s="178" t="s">
        <v>32</v>
      </c>
      <c r="C45" s="190">
        <f>$C$44-$C$24</f>
        <v>4042854.8533420167</v>
      </c>
      <c r="D45" s="190">
        <f>$D$44-$D$24</f>
        <v>3878.0382286254367</v>
      </c>
      <c r="E45" s="190">
        <f>$E$44-$E$24</f>
        <v>24257129.120052096</v>
      </c>
      <c r="F45" s="192"/>
    </row>
    <row r="46" spans="2:6" ht="21">
      <c r="B46" s="178" t="s">
        <v>31</v>
      </c>
      <c r="C46" s="190">
        <f>$C$44-$C$32</f>
        <v>4039215.727834363</v>
      </c>
      <c r="D46" s="190">
        <f>$D$44-$D$32</f>
        <v>3874.5474607523875</v>
      </c>
      <c r="E46" s="190">
        <f>$E$44-$E$32</f>
        <v>24235294.367006175</v>
      </c>
      <c r="F46" s="192"/>
    </row>
    <row r="47" spans="2:6" ht="21">
      <c r="B47" s="178" t="s">
        <v>162</v>
      </c>
      <c r="C47" s="190">
        <f>$C$44-$C$40</f>
        <v>4024361.6553137638</v>
      </c>
      <c r="D47" s="190">
        <f>$D$44-$D$40</f>
        <v>3860.2989499412611</v>
      </c>
      <c r="E47" s="190">
        <f>$E$44-$E$40</f>
        <v>24146169.931882579</v>
      </c>
      <c r="F47" s="193"/>
    </row>
    <row r="48" spans="2:6" ht="21">
      <c r="B48" s="178" t="s">
        <v>178</v>
      </c>
      <c r="C48" s="190">
        <f>IF(ISERROR((((SUM(Inventário!$E$29,Inventário!$E$50,Inventário!$E$64,Inventário!$E$85,Inventário!$E$101))/2)+(('Informações Gerais'!$E$16*Inventário!$C$12)/2)+('Informações Gerais'!$E$16*'Juros de Custeio_Uso da Terra'!$F$9))/$C$12),0,((((SUM(Inventário!$E$29,Inventário!$E$50,Inventário!$E$64,Inventário!$E$85,Inventário!$E$101))/2)+(('Informações Gerais'!$E$16*Inventário!$C$12)/2)+('Informações Gerais'!$E$16*'Juros de Custeio_Uso da Terra'!$F$9))/$C$12))</f>
        <v>70890.527179003242</v>
      </c>
      <c r="D48" s="190">
        <f>IF(ISERROR($C$48/$C$13),0,($C$48/$C$13))</f>
        <v>68.000505687293298</v>
      </c>
      <c r="E48" s="190"/>
      <c r="F48" s="193"/>
    </row>
    <row r="49" spans="2:6" ht="21">
      <c r="B49" s="178" t="s">
        <v>158</v>
      </c>
      <c r="C49" s="194"/>
      <c r="D49" s="194"/>
      <c r="E49" s="195">
        <f>IF(ISERROR(($E$46/((SUM(Inventário!$E$29,Inventário!$E$50,Inventário!$E$64,Inventário!$E$85,Inventário!$E$101)/2)+(('Informações Gerais'!$E$16*Inventário!$C$12)/2)+('Informações Gerais'!$E$16*'Juros de Custeio_Uso da Terra'!$F$9)))*100),0,($E$46/(((SUM(Inventário!$E$29,Inventário!$E$50,Inventário!$E$64,Inventário!$E$85,Inventário!$E$101)/2)+(('Informações Gerais'!$E$16*Inventário!$C$12)/2)+('Informações Gerais'!$E$16*'Juros de Custeio_Uso da Terra'!$F$9))))*100)</f>
        <v>5697.8215405777382</v>
      </c>
      <c r="F49" s="196" t="s">
        <v>181</v>
      </c>
    </row>
    <row r="50" spans="2:6" ht="21">
      <c r="B50" s="178" t="s">
        <v>180</v>
      </c>
      <c r="C50" s="192"/>
      <c r="D50" s="192"/>
      <c r="E50" s="197">
        <f>IF(ISERROR(($C$40/$D$44)),0,($C$40/$D$44))</f>
        <v>11.361513777059933</v>
      </c>
      <c r="F50" s="196" t="s">
        <v>179</v>
      </c>
    </row>
    <row r="52" spans="2:6">
      <c r="C52" s="173"/>
    </row>
    <row r="53" spans="2:6">
      <c r="B53" s="171"/>
      <c r="C53" s="174"/>
      <c r="E53" s="175"/>
    </row>
    <row r="54" spans="2:6">
      <c r="D54" s="172"/>
    </row>
    <row r="57" spans="2:6" ht="19">
      <c r="B57" s="181"/>
    </row>
    <row r="62" spans="2:6" ht="21">
      <c r="B62" s="178"/>
      <c r="C62" s="192"/>
      <c r="D62" s="192"/>
      <c r="E62" s="197"/>
      <c r="F62" s="196"/>
    </row>
    <row r="63" spans="2:6" ht="21">
      <c r="B63" s="178"/>
      <c r="C63" s="192"/>
      <c r="D63" s="192"/>
      <c r="E63" s="197"/>
      <c r="F63" s="196"/>
    </row>
    <row r="64" spans="2:6" ht="21">
      <c r="B64" s="178"/>
      <c r="C64" s="192"/>
      <c r="D64" s="192"/>
      <c r="E64" s="197"/>
      <c r="F64" s="196"/>
    </row>
    <row r="65" spans="2:6" ht="21">
      <c r="B65" s="178"/>
      <c r="C65" s="192"/>
      <c r="D65" s="192"/>
      <c r="E65" s="197"/>
      <c r="F65" s="196"/>
    </row>
    <row r="66" spans="2:6" ht="21">
      <c r="B66" s="178"/>
      <c r="C66" s="192"/>
      <c r="D66" s="192"/>
      <c r="E66" s="197"/>
      <c r="F66" s="196"/>
    </row>
    <row r="67" spans="2:6" ht="21">
      <c r="B67" s="178"/>
      <c r="C67" s="192"/>
      <c r="D67" s="192"/>
      <c r="E67" s="197"/>
      <c r="F67" s="196"/>
    </row>
    <row r="68" spans="2:6" ht="21">
      <c r="B68" s="178"/>
      <c r="C68" s="192"/>
      <c r="D68" s="192"/>
      <c r="E68" s="197"/>
      <c r="F68" s="196"/>
    </row>
    <row r="69" spans="2:6" ht="21">
      <c r="B69" s="178"/>
      <c r="C69" s="192"/>
      <c r="D69" s="192"/>
      <c r="E69" s="197"/>
      <c r="F69" s="196"/>
    </row>
    <row r="70" spans="2:6" ht="21">
      <c r="B70" s="178"/>
      <c r="C70" s="192"/>
      <c r="D70" s="192"/>
      <c r="E70" s="197"/>
      <c r="F70" s="196"/>
    </row>
    <row r="71" spans="2:6" ht="21">
      <c r="B71" s="178"/>
      <c r="C71" s="192"/>
      <c r="D71" s="192"/>
      <c r="E71" s="197"/>
      <c r="F71" s="196"/>
    </row>
    <row r="72" spans="2:6" ht="21">
      <c r="B72" s="178"/>
      <c r="C72" s="192"/>
      <c r="D72" s="192"/>
      <c r="E72" s="197"/>
      <c r="F72" s="196"/>
    </row>
    <row r="73" spans="2:6" ht="21">
      <c r="B73" s="178"/>
      <c r="C73" s="192"/>
      <c r="D73" s="192"/>
      <c r="E73" s="197"/>
      <c r="F73" s="196"/>
    </row>
    <row r="74" spans="2:6" ht="21">
      <c r="B74" s="178"/>
      <c r="C74" s="192"/>
      <c r="D74" s="192"/>
      <c r="E74" s="197"/>
      <c r="F74" s="196"/>
    </row>
    <row r="75" spans="2:6" ht="21">
      <c r="B75" s="178"/>
      <c r="C75" s="192"/>
      <c r="D75" s="192"/>
      <c r="E75" s="197"/>
      <c r="F75" s="196"/>
    </row>
    <row r="76" spans="2:6" ht="21">
      <c r="B76" s="178"/>
      <c r="C76" s="192"/>
      <c r="D76" s="192"/>
      <c r="E76" s="197"/>
      <c r="F76" s="196"/>
    </row>
    <row r="77" spans="2:6" ht="21">
      <c r="B77" s="178"/>
      <c r="C77" s="192"/>
      <c r="D77" s="192"/>
      <c r="E77" s="197"/>
      <c r="F77" s="196"/>
    </row>
    <row r="78" spans="2:6" ht="21">
      <c r="B78" s="178"/>
      <c r="C78" s="192"/>
      <c r="D78" s="192"/>
      <c r="E78" s="197"/>
      <c r="F78" s="196"/>
    </row>
    <row r="79" spans="2:6" ht="21">
      <c r="B79" s="178"/>
      <c r="C79" s="192"/>
      <c r="D79" s="192"/>
      <c r="E79" s="197"/>
      <c r="F79" s="196"/>
    </row>
    <row r="80" spans="2:6" ht="21">
      <c r="B80" s="178"/>
      <c r="C80" s="192"/>
      <c r="D80" s="192"/>
      <c r="E80" s="197"/>
      <c r="F80" s="196"/>
    </row>
    <row r="81" spans="2:13" ht="21">
      <c r="B81" s="178"/>
      <c r="C81" s="192"/>
      <c r="D81" s="192"/>
      <c r="E81" s="197"/>
      <c r="F81" s="196"/>
    </row>
    <row r="82" spans="2:13" ht="21">
      <c r="B82" s="178"/>
      <c r="C82" s="192"/>
      <c r="D82" s="192"/>
      <c r="E82" s="197"/>
      <c r="F82" s="196"/>
    </row>
    <row r="83" spans="2:13" ht="21">
      <c r="B83" s="178"/>
      <c r="C83" s="192"/>
      <c r="D83" s="192"/>
      <c r="E83" s="197"/>
      <c r="F83" s="196"/>
    </row>
    <row r="84" spans="2:13" ht="21">
      <c r="B84" s="178"/>
      <c r="C84" s="192"/>
      <c r="D84" s="192"/>
      <c r="E84" s="197"/>
      <c r="F84" s="196"/>
    </row>
    <row r="85" spans="2:13" ht="21">
      <c r="B85" s="178"/>
      <c r="C85" s="192"/>
      <c r="D85" s="192"/>
      <c r="E85" s="197"/>
      <c r="F85" s="196"/>
    </row>
    <row r="86" spans="2:13" ht="21">
      <c r="B86" s="178"/>
      <c r="C86" s="192"/>
      <c r="D86" s="192"/>
      <c r="E86" s="197"/>
      <c r="F86" s="196"/>
    </row>
    <row r="87" spans="2:13" ht="21">
      <c r="B87" s="178"/>
      <c r="C87" s="192"/>
      <c r="D87" s="192"/>
      <c r="E87" s="197"/>
      <c r="F87" s="196"/>
    </row>
    <row r="88" spans="2:13" ht="21">
      <c r="B88" s="178"/>
      <c r="C88" s="192"/>
      <c r="D88" s="192"/>
      <c r="E88" s="197"/>
      <c r="F88" s="196"/>
    </row>
    <row r="89" spans="2:13" ht="21">
      <c r="B89" s="178"/>
      <c r="C89" s="192"/>
      <c r="D89" s="192"/>
      <c r="E89" s="197"/>
      <c r="F89" s="196"/>
    </row>
    <row r="90" spans="2:13" ht="21">
      <c r="B90" s="178"/>
      <c r="C90" s="192"/>
      <c r="D90" s="192"/>
      <c r="E90" s="197"/>
      <c r="F90" s="196"/>
    </row>
    <row r="91" spans="2:13" ht="21">
      <c r="B91" s="178"/>
      <c r="C91" s="192"/>
      <c r="D91" s="192"/>
      <c r="E91" s="197"/>
      <c r="F91" s="196"/>
    </row>
    <row r="92" spans="2:13" ht="21">
      <c r="B92" s="178"/>
      <c r="C92" s="192"/>
      <c r="D92" s="192"/>
      <c r="E92" s="197"/>
      <c r="F92" s="196"/>
    </row>
    <row r="93" spans="2:13" ht="21">
      <c r="B93" s="178"/>
      <c r="C93" s="192"/>
      <c r="D93" s="192"/>
      <c r="E93" s="197"/>
      <c r="F93" s="196"/>
    </row>
    <row r="94" spans="2:13" ht="21">
      <c r="B94" s="178"/>
      <c r="C94" s="192"/>
      <c r="D94" s="192"/>
      <c r="E94" s="197"/>
      <c r="F94" s="196"/>
    </row>
    <row r="95" spans="2:13">
      <c r="M95"/>
    </row>
    <row r="96" spans="2:13" ht="22" thickBot="1">
      <c r="B96" s="220"/>
      <c r="C96" s="221"/>
      <c r="D96" s="221"/>
      <c r="E96" s="222"/>
      <c r="F96" s="223"/>
      <c r="G96" s="224"/>
      <c r="H96" s="224"/>
      <c r="I96" s="224"/>
      <c r="J96" s="224"/>
      <c r="K96" s="224"/>
      <c r="L96" s="224"/>
      <c r="M96" s="225"/>
    </row>
    <row r="97" spans="2:12" ht="22" thickTop="1">
      <c r="B97" s="178"/>
      <c r="C97" s="192"/>
      <c r="D97" s="192"/>
      <c r="E97" s="197"/>
      <c r="F97" s="196"/>
    </row>
    <row r="98" spans="2:12" ht="21">
      <c r="B98" s="178"/>
      <c r="C98" s="192"/>
      <c r="D98" s="192"/>
      <c r="E98" s="197"/>
      <c r="F98" s="196"/>
    </row>
    <row r="99" spans="2:12" ht="21">
      <c r="B99" s="178"/>
      <c r="C99" s="192"/>
      <c r="D99" s="192"/>
      <c r="E99" s="197"/>
      <c r="F99" s="196"/>
    </row>
    <row r="100" spans="2:12" ht="21">
      <c r="B100" s="178"/>
      <c r="C100" s="192"/>
      <c r="D100" s="192"/>
      <c r="E100" s="197"/>
      <c r="F100" s="196"/>
    </row>
    <row r="101" spans="2:12" ht="21">
      <c r="B101" s="178"/>
      <c r="C101" s="192"/>
      <c r="D101" s="192"/>
      <c r="E101" s="197"/>
      <c r="F101" s="196"/>
    </row>
    <row r="103" spans="2:12">
      <c r="C103" s="173"/>
    </row>
    <row r="104" spans="2:12">
      <c r="B104" s="171"/>
      <c r="C104" s="174"/>
      <c r="E104" s="175"/>
    </row>
    <row r="105" spans="2:12" ht="33" customHeight="1">
      <c r="B105" s="328" t="s">
        <v>227</v>
      </c>
      <c r="C105" s="328"/>
      <c r="D105" s="328"/>
      <c r="E105" s="328"/>
      <c r="F105" s="328"/>
    </row>
    <row r="108" spans="2:12" ht="21">
      <c r="C108" s="99"/>
      <c r="D108" s="99"/>
      <c r="F108" s="327" t="s">
        <v>223</v>
      </c>
      <c r="G108" s="327"/>
      <c r="H108" s="327"/>
      <c r="I108" s="327"/>
      <c r="J108" s="327"/>
      <c r="K108" s="327"/>
      <c r="L108" s="327"/>
    </row>
    <row r="109" spans="2:12">
      <c r="D109" s="99"/>
      <c r="F109" s="209">
        <v>-0.3</v>
      </c>
      <c r="G109" s="209">
        <v>-0.2</v>
      </c>
      <c r="H109" s="209">
        <v>-0.1</v>
      </c>
      <c r="I109" s="209">
        <v>0</v>
      </c>
      <c r="J109" s="209">
        <v>0.1</v>
      </c>
      <c r="K109" s="209">
        <v>0.2</v>
      </c>
      <c r="L109" s="209">
        <v>0.3</v>
      </c>
    </row>
    <row r="110" spans="2:12">
      <c r="D110" s="207"/>
      <c r="F110" s="210">
        <f>$D$24+($D$24*F109)</f>
        <v>17.356573295527859</v>
      </c>
      <c r="G110" s="210">
        <f t="shared" ref="G110:L110" si="0">$D$24+($D$24*G109)</f>
        <v>19.836083766317554</v>
      </c>
      <c r="H110" s="210">
        <f t="shared" si="0"/>
        <v>22.315594237107248</v>
      </c>
      <c r="I110" s="210">
        <f t="shared" si="0"/>
        <v>24.795104707896943</v>
      </c>
      <c r="J110" s="210">
        <f t="shared" si="0"/>
        <v>27.274615178686638</v>
      </c>
      <c r="K110" s="210">
        <f t="shared" si="0"/>
        <v>29.754125649476332</v>
      </c>
      <c r="L110" s="210">
        <f t="shared" si="0"/>
        <v>32.233636120266027</v>
      </c>
    </row>
    <row r="111" spans="2:12">
      <c r="L111" s="171"/>
    </row>
    <row r="112" spans="2:12" ht="19">
      <c r="D112" s="329"/>
      <c r="E112" s="211">
        <f>M23</f>
        <v>99.275247745288993</v>
      </c>
      <c r="F112" s="212">
        <v>306.93600016902951</v>
      </c>
      <c r="G112" s="212">
        <v>350.78400019317661</v>
      </c>
      <c r="H112" s="212">
        <v>394.63200021732365</v>
      </c>
      <c r="I112" s="212">
        <v>438.48000024147075</v>
      </c>
      <c r="J112" s="212">
        <v>482.32800026561785</v>
      </c>
      <c r="K112" s="212">
        <v>526.17600028976494</v>
      </c>
      <c r="L112" s="212">
        <v>570.02400031391198</v>
      </c>
    </row>
    <row r="113" spans="2:12" ht="19">
      <c r="B113" s="208">
        <v>-0.3</v>
      </c>
      <c r="C113" s="228">
        <f>$C$15*(1+B113)</f>
        <v>2731.9833333333331</v>
      </c>
      <c r="D113" s="329"/>
      <c r="E113" s="213">
        <v>582.75</v>
      </c>
      <c r="F113" s="214">
        <v>32.199493207794852</v>
      </c>
      <c r="G113" s="214">
        <v>24.675168879326879</v>
      </c>
      <c r="H113" s="214">
        <v>17.150844550858917</v>
      </c>
      <c r="I113" s="216">
        <v>9.6265202223909547</v>
      </c>
      <c r="J113" s="214">
        <v>2.1021958939229752</v>
      </c>
      <c r="K113" s="214">
        <v>-5.4221284345449847</v>
      </c>
      <c r="L113" s="215">
        <v>-12.946452763012948</v>
      </c>
    </row>
    <row r="114" spans="2:12" ht="19">
      <c r="B114" s="208">
        <v>-0.2</v>
      </c>
      <c r="C114" s="228">
        <f t="shared" ref="C114:C119" si="1">$C$15*(1+B114)</f>
        <v>3122.2666666666669</v>
      </c>
      <c r="D114" s="329"/>
      <c r="E114" s="213">
        <v>666</v>
      </c>
      <c r="F114" s="214">
        <v>40.674556556820491</v>
      </c>
      <c r="G114" s="214">
        <v>34.090772769411018</v>
      </c>
      <c r="H114" s="214">
        <v>27.506988982001552</v>
      </c>
      <c r="I114" s="216">
        <v>20.923205194592086</v>
      </c>
      <c r="J114" s="214">
        <v>14.339421407182604</v>
      </c>
      <c r="K114" s="214">
        <v>7.7556376197731387</v>
      </c>
      <c r="L114" s="215">
        <v>1.1718538323636725</v>
      </c>
    </row>
    <row r="115" spans="2:12" ht="19">
      <c r="B115" s="208">
        <v>-0.1</v>
      </c>
      <c r="C115" s="228">
        <f t="shared" si="1"/>
        <v>3512.55</v>
      </c>
      <c r="D115" s="329"/>
      <c r="E115" s="213">
        <v>749.25</v>
      </c>
      <c r="F115" s="214">
        <v>47.266272494951551</v>
      </c>
      <c r="G115" s="214">
        <v>41.414020239476464</v>
      </c>
      <c r="H115" s="214">
        <v>35.561767984001378</v>
      </c>
      <c r="I115" s="216">
        <v>29.709515728526299</v>
      </c>
      <c r="J115" s="214">
        <v>23.857263473051201</v>
      </c>
      <c r="K115" s="214">
        <v>18.005011217576122</v>
      </c>
      <c r="L115" s="215">
        <v>12.152758962101041</v>
      </c>
    </row>
    <row r="116" spans="2:12" ht="19">
      <c r="B116" s="208">
        <v>0</v>
      </c>
      <c r="C116" s="228">
        <f t="shared" si="1"/>
        <v>3902.8333333333335</v>
      </c>
      <c r="D116" s="329"/>
      <c r="E116" s="213">
        <v>832.5</v>
      </c>
      <c r="F116" s="216">
        <v>52.539645245456391</v>
      </c>
      <c r="G116" s="216">
        <v>47.272618215528809</v>
      </c>
      <c r="H116" s="216">
        <v>42.00559118560124</v>
      </c>
      <c r="I116" s="216">
        <v>36.738564155673672</v>
      </c>
      <c r="J116" s="216">
        <v>31.471537125746085</v>
      </c>
      <c r="K116" s="216">
        <v>26.204510095818513</v>
      </c>
      <c r="L116" s="217">
        <v>20.937483065890937</v>
      </c>
    </row>
    <row r="117" spans="2:12" ht="19">
      <c r="B117" s="208">
        <v>0.1</v>
      </c>
      <c r="C117" s="228">
        <f t="shared" si="1"/>
        <v>4293.1166666666668</v>
      </c>
      <c r="D117" s="329"/>
      <c r="E117" s="213">
        <v>915.75000000000011</v>
      </c>
      <c r="F117" s="214">
        <v>56.854222950414901</v>
      </c>
      <c r="G117" s="214">
        <v>52.066016559571658</v>
      </c>
      <c r="H117" s="214">
        <v>47.277810168728408</v>
      </c>
      <c r="I117" s="216">
        <v>42.489603777885158</v>
      </c>
      <c r="J117" s="214">
        <v>37.701397387041901</v>
      </c>
      <c r="K117" s="214">
        <v>32.913190996198658</v>
      </c>
      <c r="L117" s="215">
        <v>28.124984605355408</v>
      </c>
    </row>
    <row r="118" spans="2:12" ht="19">
      <c r="B118" s="208">
        <v>0.2</v>
      </c>
      <c r="C118" s="228">
        <f t="shared" si="1"/>
        <v>4683.3999999999996</v>
      </c>
      <c r="D118" s="329"/>
      <c r="E118" s="213">
        <v>999</v>
      </c>
      <c r="F118" s="214">
        <v>60.449704371213663</v>
      </c>
      <c r="G118" s="214">
        <v>56.060515179607343</v>
      </c>
      <c r="H118" s="214">
        <v>51.671325988001037</v>
      </c>
      <c r="I118" s="216">
        <v>47.282136796394724</v>
      </c>
      <c r="J118" s="214">
        <v>42.892947604788404</v>
      </c>
      <c r="K118" s="214">
        <v>38.503758413182091</v>
      </c>
      <c r="L118" s="215">
        <v>34.114569221575778</v>
      </c>
    </row>
    <row r="119" spans="2:12" ht="19">
      <c r="B119" s="208">
        <v>0.3</v>
      </c>
      <c r="C119" s="228">
        <f t="shared" si="1"/>
        <v>5073.6833333333334</v>
      </c>
      <c r="D119" s="329"/>
      <c r="E119" s="213">
        <v>1082.25</v>
      </c>
      <c r="F119" s="214">
        <v>63.492034804197232</v>
      </c>
      <c r="G119" s="214">
        <v>59.440475550406781</v>
      </c>
      <c r="H119" s="214">
        <v>55.388916296616344</v>
      </c>
      <c r="I119" s="216">
        <v>51.337357042825907</v>
      </c>
      <c r="J119" s="214">
        <v>47.285797789035449</v>
      </c>
      <c r="K119" s="214">
        <v>43.234238535245005</v>
      </c>
      <c r="L119" s="215">
        <v>39.182679281454568</v>
      </c>
    </row>
    <row r="121" spans="2:12">
      <c r="E121" s="39"/>
      <c r="F121" s="209">
        <v>-0.3</v>
      </c>
      <c r="G121" s="209">
        <v>-0.2</v>
      </c>
      <c r="H121" s="209">
        <v>-0.1</v>
      </c>
      <c r="I121" s="209">
        <v>0</v>
      </c>
      <c r="J121" s="209">
        <v>0.1</v>
      </c>
      <c r="K121" s="209">
        <v>0.2</v>
      </c>
      <c r="L121" s="209">
        <v>0.3</v>
      </c>
    </row>
    <row r="122" spans="2:12" ht="19">
      <c r="E122" s="208">
        <v>-0.3</v>
      </c>
      <c r="F122" s="219">
        <f t="shared" ref="F122:L128" si="2">((F113/$E$112)-1)*100</f>
        <v>-67.565436562385358</v>
      </c>
      <c r="G122" s="219">
        <f t="shared" si="2"/>
        <v>-75.144691713450982</v>
      </c>
      <c r="H122" s="219">
        <f t="shared" si="2"/>
        <v>-82.723946864516591</v>
      </c>
      <c r="I122" s="219">
        <f t="shared" si="2"/>
        <v>-90.303202015582201</v>
      </c>
      <c r="J122" s="219">
        <f t="shared" si="2"/>
        <v>-97.882457166647825</v>
      </c>
      <c r="K122" s="219">
        <f t="shared" si="2"/>
        <v>-105.46171231771343</v>
      </c>
      <c r="L122" s="219">
        <f t="shared" si="2"/>
        <v>-113.04096746877906</v>
      </c>
    </row>
    <row r="123" spans="2:12" ht="19">
      <c r="E123" s="208">
        <v>-0.2</v>
      </c>
      <c r="F123" s="219">
        <f t="shared" si="2"/>
        <v>-59.028501584625204</v>
      </c>
      <c r="G123" s="219">
        <f t="shared" si="2"/>
        <v>-65.660349841807616</v>
      </c>
      <c r="H123" s="219">
        <f t="shared" si="2"/>
        <v>-72.292198098990013</v>
      </c>
      <c r="I123" s="219">
        <f t="shared" si="2"/>
        <v>-78.924046356172425</v>
      </c>
      <c r="J123" s="219">
        <f t="shared" si="2"/>
        <v>-85.555894613354852</v>
      </c>
      <c r="K123" s="219">
        <f t="shared" si="2"/>
        <v>-92.187742870537264</v>
      </c>
      <c r="L123" s="219">
        <f t="shared" si="2"/>
        <v>-98.819591127719661</v>
      </c>
    </row>
    <row r="124" spans="2:12" ht="19">
      <c r="E124" s="208">
        <v>-0.1</v>
      </c>
      <c r="F124" s="219">
        <f t="shared" si="2"/>
        <v>-52.388663268589511</v>
      </c>
      <c r="G124" s="219">
        <f t="shared" si="2"/>
        <v>-58.283639497196091</v>
      </c>
      <c r="H124" s="219">
        <f t="shared" si="2"/>
        <v>-64.178615725802672</v>
      </c>
      <c r="I124" s="219">
        <f t="shared" si="2"/>
        <v>-70.073591954409267</v>
      </c>
      <c r="J124" s="219">
        <f t="shared" si="2"/>
        <v>-75.968568183015876</v>
      </c>
      <c r="K124" s="219">
        <f t="shared" si="2"/>
        <v>-81.863544411622442</v>
      </c>
      <c r="L124" s="219">
        <f t="shared" si="2"/>
        <v>-87.758520640229037</v>
      </c>
    </row>
    <row r="125" spans="2:12" ht="19">
      <c r="E125" s="208">
        <v>0</v>
      </c>
      <c r="F125" s="219">
        <f t="shared" si="2"/>
        <v>-47.076792615760951</v>
      </c>
      <c r="G125" s="219">
        <f t="shared" si="2"/>
        <v>-52.38227122150689</v>
      </c>
      <c r="H125" s="219">
        <f t="shared" si="2"/>
        <v>-57.687749827252823</v>
      </c>
      <c r="I125" s="219">
        <f t="shared" si="2"/>
        <v>-62.993228432998727</v>
      </c>
      <c r="J125" s="219">
        <f t="shared" si="2"/>
        <v>-68.298707038744681</v>
      </c>
      <c r="K125" s="219">
        <f t="shared" si="2"/>
        <v>-73.604185644490599</v>
      </c>
      <c r="L125" s="219">
        <f t="shared" si="2"/>
        <v>-78.909664250236531</v>
      </c>
    </row>
    <row r="126" spans="2:12" ht="19">
      <c r="E126" s="208">
        <v>0.1</v>
      </c>
      <c r="F126" s="219">
        <f t="shared" si="2"/>
        <v>-42.730716627083041</v>
      </c>
      <c r="G126" s="219">
        <f t="shared" si="2"/>
        <v>-47.553878995942981</v>
      </c>
      <c r="H126" s="219">
        <f t="shared" si="2"/>
        <v>-52.377041364802913</v>
      </c>
      <c r="I126" s="219">
        <f t="shared" si="2"/>
        <v>-57.200203733662846</v>
      </c>
      <c r="J126" s="219">
        <f t="shared" si="2"/>
        <v>-62.023366102522793</v>
      </c>
      <c r="K126" s="219">
        <f t="shared" si="2"/>
        <v>-66.846528471382712</v>
      </c>
      <c r="L126" s="219">
        <f t="shared" si="2"/>
        <v>-71.669690840242652</v>
      </c>
    </row>
    <row r="127" spans="2:12" ht="19">
      <c r="E127" s="208">
        <v>0.2</v>
      </c>
      <c r="F127" s="219">
        <f t="shared" si="2"/>
        <v>-39.108986636518118</v>
      </c>
      <c r="G127" s="219">
        <f t="shared" si="2"/>
        <v>-43.530218807973064</v>
      </c>
      <c r="H127" s="219">
        <f t="shared" si="2"/>
        <v>-47.951450979428003</v>
      </c>
      <c r="I127" s="219">
        <f t="shared" si="2"/>
        <v>-52.372683150882949</v>
      </c>
      <c r="J127" s="219">
        <f t="shared" si="2"/>
        <v>-56.793915322337895</v>
      </c>
      <c r="K127" s="219">
        <f t="shared" si="2"/>
        <v>-61.215147493792834</v>
      </c>
      <c r="L127" s="219">
        <f t="shared" si="2"/>
        <v>-65.636379665247773</v>
      </c>
    </row>
    <row r="128" spans="2:12" ht="19">
      <c r="E128" s="208">
        <v>0.3</v>
      </c>
      <c r="F128" s="219">
        <f t="shared" si="2"/>
        <v>-36.044445875270881</v>
      </c>
      <c r="G128" s="219">
        <f t="shared" si="2"/>
        <v>-40.125583264306222</v>
      </c>
      <c r="H128" s="219">
        <f t="shared" si="2"/>
        <v>-44.206720653341534</v>
      </c>
      <c r="I128" s="219">
        <f t="shared" si="2"/>
        <v>-48.287858042376861</v>
      </c>
      <c r="J128" s="219">
        <f t="shared" si="2"/>
        <v>-52.368995431412202</v>
      </c>
      <c r="K128" s="219">
        <f t="shared" si="2"/>
        <v>-56.450132820447543</v>
      </c>
      <c r="L128" s="219">
        <f t="shared" si="2"/>
        <v>-60.531270209482855</v>
      </c>
    </row>
    <row r="129" spans="1:13" ht="19">
      <c r="E129" s="208"/>
      <c r="F129" s="219"/>
      <c r="G129" s="219"/>
      <c r="H129" s="219"/>
      <c r="I129" s="219"/>
      <c r="J129" s="219"/>
      <c r="K129" s="219"/>
      <c r="L129" s="219"/>
    </row>
    <row r="130" spans="1:13" ht="19">
      <c r="E130" s="208"/>
      <c r="F130" s="219"/>
      <c r="G130" s="219"/>
      <c r="H130" s="219"/>
      <c r="I130" s="219"/>
      <c r="J130" s="219"/>
      <c r="K130" s="219"/>
      <c r="L130" s="219"/>
    </row>
    <row r="131" spans="1:13" ht="19">
      <c r="E131" s="208"/>
      <c r="F131" s="219"/>
      <c r="G131" s="219"/>
      <c r="H131" s="219"/>
      <c r="I131" s="219"/>
      <c r="J131" s="219"/>
      <c r="K131" s="219"/>
      <c r="L131" s="219"/>
    </row>
    <row r="132" spans="1:13" ht="19">
      <c r="E132" s="208"/>
      <c r="F132" s="219"/>
      <c r="G132" s="219"/>
      <c r="H132" s="219"/>
      <c r="I132" s="219"/>
      <c r="J132" s="219"/>
      <c r="K132" s="219"/>
      <c r="L132" s="219"/>
    </row>
    <row r="133" spans="1:13" ht="20" thickBot="1">
      <c r="A133" s="224"/>
      <c r="B133" s="224"/>
      <c r="C133" s="224"/>
      <c r="D133" s="224"/>
      <c r="E133" s="226"/>
      <c r="F133" s="227"/>
      <c r="G133" s="227"/>
      <c r="H133" s="227"/>
      <c r="I133" s="227"/>
      <c r="J133" s="227"/>
      <c r="K133" s="227"/>
      <c r="L133" s="227"/>
      <c r="M133" s="225"/>
    </row>
    <row r="134" spans="1:13" ht="20" thickTop="1">
      <c r="E134" s="208"/>
      <c r="F134" s="219"/>
      <c r="G134" s="219"/>
      <c r="H134" s="219"/>
      <c r="I134" s="219"/>
      <c r="J134" s="219"/>
      <c r="K134" s="219"/>
      <c r="L134" s="219"/>
    </row>
    <row r="135" spans="1:13" ht="19">
      <c r="E135" s="208"/>
      <c r="F135" s="219"/>
      <c r="G135" s="219"/>
      <c r="H135" s="219"/>
      <c r="I135" s="219"/>
      <c r="J135" s="219"/>
      <c r="K135" s="219"/>
      <c r="L135" s="219"/>
    </row>
    <row r="136" spans="1:13" ht="19">
      <c r="E136" s="208"/>
      <c r="F136" s="219"/>
      <c r="G136" s="219"/>
      <c r="H136" s="219"/>
      <c r="I136" s="219"/>
      <c r="J136" s="219"/>
      <c r="K136" s="219"/>
      <c r="L136" s="219"/>
    </row>
    <row r="137" spans="1:13" ht="19">
      <c r="E137" s="208"/>
      <c r="F137" s="219"/>
      <c r="G137" s="219"/>
      <c r="H137" s="219"/>
      <c r="I137" s="219"/>
      <c r="J137" s="219"/>
      <c r="K137" s="219"/>
      <c r="L137" s="219"/>
    </row>
    <row r="138" spans="1:13" ht="19">
      <c r="E138" s="208"/>
      <c r="F138" s="219"/>
      <c r="G138" s="219"/>
      <c r="H138" s="219"/>
      <c r="I138" s="219"/>
      <c r="J138" s="219"/>
      <c r="K138" s="219"/>
      <c r="L138" s="219"/>
    </row>
    <row r="139" spans="1:13" ht="19">
      <c r="E139" s="208"/>
      <c r="F139" s="219"/>
      <c r="G139" s="219"/>
      <c r="H139" s="219"/>
      <c r="I139" s="219"/>
      <c r="J139" s="219"/>
      <c r="K139" s="219"/>
      <c r="L139" s="219"/>
    </row>
    <row r="140" spans="1:13" ht="19">
      <c r="E140" s="208"/>
      <c r="F140" s="219"/>
      <c r="G140" s="219"/>
      <c r="H140" s="219"/>
      <c r="I140" s="219"/>
      <c r="J140" s="219"/>
      <c r="K140" s="219"/>
      <c r="L140" s="219"/>
    </row>
    <row r="141" spans="1:13" ht="19">
      <c r="E141" s="208"/>
      <c r="F141" s="219"/>
      <c r="G141" s="219"/>
      <c r="H141" s="219"/>
      <c r="I141" s="219"/>
      <c r="J141" s="219"/>
      <c r="K141" s="219"/>
      <c r="L141" s="219"/>
    </row>
    <row r="142" spans="1:13" ht="19">
      <c r="E142" s="208"/>
      <c r="F142" s="219"/>
      <c r="G142" s="219"/>
      <c r="H142" s="219"/>
      <c r="I142" s="219"/>
      <c r="J142" s="219"/>
      <c r="K142" s="219"/>
      <c r="L142" s="219"/>
    </row>
    <row r="143" spans="1:13" ht="19">
      <c r="E143" s="208"/>
      <c r="F143" s="219"/>
      <c r="G143" s="219"/>
      <c r="H143" s="219"/>
      <c r="I143" s="219"/>
      <c r="J143" s="219"/>
      <c r="K143" s="219"/>
      <c r="L143" s="219"/>
    </row>
    <row r="144" spans="1:13" ht="19">
      <c r="E144" s="208"/>
      <c r="F144" s="219"/>
      <c r="G144" s="219"/>
      <c r="H144" s="219"/>
      <c r="I144" s="219"/>
      <c r="J144" s="219"/>
      <c r="K144" s="219"/>
      <c r="L144" s="219"/>
    </row>
    <row r="145" spans="1:12" ht="19">
      <c r="E145" s="208"/>
      <c r="F145" s="219"/>
      <c r="G145" s="219"/>
      <c r="H145" s="219"/>
      <c r="I145" s="219"/>
      <c r="J145" s="219"/>
      <c r="K145" s="219"/>
      <c r="L145" s="219"/>
    </row>
    <row r="146" spans="1:12" ht="19">
      <c r="E146" s="208"/>
      <c r="F146" s="219"/>
      <c r="G146" s="219"/>
      <c r="H146" s="219"/>
      <c r="I146" s="219"/>
      <c r="J146" s="219"/>
      <c r="K146" s="219"/>
      <c r="L146" s="219"/>
    </row>
    <row r="147" spans="1:12" ht="19">
      <c r="E147" s="208"/>
      <c r="F147" s="219"/>
      <c r="G147" s="219"/>
      <c r="H147" s="219"/>
      <c r="I147" s="219"/>
      <c r="J147" s="219"/>
      <c r="K147" s="219"/>
      <c r="L147" s="219"/>
    </row>
    <row r="148" spans="1:12" ht="19">
      <c r="E148" s="208"/>
      <c r="F148" s="219"/>
      <c r="G148" s="219"/>
      <c r="H148" s="219"/>
      <c r="I148" s="219"/>
      <c r="J148" s="219"/>
      <c r="K148" s="219"/>
      <c r="L148" s="219"/>
    </row>
    <row r="149" spans="1:12" ht="19">
      <c r="E149" s="208"/>
      <c r="F149" s="219"/>
      <c r="G149" s="219"/>
      <c r="H149" s="219"/>
      <c r="I149" s="219"/>
      <c r="J149" s="219"/>
      <c r="K149" s="219"/>
      <c r="L149" s="219"/>
    </row>
    <row r="151" spans="1:12" ht="22" thickBot="1">
      <c r="A151" s="220"/>
      <c r="B151" s="221"/>
      <c r="C151" s="221"/>
      <c r="D151" s="222"/>
      <c r="E151" s="223"/>
      <c r="F151" s="224"/>
      <c r="G151" s="224"/>
      <c r="H151" s="224"/>
      <c r="I151" s="224"/>
      <c r="J151" s="224"/>
      <c r="K151" s="224"/>
      <c r="L151" s="225"/>
    </row>
    <row r="152" spans="1:12" ht="20" thickTop="1">
      <c r="E152" s="208"/>
      <c r="F152" s="219"/>
      <c r="G152" s="219"/>
      <c r="H152" s="219"/>
      <c r="I152" s="219"/>
      <c r="J152" s="219"/>
      <c r="K152" s="219"/>
      <c r="L152" s="219"/>
    </row>
    <row r="153" spans="1:12" ht="19">
      <c r="E153" s="208"/>
      <c r="F153" s="219"/>
      <c r="G153" s="219"/>
      <c r="H153" s="219"/>
      <c r="I153" s="219"/>
      <c r="J153" s="219"/>
      <c r="K153" s="219"/>
      <c r="L153" s="219"/>
    </row>
    <row r="154" spans="1:12" ht="19">
      <c r="E154" s="208"/>
      <c r="F154" s="219"/>
      <c r="G154" s="219"/>
      <c r="H154" s="219"/>
      <c r="I154" s="219"/>
      <c r="J154" s="219"/>
      <c r="K154" s="219"/>
      <c r="L154" s="219"/>
    </row>
    <row r="155" spans="1:12" ht="19">
      <c r="E155" s="208"/>
      <c r="F155" s="219"/>
      <c r="G155" s="219"/>
      <c r="H155" s="219"/>
      <c r="I155" s="219"/>
      <c r="J155" s="219"/>
      <c r="K155" s="219"/>
      <c r="L155" s="219"/>
    </row>
    <row r="156" spans="1:12" ht="19">
      <c r="E156" s="208"/>
      <c r="F156" s="219"/>
      <c r="G156" s="219"/>
      <c r="H156" s="219"/>
      <c r="I156" s="219"/>
      <c r="J156" s="219"/>
      <c r="K156" s="219"/>
      <c r="L156" s="219"/>
    </row>
    <row r="157" spans="1:12" ht="19">
      <c r="E157" s="208"/>
      <c r="F157" s="219"/>
      <c r="G157" s="219"/>
      <c r="H157" s="219"/>
      <c r="I157" s="219"/>
      <c r="J157" s="219"/>
      <c r="K157" s="219"/>
      <c r="L157" s="219"/>
    </row>
    <row r="158" spans="1:12" ht="19">
      <c r="E158" s="208"/>
      <c r="F158" s="219"/>
      <c r="G158" s="219"/>
      <c r="H158" s="219"/>
      <c r="I158" s="219"/>
      <c r="J158" s="219"/>
      <c r="K158" s="219"/>
      <c r="L158" s="219"/>
    </row>
    <row r="159" spans="1:12" ht="19">
      <c r="E159" s="208"/>
      <c r="F159" s="219"/>
      <c r="G159" s="219"/>
      <c r="H159" s="219"/>
      <c r="I159" s="219"/>
      <c r="J159" s="219"/>
      <c r="K159" s="219"/>
      <c r="L159" s="219"/>
    </row>
    <row r="160" spans="1:12" ht="32" customHeight="1">
      <c r="B160" s="328" t="s">
        <v>228</v>
      </c>
      <c r="C160" s="328"/>
      <c r="D160" s="328"/>
      <c r="E160" s="328"/>
      <c r="F160" s="328"/>
    </row>
    <row r="163" spans="2:12" ht="21">
      <c r="F163" s="327" t="s">
        <v>223</v>
      </c>
      <c r="G163" s="327"/>
      <c r="H163" s="327"/>
      <c r="I163" s="327"/>
      <c r="J163" s="327"/>
      <c r="K163" s="327"/>
      <c r="L163" s="327"/>
    </row>
    <row r="164" spans="2:12">
      <c r="F164" s="209">
        <v>-0.3</v>
      </c>
      <c r="G164" s="209">
        <v>-0.2</v>
      </c>
      <c r="H164" s="209">
        <v>-0.1</v>
      </c>
      <c r="I164" s="209">
        <v>0</v>
      </c>
      <c r="J164" s="209">
        <v>0.1</v>
      </c>
      <c r="K164" s="209">
        <v>0.2</v>
      </c>
      <c r="L164" s="209">
        <v>0.3</v>
      </c>
    </row>
    <row r="165" spans="2:12">
      <c r="F165" s="210">
        <f>$D$24+($D$24*F164)</f>
        <v>17.356573295527859</v>
      </c>
      <c r="G165" s="210">
        <f t="shared" ref="G165:L165" si="3">$D$24+($D$24*G164)</f>
        <v>19.836083766317554</v>
      </c>
      <c r="H165" s="210">
        <f t="shared" si="3"/>
        <v>22.315594237107248</v>
      </c>
      <c r="I165" s="210">
        <f t="shared" si="3"/>
        <v>24.795104707896943</v>
      </c>
      <c r="J165" s="210">
        <f t="shared" si="3"/>
        <v>27.274615178686638</v>
      </c>
      <c r="K165" s="210">
        <f t="shared" si="3"/>
        <v>29.754125649476332</v>
      </c>
      <c r="L165" s="210">
        <f t="shared" si="3"/>
        <v>32.233636120266027</v>
      </c>
    </row>
    <row r="167" spans="2:12" ht="19">
      <c r="E167" s="211">
        <f>D45</f>
        <v>3878.0382286254367</v>
      </c>
      <c r="F167" s="212">
        <v>306.93600016902951</v>
      </c>
      <c r="G167" s="212">
        <v>350.78400019317661</v>
      </c>
      <c r="H167" s="212">
        <v>394.63200021732365</v>
      </c>
      <c r="I167" s="212">
        <v>438.48000024147075</v>
      </c>
      <c r="J167" s="212">
        <v>482.32800026561785</v>
      </c>
      <c r="K167" s="212">
        <v>526.17600028976494</v>
      </c>
      <c r="L167" s="212">
        <v>570.02400031391198</v>
      </c>
    </row>
    <row r="168" spans="2:12" ht="19">
      <c r="B168" s="208">
        <v>-0.3</v>
      </c>
      <c r="C168" s="228">
        <f>$C$15*(1+B168)</f>
        <v>2731.9833333333331</v>
      </c>
      <c r="E168" s="213">
        <v>582.75</v>
      </c>
      <c r="F168" s="214">
        <v>275.81399983097049</v>
      </c>
      <c r="G168" s="214">
        <v>231.96599980682339</v>
      </c>
      <c r="H168" s="214">
        <v>188.11799978267635</v>
      </c>
      <c r="I168" s="216">
        <v>144.26999975852925</v>
      </c>
      <c r="J168" s="214">
        <v>100.42199973438215</v>
      </c>
      <c r="K168" s="214">
        <v>56.573999710235057</v>
      </c>
      <c r="L168" s="215">
        <v>12.725999686088016</v>
      </c>
    </row>
    <row r="169" spans="2:12" ht="19">
      <c r="B169" s="208">
        <v>-0.2</v>
      </c>
      <c r="C169" s="228">
        <f t="shared" ref="C169:C174" si="4">$C$15*(1+B169)</f>
        <v>3122.2666666666669</v>
      </c>
      <c r="E169" s="213">
        <v>666</v>
      </c>
      <c r="F169" s="214">
        <v>359.06399983097049</v>
      </c>
      <c r="G169" s="214">
        <v>315.21599980682339</v>
      </c>
      <c r="H169" s="214">
        <v>271.36799978267635</v>
      </c>
      <c r="I169" s="216">
        <v>227.51999975852925</v>
      </c>
      <c r="J169" s="214">
        <v>183.67199973438215</v>
      </c>
      <c r="K169" s="214">
        <v>139.82399971023506</v>
      </c>
      <c r="L169" s="215">
        <v>95.975999686088016</v>
      </c>
    </row>
    <row r="170" spans="2:12" ht="19">
      <c r="B170" s="208">
        <v>-0.1</v>
      </c>
      <c r="C170" s="228">
        <f t="shared" si="4"/>
        <v>3512.55</v>
      </c>
      <c r="E170" s="213">
        <v>749.25</v>
      </c>
      <c r="F170" s="214">
        <v>442.31399983097049</v>
      </c>
      <c r="G170" s="214">
        <v>398.46599980682339</v>
      </c>
      <c r="H170" s="214">
        <v>354.61799978267635</v>
      </c>
      <c r="I170" s="216">
        <v>310.76999975852925</v>
      </c>
      <c r="J170" s="214">
        <v>266.92199973438215</v>
      </c>
      <c r="K170" s="214">
        <v>223.07399971023506</v>
      </c>
      <c r="L170" s="215">
        <v>179.22599968608802</v>
      </c>
    </row>
    <row r="171" spans="2:12" ht="19">
      <c r="B171" s="208">
        <v>0</v>
      </c>
      <c r="C171" s="228">
        <f t="shared" si="4"/>
        <v>3902.8333333333335</v>
      </c>
      <c r="E171" s="213">
        <v>832.5</v>
      </c>
      <c r="F171" s="216">
        <v>525.56399983097049</v>
      </c>
      <c r="G171" s="216">
        <v>481.71599980682339</v>
      </c>
      <c r="H171" s="216">
        <v>437.86799978267635</v>
      </c>
      <c r="I171" s="216">
        <v>394.01999975852925</v>
      </c>
      <c r="J171" s="216">
        <v>350.17199973438215</v>
      </c>
      <c r="K171" s="216">
        <v>306.32399971023506</v>
      </c>
      <c r="L171" s="217">
        <v>262.47599968608802</v>
      </c>
    </row>
    <row r="172" spans="2:12" ht="19">
      <c r="B172" s="208">
        <v>0.1</v>
      </c>
      <c r="C172" s="228">
        <f t="shared" si="4"/>
        <v>4293.1166666666668</v>
      </c>
      <c r="E172" s="213">
        <v>915.75000000000011</v>
      </c>
      <c r="F172" s="214">
        <v>608.8139998309706</v>
      </c>
      <c r="G172" s="214">
        <v>564.96599980682345</v>
      </c>
      <c r="H172" s="214">
        <v>521.11799978267641</v>
      </c>
      <c r="I172" s="216">
        <v>477.26999975852937</v>
      </c>
      <c r="J172" s="214">
        <v>433.42199973438227</v>
      </c>
      <c r="K172" s="214">
        <v>389.57399971023517</v>
      </c>
      <c r="L172" s="215">
        <v>345.72599968608813</v>
      </c>
    </row>
    <row r="173" spans="2:12" ht="19">
      <c r="B173" s="208">
        <v>0.2</v>
      </c>
      <c r="C173" s="228">
        <f t="shared" si="4"/>
        <v>4683.3999999999996</v>
      </c>
      <c r="E173" s="213">
        <v>999</v>
      </c>
      <c r="F173" s="214">
        <v>692.06399983097049</v>
      </c>
      <c r="G173" s="214">
        <v>648.21599980682345</v>
      </c>
      <c r="H173" s="214">
        <v>604.36799978267641</v>
      </c>
      <c r="I173" s="216">
        <v>560.51999975852925</v>
      </c>
      <c r="J173" s="214">
        <v>516.6719997343821</v>
      </c>
      <c r="K173" s="214">
        <v>472.82399971023506</v>
      </c>
      <c r="L173" s="215">
        <v>428.97599968608802</v>
      </c>
    </row>
    <row r="174" spans="2:12" ht="19">
      <c r="B174" s="208">
        <v>0.3</v>
      </c>
      <c r="C174" s="228">
        <f t="shared" si="4"/>
        <v>5073.6833333333334</v>
      </c>
      <c r="E174" s="213">
        <v>1082.25</v>
      </c>
      <c r="F174" s="214">
        <v>775.31399983097049</v>
      </c>
      <c r="G174" s="214">
        <v>731.46599980682345</v>
      </c>
      <c r="H174" s="214">
        <v>687.61799978267641</v>
      </c>
      <c r="I174" s="216">
        <v>643.76999975852925</v>
      </c>
      <c r="J174" s="214">
        <v>599.9219997343821</v>
      </c>
      <c r="K174" s="214">
        <v>556.07399971023506</v>
      </c>
      <c r="L174" s="215">
        <v>512.22599968608802</v>
      </c>
    </row>
    <row r="176" spans="2:12">
      <c r="E176" s="39"/>
      <c r="F176" s="209">
        <v>-0.3</v>
      </c>
      <c r="G176" s="209">
        <v>-0.2</v>
      </c>
      <c r="H176" s="209">
        <v>-0.1</v>
      </c>
      <c r="I176" s="209">
        <v>0</v>
      </c>
      <c r="J176" s="209">
        <v>0.1</v>
      </c>
      <c r="K176" s="209">
        <v>0.2</v>
      </c>
      <c r="L176" s="209">
        <v>0.3</v>
      </c>
    </row>
    <row r="177" spans="2:13" ht="19">
      <c r="E177" s="208">
        <v>-0.3</v>
      </c>
      <c r="F177" s="219">
        <f t="shared" ref="F177:L183" si="5">((F168/$E$167)-1)*100</f>
        <v>-92.887795746956002</v>
      </c>
      <c r="G177" s="219">
        <f t="shared" si="5"/>
        <v>-94.01847052216803</v>
      </c>
      <c r="H177" s="219">
        <f t="shared" si="5"/>
        <v>-95.149145297380059</v>
      </c>
      <c r="I177" s="219">
        <f t="shared" si="5"/>
        <v>-96.279820072592088</v>
      </c>
      <c r="J177" s="219">
        <f t="shared" si="5"/>
        <v>-97.410494847804102</v>
      </c>
      <c r="K177" s="219">
        <f t="shared" si="5"/>
        <v>-98.541169623016131</v>
      </c>
      <c r="L177" s="219">
        <f t="shared" si="5"/>
        <v>-99.67184439822816</v>
      </c>
    </row>
    <row r="178" spans="2:13" ht="19">
      <c r="E178" s="208">
        <v>-0.2</v>
      </c>
      <c r="F178" s="219">
        <f t="shared" si="5"/>
        <v>-90.741091792737691</v>
      </c>
      <c r="G178" s="219">
        <f t="shared" si="5"/>
        <v>-91.87176656794972</v>
      </c>
      <c r="H178" s="219">
        <f t="shared" si="5"/>
        <v>-93.002441343161735</v>
      </c>
      <c r="I178" s="219">
        <f t="shared" si="5"/>
        <v>-94.133116118373763</v>
      </c>
      <c r="J178" s="219">
        <f t="shared" si="5"/>
        <v>-95.263790893585792</v>
      </c>
      <c r="K178" s="219">
        <f t="shared" si="5"/>
        <v>-96.394465668797807</v>
      </c>
      <c r="L178" s="219">
        <f t="shared" si="5"/>
        <v>-97.525140444009836</v>
      </c>
    </row>
    <row r="179" spans="2:13" ht="19">
      <c r="E179" s="208">
        <v>-0.1</v>
      </c>
      <c r="F179" s="219">
        <f t="shared" si="5"/>
        <v>-88.594387838519381</v>
      </c>
      <c r="G179" s="219">
        <f t="shared" si="5"/>
        <v>-89.72506261373141</v>
      </c>
      <c r="H179" s="219">
        <f t="shared" si="5"/>
        <v>-90.855737388943425</v>
      </c>
      <c r="I179" s="219">
        <f t="shared" si="5"/>
        <v>-91.986412164155453</v>
      </c>
      <c r="J179" s="219">
        <f t="shared" si="5"/>
        <v>-93.117086939367482</v>
      </c>
      <c r="K179" s="219">
        <f t="shared" si="5"/>
        <v>-94.247761714579497</v>
      </c>
      <c r="L179" s="219">
        <f t="shared" si="5"/>
        <v>-95.378436489791525</v>
      </c>
    </row>
    <row r="180" spans="2:13" ht="19">
      <c r="E180" s="208">
        <v>0</v>
      </c>
      <c r="F180" s="219">
        <f t="shared" si="5"/>
        <v>-86.447683884301057</v>
      </c>
      <c r="G180" s="219">
        <f t="shared" si="5"/>
        <v>-87.578358659513086</v>
      </c>
      <c r="H180" s="219">
        <f t="shared" si="5"/>
        <v>-88.709033434725114</v>
      </c>
      <c r="I180" s="219">
        <f t="shared" si="5"/>
        <v>-89.839708209937143</v>
      </c>
      <c r="J180" s="219">
        <f t="shared" si="5"/>
        <v>-90.970382985149172</v>
      </c>
      <c r="K180" s="219">
        <f t="shared" si="5"/>
        <v>-92.101057760361186</v>
      </c>
      <c r="L180" s="219">
        <f t="shared" si="5"/>
        <v>-93.231732535573215</v>
      </c>
    </row>
    <row r="181" spans="2:13" ht="19">
      <c r="E181" s="208">
        <v>0.1</v>
      </c>
      <c r="F181" s="219">
        <f t="shared" si="5"/>
        <v>-84.300979930082747</v>
      </c>
      <c r="G181" s="219">
        <f t="shared" si="5"/>
        <v>-85.431654705294775</v>
      </c>
      <c r="H181" s="219">
        <f t="shared" si="5"/>
        <v>-86.562329480506804</v>
      </c>
      <c r="I181" s="219">
        <f t="shared" si="5"/>
        <v>-87.693004255718833</v>
      </c>
      <c r="J181" s="219">
        <f t="shared" si="5"/>
        <v>-88.823679030930862</v>
      </c>
      <c r="K181" s="219">
        <f t="shared" si="5"/>
        <v>-89.95435380614289</v>
      </c>
      <c r="L181" s="219">
        <f t="shared" si="5"/>
        <v>-91.085028581354905</v>
      </c>
    </row>
    <row r="182" spans="2:13" ht="19">
      <c r="E182" s="208">
        <v>0.2</v>
      </c>
      <c r="F182" s="219">
        <f t="shared" si="5"/>
        <v>-82.154275975864437</v>
      </c>
      <c r="G182" s="219">
        <f t="shared" si="5"/>
        <v>-83.284950751076465</v>
      </c>
      <c r="H182" s="219">
        <f t="shared" si="5"/>
        <v>-84.415625526288494</v>
      </c>
      <c r="I182" s="219">
        <f t="shared" si="5"/>
        <v>-85.546300301500523</v>
      </c>
      <c r="J182" s="219">
        <f t="shared" si="5"/>
        <v>-86.676975076712552</v>
      </c>
      <c r="K182" s="219">
        <f t="shared" si="5"/>
        <v>-87.80764985192458</v>
      </c>
      <c r="L182" s="219">
        <f t="shared" si="5"/>
        <v>-88.938324627136595</v>
      </c>
    </row>
    <row r="183" spans="2:13" ht="19">
      <c r="E183" s="208">
        <v>0.3</v>
      </c>
      <c r="F183" s="219">
        <f t="shared" si="5"/>
        <v>-80.007572021646141</v>
      </c>
      <c r="G183" s="219">
        <f t="shared" si="5"/>
        <v>-81.138246796858155</v>
      </c>
      <c r="H183" s="219">
        <f t="shared" si="5"/>
        <v>-82.268921572070184</v>
      </c>
      <c r="I183" s="219">
        <f t="shared" si="5"/>
        <v>-83.399596347282213</v>
      </c>
      <c r="J183" s="219">
        <f t="shared" si="5"/>
        <v>-84.530271122494241</v>
      </c>
      <c r="K183" s="219">
        <f t="shared" si="5"/>
        <v>-85.66094589770627</v>
      </c>
      <c r="L183" s="219">
        <f t="shared" si="5"/>
        <v>-86.791620672918285</v>
      </c>
    </row>
    <row r="190" spans="2:13" ht="22" thickBot="1">
      <c r="B190" s="220"/>
      <c r="C190" s="221"/>
      <c r="D190" s="221"/>
      <c r="E190" s="222"/>
      <c r="F190" s="223"/>
      <c r="G190" s="224"/>
      <c r="H190" s="224"/>
      <c r="I190" s="224"/>
      <c r="J190" s="224"/>
      <c r="K190" s="224"/>
      <c r="L190" s="224"/>
      <c r="M190" s="225"/>
    </row>
    <row r="191" spans="2:13" ht="22" thickTop="1">
      <c r="B191" s="178"/>
      <c r="C191" s="192"/>
      <c r="D191" s="192"/>
      <c r="E191" s="197"/>
      <c r="F191" s="196"/>
    </row>
  </sheetData>
  <mergeCells count="10">
    <mergeCell ref="F108:L108"/>
    <mergeCell ref="D112:D119"/>
    <mergeCell ref="B160:F160"/>
    <mergeCell ref="F163:L163"/>
    <mergeCell ref="B11:C11"/>
    <mergeCell ref="B18:F18"/>
    <mergeCell ref="B27:F27"/>
    <mergeCell ref="B34:F34"/>
    <mergeCell ref="B42:F42"/>
    <mergeCell ref="B105:F105"/>
  </mergeCells>
  <pageMargins left="0.511811024" right="0.511811024" top="0.78740157499999996" bottom="0.78740157499999996" header="0.31496062000000002" footer="0.31496062000000002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3:R153"/>
  <sheetViews>
    <sheetView showGridLines="0" showRowColHeaders="0" zoomScale="75" zoomScaleNormal="93" workbookViewId="0"/>
  </sheetViews>
  <sheetFormatPr baseColWidth="10" defaultColWidth="8.6640625" defaultRowHeight="15"/>
  <cols>
    <col min="1" max="2" width="9.1640625" style="28" customWidth="1"/>
    <col min="3" max="19" width="9.1640625" customWidth="1"/>
  </cols>
  <sheetData>
    <row r="3" spans="1:3">
      <c r="A3" s="6"/>
      <c r="B3" s="6"/>
      <c r="C3" s="6"/>
    </row>
    <row r="4" spans="1:3">
      <c r="A4" s="28" t="s">
        <v>152</v>
      </c>
      <c r="B4" s="28">
        <f ca="1">(((SUMIF('Atividades_Condução '!C71:G99,'Atividades_Condução '!C71,'Atividades_Condução '!G71:G99)*'Atividades_Condução '!E71))+(SUM(Atividade_ColheitaePós!F15:F16,Atividade_ColheitaePós!F19)))</f>
        <v>5931</v>
      </c>
      <c r="C4" s="36">
        <f ca="1">B4/$B$8</f>
        <v>0.22944886501251924</v>
      </c>
    </row>
    <row r="5" spans="1:3">
      <c r="A5" s="28" t="s">
        <v>154</v>
      </c>
      <c r="B5" s="28">
        <f ca="1">((SUMIF('Atividades_Condução '!C71:G99,'Atividades_Condução '!C72,'Atividades_Condução '!G71:G99)*'Atividades_Condução '!E72)+(SUM(Atividade_ColheitaePós!F17:F18)))</f>
        <v>4970</v>
      </c>
      <c r="C5" s="36">
        <f ca="1">B5/$B$8</f>
        <v>0.19227126270649478</v>
      </c>
    </row>
    <row r="6" spans="1:3">
      <c r="A6" s="28" t="s">
        <v>153</v>
      </c>
      <c r="B6" s="29">
        <f>'Atividades_Condução '!G65</f>
        <v>11500.419155548414</v>
      </c>
      <c r="C6" s="36">
        <f ca="1">B6/$B$8</f>
        <v>0.44490947941473924</v>
      </c>
    </row>
    <row r="7" spans="1:3">
      <c r="A7" s="28" t="s">
        <v>155</v>
      </c>
      <c r="B7" s="29">
        <f>SUM(Atividade_ColheitaePós!F41,'Gastos Gerais'!E42,Análise!C23)</f>
        <v>3447.4775024341457</v>
      </c>
      <c r="C7" s="36">
        <f ca="1">B7/$B$8</f>
        <v>0.13337039286624672</v>
      </c>
    </row>
    <row r="8" spans="1:3">
      <c r="A8" s="28" t="s">
        <v>36</v>
      </c>
      <c r="B8" s="28">
        <f ca="1">SUM(B4:B7)</f>
        <v>25848.896657982561</v>
      </c>
      <c r="C8" s="36">
        <f ca="1">B8/$B$8</f>
        <v>1</v>
      </c>
    </row>
    <row r="9" spans="1:3">
      <c r="A9" s="6"/>
      <c r="B9" s="6"/>
      <c r="C9" s="6"/>
    </row>
    <row r="10" spans="1:3">
      <c r="A10" s="6"/>
      <c r="B10" s="6"/>
      <c r="C10" s="6"/>
    </row>
    <row r="35" spans="15:15" ht="16">
      <c r="O35" s="32"/>
    </row>
    <row r="153" spans="18:18">
      <c r="R153" s="31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B5:C8 C4" evalError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O35"/>
  <sheetViews>
    <sheetView showGridLines="0" zoomScale="55" zoomScaleNormal="55" workbookViewId="0"/>
  </sheetViews>
  <sheetFormatPr baseColWidth="10" defaultColWidth="8.6640625" defaultRowHeight="15"/>
  <cols>
    <col min="1" max="1" width="19.33203125" style="28" bestFit="1" customWidth="1"/>
    <col min="2" max="2" width="9.1640625" style="28" customWidth="1"/>
    <col min="3" max="20" width="9.1640625" customWidth="1"/>
  </cols>
  <sheetData>
    <row r="1" spans="1:3">
      <c r="A1" s="206"/>
      <c r="B1" s="206"/>
      <c r="C1" s="206"/>
    </row>
    <row r="2" spans="1:3">
      <c r="A2" s="28" t="s">
        <v>151</v>
      </c>
      <c r="C2" s="28"/>
    </row>
    <row r="3" spans="1:3">
      <c r="A3" s="28" t="str">
        <f>Análise!B30</f>
        <v>Depreciação</v>
      </c>
      <c r="B3" s="28">
        <f>Análise!C30</f>
        <v>3639.1255076535926</v>
      </c>
      <c r="C3" s="36">
        <f>B3/$B$9</f>
        <v>0.10754545551865227</v>
      </c>
    </row>
    <row r="4" spans="1:3">
      <c r="A4" s="28" t="str">
        <f>Análise!B31</f>
        <v>Pró-labore</v>
      </c>
      <c r="B4" s="28">
        <f>Análise!C31</f>
        <v>4350</v>
      </c>
      <c r="C4" s="36">
        <f t="shared" ref="C4:C9" si="0">B4/$B$9</f>
        <v>0.12855361281776087</v>
      </c>
    </row>
    <row r="5" spans="1:3">
      <c r="A5" s="28" t="str">
        <f>Análise!B20</f>
        <v>Condução da Lavoura</v>
      </c>
      <c r="B5" s="28">
        <f>Análise!C20</f>
        <v>21820.347726976986</v>
      </c>
      <c r="C5" s="36">
        <f t="shared" si="0"/>
        <v>0.64484701913625464</v>
      </c>
    </row>
    <row r="6" spans="1:3">
      <c r="A6" s="28" t="str">
        <f>Análise!B21</f>
        <v>Colheita e Pós Colheita</v>
      </c>
      <c r="B6" s="28">
        <f>Análise!C21</f>
        <v>581.07142857142856</v>
      </c>
      <c r="C6" s="36">
        <f t="shared" si="0"/>
        <v>1.7172145160467726E-2</v>
      </c>
    </row>
    <row r="7" spans="1:3">
      <c r="A7" s="28" t="str">
        <f>Análise!B22</f>
        <v>Gastos Gerais</v>
      </c>
      <c r="B7" s="28">
        <f>Análise!C22</f>
        <v>2796.1210871601297</v>
      </c>
      <c r="C7" s="36">
        <f t="shared" si="0"/>
        <v>8.2632521294335612E-2</v>
      </c>
    </row>
    <row r="8" spans="1:3">
      <c r="A8" s="28" t="str">
        <f>Análise!B23</f>
        <v>Juros de Custeio</v>
      </c>
      <c r="B8" s="28">
        <f>Análise!C23</f>
        <v>651.35641527401583</v>
      </c>
      <c r="C8" s="36">
        <f t="shared" si="0"/>
        <v>1.9249246072528849E-2</v>
      </c>
    </row>
    <row r="9" spans="1:3">
      <c r="A9" s="28" t="s">
        <v>34</v>
      </c>
      <c r="B9" s="28">
        <f>SUM(B3:B8)</f>
        <v>33838.022165636154</v>
      </c>
      <c r="C9" s="36">
        <f t="shared" si="0"/>
        <v>1</v>
      </c>
    </row>
    <row r="10" spans="1:3">
      <c r="C10" s="28"/>
    </row>
    <row r="35" spans="15:15" ht="16">
      <c r="O35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4:O34"/>
  <sheetViews>
    <sheetView showGridLines="0" showRowColHeaders="0" zoomScale="78" zoomScaleNormal="78" workbookViewId="0"/>
  </sheetViews>
  <sheetFormatPr baseColWidth="10" defaultColWidth="8.6640625" defaultRowHeight="15"/>
  <cols>
    <col min="1" max="1" width="9.1640625" style="28" customWidth="1"/>
    <col min="2" max="2" width="9.1640625" style="28"/>
    <col min="3" max="3" width="9.1640625" customWidth="1"/>
  </cols>
  <sheetData>
    <row r="4" spans="1:5">
      <c r="A4" s="6"/>
      <c r="B4" s="6"/>
      <c r="C4" s="6"/>
      <c r="D4" s="6"/>
      <c r="E4" s="6"/>
    </row>
    <row r="5" spans="1:5">
      <c r="C5" s="28" t="s">
        <v>149</v>
      </c>
      <c r="D5" s="6"/>
      <c r="E5" s="6"/>
    </row>
    <row r="6" spans="1:5">
      <c r="A6" s="28" t="s">
        <v>33</v>
      </c>
      <c r="B6" s="29">
        <f>Análise!C44</f>
        <v>58542.5</v>
      </c>
      <c r="C6" s="28"/>
      <c r="D6" s="6"/>
      <c r="E6" s="6"/>
    </row>
    <row r="7" spans="1:5">
      <c r="A7" s="28" t="s">
        <v>32</v>
      </c>
      <c r="B7" s="29">
        <f>Análise!C45</f>
        <v>32693.603342017443</v>
      </c>
      <c r="C7" s="28"/>
      <c r="D7" s="6"/>
      <c r="E7" s="6"/>
    </row>
    <row r="8" spans="1:5">
      <c r="A8" s="28" t="s">
        <v>31</v>
      </c>
      <c r="B8" s="29">
        <f>Análise!C46</f>
        <v>24704.477834363846</v>
      </c>
      <c r="C8" s="30"/>
      <c r="D8" s="6"/>
      <c r="E8" s="6"/>
    </row>
    <row r="9" spans="1:5">
      <c r="A9" s="28" t="s">
        <v>159</v>
      </c>
      <c r="C9" s="30">
        <f>Análise!E49/100</f>
        <v>0.34848771503678366</v>
      </c>
      <c r="D9" s="6"/>
      <c r="E9" s="6"/>
    </row>
    <row r="10" spans="1:5">
      <c r="D10" s="6"/>
      <c r="E10" s="6"/>
    </row>
    <row r="34" spans="15:15" ht="16">
      <c r="O34" s="32"/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5:O28"/>
  <sheetViews>
    <sheetView showGridLines="0" showRowColHeaders="0" zoomScale="75" zoomScaleNormal="93" workbookViewId="0">
      <selection activeCell="T4" sqref="T4"/>
    </sheetView>
  </sheetViews>
  <sheetFormatPr baseColWidth="10" defaultColWidth="8.6640625" defaultRowHeight="15"/>
  <cols>
    <col min="1" max="2" width="9.1640625" style="28" customWidth="1"/>
    <col min="3" max="20" width="9.1640625" customWidth="1"/>
  </cols>
  <sheetData>
    <row r="5" spans="1:6">
      <c r="A5" s="6"/>
      <c r="B5" s="6"/>
      <c r="C5" s="6"/>
      <c r="D5" s="6"/>
      <c r="E5" s="6"/>
      <c r="F5" s="6"/>
    </row>
    <row r="6" spans="1:6">
      <c r="A6" s="6"/>
      <c r="B6" s="6"/>
      <c r="C6" s="6"/>
      <c r="D6" s="6"/>
      <c r="E6" s="6"/>
      <c r="F6" s="6"/>
    </row>
    <row r="7" spans="1:6">
      <c r="A7" s="6"/>
      <c r="B7" s="6"/>
      <c r="C7" s="6"/>
      <c r="D7" s="6"/>
      <c r="E7" s="6"/>
      <c r="F7" s="6"/>
    </row>
    <row r="8" spans="1:6">
      <c r="A8" s="6"/>
      <c r="B8" s="37"/>
      <c r="C8" s="6"/>
      <c r="D8" s="6"/>
      <c r="E8" s="6"/>
      <c r="F8" s="6"/>
    </row>
    <row r="9" spans="1:6">
      <c r="A9" s="29" t="s">
        <v>254</v>
      </c>
      <c r="B9" s="29"/>
      <c r="C9" s="35"/>
      <c r="D9" s="35"/>
      <c r="E9" s="6"/>
      <c r="F9" s="6"/>
    </row>
    <row r="10" spans="1:6">
      <c r="A10" s="28" t="s">
        <v>156</v>
      </c>
      <c r="C10" s="35"/>
      <c r="D10" s="35"/>
      <c r="E10" s="6"/>
      <c r="F10" s="6"/>
    </row>
    <row r="11" spans="1:6">
      <c r="A11" s="28" t="s">
        <v>36</v>
      </c>
      <c r="B11" s="34">
        <f>Análise!C29/Análise!$D$44</f>
        <v>6.6231105584786834</v>
      </c>
      <c r="C11" s="6"/>
      <c r="D11" s="6"/>
      <c r="E11" s="6"/>
      <c r="F11" s="6"/>
    </row>
    <row r="12" spans="1:6">
      <c r="A12" s="28" t="s">
        <v>157</v>
      </c>
      <c r="B12" s="34">
        <f>Análise!C30/Análise!$D$44</f>
        <v>0.93243169688352712</v>
      </c>
      <c r="C12" s="6"/>
      <c r="D12" s="6"/>
      <c r="E12" s="6"/>
      <c r="F12" s="6"/>
    </row>
    <row r="13" spans="1:6">
      <c r="A13" s="28" t="s">
        <v>160</v>
      </c>
      <c r="B13" s="34">
        <f>Análise!C31/Análise!$D$44</f>
        <v>1.1145748814963488</v>
      </c>
      <c r="C13" s="6"/>
      <c r="D13" s="6"/>
      <c r="E13" s="6"/>
      <c r="F13" s="6"/>
    </row>
    <row r="14" spans="1:6" ht="112">
      <c r="A14" s="33" t="s">
        <v>176</v>
      </c>
      <c r="B14" s="34">
        <f>SUM(Análise!C37:C38)/Análise!$D$44</f>
        <v>3.1773431839755046</v>
      </c>
      <c r="C14" s="6"/>
      <c r="D14" s="6"/>
      <c r="E14" s="6"/>
      <c r="F14" s="6"/>
    </row>
    <row r="15" spans="1:6">
      <c r="A15" s="28" t="s">
        <v>163</v>
      </c>
      <c r="B15" s="34">
        <f>Análise!C39/Análise!$D$44</f>
        <v>0.62862833772221749</v>
      </c>
      <c r="C15" s="6"/>
    </row>
    <row r="16" spans="1:6">
      <c r="A16" s="6"/>
      <c r="B16" s="6"/>
      <c r="C16" s="6"/>
    </row>
    <row r="17" spans="1:15">
      <c r="A17" s="6"/>
      <c r="B17" s="6"/>
      <c r="C17" s="6"/>
    </row>
    <row r="18" spans="1:15">
      <c r="A18" s="6"/>
      <c r="B18" s="6"/>
      <c r="C18" s="6"/>
    </row>
    <row r="28" spans="1:15" ht="16">
      <c r="O28" s="3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6D52-ED8A-D24E-B8C2-3A70DF3BD121}">
  <sheetPr codeName="Planilha16"/>
  <dimension ref="C9:N28"/>
  <sheetViews>
    <sheetView showGridLines="0" zoomScale="70" zoomScaleNormal="70" workbookViewId="0"/>
  </sheetViews>
  <sheetFormatPr baseColWidth="10" defaultColWidth="10.6640625" defaultRowHeight="15"/>
  <cols>
    <col min="2" max="2" width="30.1640625" customWidth="1"/>
    <col min="3" max="3" width="10.6640625" customWidth="1"/>
    <col min="4" max="4" width="48.1640625" customWidth="1"/>
    <col min="13" max="13" width="31.6640625" customWidth="1"/>
  </cols>
  <sheetData>
    <row r="9" spans="3:14" ht="34.25" customHeight="1"/>
    <row r="10" spans="3:14" ht="16" thickBot="1"/>
    <row r="11" spans="3:14" ht="45" customHeight="1">
      <c r="C11" s="276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8"/>
    </row>
    <row r="12" spans="3:14" ht="31">
      <c r="C12" s="279"/>
      <c r="D12" s="331" t="s">
        <v>227</v>
      </c>
      <c r="E12" s="331"/>
      <c r="F12" s="331"/>
      <c r="G12" s="331"/>
      <c r="H12" s="331"/>
      <c r="I12" s="331"/>
      <c r="J12" s="331"/>
      <c r="K12" s="331"/>
      <c r="L12" s="331"/>
      <c r="M12" s="331"/>
      <c r="N12" s="280"/>
    </row>
    <row r="13" spans="3:14" s="229" customFormat="1" ht="31">
      <c r="C13" s="279"/>
      <c r="D13" s="281"/>
      <c r="E13" s="282"/>
      <c r="F13" s="282"/>
      <c r="G13" s="282"/>
      <c r="H13" s="282"/>
      <c r="I13" s="282"/>
      <c r="J13" s="282"/>
      <c r="K13" s="282"/>
      <c r="L13" s="282"/>
      <c r="M13" s="282"/>
      <c r="N13" s="280"/>
    </row>
    <row r="14" spans="3:14" ht="31">
      <c r="C14" s="279"/>
      <c r="D14" s="331" t="s">
        <v>228</v>
      </c>
      <c r="E14" s="331"/>
      <c r="F14" s="331"/>
      <c r="G14" s="331"/>
      <c r="H14" s="331"/>
      <c r="I14" s="331"/>
      <c r="J14" s="331"/>
      <c r="K14" s="331"/>
      <c r="L14" s="331"/>
      <c r="M14" s="331"/>
      <c r="N14" s="280"/>
    </row>
    <row r="15" spans="3:14" s="229" customFormat="1" ht="31">
      <c r="C15" s="279"/>
      <c r="D15" s="281"/>
      <c r="E15" s="282"/>
      <c r="F15" s="282"/>
      <c r="G15" s="282"/>
      <c r="H15" s="282"/>
      <c r="I15" s="282"/>
      <c r="J15" s="282"/>
      <c r="K15" s="282"/>
      <c r="L15" s="282"/>
      <c r="M15" s="282"/>
      <c r="N15" s="280"/>
    </row>
    <row r="16" spans="3:14" ht="31">
      <c r="C16" s="279"/>
      <c r="D16" s="331" t="s">
        <v>225</v>
      </c>
      <c r="E16" s="331"/>
      <c r="F16" s="331"/>
      <c r="G16" s="331"/>
      <c r="H16" s="331"/>
      <c r="I16" s="331"/>
      <c r="J16" s="331"/>
      <c r="K16" s="331"/>
      <c r="L16" s="331"/>
      <c r="M16" s="331"/>
      <c r="N16" s="280"/>
    </row>
    <row r="17" spans="3:14" s="229" customFormat="1" ht="31">
      <c r="C17" s="279"/>
      <c r="D17" s="283"/>
      <c r="E17" s="282"/>
      <c r="F17" s="282"/>
      <c r="G17" s="282"/>
      <c r="H17" s="282"/>
      <c r="I17" s="282"/>
      <c r="J17" s="282"/>
      <c r="K17" s="282"/>
      <c r="L17" s="282"/>
      <c r="M17" s="282"/>
      <c r="N17" s="280"/>
    </row>
    <row r="18" spans="3:14" ht="31">
      <c r="C18" s="279"/>
      <c r="D18" s="331" t="s">
        <v>226</v>
      </c>
      <c r="E18" s="331"/>
      <c r="F18" s="331"/>
      <c r="G18" s="331"/>
      <c r="H18" s="331"/>
      <c r="I18" s="331"/>
      <c r="J18" s="331"/>
      <c r="K18" s="331"/>
      <c r="L18" s="331"/>
      <c r="M18" s="331"/>
      <c r="N18" s="280"/>
    </row>
    <row r="19" spans="3:14">
      <c r="C19" s="279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0"/>
    </row>
    <row r="20" spans="3:14">
      <c r="C20" s="279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0"/>
    </row>
    <row r="21" spans="3:14" ht="33.75" customHeight="1">
      <c r="C21" s="279"/>
      <c r="D21" s="331" t="s">
        <v>238</v>
      </c>
      <c r="E21" s="331"/>
      <c r="F21" s="331"/>
      <c r="G21" s="331"/>
      <c r="H21" s="331"/>
      <c r="I21" s="331"/>
      <c r="J21" s="331"/>
      <c r="K21" s="331"/>
      <c r="L21" s="331"/>
      <c r="M21" s="331"/>
      <c r="N21" s="280"/>
    </row>
    <row r="22" spans="3:14">
      <c r="C22" s="279"/>
      <c r="D22" s="282"/>
      <c r="E22" s="282"/>
      <c r="F22" s="282"/>
      <c r="G22" s="282"/>
      <c r="H22" s="282"/>
      <c r="I22" s="282"/>
      <c r="J22" s="282"/>
      <c r="K22" s="282"/>
      <c r="L22" s="282"/>
      <c r="M22" s="282"/>
      <c r="N22" s="280"/>
    </row>
    <row r="23" spans="3:14">
      <c r="C23" s="279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0"/>
    </row>
    <row r="24" spans="3:14" ht="16" thickBot="1">
      <c r="C24" s="284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6"/>
    </row>
    <row r="28" spans="3:14">
      <c r="D28" t="s">
        <v>239</v>
      </c>
    </row>
  </sheetData>
  <mergeCells count="5">
    <mergeCell ref="D21:M21"/>
    <mergeCell ref="D12:M12"/>
    <mergeCell ref="D14:M14"/>
    <mergeCell ref="D16:M16"/>
    <mergeCell ref="D18:M18"/>
  </mergeCells>
  <hyperlinks>
    <hyperlink ref="D12" location="'Informações Gerais'!A1" display="INFORMAÇÕES GERAIS" xr:uid="{DEC7F3EB-F83B-2A46-BFA0-3F7EE5DAF677}"/>
    <hyperlink ref="D14" location="'Pessoas MOB'!A1" display="PESSOAS" xr:uid="{BCB7C380-8921-7045-A5C5-89566B79090A}"/>
    <hyperlink ref="D16" location="Custos_Mecanização!A1" display="CUSTOS DE MECANIZAÇÃO" xr:uid="{A50CDCD8-7BB0-1649-8AA7-FBC7919CDCC2}"/>
    <hyperlink ref="D18" location="'Atividades_Condução '!A1" display="CONDUÇÃO DA LAVOURA" xr:uid="{1CA71BED-B5EF-2B45-934E-F2419FADF4F7}"/>
    <hyperlink ref="D12:M12" location="Análise!A96:A134" display="Sensibilidade da Lucratividade às mudanças no Preço de Venda e no COE" xr:uid="{F6D17544-5485-8544-BD64-F4A9259A647C}"/>
    <hyperlink ref="D14:M14" location="Análise!A151:A191" display="Sensibilidade da Margem Bruta às mudanças no Preço de Venda e no COE" xr:uid="{E379BAAE-52EC-5645-AFA8-A1A1AB4A688C}"/>
    <hyperlink ref="D16:M16" location="'Atividades_Condução '!A134:A177" display="Sensibilidade da Lucratividade às mudanças nos preços dos Fertilizantes e Defensivos" xr:uid="{ED06F91E-C06C-A949-AC75-EC8D00BD1646}"/>
    <hyperlink ref="D18:M18" location="'Atividades_Condução '!A202:A246" display="Sensibilidade da Margem Bruta às mudanças nos preços dos Fertilizantes e Defensivos" xr:uid="{262086CD-6B04-674B-9E00-B5F1E1F62F6B}"/>
    <hyperlink ref="D21" location="'Informações Gerais'!A1" display="INFORMAÇÕES GERAIS" xr:uid="{43CA6C8D-F2BD-4F7B-ABB7-CB7CCB4F66F2}"/>
    <hyperlink ref="D21:M21" location="'Atividades_Condução '!A263:A302" display="Sensibilidade da Lucratividade e da Produtividade às mudanças na quantidade de Fertilizante" xr:uid="{B1535718-FF3F-49A0-9C02-FCE7E3D7A136}"/>
  </hyperlink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E1:K29"/>
  <sheetViews>
    <sheetView showGridLines="0" showRowColHeaders="0" zoomScale="86" zoomScaleNormal="57" workbookViewId="0"/>
  </sheetViews>
  <sheetFormatPr baseColWidth="10" defaultColWidth="8.6640625" defaultRowHeight="15"/>
  <cols>
    <col min="1" max="1" width="6.1640625" customWidth="1"/>
    <col min="2" max="2" width="13.6640625" customWidth="1"/>
    <col min="4" max="4" width="80.5" customWidth="1"/>
    <col min="5" max="5" width="85.6640625" bestFit="1" customWidth="1"/>
    <col min="8" max="8" width="16.6640625" customWidth="1"/>
  </cols>
  <sheetData>
    <row r="1" spans="5:9" ht="42.75" customHeight="1"/>
    <row r="7" spans="5:9" ht="50.75" customHeight="1">
      <c r="E7" s="17"/>
    </row>
    <row r="8" spans="5:9" ht="33">
      <c r="E8" s="287" t="s">
        <v>94</v>
      </c>
    </row>
    <row r="9" spans="5:9" ht="31">
      <c r="E9" s="288"/>
    </row>
    <row r="10" spans="5:9" ht="33">
      <c r="E10" s="287" t="s">
        <v>132</v>
      </c>
    </row>
    <row r="11" spans="5:9" ht="31">
      <c r="E11" s="288"/>
    </row>
    <row r="12" spans="5:9" ht="33">
      <c r="E12" s="287" t="s">
        <v>95</v>
      </c>
    </row>
    <row r="13" spans="5:9" ht="31">
      <c r="E13" s="289"/>
      <c r="H13" s="18"/>
    </row>
    <row r="14" spans="5:9" ht="33">
      <c r="E14" s="287" t="s">
        <v>96</v>
      </c>
      <c r="H14" s="106"/>
      <c r="I14" s="89"/>
    </row>
    <row r="15" spans="5:9" ht="31">
      <c r="E15" s="288"/>
    </row>
    <row r="16" spans="5:9" ht="33">
      <c r="E16" s="287" t="s">
        <v>97</v>
      </c>
    </row>
    <row r="17" spans="5:11" ht="31">
      <c r="E17" s="288"/>
    </row>
    <row r="18" spans="5:11" ht="33">
      <c r="E18" s="287" t="s">
        <v>98</v>
      </c>
    </row>
    <row r="19" spans="5:11" ht="31">
      <c r="E19" s="289"/>
    </row>
    <row r="20" spans="5:11" ht="33">
      <c r="E20" s="287" t="s">
        <v>148</v>
      </c>
    </row>
    <row r="21" spans="5:11" ht="31">
      <c r="E21" s="289"/>
    </row>
    <row r="22" spans="5:11" ht="33">
      <c r="E22" s="287" t="s">
        <v>99</v>
      </c>
    </row>
    <row r="23" spans="5:11" ht="1.25" customHeight="1">
      <c r="E23" s="287" t="s">
        <v>99</v>
      </c>
      <c r="H23" s="19"/>
    </row>
    <row r="24" spans="5:11" s="229" customFormat="1" ht="33">
      <c r="E24" s="290"/>
    </row>
    <row r="25" spans="5:11" ht="33">
      <c r="E25" s="230" t="s">
        <v>65</v>
      </c>
    </row>
    <row r="29" spans="5:11" ht="33">
      <c r="K29" s="170"/>
    </row>
  </sheetData>
  <hyperlinks>
    <hyperlink ref="E8" location="'Informações Gerais'!A1" display="INFORMAÇÕES GERAIS" xr:uid="{00000000-0004-0000-0100-000001000000}"/>
    <hyperlink ref="E10" location="'Pessoas MOB'!A1" display="PESSOAS" xr:uid="{00000000-0004-0000-0100-000002000000}"/>
    <hyperlink ref="E12" location="Custos_Mecanização!A1" display="CUSTOS DE MECANIZAÇÃO" xr:uid="{00000000-0004-0000-0100-000003000000}"/>
    <hyperlink ref="E14" location="'Atividades_Condução '!A1" display="CONDUÇÃO DA LAVOURA" xr:uid="{00000000-0004-0000-0100-000004000000}"/>
    <hyperlink ref="E16" location="Atividade_ColheitaePós!A1" display="COLHEITA E PÓS-COLHEITA" xr:uid="{00000000-0004-0000-0100-000005000000}"/>
    <hyperlink ref="E22" location="Inventário!A1" display="INVENTÁRIO" xr:uid="{00000000-0004-0000-0100-000007000000}"/>
    <hyperlink ref="E23" location="Inventário!A1" display="INVENTÁRIO" xr:uid="{CD432B79-37E2-B241-A84E-A1EBE6550162}"/>
    <hyperlink ref="E20" location="'Juros de Custeio_Uso da Terra'!A1" display="USO DA TERRA E JUROS DE CUSTEIO" xr:uid="{00000000-0004-0000-0100-000009000000}"/>
    <hyperlink ref="E18" location="'Gastos Gerais'!A1" display="OUTROS GASTOS" xr:uid="{00000000-0004-0000-0100-000006000000}"/>
    <hyperlink ref="E25" location="Análise!A1" display="ANÁLISE" xr:uid="{DC225F72-55BB-4C97-A056-506567AFB79B}"/>
  </hyperlinks>
  <pageMargins left="0.51181102362204722" right="0.51181102362204722" top="0.78740157480314965" bottom="0.78740157480314965" header="0.31496062992125984" footer="0.31496062992125984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B1:H60"/>
  <sheetViews>
    <sheetView showGridLines="0" showRowColHeaders="0" topLeftCell="A8" zoomScale="126" zoomScaleNormal="95" workbookViewId="0"/>
  </sheetViews>
  <sheetFormatPr baseColWidth="10" defaultColWidth="9.33203125" defaultRowHeight="20"/>
  <cols>
    <col min="1" max="1" width="3.6640625" style="91" customWidth="1"/>
    <col min="2" max="2" width="9.33203125" style="90"/>
    <col min="3" max="3" width="54.1640625" style="91" bestFit="1" customWidth="1"/>
    <col min="4" max="4" width="28.6640625" style="91" bestFit="1" customWidth="1"/>
    <col min="5" max="5" width="30" style="91" customWidth="1"/>
    <col min="6" max="6" width="9.33203125" style="91" customWidth="1"/>
    <col min="7" max="7" width="15.1640625" style="91" customWidth="1"/>
    <col min="8" max="8" width="9.33203125" style="91" customWidth="1"/>
    <col min="9" max="16384" width="9.33203125" style="91"/>
  </cols>
  <sheetData>
    <row r="1" spans="2:8" ht="15" customHeight="1"/>
    <row r="2" spans="2:8" ht="15" customHeight="1"/>
    <row r="3" spans="2:8" ht="15" customHeight="1">
      <c r="C3" s="323"/>
      <c r="D3" s="323"/>
      <c r="E3" s="323"/>
    </row>
    <row r="4" spans="2:8" ht="15" customHeight="1">
      <c r="C4" s="323"/>
      <c r="D4" s="323"/>
      <c r="E4" s="323"/>
    </row>
    <row r="5" spans="2:8" ht="15" customHeight="1">
      <c r="C5" s="324"/>
      <c r="D5" s="324"/>
      <c r="E5" s="324"/>
    </row>
    <row r="6" spans="2:8" ht="15" customHeight="1">
      <c r="C6" s="92"/>
      <c r="D6" s="92"/>
      <c r="E6" s="92"/>
    </row>
    <row r="7" spans="2:8" ht="15" customHeight="1">
      <c r="C7" s="92"/>
      <c r="D7" s="92"/>
      <c r="E7" s="92"/>
    </row>
    <row r="8" spans="2:8" ht="42.5" customHeight="1">
      <c r="B8" s="93"/>
      <c r="C8" s="94"/>
      <c r="D8" s="94"/>
      <c r="E8" s="94"/>
      <c r="F8" s="95"/>
      <c r="G8" s="95"/>
      <c r="H8" s="95"/>
    </row>
    <row r="9" spans="2:8" ht="24.75" customHeight="1">
      <c r="C9" s="247" t="s">
        <v>100</v>
      </c>
      <c r="D9" s="247"/>
      <c r="E9" s="247"/>
      <c r="F9" s="95"/>
      <c r="G9" s="95"/>
      <c r="H9" s="95"/>
    </row>
    <row r="10" spans="2:8">
      <c r="B10" s="96"/>
      <c r="C10" s="97"/>
      <c r="D10" s="97"/>
      <c r="E10" s="97"/>
      <c r="F10" s="95"/>
      <c r="G10" s="95"/>
      <c r="H10" s="95"/>
    </row>
    <row r="11" spans="2:8" ht="24.75" customHeight="1">
      <c r="B11" s="322" t="s">
        <v>139</v>
      </c>
      <c r="C11" s="114" t="s">
        <v>191</v>
      </c>
      <c r="D11" s="115"/>
      <c r="E11" s="116" t="s">
        <v>258</v>
      </c>
      <c r="F11" s="95"/>
      <c r="G11" s="95"/>
      <c r="H11" s="95"/>
    </row>
    <row r="12" spans="2:8" ht="24.75" customHeight="1">
      <c r="B12" s="322"/>
      <c r="C12" s="114" t="s">
        <v>190</v>
      </c>
      <c r="D12" s="115"/>
      <c r="E12" s="116" t="s">
        <v>259</v>
      </c>
      <c r="F12" s="95"/>
      <c r="G12" s="95"/>
      <c r="H12" s="95"/>
    </row>
    <row r="13" spans="2:8" ht="24.75" customHeight="1">
      <c r="B13" s="322"/>
      <c r="C13" s="114" t="s">
        <v>192</v>
      </c>
      <c r="D13" s="117"/>
      <c r="E13" s="303">
        <v>45483</v>
      </c>
      <c r="F13" s="95"/>
      <c r="G13" s="95"/>
      <c r="H13" s="95"/>
    </row>
    <row r="14" spans="2:8">
      <c r="B14" s="98"/>
      <c r="C14" s="118"/>
      <c r="D14" s="118"/>
      <c r="E14" s="118"/>
      <c r="F14" s="95"/>
      <c r="G14" s="95"/>
      <c r="H14" s="95"/>
    </row>
    <row r="15" spans="2:8" ht="24.75" customHeight="1">
      <c r="B15" s="322" t="s">
        <v>137</v>
      </c>
      <c r="C15" s="119" t="s">
        <v>193</v>
      </c>
      <c r="D15" s="119"/>
      <c r="E15" s="116"/>
      <c r="F15" s="95"/>
      <c r="G15" s="95"/>
      <c r="H15" s="95"/>
    </row>
    <row r="16" spans="2:8" ht="24.75" customHeight="1">
      <c r="B16" s="322"/>
      <c r="C16" s="119" t="s">
        <v>172</v>
      </c>
      <c r="D16" s="119"/>
      <c r="E16" s="120">
        <v>6</v>
      </c>
      <c r="F16" s="95"/>
      <c r="G16" s="95"/>
      <c r="H16" s="95"/>
    </row>
    <row r="17" spans="2:8" ht="24.75" customHeight="1">
      <c r="B17" s="322"/>
      <c r="C17" s="119" t="s">
        <v>248</v>
      </c>
      <c r="D17" s="119"/>
      <c r="E17" s="120">
        <v>15</v>
      </c>
      <c r="F17" s="95"/>
      <c r="G17" s="95"/>
      <c r="H17" s="95"/>
    </row>
    <row r="18" spans="2:8" ht="16.5" customHeight="1">
      <c r="B18" s="322"/>
      <c r="C18" s="121"/>
      <c r="D18" s="122"/>
      <c r="E18" s="116"/>
      <c r="F18" s="95"/>
      <c r="G18" s="95"/>
      <c r="H18" s="95"/>
    </row>
    <row r="19" spans="2:8" ht="24.75" customHeight="1">
      <c r="B19" s="322"/>
      <c r="C19" s="114" t="s">
        <v>171</v>
      </c>
      <c r="D19" s="123"/>
      <c r="E19" s="116" t="s">
        <v>260</v>
      </c>
      <c r="F19" s="95"/>
      <c r="G19" s="95"/>
      <c r="H19" s="95"/>
    </row>
    <row r="20" spans="2:8" ht="24.75" customHeight="1">
      <c r="B20" s="322"/>
      <c r="C20" s="114" t="s">
        <v>173</v>
      </c>
      <c r="D20" s="123"/>
      <c r="E20" s="116" t="s">
        <v>261</v>
      </c>
      <c r="F20" s="95"/>
      <c r="G20" s="95"/>
      <c r="H20" s="95"/>
    </row>
    <row r="21" spans="2:8" ht="24.75" customHeight="1">
      <c r="B21" s="322"/>
      <c r="C21" s="114" t="s">
        <v>170</v>
      </c>
      <c r="D21" s="123"/>
      <c r="E21" s="116" t="s">
        <v>262</v>
      </c>
      <c r="F21" s="95"/>
      <c r="G21" s="95"/>
      <c r="H21" s="95"/>
    </row>
    <row r="22" spans="2:8" ht="24.75" customHeight="1">
      <c r="B22" s="322"/>
      <c r="C22" s="114" t="s">
        <v>169</v>
      </c>
      <c r="D22" s="123"/>
      <c r="E22" s="116" t="s">
        <v>264</v>
      </c>
      <c r="F22" s="95"/>
      <c r="G22" s="95"/>
      <c r="H22" s="95"/>
    </row>
    <row r="23" spans="2:8">
      <c r="B23" s="98"/>
      <c r="F23" s="13"/>
      <c r="G23" s="13"/>
      <c r="H23" s="13"/>
    </row>
    <row r="24" spans="2:8" ht="45.75" customHeight="1">
      <c r="B24" s="322" t="s">
        <v>138</v>
      </c>
      <c r="C24" s="110" t="s">
        <v>247</v>
      </c>
      <c r="D24" s="111"/>
      <c r="E24" s="111"/>
      <c r="F24" s="13"/>
      <c r="G24" s="13"/>
      <c r="H24" s="13"/>
    </row>
    <row r="25" spans="2:8" ht="24.75" customHeight="1">
      <c r="B25" s="322"/>
      <c r="C25" s="112" t="s">
        <v>174</v>
      </c>
      <c r="D25" s="304" t="s">
        <v>266</v>
      </c>
      <c r="E25" s="113">
        <v>4061</v>
      </c>
      <c r="F25" s="13"/>
      <c r="G25" s="13"/>
      <c r="H25" s="13"/>
    </row>
    <row r="26" spans="2:8" ht="24.75" customHeight="1">
      <c r="B26" s="322"/>
      <c r="C26" s="112"/>
      <c r="D26" s="304" t="s">
        <v>267</v>
      </c>
      <c r="E26" s="113">
        <v>3920</v>
      </c>
      <c r="F26" s="13"/>
      <c r="G26" s="13"/>
      <c r="H26" s="13"/>
    </row>
    <row r="27" spans="2:8" ht="24.75" customHeight="1">
      <c r="B27" s="322"/>
      <c r="C27" s="112"/>
      <c r="D27" s="304" t="s">
        <v>265</v>
      </c>
      <c r="E27" s="113">
        <f>65/30*1000</f>
        <v>2166.6666666666665</v>
      </c>
      <c r="F27" s="13"/>
      <c r="G27" s="13"/>
      <c r="H27" s="13"/>
    </row>
    <row r="28" spans="2:8" ht="24.75" customHeight="1">
      <c r="B28" s="322"/>
      <c r="C28" s="112"/>
      <c r="D28" s="109" t="s">
        <v>134</v>
      </c>
      <c r="E28" s="113">
        <f>0.5*E25+0.45*E26+0.05*E27</f>
        <v>3902.8333333333335</v>
      </c>
      <c r="F28" s="13"/>
      <c r="G28" s="13"/>
      <c r="H28" s="13"/>
    </row>
    <row r="29" spans="2:8" ht="24.75" customHeight="1">
      <c r="B29" s="322"/>
      <c r="C29" s="110" t="s">
        <v>175</v>
      </c>
      <c r="D29" s="108"/>
      <c r="E29" s="108" t="s">
        <v>263</v>
      </c>
      <c r="F29" s="13"/>
      <c r="G29" s="231" t="s">
        <v>263</v>
      </c>
      <c r="H29" s="13"/>
    </row>
    <row r="30" spans="2:8" ht="16">
      <c r="B30"/>
      <c r="F30" s="13"/>
      <c r="G30" s="13"/>
      <c r="H30" s="13"/>
    </row>
    <row r="31" spans="2:8" ht="15">
      <c r="B31"/>
      <c r="C31"/>
      <c r="D31"/>
      <c r="E31"/>
    </row>
    <row r="32" spans="2:8" ht="15">
      <c r="B32"/>
      <c r="C32"/>
      <c r="D32"/>
      <c r="E32"/>
    </row>
    <row r="33" spans="2:8" ht="15">
      <c r="B33"/>
      <c r="C33"/>
      <c r="D33"/>
      <c r="E33"/>
    </row>
    <row r="35" spans="2:8" ht="24.75" customHeight="1">
      <c r="B35"/>
      <c r="C35"/>
      <c r="D35"/>
      <c r="E35"/>
      <c r="F35" s="13"/>
      <c r="G35" s="13"/>
      <c r="H35" s="13"/>
    </row>
    <row r="36" spans="2:8" ht="24.75" customHeight="1">
      <c r="B36"/>
      <c r="C36"/>
      <c r="D36"/>
      <c r="E36"/>
      <c r="F36" s="13"/>
      <c r="G36" s="13"/>
      <c r="H36" s="13"/>
    </row>
    <row r="37" spans="2:8" ht="24.75" customHeight="1">
      <c r="B37"/>
      <c r="C37"/>
      <c r="D37"/>
      <c r="E37"/>
      <c r="F37" s="13"/>
      <c r="G37" s="13"/>
      <c r="H37" s="13"/>
    </row>
    <row r="38" spans="2:8" ht="24.75" customHeight="1">
      <c r="F38" s="13"/>
      <c r="G38" s="13"/>
      <c r="H38" s="13"/>
    </row>
    <row r="39" spans="2:8" ht="24.75" customHeight="1">
      <c r="F39" s="13"/>
      <c r="G39" s="13"/>
      <c r="H39" s="13"/>
    </row>
    <row r="40" spans="2:8" ht="24.75" customHeight="1">
      <c r="F40" s="13"/>
      <c r="G40" s="13"/>
      <c r="H40" s="13"/>
    </row>
    <row r="41" spans="2:8">
      <c r="C41" s="11"/>
      <c r="D41" s="11"/>
      <c r="E41" s="12"/>
      <c r="F41" s="13"/>
      <c r="G41" s="13"/>
      <c r="H41" s="13"/>
    </row>
    <row r="42" spans="2:8">
      <c r="C42" s="13"/>
      <c r="D42" s="13"/>
      <c r="E42" s="13"/>
      <c r="F42" s="13"/>
      <c r="G42" s="13"/>
      <c r="H42" s="13"/>
    </row>
    <row r="43" spans="2:8">
      <c r="C43" s="13"/>
      <c r="D43" s="13"/>
      <c r="E43" s="13"/>
      <c r="F43" s="13"/>
      <c r="G43" s="13"/>
      <c r="H43" s="13"/>
    </row>
    <row r="44" spans="2:8">
      <c r="C44" s="321"/>
      <c r="D44" s="321"/>
      <c r="E44" s="321"/>
      <c r="F44" s="13"/>
      <c r="G44" s="13"/>
      <c r="H44" s="13"/>
    </row>
    <row r="45" spans="2:8">
      <c r="C45" s="13"/>
      <c r="D45" s="13"/>
      <c r="E45" s="51"/>
      <c r="F45" s="13"/>
      <c r="G45" s="13"/>
      <c r="H45" s="13"/>
    </row>
    <row r="46" spans="2:8">
      <c r="C46" s="13"/>
      <c r="D46" s="13"/>
      <c r="E46" s="11"/>
      <c r="F46" s="13"/>
      <c r="G46" s="13"/>
      <c r="H46" s="13"/>
    </row>
    <row r="47" spans="2:8">
      <c r="C47" s="11"/>
      <c r="D47" s="11"/>
      <c r="E47" s="13"/>
      <c r="F47" s="13"/>
      <c r="G47" s="13"/>
      <c r="H47" s="13"/>
    </row>
    <row r="48" spans="2:8">
      <c r="C48" s="11"/>
      <c r="D48" s="11"/>
      <c r="E48" s="14"/>
      <c r="F48" s="13"/>
      <c r="G48" s="13"/>
      <c r="H48" s="13"/>
    </row>
    <row r="49" spans="3:8">
      <c r="C49" s="11"/>
      <c r="D49" s="11"/>
      <c r="E49" s="13"/>
      <c r="F49" s="13"/>
      <c r="G49" s="13"/>
      <c r="H49" s="13"/>
    </row>
    <row r="50" spans="3:8">
      <c r="C50" s="11"/>
      <c r="D50" s="11"/>
      <c r="E50" s="13"/>
      <c r="F50" s="13"/>
      <c r="G50" s="13"/>
      <c r="H50" s="13"/>
    </row>
    <row r="51" spans="3:8">
      <c r="C51" s="95"/>
      <c r="D51" s="95"/>
      <c r="E51" s="95"/>
      <c r="F51" s="95"/>
      <c r="G51" s="95"/>
      <c r="H51" s="95"/>
    </row>
    <row r="52" spans="3:8">
      <c r="C52" s="95"/>
      <c r="D52" s="95"/>
      <c r="E52" s="95"/>
      <c r="F52" s="95"/>
      <c r="G52" s="95"/>
      <c r="H52" s="95"/>
    </row>
    <row r="53" spans="3:8" ht="15.75" customHeight="1">
      <c r="C53" s="95"/>
      <c r="D53" s="95"/>
      <c r="E53" s="95"/>
      <c r="F53" s="95"/>
      <c r="G53" s="95"/>
      <c r="H53" s="95"/>
    </row>
    <row r="54" spans="3:8">
      <c r="C54" s="95"/>
      <c r="D54" s="95"/>
      <c r="E54" s="95"/>
      <c r="F54" s="95"/>
      <c r="G54" s="95"/>
      <c r="H54" s="95"/>
    </row>
    <row r="55" spans="3:8">
      <c r="C55" s="95"/>
      <c r="D55" s="95"/>
      <c r="E55" s="95"/>
      <c r="F55" s="95"/>
      <c r="G55" s="95"/>
      <c r="H55" s="95"/>
    </row>
    <row r="56" spans="3:8">
      <c r="C56" s="95"/>
      <c r="D56" s="95"/>
      <c r="E56" s="95"/>
      <c r="F56" s="95"/>
      <c r="G56" s="95"/>
      <c r="H56" s="95"/>
    </row>
    <row r="57" spans="3:8">
      <c r="C57" s="95"/>
      <c r="D57" s="95"/>
      <c r="E57" s="95"/>
      <c r="F57" s="95"/>
      <c r="G57" s="95"/>
      <c r="H57" s="95"/>
    </row>
    <row r="58" spans="3:8">
      <c r="C58" s="95"/>
      <c r="D58" s="95"/>
      <c r="E58" s="95"/>
      <c r="F58" s="95"/>
      <c r="G58" s="95"/>
      <c r="H58" s="95"/>
    </row>
    <row r="59" spans="3:8">
      <c r="C59" s="95"/>
      <c r="D59" s="95"/>
      <c r="E59" s="95"/>
      <c r="F59" s="95"/>
      <c r="G59" s="95"/>
      <c r="H59" s="95"/>
    </row>
    <row r="60" spans="3:8">
      <c r="C60" s="95"/>
      <c r="D60" s="95"/>
      <c r="E60" s="95"/>
      <c r="F60" s="95"/>
      <c r="G60" s="95"/>
      <c r="H60" s="95"/>
    </row>
  </sheetData>
  <mergeCells count="7">
    <mergeCell ref="C44:E44"/>
    <mergeCell ref="B11:B13"/>
    <mergeCell ref="C3:E3"/>
    <mergeCell ref="C4:E4"/>
    <mergeCell ref="C5:E5"/>
    <mergeCell ref="B15:B22"/>
    <mergeCell ref="B24:B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5:O56"/>
  <sheetViews>
    <sheetView showGridLines="0" showRowColHeaders="0" topLeftCell="A11" zoomScale="128" zoomScaleNormal="70" workbookViewId="0"/>
  </sheetViews>
  <sheetFormatPr baseColWidth="10" defaultColWidth="9.1640625" defaultRowHeight="15"/>
  <cols>
    <col min="1" max="1" width="3.33203125" bestFit="1" customWidth="1"/>
    <col min="2" max="2" width="34.6640625" bestFit="1" customWidth="1"/>
    <col min="3" max="3" width="23" bestFit="1" customWidth="1"/>
    <col min="4" max="4" width="24.1640625" bestFit="1" customWidth="1"/>
    <col min="5" max="5" width="25.33203125" bestFit="1" customWidth="1"/>
    <col min="6" max="6" width="17.6640625" bestFit="1" customWidth="1"/>
    <col min="7" max="7" width="25.5" customWidth="1"/>
    <col min="8" max="8" width="17.1640625" customWidth="1"/>
    <col min="9" max="9" width="28" bestFit="1" customWidth="1"/>
    <col min="10" max="10" width="32" bestFit="1" customWidth="1"/>
    <col min="11" max="12" width="34.6640625" bestFit="1" customWidth="1"/>
    <col min="13" max="13" width="35.6640625" bestFit="1" customWidth="1"/>
  </cols>
  <sheetData>
    <row r="5" spans="2:15" ht="72.5" customHeight="1">
      <c r="B5" s="4"/>
      <c r="C5" s="7"/>
      <c r="D5" s="1"/>
      <c r="E5" s="8"/>
      <c r="G5" s="2"/>
      <c r="H5" s="8"/>
      <c r="I5" s="8"/>
    </row>
    <row r="6" spans="2:15">
      <c r="B6" s="7"/>
      <c r="C6" s="7"/>
      <c r="D6" s="8"/>
      <c r="E6" s="8"/>
      <c r="F6" s="3"/>
      <c r="G6" s="2"/>
      <c r="H6" s="8"/>
      <c r="I6" s="8"/>
    </row>
    <row r="7" spans="2:15" ht="24">
      <c r="B7" s="261" t="s">
        <v>101</v>
      </c>
      <c r="C7" s="65"/>
      <c r="D7" s="65"/>
      <c r="F7" s="65"/>
      <c r="G7" s="65"/>
      <c r="H7" s="65"/>
      <c r="I7" s="65"/>
      <c r="J7" s="65"/>
      <c r="K7" s="65"/>
      <c r="L7" s="65"/>
      <c r="M7" s="65"/>
    </row>
    <row r="8" spans="2:15" s="22" customFormat="1" ht="19">
      <c r="B8" s="240" t="s">
        <v>17</v>
      </c>
      <c r="C8" s="240" t="s">
        <v>57</v>
      </c>
      <c r="D8" s="240" t="s">
        <v>8</v>
      </c>
      <c r="E8" s="240" t="s">
        <v>7</v>
      </c>
      <c r="F8" s="240" t="s">
        <v>6</v>
      </c>
      <c r="G8" s="240" t="s">
        <v>164</v>
      </c>
      <c r="H8" s="240" t="s">
        <v>5</v>
      </c>
      <c r="I8" s="240" t="s">
        <v>4</v>
      </c>
      <c r="J8" s="240" t="s">
        <v>3</v>
      </c>
      <c r="K8" s="240" t="s">
        <v>2</v>
      </c>
      <c r="L8" s="240" t="s">
        <v>1</v>
      </c>
      <c r="M8" s="240" t="s">
        <v>61</v>
      </c>
    </row>
    <row r="9" spans="2:15" s="20" customFormat="1" ht="16">
      <c r="B9" s="124" t="s">
        <v>268</v>
      </c>
      <c r="C9" s="125">
        <v>1</v>
      </c>
      <c r="D9" s="126">
        <v>1450</v>
      </c>
      <c r="E9" s="126">
        <v>1</v>
      </c>
      <c r="F9" s="186">
        <f>IF((D9*E9)=0,0,(D9*E9))</f>
        <v>1450</v>
      </c>
      <c r="G9" s="292">
        <v>0</v>
      </c>
      <c r="H9" s="128">
        <v>10</v>
      </c>
      <c r="I9" s="129">
        <f t="shared" ref="I9:I23" si="0">(21*H9)*C9</f>
        <v>210</v>
      </c>
      <c r="J9" s="126"/>
      <c r="K9" s="130">
        <f>((IF(ISERROR((D9*G9*C9)+(F9*C9)),0,((D9*G9*C9)+(F9*C9))))*H9)+J9*C9</f>
        <v>14500</v>
      </c>
      <c r="L9" s="130">
        <f>IF(ISERROR(K9/I9),0,(K9/I9))</f>
        <v>69.047619047619051</v>
      </c>
      <c r="M9" s="130">
        <f t="shared" ref="M9:M24" si="1">IF(ISERROR((L9/8)),0,((L9/8)))</f>
        <v>8.6309523809523814</v>
      </c>
      <c r="N9" s="23"/>
      <c r="O9" s="23"/>
    </row>
    <row r="10" spans="2:15" s="20" customFormat="1" ht="16">
      <c r="B10" s="124" t="s">
        <v>268</v>
      </c>
      <c r="C10" s="125">
        <v>1</v>
      </c>
      <c r="D10" s="126">
        <v>1450</v>
      </c>
      <c r="E10" s="126">
        <v>1</v>
      </c>
      <c r="F10" s="186">
        <f t="shared" ref="F10:F23" si="2">IF((D10*E10)=0,0,(D10*E10))</f>
        <v>1450</v>
      </c>
      <c r="G10" s="292">
        <v>0</v>
      </c>
      <c r="H10" s="128">
        <v>5</v>
      </c>
      <c r="I10" s="129">
        <f t="shared" si="0"/>
        <v>105</v>
      </c>
      <c r="J10" s="126"/>
      <c r="K10" s="130">
        <f t="shared" ref="K10:K23" si="3">((IF(ISERROR((D10*G10*C10)+(F10*C10)),0,((D10*G10*C10)+(F10*C10))))*H10)+J10*C10</f>
        <v>7250</v>
      </c>
      <c r="L10" s="130">
        <f t="shared" ref="L10:L23" si="4">IF(ISERROR(K10/I10),0,(K10/I10))</f>
        <v>69.047619047619051</v>
      </c>
      <c r="M10" s="130">
        <f t="shared" si="1"/>
        <v>8.6309523809523814</v>
      </c>
      <c r="N10" s="23"/>
      <c r="O10" s="23"/>
    </row>
    <row r="11" spans="2:15" s="20" customFormat="1" ht="16">
      <c r="B11" s="124"/>
      <c r="C11" s="125"/>
      <c r="D11" s="126"/>
      <c r="E11" s="126"/>
      <c r="F11" s="186">
        <f t="shared" si="2"/>
        <v>0</v>
      </c>
      <c r="G11" s="292">
        <v>0.45590000000000003</v>
      </c>
      <c r="H11" s="128"/>
      <c r="I11" s="129">
        <f t="shared" si="0"/>
        <v>0</v>
      </c>
      <c r="J11" s="126"/>
      <c r="K11" s="130">
        <f t="shared" si="3"/>
        <v>0</v>
      </c>
      <c r="L11" s="130">
        <f t="shared" si="4"/>
        <v>0</v>
      </c>
      <c r="M11" s="130">
        <f t="shared" si="1"/>
        <v>0</v>
      </c>
      <c r="N11" s="23"/>
      <c r="O11" s="23"/>
    </row>
    <row r="12" spans="2:15" s="20" customFormat="1" ht="16">
      <c r="B12" s="124"/>
      <c r="C12" s="125"/>
      <c r="D12" s="126"/>
      <c r="E12" s="126"/>
      <c r="F12" s="186">
        <f t="shared" si="2"/>
        <v>0</v>
      </c>
      <c r="G12" s="292">
        <v>0.45590000000000003</v>
      </c>
      <c r="H12" s="128"/>
      <c r="I12" s="129">
        <f t="shared" si="0"/>
        <v>0</v>
      </c>
      <c r="J12" s="126"/>
      <c r="K12" s="130">
        <f t="shared" si="3"/>
        <v>0</v>
      </c>
      <c r="L12" s="130">
        <f t="shared" si="4"/>
        <v>0</v>
      </c>
      <c r="M12" s="130">
        <f t="shared" si="1"/>
        <v>0</v>
      </c>
      <c r="N12" s="23"/>
      <c r="O12" s="23"/>
    </row>
    <row r="13" spans="2:15" s="20" customFormat="1" ht="16">
      <c r="B13" s="124"/>
      <c r="C13" s="125"/>
      <c r="D13" s="126"/>
      <c r="E13" s="126"/>
      <c r="F13" s="186">
        <f t="shared" si="2"/>
        <v>0</v>
      </c>
      <c r="G13" s="292">
        <v>0.45590000000000003</v>
      </c>
      <c r="H13" s="128"/>
      <c r="I13" s="129">
        <f t="shared" si="0"/>
        <v>0</v>
      </c>
      <c r="J13" s="126"/>
      <c r="K13" s="130">
        <f t="shared" si="3"/>
        <v>0</v>
      </c>
      <c r="L13" s="130">
        <f t="shared" si="4"/>
        <v>0</v>
      </c>
      <c r="M13" s="130">
        <f t="shared" si="1"/>
        <v>0</v>
      </c>
      <c r="N13" s="23"/>
      <c r="O13" s="23"/>
    </row>
    <row r="14" spans="2:15" s="20" customFormat="1" ht="16">
      <c r="B14" s="124"/>
      <c r="C14" s="125"/>
      <c r="D14" s="126"/>
      <c r="E14" s="126"/>
      <c r="F14" s="186">
        <f t="shared" si="2"/>
        <v>0</v>
      </c>
      <c r="G14" s="292">
        <v>0.45590000000000003</v>
      </c>
      <c r="H14" s="128"/>
      <c r="I14" s="129">
        <f t="shared" si="0"/>
        <v>0</v>
      </c>
      <c r="J14" s="126"/>
      <c r="K14" s="130">
        <f t="shared" si="3"/>
        <v>0</v>
      </c>
      <c r="L14" s="130">
        <f t="shared" si="4"/>
        <v>0</v>
      </c>
      <c r="M14" s="130">
        <f t="shared" si="1"/>
        <v>0</v>
      </c>
      <c r="N14" s="23"/>
      <c r="O14" s="23"/>
    </row>
    <row r="15" spans="2:15" s="20" customFormat="1" ht="16">
      <c r="B15" s="124"/>
      <c r="C15" s="125"/>
      <c r="D15" s="126"/>
      <c r="E15" s="126"/>
      <c r="F15" s="186">
        <f t="shared" si="2"/>
        <v>0</v>
      </c>
      <c r="G15" s="292">
        <v>0.45590000000000003</v>
      </c>
      <c r="H15" s="128"/>
      <c r="I15" s="129">
        <f t="shared" si="0"/>
        <v>0</v>
      </c>
      <c r="J15" s="126"/>
      <c r="K15" s="130">
        <f t="shared" si="3"/>
        <v>0</v>
      </c>
      <c r="L15" s="130">
        <f t="shared" si="4"/>
        <v>0</v>
      </c>
      <c r="M15" s="130">
        <f t="shared" si="1"/>
        <v>0</v>
      </c>
      <c r="N15" s="23"/>
      <c r="O15" s="23"/>
    </row>
    <row r="16" spans="2:15" s="20" customFormat="1" ht="16">
      <c r="B16" s="124"/>
      <c r="C16" s="125"/>
      <c r="D16" s="126"/>
      <c r="E16" s="126"/>
      <c r="F16" s="186">
        <f t="shared" si="2"/>
        <v>0</v>
      </c>
      <c r="G16" s="292">
        <v>0.45590000000000003</v>
      </c>
      <c r="H16" s="128"/>
      <c r="I16" s="129">
        <f t="shared" si="0"/>
        <v>0</v>
      </c>
      <c r="J16" s="126"/>
      <c r="K16" s="130">
        <f t="shared" si="3"/>
        <v>0</v>
      </c>
      <c r="L16" s="130">
        <f t="shared" si="4"/>
        <v>0</v>
      </c>
      <c r="M16" s="130">
        <f t="shared" si="1"/>
        <v>0</v>
      </c>
      <c r="N16" s="23"/>
      <c r="O16" s="23"/>
    </row>
    <row r="17" spans="2:15" s="20" customFormat="1" ht="16">
      <c r="B17" s="124"/>
      <c r="C17" s="125"/>
      <c r="D17" s="126"/>
      <c r="E17" s="126"/>
      <c r="F17" s="186">
        <f t="shared" si="2"/>
        <v>0</v>
      </c>
      <c r="G17" s="292">
        <v>0.45590000000000003</v>
      </c>
      <c r="H17" s="128"/>
      <c r="I17" s="129">
        <f t="shared" si="0"/>
        <v>0</v>
      </c>
      <c r="J17" s="126"/>
      <c r="K17" s="130">
        <f t="shared" si="3"/>
        <v>0</v>
      </c>
      <c r="L17" s="130">
        <f t="shared" si="4"/>
        <v>0</v>
      </c>
      <c r="M17" s="130">
        <f t="shared" si="1"/>
        <v>0</v>
      </c>
      <c r="N17" s="23"/>
      <c r="O17" s="23"/>
    </row>
    <row r="18" spans="2:15" s="20" customFormat="1" ht="16">
      <c r="B18" s="124"/>
      <c r="C18" s="125"/>
      <c r="D18" s="126"/>
      <c r="E18" s="126"/>
      <c r="F18" s="186">
        <f t="shared" si="2"/>
        <v>0</v>
      </c>
      <c r="G18" s="292">
        <v>0.45590000000000003</v>
      </c>
      <c r="H18" s="128"/>
      <c r="I18" s="129">
        <f t="shared" si="0"/>
        <v>0</v>
      </c>
      <c r="J18" s="126"/>
      <c r="K18" s="130">
        <f t="shared" si="3"/>
        <v>0</v>
      </c>
      <c r="L18" s="130">
        <f t="shared" si="4"/>
        <v>0</v>
      </c>
      <c r="M18" s="130">
        <f t="shared" si="1"/>
        <v>0</v>
      </c>
      <c r="N18" s="23"/>
      <c r="O18" s="23"/>
    </row>
    <row r="19" spans="2:15" s="20" customFormat="1" ht="16">
      <c r="B19" s="124"/>
      <c r="C19" s="125"/>
      <c r="D19" s="126"/>
      <c r="E19" s="126"/>
      <c r="F19" s="186">
        <f t="shared" si="2"/>
        <v>0</v>
      </c>
      <c r="G19" s="292">
        <v>0.45590000000000003</v>
      </c>
      <c r="H19" s="128"/>
      <c r="I19" s="129">
        <f t="shared" si="0"/>
        <v>0</v>
      </c>
      <c r="J19" s="126"/>
      <c r="K19" s="130">
        <f t="shared" si="3"/>
        <v>0</v>
      </c>
      <c r="L19" s="130">
        <f t="shared" si="4"/>
        <v>0</v>
      </c>
      <c r="M19" s="130">
        <f t="shared" si="1"/>
        <v>0</v>
      </c>
      <c r="N19" s="23"/>
      <c r="O19" s="23"/>
    </row>
    <row r="20" spans="2:15" s="20" customFormat="1" ht="16">
      <c r="B20" s="124"/>
      <c r="C20" s="125"/>
      <c r="D20" s="126"/>
      <c r="E20" s="126"/>
      <c r="F20" s="186">
        <f t="shared" si="2"/>
        <v>0</v>
      </c>
      <c r="G20" s="292">
        <v>0.45590000000000003</v>
      </c>
      <c r="H20" s="128"/>
      <c r="I20" s="129">
        <f t="shared" si="0"/>
        <v>0</v>
      </c>
      <c r="J20" s="126"/>
      <c r="K20" s="130">
        <f t="shared" si="3"/>
        <v>0</v>
      </c>
      <c r="L20" s="130">
        <f t="shared" si="4"/>
        <v>0</v>
      </c>
      <c r="M20" s="130">
        <f t="shared" si="1"/>
        <v>0</v>
      </c>
      <c r="N20" s="23"/>
      <c r="O20" s="23"/>
    </row>
    <row r="21" spans="2:15" s="20" customFormat="1" ht="16">
      <c r="B21" s="124"/>
      <c r="C21" s="125"/>
      <c r="D21" s="126"/>
      <c r="E21" s="126"/>
      <c r="F21" s="186">
        <f t="shared" si="2"/>
        <v>0</v>
      </c>
      <c r="G21" s="292">
        <v>0.45590000000000003</v>
      </c>
      <c r="H21" s="128"/>
      <c r="I21" s="129">
        <f t="shared" si="0"/>
        <v>0</v>
      </c>
      <c r="J21" s="126"/>
      <c r="K21" s="130">
        <f t="shared" si="3"/>
        <v>0</v>
      </c>
      <c r="L21" s="130">
        <f t="shared" si="4"/>
        <v>0</v>
      </c>
      <c r="M21" s="130">
        <f t="shared" si="1"/>
        <v>0</v>
      </c>
      <c r="N21" s="23"/>
      <c r="O21" s="23"/>
    </row>
    <row r="22" spans="2:15" s="20" customFormat="1" ht="16">
      <c r="B22" s="124"/>
      <c r="C22" s="125"/>
      <c r="D22" s="126"/>
      <c r="E22" s="126"/>
      <c r="F22" s="186">
        <f t="shared" si="2"/>
        <v>0</v>
      </c>
      <c r="G22" s="292">
        <v>0.45590000000000003</v>
      </c>
      <c r="H22" s="128"/>
      <c r="I22" s="129">
        <f t="shared" si="0"/>
        <v>0</v>
      </c>
      <c r="J22" s="126"/>
      <c r="K22" s="130">
        <f t="shared" si="3"/>
        <v>0</v>
      </c>
      <c r="L22" s="130">
        <f t="shared" si="4"/>
        <v>0</v>
      </c>
      <c r="M22" s="130">
        <f t="shared" si="1"/>
        <v>0</v>
      </c>
      <c r="N22" s="23"/>
      <c r="O22" s="23"/>
    </row>
    <row r="23" spans="2:15" s="20" customFormat="1" ht="16">
      <c r="B23" s="124"/>
      <c r="C23" s="125"/>
      <c r="D23" s="126"/>
      <c r="E23" s="126"/>
      <c r="F23" s="186">
        <f t="shared" si="2"/>
        <v>0</v>
      </c>
      <c r="G23" s="292">
        <v>0.45590000000000003</v>
      </c>
      <c r="H23" s="125"/>
      <c r="I23" s="129">
        <f t="shared" si="0"/>
        <v>0</v>
      </c>
      <c r="J23" s="126"/>
      <c r="K23" s="130">
        <f t="shared" si="3"/>
        <v>0</v>
      </c>
      <c r="L23" s="130">
        <f t="shared" si="4"/>
        <v>0</v>
      </c>
      <c r="M23" s="130">
        <f t="shared" si="1"/>
        <v>0</v>
      </c>
      <c r="N23" s="23"/>
      <c r="O23" s="23"/>
    </row>
    <row r="24" spans="2:15" s="76" customFormat="1" ht="19">
      <c r="B24" s="240" t="s">
        <v>102</v>
      </c>
      <c r="C24" s="248">
        <f>SUM(C9:C23)</f>
        <v>2</v>
      </c>
      <c r="D24" s="240" t="s">
        <v>9</v>
      </c>
      <c r="E24" s="240" t="s">
        <v>9</v>
      </c>
      <c r="F24" s="249" t="s">
        <v>9</v>
      </c>
      <c r="G24" s="249" t="s">
        <v>9</v>
      </c>
      <c r="H24" s="250" t="s">
        <v>9</v>
      </c>
      <c r="I24" s="248">
        <f>SUM(I9:I23)</f>
        <v>315</v>
      </c>
      <c r="J24" s="241">
        <f xml:space="preserve"> SUM(J9:J23)</f>
        <v>0</v>
      </c>
      <c r="K24" s="241">
        <f>SUM(K9:K23)</f>
        <v>21750</v>
      </c>
      <c r="L24" s="241">
        <f>IF(ISERROR(SUM((I9*L9),(I10*L10),(I11*L11),(I12*L12),(I13*L13),(I14*L14),(I15*L15),(I16*L16),(I17*L17),(I18*L18),(I19*L19),(I20*L20),(I21*L21),(I22*L22),(I23*L23))/I24),0,SUM((I9*L9),(I10*L10),(I11*L11),(I12*L12),(I13*L13),(I14*L14),(I15*L15),(I16*L16),(I17*L17),(I18*L18),(I19*L19),(I20*L20),(I21*L21),(I22*L22),(I23*L23))/I24)</f>
        <v>69.047619047619051</v>
      </c>
      <c r="M24" s="241">
        <f t="shared" si="1"/>
        <v>8.6309523809523814</v>
      </c>
      <c r="N24" s="81"/>
    </row>
    <row r="25" spans="2:15" s="21" customFormat="1" ht="16">
      <c r="B25" s="62"/>
      <c r="C25" s="60"/>
      <c r="D25" s="62"/>
      <c r="E25" s="62"/>
      <c r="F25" s="63"/>
      <c r="G25" s="63"/>
      <c r="H25" s="64"/>
      <c r="I25" s="60"/>
      <c r="J25" s="61"/>
      <c r="K25" s="61"/>
      <c r="L25" s="61"/>
      <c r="M25" s="61"/>
      <c r="N25" s="237"/>
    </row>
    <row r="26" spans="2:15" ht="24">
      <c r="B26" s="261" t="s">
        <v>104</v>
      </c>
      <c r="C26" s="72"/>
      <c r="D26" s="72"/>
      <c r="F26" s="72"/>
      <c r="G26" s="72"/>
      <c r="H26" s="72"/>
      <c r="I26" s="72"/>
      <c r="J26" s="72"/>
      <c r="K26" s="72"/>
      <c r="L26" s="72"/>
      <c r="M26" s="72"/>
    </row>
    <row r="27" spans="2:15" s="82" customFormat="1" ht="19">
      <c r="B27" s="240" t="s">
        <v>152</v>
      </c>
      <c r="C27" s="251" t="s">
        <v>186</v>
      </c>
      <c r="D27" s="251" t="s">
        <v>185</v>
      </c>
      <c r="E27" s="252" t="s">
        <v>187</v>
      </c>
      <c r="F27" s="240" t="s">
        <v>59</v>
      </c>
      <c r="G27" s="240" t="s">
        <v>164</v>
      </c>
      <c r="H27" s="253" t="s">
        <v>189</v>
      </c>
      <c r="I27" s="240" t="s">
        <v>4</v>
      </c>
      <c r="J27" s="240" t="s">
        <v>2</v>
      </c>
      <c r="K27" s="251" t="s">
        <v>188</v>
      </c>
      <c r="L27" s="240" t="s">
        <v>58</v>
      </c>
      <c r="M27" s="240" t="s">
        <v>61</v>
      </c>
      <c r="N27" s="88"/>
      <c r="O27" s="88"/>
    </row>
    <row r="28" spans="2:15" ht="16">
      <c r="B28" s="71" t="s">
        <v>103</v>
      </c>
      <c r="C28" s="83"/>
      <c r="D28" s="83"/>
      <c r="E28" s="83"/>
      <c r="F28" s="68">
        <f>(103.2*'Atividades_Condução '!G87*6+83.4*'Atividades_Condução '!G81*6)/(SUM('Atividades_Condução '!G81,'Atividades_Condução '!G87)*6)</f>
        <v>93.669402985074626</v>
      </c>
      <c r="G28" s="69">
        <v>0</v>
      </c>
      <c r="H28" s="69"/>
      <c r="I28" s="67">
        <f>SUM('Atividades_Condução '!G81,'Atividades_Condução '!G87)*6/2</f>
        <v>124.65116279069768</v>
      </c>
      <c r="J28" s="70">
        <f>(F28*I28)*(1+G28)</f>
        <v>11676</v>
      </c>
      <c r="K28" s="70">
        <v>0</v>
      </c>
      <c r="L28" s="70">
        <f>IF(ISERROR(J28/I28),0,(J28/I28))</f>
        <v>93.669402985074626</v>
      </c>
      <c r="M28" s="70">
        <f>IF(ISERROR((L28/8)),0,((L28/8)))</f>
        <v>11.708675373134328</v>
      </c>
      <c r="N28" s="9"/>
      <c r="O28" s="9"/>
    </row>
    <row r="29" spans="2:15" ht="16">
      <c r="B29" s="83"/>
      <c r="C29" s="83"/>
      <c r="D29" s="83"/>
      <c r="E29" s="83"/>
      <c r="F29" s="84"/>
      <c r="G29" s="69"/>
      <c r="H29" s="85"/>
      <c r="I29" s="86"/>
      <c r="J29" s="84"/>
      <c r="K29" s="87"/>
      <c r="L29" s="70"/>
      <c r="M29" s="70"/>
      <c r="N29" s="9"/>
      <c r="O29" s="9"/>
    </row>
    <row r="30" spans="2:15" s="82" customFormat="1" ht="25.5" customHeight="1">
      <c r="B30" s="254" t="s">
        <v>80</v>
      </c>
      <c r="C30" s="254"/>
      <c r="D30" s="240"/>
      <c r="E30" s="240"/>
      <c r="F30" s="249"/>
      <c r="G30" s="249"/>
      <c r="H30" s="250"/>
      <c r="I30" s="255"/>
      <c r="J30" s="249"/>
      <c r="K30" s="249"/>
      <c r="L30" s="241">
        <f>IF(ISERROR(SUM((L24*I24),(L28*I28))/SUM(I24,I28)),0,(SUM((L24*I24),(L28*I28))/SUM(I24,I28)))</f>
        <v>76.028458079873047</v>
      </c>
      <c r="M30" s="241">
        <f>IF(ISERROR((L30/8)),0,((L30/8)))</f>
        <v>9.5035572599841309</v>
      </c>
    </row>
    <row r="31" spans="2:15" ht="25.5" customHeight="1">
      <c r="B31" s="73"/>
      <c r="C31" s="73"/>
      <c r="D31" s="62"/>
      <c r="E31" s="62"/>
      <c r="F31" s="63"/>
      <c r="G31" s="63"/>
      <c r="H31" s="64"/>
      <c r="I31" s="74"/>
      <c r="J31" s="63"/>
      <c r="K31" s="75"/>
      <c r="L31" s="61"/>
      <c r="M31" s="61"/>
    </row>
    <row r="32" spans="2:15" ht="24">
      <c r="B32" s="261" t="s">
        <v>105</v>
      </c>
      <c r="C32" s="72"/>
      <c r="D32" s="72"/>
      <c r="F32" s="72"/>
      <c r="G32" s="72"/>
      <c r="H32" s="72"/>
      <c r="I32" s="72"/>
      <c r="J32" s="72"/>
      <c r="K32" s="72"/>
      <c r="L32" s="72"/>
      <c r="M32" s="72"/>
    </row>
    <row r="33" spans="2:15" s="82" customFormat="1" ht="19">
      <c r="B33" s="240" t="s">
        <v>17</v>
      </c>
      <c r="C33" s="240" t="s">
        <v>57</v>
      </c>
      <c r="D33" s="240" t="s">
        <v>8</v>
      </c>
      <c r="E33" s="240" t="s">
        <v>7</v>
      </c>
      <c r="F33" s="240" t="s">
        <v>6</v>
      </c>
      <c r="G33" s="240" t="s">
        <v>164</v>
      </c>
      <c r="H33" s="240" t="s">
        <v>5</v>
      </c>
      <c r="I33" s="240" t="s">
        <v>4</v>
      </c>
      <c r="J33" s="240" t="s">
        <v>3</v>
      </c>
      <c r="K33" s="240" t="s">
        <v>2</v>
      </c>
      <c r="L33" s="240" t="s">
        <v>1</v>
      </c>
      <c r="M33" s="240" t="s">
        <v>61</v>
      </c>
      <c r="N33" s="88"/>
      <c r="O33" s="88"/>
    </row>
    <row r="34" spans="2:15" ht="16">
      <c r="B34" s="124"/>
      <c r="C34" s="125"/>
      <c r="D34" s="126"/>
      <c r="E34" s="126"/>
      <c r="F34" s="186">
        <f>IF((D34*E34)=0,0,(D34*E34))</f>
        <v>0</v>
      </c>
      <c r="G34" s="127">
        <v>0.45590000000000003</v>
      </c>
      <c r="H34" s="199"/>
      <c r="I34" s="129">
        <f>(21*H34)*C34</f>
        <v>0</v>
      </c>
      <c r="J34" s="126"/>
      <c r="K34" s="130">
        <f>((IF(ISERROR((D34*G34*C34)+(F34*C34)),0,((D34*G34*C34)+(F34*C34))))*H34)+J34*C34</f>
        <v>0</v>
      </c>
      <c r="L34" s="130">
        <f>IF(ISERROR(K34/I34),0,(K34/I34))</f>
        <v>0</v>
      </c>
      <c r="M34" s="130">
        <f t="shared" ref="M34:M46" si="5">IF(ISERROR((L34/8)),0,((L34/8)))</f>
        <v>0</v>
      </c>
      <c r="N34" s="9"/>
      <c r="O34" s="9"/>
    </row>
    <row r="35" spans="2:15" ht="16">
      <c r="B35" s="124"/>
      <c r="C35" s="125"/>
      <c r="D35" s="126"/>
      <c r="E35" s="126"/>
      <c r="F35" s="186">
        <f t="shared" ref="F35:F45" si="6">IF((D35*E35)=0,0,(D35*E35))</f>
        <v>0</v>
      </c>
      <c r="G35" s="127">
        <v>0.45590000000000003</v>
      </c>
      <c r="H35" s="128"/>
      <c r="I35" s="129">
        <f t="shared" ref="I35:I45" si="7">(21*H35)*C35</f>
        <v>0</v>
      </c>
      <c r="J35" s="126"/>
      <c r="K35" s="130">
        <f t="shared" ref="K35:K45" si="8">((IF(ISERROR((D35*G35*C35)+(F35*C35)),0,((D35*G35*C35)+(F35*C35))))*H35)+J35*C35</f>
        <v>0</v>
      </c>
      <c r="L35" s="130">
        <f t="shared" ref="L35:L45" si="9">IF(ISERROR(K35/I35),0,(K35/I35))</f>
        <v>0</v>
      </c>
      <c r="M35" s="130">
        <f t="shared" si="5"/>
        <v>0</v>
      </c>
      <c r="N35" s="9"/>
      <c r="O35" s="9"/>
    </row>
    <row r="36" spans="2:15" ht="16">
      <c r="B36" s="124"/>
      <c r="C36" s="125"/>
      <c r="D36" s="126"/>
      <c r="E36" s="126"/>
      <c r="F36" s="186">
        <f t="shared" si="6"/>
        <v>0</v>
      </c>
      <c r="G36" s="127">
        <v>0.45590000000000003</v>
      </c>
      <c r="H36" s="128"/>
      <c r="I36" s="129">
        <f t="shared" si="7"/>
        <v>0</v>
      </c>
      <c r="J36" s="126"/>
      <c r="K36" s="130">
        <f t="shared" si="8"/>
        <v>0</v>
      </c>
      <c r="L36" s="130">
        <f t="shared" si="9"/>
        <v>0</v>
      </c>
      <c r="M36" s="130">
        <f t="shared" si="5"/>
        <v>0</v>
      </c>
      <c r="N36" s="9"/>
      <c r="O36" s="9"/>
    </row>
    <row r="37" spans="2:15" ht="16">
      <c r="B37" s="124"/>
      <c r="C37" s="125"/>
      <c r="D37" s="126"/>
      <c r="E37" s="126"/>
      <c r="F37" s="186">
        <f t="shared" si="6"/>
        <v>0</v>
      </c>
      <c r="G37" s="127">
        <v>0.45590000000000003</v>
      </c>
      <c r="H37" s="128"/>
      <c r="I37" s="129">
        <f t="shared" si="7"/>
        <v>0</v>
      </c>
      <c r="J37" s="126"/>
      <c r="K37" s="130">
        <f t="shared" si="8"/>
        <v>0</v>
      </c>
      <c r="L37" s="130">
        <f t="shared" si="9"/>
        <v>0</v>
      </c>
      <c r="M37" s="130">
        <f t="shared" si="5"/>
        <v>0</v>
      </c>
      <c r="N37" s="9"/>
      <c r="O37" s="9"/>
    </row>
    <row r="38" spans="2:15" ht="16">
      <c r="B38" s="124"/>
      <c r="C38" s="125"/>
      <c r="D38" s="126"/>
      <c r="E38" s="126"/>
      <c r="F38" s="186">
        <f t="shared" si="6"/>
        <v>0</v>
      </c>
      <c r="G38" s="127">
        <v>0.45590000000000003</v>
      </c>
      <c r="H38" s="128"/>
      <c r="I38" s="129">
        <f t="shared" si="7"/>
        <v>0</v>
      </c>
      <c r="J38" s="126"/>
      <c r="K38" s="130">
        <f t="shared" si="8"/>
        <v>0</v>
      </c>
      <c r="L38" s="130">
        <f t="shared" si="9"/>
        <v>0</v>
      </c>
      <c r="M38" s="130">
        <f t="shared" si="5"/>
        <v>0</v>
      </c>
      <c r="N38" s="9"/>
      <c r="O38" s="9"/>
    </row>
    <row r="39" spans="2:15" ht="16">
      <c r="B39" s="124"/>
      <c r="C39" s="125"/>
      <c r="D39" s="126"/>
      <c r="E39" s="126"/>
      <c r="F39" s="186">
        <f t="shared" si="6"/>
        <v>0</v>
      </c>
      <c r="G39" s="127">
        <v>0.45590000000000003</v>
      </c>
      <c r="H39" s="128"/>
      <c r="I39" s="129">
        <f t="shared" si="7"/>
        <v>0</v>
      </c>
      <c r="J39" s="126"/>
      <c r="K39" s="130">
        <f t="shared" si="8"/>
        <v>0</v>
      </c>
      <c r="L39" s="130">
        <f t="shared" si="9"/>
        <v>0</v>
      </c>
      <c r="M39" s="130">
        <f t="shared" si="5"/>
        <v>0</v>
      </c>
      <c r="N39" s="9"/>
      <c r="O39" s="9"/>
    </row>
    <row r="40" spans="2:15" ht="16">
      <c r="B40" s="124"/>
      <c r="C40" s="125"/>
      <c r="D40" s="126"/>
      <c r="E40" s="126"/>
      <c r="F40" s="186">
        <f t="shared" si="6"/>
        <v>0</v>
      </c>
      <c r="G40" s="127">
        <v>0.45590000000000003</v>
      </c>
      <c r="H40" s="128"/>
      <c r="I40" s="129">
        <f t="shared" si="7"/>
        <v>0</v>
      </c>
      <c r="J40" s="126"/>
      <c r="K40" s="130">
        <f t="shared" si="8"/>
        <v>0</v>
      </c>
      <c r="L40" s="130">
        <f t="shared" si="9"/>
        <v>0</v>
      </c>
      <c r="M40" s="130">
        <f t="shared" si="5"/>
        <v>0</v>
      </c>
      <c r="N40" s="9"/>
      <c r="O40" s="9"/>
    </row>
    <row r="41" spans="2:15" ht="16">
      <c r="B41" s="124"/>
      <c r="C41" s="125"/>
      <c r="D41" s="126"/>
      <c r="E41" s="126"/>
      <c r="F41" s="186">
        <f t="shared" si="6"/>
        <v>0</v>
      </c>
      <c r="G41" s="127">
        <v>0.45590000000000003</v>
      </c>
      <c r="H41" s="128"/>
      <c r="I41" s="129">
        <f t="shared" si="7"/>
        <v>0</v>
      </c>
      <c r="J41" s="126"/>
      <c r="K41" s="130">
        <f t="shared" si="8"/>
        <v>0</v>
      </c>
      <c r="L41" s="130">
        <f t="shared" si="9"/>
        <v>0</v>
      </c>
      <c r="M41" s="130">
        <f t="shared" si="5"/>
        <v>0</v>
      </c>
      <c r="N41" s="9"/>
      <c r="O41" s="9"/>
    </row>
    <row r="42" spans="2:15" ht="16">
      <c r="B42" s="124"/>
      <c r="C42" s="125"/>
      <c r="D42" s="126"/>
      <c r="E42" s="126"/>
      <c r="F42" s="186">
        <f t="shared" si="6"/>
        <v>0</v>
      </c>
      <c r="G42" s="127">
        <v>0.45590000000000003</v>
      </c>
      <c r="H42" s="128"/>
      <c r="I42" s="129">
        <f t="shared" si="7"/>
        <v>0</v>
      </c>
      <c r="J42" s="126"/>
      <c r="K42" s="130">
        <f t="shared" si="8"/>
        <v>0</v>
      </c>
      <c r="L42" s="130">
        <f t="shared" si="9"/>
        <v>0</v>
      </c>
      <c r="M42" s="130">
        <f t="shared" si="5"/>
        <v>0</v>
      </c>
      <c r="N42" s="9"/>
      <c r="O42" s="9"/>
    </row>
    <row r="43" spans="2:15" ht="16">
      <c r="B43" s="124"/>
      <c r="C43" s="125"/>
      <c r="D43" s="126"/>
      <c r="E43" s="126"/>
      <c r="F43" s="186">
        <f t="shared" si="6"/>
        <v>0</v>
      </c>
      <c r="G43" s="127">
        <v>0.45590000000000003</v>
      </c>
      <c r="H43" s="128"/>
      <c r="I43" s="129">
        <f t="shared" si="7"/>
        <v>0</v>
      </c>
      <c r="J43" s="126"/>
      <c r="K43" s="130">
        <f t="shared" si="8"/>
        <v>0</v>
      </c>
      <c r="L43" s="130">
        <f t="shared" si="9"/>
        <v>0</v>
      </c>
      <c r="M43" s="130">
        <f t="shared" si="5"/>
        <v>0</v>
      </c>
      <c r="N43" s="9"/>
      <c r="O43" s="9"/>
    </row>
    <row r="44" spans="2:15" ht="16">
      <c r="B44" s="124"/>
      <c r="C44" s="125"/>
      <c r="D44" s="126"/>
      <c r="E44" s="126"/>
      <c r="F44" s="186">
        <f t="shared" si="6"/>
        <v>0</v>
      </c>
      <c r="G44" s="127">
        <v>0.45590000000000003</v>
      </c>
      <c r="H44" s="128"/>
      <c r="I44" s="129">
        <f t="shared" si="7"/>
        <v>0</v>
      </c>
      <c r="J44" s="126"/>
      <c r="K44" s="130">
        <f t="shared" si="8"/>
        <v>0</v>
      </c>
      <c r="L44" s="130">
        <f t="shared" si="9"/>
        <v>0</v>
      </c>
      <c r="M44" s="130">
        <f t="shared" si="5"/>
        <v>0</v>
      </c>
      <c r="N44" s="9"/>
      <c r="O44" s="9"/>
    </row>
    <row r="45" spans="2:15" ht="16">
      <c r="B45" s="124"/>
      <c r="C45" s="125"/>
      <c r="D45" s="126"/>
      <c r="E45" s="126"/>
      <c r="F45" s="186">
        <f t="shared" si="6"/>
        <v>0</v>
      </c>
      <c r="G45" s="127">
        <v>0.45590000000000003</v>
      </c>
      <c r="H45" s="128"/>
      <c r="I45" s="129">
        <f t="shared" si="7"/>
        <v>0</v>
      </c>
      <c r="J45" s="126"/>
      <c r="K45" s="130">
        <f t="shared" si="8"/>
        <v>0</v>
      </c>
      <c r="L45" s="130">
        <f t="shared" si="9"/>
        <v>0</v>
      </c>
      <c r="M45" s="130">
        <f t="shared" si="5"/>
        <v>0</v>
      </c>
      <c r="N45" s="9"/>
      <c r="O45" s="9"/>
    </row>
    <row r="46" spans="2:15" s="82" customFormat="1" ht="19">
      <c r="B46" s="240" t="s">
        <v>56</v>
      </c>
      <c r="C46" s="248">
        <f>SUM(C34:C45)</f>
        <v>0</v>
      </c>
      <c r="D46" s="240" t="s">
        <v>9</v>
      </c>
      <c r="E46" s="240" t="s">
        <v>9</v>
      </c>
      <c r="F46" s="249" t="s">
        <v>9</v>
      </c>
      <c r="G46" s="249" t="s">
        <v>9</v>
      </c>
      <c r="H46" s="250" t="s">
        <v>9</v>
      </c>
      <c r="I46" s="248">
        <f>SUM(I34:I45)</f>
        <v>0</v>
      </c>
      <c r="J46" s="241">
        <f>SUM(J34:J45)</f>
        <v>0</v>
      </c>
      <c r="K46" s="241">
        <f>SUM(K34:K45)</f>
        <v>0</v>
      </c>
      <c r="L46" s="241">
        <f>IF(ISERROR(SUM((I34*L34),(I35*L35),(I36*L36),(I37*L37),(I38*L38),(I39*L39),(I40*L40),(I41*L41),(I42*L42),(I43*L43),(I44*L44),(I45*L45))/I46),0,SUM((I34*L34),(I35*L35),(I36*L36),(I37*L37),(I38*L38),(I39*L39),(I40*L40),(I41*L41),(I42*L42),(I43*L43),(I44*L44),(I45*L45))/I46)</f>
        <v>0</v>
      </c>
      <c r="M46" s="241">
        <f t="shared" si="5"/>
        <v>0</v>
      </c>
    </row>
    <row r="47" spans="2:15" s="82" customFormat="1" ht="19">
      <c r="B47" s="66"/>
      <c r="C47" s="77"/>
      <c r="D47" s="66"/>
      <c r="E47" s="66"/>
      <c r="F47" s="78"/>
      <c r="G47" s="78"/>
      <c r="H47" s="79"/>
      <c r="I47" s="77"/>
      <c r="J47" s="80"/>
      <c r="K47" s="80"/>
      <c r="L47" s="80"/>
      <c r="M47" s="80"/>
    </row>
    <row r="48" spans="2:15">
      <c r="B48" s="236" t="s">
        <v>185</v>
      </c>
      <c r="C48" s="171" t="s">
        <v>0</v>
      </c>
      <c r="D48" s="236" t="s">
        <v>186</v>
      </c>
      <c r="E48" s="26"/>
      <c r="F48" s="236" t="s">
        <v>185</v>
      </c>
      <c r="G48" s="26" t="s">
        <v>242</v>
      </c>
      <c r="H48" s="236" t="s">
        <v>241</v>
      </c>
      <c r="J48" s="27"/>
      <c r="K48" s="26"/>
      <c r="L48" s="26"/>
    </row>
    <row r="49" spans="1:13" ht="23" customHeight="1">
      <c r="B49" s="171" t="s">
        <v>60</v>
      </c>
      <c r="C49" s="171" t="s">
        <v>14</v>
      </c>
      <c r="D49" s="171" t="s">
        <v>13</v>
      </c>
      <c r="E49" s="26"/>
      <c r="F49" s="299" t="s">
        <v>243</v>
      </c>
      <c r="G49" s="299" t="s">
        <v>244</v>
      </c>
      <c r="H49" s="299" t="s">
        <v>13</v>
      </c>
      <c r="K49" s="26"/>
      <c r="L49" s="26"/>
    </row>
    <row r="50" spans="1:13" ht="23" customHeight="1">
      <c r="A50" s="6"/>
      <c r="B50" s="171">
        <f>IF(ISERROR(I46/'Informações Gerais'!$E$16),"VERIFICAR",(I46/'Informações Gerais'!$E$16))</f>
        <v>0</v>
      </c>
      <c r="C50" s="200">
        <f>IF(B50=0,0,IF((ISERROR((SUM(Custos_Mecanização!E10:E21)/8)/'Informações Gerais'!$E$16)),"VERIFICAR",((SUM(Custos_Mecanização!E10:E21)/8)/'Informações Gerais'!$E$16)))</f>
        <v>0</v>
      </c>
      <c r="D50" s="200">
        <f>IF(ISERROR(B50-C50),"VERIFICAR",(IF(((B50-C50)&lt;0),"RESÍDUO INCOMPATÍVEL",(B50-C50))))</f>
        <v>0</v>
      </c>
      <c r="E50" s="26"/>
      <c r="F50" s="300">
        <f>SUM(Custos_Mecanização!E10:E21)</f>
        <v>105</v>
      </c>
      <c r="G50" s="299">
        <f>SUMPRODUCT(I34:I45)*8</f>
        <v>0</v>
      </c>
      <c r="H50" s="300">
        <f>Tabela24[[#This Row],[Coluna1]]-Tabela24[[#This Row],[Necessidade de tratorista]]</f>
        <v>105</v>
      </c>
      <c r="K50" s="26"/>
      <c r="L50" s="26"/>
    </row>
    <row r="51" spans="1:13" ht="23" customHeight="1">
      <c r="A51" s="6"/>
      <c r="B51" s="171"/>
      <c r="C51" s="171"/>
      <c r="D51" s="171"/>
      <c r="E51" s="26"/>
      <c r="F51" s="299"/>
      <c r="G51" s="301" t="s">
        <v>245</v>
      </c>
      <c r="H51" s="299"/>
      <c r="K51" s="26"/>
      <c r="L51" s="26"/>
    </row>
    <row r="52" spans="1:13" ht="23" customHeight="1">
      <c r="A52" s="6"/>
      <c r="B52" s="171"/>
      <c r="C52" s="171" t="s">
        <v>15</v>
      </c>
      <c r="D52" s="171" t="s">
        <v>43</v>
      </c>
      <c r="E52" s="26"/>
      <c r="F52" s="299"/>
      <c r="G52" s="299" t="s">
        <v>246</v>
      </c>
      <c r="H52" s="299"/>
      <c r="K52" s="26"/>
      <c r="L52" s="26"/>
    </row>
    <row r="53" spans="1:13" ht="23" customHeight="1">
      <c r="A53" s="6"/>
      <c r="B53" s="171" t="s">
        <v>53</v>
      </c>
      <c r="C53" s="200">
        <f>IF(ISERROR((D50/12)*Atividade_ColheitaePós!$G$9),"VERIFICAR",((D50/12)*Atividade_ColheitaePós!$G$9))</f>
        <v>0</v>
      </c>
      <c r="D53" s="200">
        <f>IF(ISERROR(D50-C53),"VERIFICAR",(D50-C53))</f>
        <v>0</v>
      </c>
      <c r="E53" s="26"/>
      <c r="F53" s="299"/>
      <c r="G53" s="299">
        <f>IF(AND('Atividades_Condução '!G107&gt;0,'Pessoas MOB'!H50&lt;0),'Pessoas MOB'!H50/8,0)</f>
        <v>0</v>
      </c>
      <c r="H53" s="299"/>
      <c r="K53" s="26"/>
      <c r="L53" s="26"/>
    </row>
    <row r="54" spans="1:13" ht="23" customHeight="1">
      <c r="A54" s="6"/>
      <c r="B54" s="28"/>
      <c r="C54" s="26"/>
      <c r="D54" s="26"/>
      <c r="E54" s="26"/>
      <c r="F54" s="26"/>
      <c r="G54" s="26"/>
      <c r="L54" s="26"/>
      <c r="M54" s="26"/>
    </row>
    <row r="55" spans="1:13">
      <c r="A55" s="6"/>
      <c r="B55" s="6"/>
      <c r="C55" s="28"/>
      <c r="D55" s="28"/>
      <c r="E55" s="28"/>
      <c r="F55" s="28"/>
      <c r="G55" s="28"/>
      <c r="K55" s="28"/>
      <c r="L55" s="28"/>
      <c r="M55" s="28"/>
    </row>
    <row r="56" spans="1:13" ht="19">
      <c r="B56" s="24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J24" formula="1"/>
  </ignoredErrors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B1:J29"/>
  <sheetViews>
    <sheetView showGridLines="0" showRowColHeaders="0" zoomScale="147" zoomScaleNormal="100" workbookViewId="0"/>
  </sheetViews>
  <sheetFormatPr baseColWidth="10" defaultColWidth="9.1640625" defaultRowHeight="15"/>
  <cols>
    <col min="1" max="1" width="3.33203125" bestFit="1" customWidth="1"/>
    <col min="2" max="2" width="35.1640625" bestFit="1" customWidth="1"/>
    <col min="3" max="3" width="19" customWidth="1"/>
    <col min="4" max="4" width="26.33203125" customWidth="1"/>
    <col min="5" max="5" width="22.1640625" customWidth="1"/>
    <col min="6" max="6" width="18.33203125" customWidth="1"/>
    <col min="7" max="7" width="16.1640625" customWidth="1"/>
    <col min="8" max="8" width="19" bestFit="1" customWidth="1"/>
    <col min="9" max="9" width="13.1640625" customWidth="1"/>
    <col min="10" max="10" width="13.6640625" customWidth="1"/>
  </cols>
  <sheetData>
    <row r="1" spans="2:10" ht="44.25" customHeight="1"/>
    <row r="3" spans="2:10" ht="39.75" customHeight="1"/>
    <row r="5" spans="2:10">
      <c r="B5" s="100"/>
      <c r="C5" s="101"/>
    </row>
    <row r="7" spans="2:10" ht="31.5" customHeight="1">
      <c r="B7" s="261" t="s">
        <v>12</v>
      </c>
      <c r="C7" s="65"/>
      <c r="D7" s="65"/>
      <c r="F7" s="65"/>
      <c r="G7" s="65"/>
      <c r="H7" s="65"/>
      <c r="I7" s="65"/>
      <c r="J7" s="65"/>
    </row>
    <row r="8" spans="2:10" ht="47" customHeight="1">
      <c r="B8" s="240" t="s">
        <v>78</v>
      </c>
      <c r="C8" s="240" t="s">
        <v>11</v>
      </c>
      <c r="D8" s="240" t="s">
        <v>81</v>
      </c>
      <c r="E8" s="240" t="s">
        <v>10</v>
      </c>
      <c r="F8" s="240" t="s">
        <v>126</v>
      </c>
      <c r="G8" s="256" t="s">
        <v>127</v>
      </c>
      <c r="H8" s="256" t="s">
        <v>129</v>
      </c>
      <c r="I8" s="256" t="s">
        <v>130</v>
      </c>
      <c r="J8" s="257" t="s">
        <v>131</v>
      </c>
    </row>
    <row r="9" spans="2:10" ht="16.5" customHeight="1">
      <c r="B9" s="66"/>
      <c r="C9" s="66"/>
      <c r="D9" s="66"/>
      <c r="E9" s="66"/>
      <c r="F9" s="66" t="s">
        <v>128</v>
      </c>
      <c r="G9" s="66"/>
      <c r="H9" s="66"/>
      <c r="I9" s="66"/>
      <c r="J9" s="105"/>
    </row>
    <row r="10" spans="2:10" s="133" customFormat="1" ht="16">
      <c r="B10" s="124"/>
      <c r="C10" s="126"/>
      <c r="D10" s="125"/>
      <c r="E10" s="125"/>
      <c r="F10" s="186">
        <f>IF(ISERROR(($C10*0.03)/$E10),0,(($C10*0.03)/$E10))</f>
        <v>0</v>
      </c>
      <c r="G10" s="186">
        <f>$C$27*D10*0.12</f>
        <v>0</v>
      </c>
      <c r="H10" s="186">
        <f t="shared" ref="H10" si="0">G10*0.1</f>
        <v>0</v>
      </c>
      <c r="I10" s="186">
        <f>IF(ISERROR(($C$28)=0),0,($C$28))</f>
        <v>8.6309523809523814</v>
      </c>
      <c r="J10" s="186">
        <f>IF(ISERROR(F10+G10+H10+I10),0,(F10+G10+H10+I10))</f>
        <v>8.6309523809523814</v>
      </c>
    </row>
    <row r="11" spans="2:10" s="133" customFormat="1" ht="16">
      <c r="B11" s="124"/>
      <c r="C11" s="126"/>
      <c r="D11" s="125"/>
      <c r="E11" s="125"/>
      <c r="F11" s="186">
        <f t="shared" ref="F11:F19" si="1">IF(ISERROR(($C11*0.03)/$E11),0,(($C11*0.03)/$E11))</f>
        <v>0</v>
      </c>
      <c r="G11" s="186">
        <f t="shared" ref="G11:G19" si="2">$C$27*D11*0.12</f>
        <v>0</v>
      </c>
      <c r="H11" s="186">
        <f t="shared" ref="H11:H19" si="3">G11*0.1</f>
        <v>0</v>
      </c>
      <c r="I11" s="186">
        <f t="shared" ref="I11:I19" si="4">IF(ISERROR(($C$28)=0),0,($C$28))</f>
        <v>8.6309523809523814</v>
      </c>
      <c r="J11" s="186">
        <f t="shared" ref="J11:J19" si="5">IF(ISERROR(F11+G11+H11+I11),0,(F11+G11+H11+I11))</f>
        <v>8.6309523809523814</v>
      </c>
    </row>
    <row r="12" spans="2:10" s="133" customFormat="1" ht="16">
      <c r="B12" s="124"/>
      <c r="C12" s="126"/>
      <c r="D12" s="125"/>
      <c r="E12" s="125"/>
      <c r="F12" s="186">
        <f t="shared" si="1"/>
        <v>0</v>
      </c>
      <c r="G12" s="186">
        <f t="shared" si="2"/>
        <v>0</v>
      </c>
      <c r="H12" s="186">
        <f t="shared" si="3"/>
        <v>0</v>
      </c>
      <c r="I12" s="186">
        <f t="shared" si="4"/>
        <v>8.6309523809523814</v>
      </c>
      <c r="J12" s="186">
        <f t="shared" si="5"/>
        <v>8.6309523809523814</v>
      </c>
    </row>
    <row r="13" spans="2:10" s="133" customFormat="1" ht="16">
      <c r="B13" s="124"/>
      <c r="C13" s="126"/>
      <c r="D13" s="125"/>
      <c r="E13" s="125"/>
      <c r="F13" s="186">
        <f t="shared" si="1"/>
        <v>0</v>
      </c>
      <c r="G13" s="186">
        <f t="shared" si="2"/>
        <v>0</v>
      </c>
      <c r="H13" s="186">
        <f t="shared" si="3"/>
        <v>0</v>
      </c>
      <c r="I13" s="186">
        <f t="shared" si="4"/>
        <v>8.6309523809523814</v>
      </c>
      <c r="J13" s="186">
        <f t="shared" si="5"/>
        <v>8.6309523809523814</v>
      </c>
    </row>
    <row r="14" spans="2:10" s="133" customFormat="1" ht="16">
      <c r="B14" s="124"/>
      <c r="C14" s="126"/>
      <c r="D14" s="125"/>
      <c r="E14" s="125"/>
      <c r="F14" s="186">
        <f t="shared" si="1"/>
        <v>0</v>
      </c>
      <c r="G14" s="186">
        <f t="shared" si="2"/>
        <v>0</v>
      </c>
      <c r="H14" s="186">
        <f t="shared" si="3"/>
        <v>0</v>
      </c>
      <c r="I14" s="186">
        <f t="shared" si="4"/>
        <v>8.6309523809523814</v>
      </c>
      <c r="J14" s="186">
        <f t="shared" si="5"/>
        <v>8.6309523809523814</v>
      </c>
    </row>
    <row r="15" spans="2:10" s="133" customFormat="1" ht="16">
      <c r="B15" s="124"/>
      <c r="C15" s="126"/>
      <c r="D15" s="125"/>
      <c r="E15" s="125"/>
      <c r="F15" s="186">
        <f t="shared" si="1"/>
        <v>0</v>
      </c>
      <c r="G15" s="186">
        <f t="shared" si="2"/>
        <v>0</v>
      </c>
      <c r="H15" s="186">
        <f t="shared" si="3"/>
        <v>0</v>
      </c>
      <c r="I15" s="186">
        <f t="shared" si="4"/>
        <v>8.6309523809523814</v>
      </c>
      <c r="J15" s="186">
        <f t="shared" si="5"/>
        <v>8.6309523809523814</v>
      </c>
    </row>
    <row r="16" spans="2:10" s="133" customFormat="1" ht="16">
      <c r="B16" s="124"/>
      <c r="C16" s="126"/>
      <c r="D16" s="125"/>
      <c r="E16" s="125"/>
      <c r="F16" s="186">
        <f t="shared" si="1"/>
        <v>0</v>
      </c>
      <c r="G16" s="186">
        <f t="shared" si="2"/>
        <v>0</v>
      </c>
      <c r="H16" s="186">
        <f t="shared" si="3"/>
        <v>0</v>
      </c>
      <c r="I16" s="186">
        <f t="shared" si="4"/>
        <v>8.6309523809523814</v>
      </c>
      <c r="J16" s="186">
        <f t="shared" si="5"/>
        <v>8.6309523809523814</v>
      </c>
    </row>
    <row r="17" spans="2:10" s="133" customFormat="1" ht="16">
      <c r="B17" s="124"/>
      <c r="C17" s="126"/>
      <c r="D17" s="125"/>
      <c r="E17" s="125"/>
      <c r="F17" s="186">
        <f t="shared" si="1"/>
        <v>0</v>
      </c>
      <c r="G17" s="186">
        <f t="shared" si="2"/>
        <v>0</v>
      </c>
      <c r="H17" s="186">
        <f t="shared" si="3"/>
        <v>0</v>
      </c>
      <c r="I17" s="186">
        <f t="shared" si="4"/>
        <v>8.6309523809523814</v>
      </c>
      <c r="J17" s="186">
        <f t="shared" si="5"/>
        <v>8.6309523809523814</v>
      </c>
    </row>
    <row r="18" spans="2:10" s="133" customFormat="1" ht="16">
      <c r="B18" s="124"/>
      <c r="C18" s="126"/>
      <c r="D18" s="125"/>
      <c r="E18" s="125"/>
      <c r="F18" s="186">
        <f t="shared" si="1"/>
        <v>0</v>
      </c>
      <c r="G18" s="186">
        <f t="shared" si="2"/>
        <v>0</v>
      </c>
      <c r="H18" s="186">
        <f t="shared" si="3"/>
        <v>0</v>
      </c>
      <c r="I18" s="186">
        <f t="shared" si="4"/>
        <v>8.6309523809523814</v>
      </c>
      <c r="J18" s="186">
        <f t="shared" si="5"/>
        <v>8.6309523809523814</v>
      </c>
    </row>
    <row r="19" spans="2:10" s="133" customFormat="1" ht="16">
      <c r="B19" s="124"/>
      <c r="C19" s="126"/>
      <c r="D19" s="125"/>
      <c r="E19" s="125"/>
      <c r="F19" s="186">
        <f t="shared" si="1"/>
        <v>0</v>
      </c>
      <c r="G19" s="186">
        <f t="shared" si="2"/>
        <v>0</v>
      </c>
      <c r="H19" s="186">
        <f t="shared" si="3"/>
        <v>0</v>
      </c>
      <c r="I19" s="186">
        <f t="shared" si="4"/>
        <v>8.6309523809523814</v>
      </c>
      <c r="J19" s="186">
        <f t="shared" si="5"/>
        <v>8.6309523809523814</v>
      </c>
    </row>
    <row r="20" spans="2:10" s="133" customFormat="1" ht="16">
      <c r="B20" s="124" t="s">
        <v>269</v>
      </c>
      <c r="C20" s="126"/>
      <c r="D20" s="125"/>
      <c r="E20" s="305">
        <f>14*6</f>
        <v>84</v>
      </c>
      <c r="F20" s="186"/>
      <c r="G20" s="186"/>
      <c r="H20" s="186"/>
      <c r="I20" s="186"/>
      <c r="J20" s="306">
        <v>300</v>
      </c>
    </row>
    <row r="21" spans="2:10" s="133" customFormat="1" ht="16">
      <c r="B21" s="124" t="s">
        <v>270</v>
      </c>
      <c r="C21" s="126"/>
      <c r="D21" s="125"/>
      <c r="E21" s="305">
        <f>1.5*6+2*6</f>
        <v>21</v>
      </c>
      <c r="F21" s="186"/>
      <c r="G21" s="186"/>
      <c r="H21" s="186"/>
      <c r="I21" s="186"/>
      <c r="J21" s="306">
        <v>220</v>
      </c>
    </row>
    <row r="22" spans="2:10" ht="16">
      <c r="B22" s="258" t="s">
        <v>93</v>
      </c>
      <c r="C22" s="258" t="s">
        <v>9</v>
      </c>
      <c r="D22" s="258" t="s">
        <v>9</v>
      </c>
      <c r="E22" s="294"/>
      <c r="F22" s="258" t="s">
        <v>9</v>
      </c>
      <c r="G22" s="258" t="s">
        <v>9</v>
      </c>
      <c r="H22" s="258" t="s">
        <v>9</v>
      </c>
      <c r="I22" s="259" t="s">
        <v>9</v>
      </c>
      <c r="J22" s="293"/>
    </row>
    <row r="23" spans="2:10">
      <c r="B23" s="99"/>
      <c r="C23" s="99"/>
      <c r="D23" s="99"/>
      <c r="E23" s="99"/>
      <c r="F23" s="99"/>
      <c r="G23" s="99"/>
      <c r="H23" s="99"/>
      <c r="I23" s="99"/>
      <c r="J23" s="102"/>
    </row>
    <row r="25" spans="2:10">
      <c r="D25" s="99"/>
      <c r="E25" s="99"/>
      <c r="J25" s="99"/>
    </row>
    <row r="26" spans="2:10" ht="16.5" customHeight="1">
      <c r="D26" s="99"/>
      <c r="E26" s="99"/>
      <c r="J26" s="99"/>
    </row>
    <row r="27" spans="2:10" ht="16.5" customHeight="1">
      <c r="B27" s="71" t="s">
        <v>195</v>
      </c>
      <c r="C27" s="70"/>
      <c r="D27" s="99"/>
      <c r="E27" s="99"/>
      <c r="J27" s="99"/>
    </row>
    <row r="28" spans="2:10" ht="27" customHeight="1">
      <c r="B28" s="86" t="s">
        <v>50</v>
      </c>
      <c r="C28" s="187">
        <f>IF(SUM(E10:E21)=0,0,IF('Pessoas MOB'!$M$46=0,'Pessoas MOB'!$M$24,'Pessoas MOB'!$M$46))</f>
        <v>8.6309523809523814</v>
      </c>
      <c r="D28" s="103"/>
      <c r="E28" s="99"/>
      <c r="G28" s="99"/>
      <c r="H28" s="99"/>
      <c r="I28" s="99"/>
      <c r="J28" s="99"/>
    </row>
    <row r="29" spans="2:10" ht="16">
      <c r="B29" s="71" t="s">
        <v>106</v>
      </c>
      <c r="C29" s="187">
        <f>IF(ISERROR(SUM((E10*J10),(E11*J11),(E12*J12),(E13*J13),(E14*J14),(E15*J15),(E16*J16),(E17*J17),(E18*J18),(E19*J19),(E20*J20),(E21*J21),(E22*J22))/(SUM(E10:E22))),0,SUM((E10*J10),(E11*J11),(E12*J12),(E13*J13),(E14*J14),(E15*J15),(E16*J16),(E17*J17),(E18*J18),(E19*J19),(E20*J20),(E21*J21),(E22*J22))/(SUM(E10:E22)))</f>
        <v>284</v>
      </c>
      <c r="D29" s="99"/>
      <c r="E29" s="99"/>
      <c r="F29" s="99"/>
      <c r="G29" s="99"/>
      <c r="H29" s="99"/>
      <c r="I29" s="99"/>
      <c r="J29" s="9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2:O302"/>
  <sheetViews>
    <sheetView showGridLines="0" showRowColHeaders="0" topLeftCell="A69" zoomScale="81" zoomScaleNormal="70" workbookViewId="0"/>
  </sheetViews>
  <sheetFormatPr baseColWidth="10" defaultColWidth="9.1640625" defaultRowHeight="15"/>
  <cols>
    <col min="1" max="1" width="3.33203125" style="39" bestFit="1" customWidth="1"/>
    <col min="2" max="2" width="51.1640625" style="39" bestFit="1" customWidth="1"/>
    <col min="3" max="3" width="14.33203125" style="39" bestFit="1" customWidth="1"/>
    <col min="4" max="4" width="20" style="39" bestFit="1" customWidth="1"/>
    <col min="5" max="5" width="49.6640625" style="39" bestFit="1" customWidth="1"/>
    <col min="6" max="6" width="30.6640625" style="39" bestFit="1" customWidth="1"/>
    <col min="7" max="7" width="28" style="39" bestFit="1" customWidth="1"/>
    <col min="8" max="8" width="26" style="39" bestFit="1" customWidth="1"/>
    <col min="9" max="9" width="18" style="39" bestFit="1" customWidth="1"/>
    <col min="10" max="10" width="16.33203125" style="39" bestFit="1" customWidth="1"/>
    <col min="11" max="11" width="12.33203125" style="39" bestFit="1" customWidth="1"/>
    <col min="12" max="12" width="11.6640625" style="39" bestFit="1" customWidth="1"/>
    <col min="13" max="16384" width="9.1640625" style="39"/>
  </cols>
  <sheetData>
    <row r="2" spans="2:9" ht="51" customHeight="1"/>
    <row r="5" spans="2:9">
      <c r="B5" s="38"/>
      <c r="D5" s="40"/>
      <c r="H5" s="40"/>
    </row>
    <row r="6" spans="2:9">
      <c r="B6" s="41"/>
    </row>
    <row r="7" spans="2:9">
      <c r="B7"/>
      <c r="C7"/>
      <c r="D7" s="42"/>
      <c r="E7" s="42"/>
      <c r="F7" s="42"/>
      <c r="G7" s="42"/>
      <c r="H7" s="42"/>
    </row>
    <row r="8" spans="2:9" ht="19">
      <c r="D8" s="42"/>
      <c r="E8" s="42"/>
      <c r="F8" s="42"/>
      <c r="G8" s="134" t="s">
        <v>30</v>
      </c>
      <c r="H8" s="184">
        <f>'Informações Gerais'!$E$16</f>
        <v>6</v>
      </c>
    </row>
    <row r="9" spans="2:9" ht="19">
      <c r="D9" s="42"/>
      <c r="E9" s="42"/>
      <c r="F9" s="42"/>
      <c r="G9" s="134" t="s">
        <v>249</v>
      </c>
      <c r="H9" s="184">
        <f>'Informações Gerais'!$E$17</f>
        <v>15</v>
      </c>
    </row>
    <row r="10" spans="2:9" ht="20.25" customHeight="1">
      <c r="D10" s="42"/>
      <c r="E10" s="42"/>
      <c r="F10" s="42"/>
      <c r="G10" s="134" t="s">
        <v>84</v>
      </c>
      <c r="H10" s="184">
        <f>H8*H9</f>
        <v>90</v>
      </c>
    </row>
    <row r="11" spans="2:9" ht="60.5" customHeight="1">
      <c r="B11" s="325" t="s">
        <v>133</v>
      </c>
      <c r="C11" s="325"/>
      <c r="D11" s="43"/>
      <c r="F11" s="43"/>
      <c r="G11" s="43"/>
      <c r="H11" s="43"/>
      <c r="I11" s="43"/>
    </row>
    <row r="12" spans="2:9" ht="21" customHeight="1">
      <c r="B12" s="261" t="s">
        <v>49</v>
      </c>
      <c r="C12" s="52"/>
      <c r="D12" s="52"/>
      <c r="E12" s="52"/>
      <c r="F12" s="52"/>
      <c r="G12" s="52"/>
      <c r="H12" s="52"/>
      <c r="I12" s="52"/>
    </row>
    <row r="13" spans="2:9" s="100" customFormat="1" ht="27" customHeight="1">
      <c r="B13" s="238" t="s">
        <v>44</v>
      </c>
      <c r="C13" s="238" t="s">
        <v>24</v>
      </c>
      <c r="D13" s="238" t="s">
        <v>48</v>
      </c>
      <c r="E13" s="238" t="s">
        <v>47</v>
      </c>
      <c r="F13" s="238" t="s">
        <v>109</v>
      </c>
      <c r="G13" s="238" t="s">
        <v>68</v>
      </c>
      <c r="H13" s="238" t="s">
        <v>25</v>
      </c>
      <c r="I13" s="238" t="s">
        <v>250</v>
      </c>
    </row>
    <row r="14" spans="2:9" s="38" customFormat="1" ht="21">
      <c r="B14" s="55" t="s">
        <v>240</v>
      </c>
      <c r="C14" s="55"/>
      <c r="D14" s="55"/>
      <c r="E14" s="55"/>
      <c r="F14" s="55"/>
      <c r="G14" s="183">
        <f>SUM(G15:G17)</f>
        <v>2191.8231555484153</v>
      </c>
      <c r="H14" s="183">
        <f t="shared" ref="H14:I14" si="0">SUM(H15:H17)</f>
        <v>13150.93893329049</v>
      </c>
      <c r="I14" s="183">
        <f t="shared" si="0"/>
        <v>146.1215437032277</v>
      </c>
    </row>
    <row r="15" spans="2:9" ht="16">
      <c r="B15" s="136" t="s">
        <v>271</v>
      </c>
      <c r="C15" s="136" t="s">
        <v>272</v>
      </c>
      <c r="D15" s="137">
        <v>1</v>
      </c>
      <c r="E15" s="137">
        <f>1769/2.5*12/1000</f>
        <v>8.491200000000001</v>
      </c>
      <c r="F15" s="137">
        <v>125.83</v>
      </c>
      <c r="G15" s="182">
        <f>IF(ISBLANK(B15), " ",D15*E15*F15)</f>
        <v>1068.4476960000002</v>
      </c>
      <c r="H15" s="182">
        <f>IF(ISBLANK(B15), " ",G15*$H$8)</f>
        <v>6410.6861760000011</v>
      </c>
      <c r="I15" s="182">
        <f>IF(ISBLANK(B15), " ",IF(ISERROR(G15/'Informações Gerais'!$E$17),0,(G15/'Informações Gerais'!$E$17)))</f>
        <v>71.229846400000014</v>
      </c>
    </row>
    <row r="16" spans="2:9" ht="16">
      <c r="B16" s="136" t="s">
        <v>273</v>
      </c>
      <c r="C16" s="136" t="s">
        <v>348</v>
      </c>
      <c r="D16" s="137">
        <v>1</v>
      </c>
      <c r="E16" s="137">
        <v>12</v>
      </c>
      <c r="F16" s="137">
        <v>74.040000000000006</v>
      </c>
      <c r="G16" s="182">
        <f t="shared" ref="G16:G22" si="1">IF(ISBLANK(B16), " ",D16*E16*F16)</f>
        <v>888.48</v>
      </c>
      <c r="H16" s="182">
        <f t="shared" ref="H16:H22" si="2">IF(ISBLANK(B16), " ",G16*$H$8)</f>
        <v>5330.88</v>
      </c>
      <c r="I16" s="182">
        <f>IF(ISBLANK(B16), " ",IF(ISERROR(G16/'Informações Gerais'!$E$17),0,(G16/'Informações Gerais'!$E$17)))</f>
        <v>59.231999999999999</v>
      </c>
    </row>
    <row r="17" spans="2:15" ht="16">
      <c r="B17" s="136" t="s">
        <v>274</v>
      </c>
      <c r="C17" s="136" t="s">
        <v>347</v>
      </c>
      <c r="D17" s="137">
        <f>50/60*3*252/6</f>
        <v>105</v>
      </c>
      <c r="E17" s="137">
        <f>CONVERT(7.5,"HP","W")/1000</f>
        <v>5.5927490368670272</v>
      </c>
      <c r="F17" s="137">
        <v>0.4</v>
      </c>
      <c r="G17" s="182">
        <f t="shared" si="1"/>
        <v>234.89545954841515</v>
      </c>
      <c r="H17" s="182">
        <f t="shared" si="2"/>
        <v>1409.3727572904909</v>
      </c>
      <c r="I17" s="182">
        <f>IF(ISBLANK(B17), " ",IF(ISERROR(G17/'Informações Gerais'!$E$17),0,(G17/'Informações Gerais'!$E$17)))</f>
        <v>15.659697303227677</v>
      </c>
    </row>
    <row r="18" spans="2:15" s="38" customFormat="1" ht="21">
      <c r="B18" s="55" t="s">
        <v>46</v>
      </c>
      <c r="C18" s="55"/>
      <c r="D18" s="55"/>
      <c r="E18" s="55"/>
      <c r="F18" s="55"/>
      <c r="G18" s="183">
        <f>SUM(G19:G22)</f>
        <v>0</v>
      </c>
      <c r="H18" s="183">
        <f>SUM(H19:H22)</f>
        <v>0</v>
      </c>
      <c r="I18" s="183">
        <f>SUM(I19:I22)</f>
        <v>0</v>
      </c>
    </row>
    <row r="19" spans="2:15" ht="16">
      <c r="B19" s="136"/>
      <c r="C19" s="136"/>
      <c r="D19" s="137"/>
      <c r="E19" s="137"/>
      <c r="F19" s="137"/>
      <c r="G19" s="182" t="str">
        <f t="shared" si="1"/>
        <v xml:space="preserve"> </v>
      </c>
      <c r="H19" s="182" t="str">
        <f t="shared" si="2"/>
        <v xml:space="preserve"> </v>
      </c>
      <c r="I19" s="182" t="str">
        <f>IF(ISBLANK(B19), " ",IF(ISERROR(G19/'Informações Gerais'!$E$17),0,(G19/'Informações Gerais'!$E$17)))</f>
        <v xml:space="preserve"> </v>
      </c>
    </row>
    <row r="20" spans="2:15" ht="16">
      <c r="B20" s="136"/>
      <c r="C20" s="136"/>
      <c r="D20" s="137"/>
      <c r="E20" s="137"/>
      <c r="F20" s="137"/>
      <c r="G20" s="182" t="str">
        <f t="shared" si="1"/>
        <v xml:space="preserve"> </v>
      </c>
      <c r="H20" s="182" t="str">
        <f t="shared" si="2"/>
        <v xml:space="preserve"> </v>
      </c>
      <c r="I20" s="182" t="str">
        <f>IF(ISBLANK(B20), " ",IF(ISERROR(G20/'Informações Gerais'!$E$17),0,(G20/'Informações Gerais'!$E$17)))</f>
        <v xml:space="preserve"> </v>
      </c>
      <c r="K20" s="28" t="s">
        <v>232</v>
      </c>
      <c r="L20" s="28"/>
      <c r="M20" s="28"/>
      <c r="N20" s="28"/>
      <c r="O20" s="28"/>
    </row>
    <row r="21" spans="2:15" ht="16">
      <c r="B21" s="136"/>
      <c r="C21" s="136"/>
      <c r="D21" s="137"/>
      <c r="E21" s="137"/>
      <c r="F21" s="137"/>
      <c r="G21" s="182" t="str">
        <f t="shared" si="1"/>
        <v xml:space="preserve"> </v>
      </c>
      <c r="H21" s="182" t="str">
        <f t="shared" si="2"/>
        <v xml:space="preserve"> </v>
      </c>
      <c r="I21" s="182" t="str">
        <f>IF(ISBLANK(B21), " ",IF(ISERROR(G21/'Informações Gerais'!$E$17),0,(G21/'Informações Gerais'!$E$17)))</f>
        <v xml:space="preserve"> </v>
      </c>
      <c r="K21" s="28"/>
      <c r="L21" s="28"/>
      <c r="M21" s="28"/>
      <c r="N21" s="28"/>
      <c r="O21" s="28"/>
    </row>
    <row r="22" spans="2:15" ht="16">
      <c r="B22" s="136"/>
      <c r="C22" s="136"/>
      <c r="D22" s="137"/>
      <c r="E22" s="137"/>
      <c r="F22" s="137"/>
      <c r="G22" s="182" t="str">
        <f t="shared" si="1"/>
        <v xml:space="preserve"> </v>
      </c>
      <c r="H22" s="182" t="str">
        <f t="shared" si="2"/>
        <v xml:space="preserve"> </v>
      </c>
      <c r="I22" s="182" t="str">
        <f>IF(ISBLANK(B22), " ",IF(ISERROR(G22/'Informações Gerais'!$E$17),0,(G22/'Informações Gerais'!$E$17)))</f>
        <v xml:space="preserve"> </v>
      </c>
      <c r="K22" s="28"/>
      <c r="L22" s="28"/>
      <c r="M22" s="28"/>
      <c r="N22" s="28"/>
      <c r="O22" s="28"/>
    </row>
    <row r="23" spans="2:15" s="38" customFormat="1" ht="21">
      <c r="B23" s="55" t="s">
        <v>124</v>
      </c>
      <c r="C23" s="55"/>
      <c r="D23" s="56"/>
      <c r="E23" s="56"/>
      <c r="F23" s="56"/>
      <c r="G23" s="183">
        <f>SUM(G24:G41)</f>
        <v>6949.5559999999996</v>
      </c>
      <c r="H23" s="183">
        <f>SUM(H24:H41)</f>
        <v>41697.335999999996</v>
      </c>
      <c r="I23" s="183">
        <f>SUM(I24:I41)</f>
        <v>463.30373333333318</v>
      </c>
      <c r="K23" s="314" t="s">
        <v>184</v>
      </c>
      <c r="L23" s="315" t="s">
        <v>233</v>
      </c>
      <c r="M23" s="315" t="s">
        <v>234</v>
      </c>
      <c r="N23" s="316"/>
      <c r="O23" s="316"/>
    </row>
    <row r="24" spans="2:15" ht="16">
      <c r="B24" s="136" t="s">
        <v>276</v>
      </c>
      <c r="C24" s="136" t="s">
        <v>290</v>
      </c>
      <c r="D24" s="137">
        <v>2</v>
      </c>
      <c r="E24" s="137">
        <f>0.075*556</f>
        <v>41.699999999999996</v>
      </c>
      <c r="F24" s="137">
        <f>160/50</f>
        <v>3.2</v>
      </c>
      <c r="G24" s="182">
        <f>IF(ISBLANK(B24), " ",D24*E24*F24)</f>
        <v>266.88</v>
      </c>
      <c r="H24" s="182">
        <f>IF(ISBLANK(B24), " ",G24*$H$8)</f>
        <v>1601.28</v>
      </c>
      <c r="I24" s="182">
        <f>IF(ISBLANK(B24), " ",IF(ISERROR(G24/'Informações Gerais'!$E$17),0,(G24/'Informações Gerais'!$E$17)))</f>
        <v>17.791999999999998</v>
      </c>
      <c r="K24" s="317">
        <f>(D24*E24)*1000</f>
        <v>83399.999999999985</v>
      </c>
      <c r="L24" s="317">
        <f>K24/5</f>
        <v>16679.999999999996</v>
      </c>
      <c r="M24" s="318">
        <f>240/H9</f>
        <v>16</v>
      </c>
      <c r="N24" s="28" t="s">
        <v>230</v>
      </c>
      <c r="O24" s="28">
        <f>L24/M24</f>
        <v>1042.4999999999998</v>
      </c>
    </row>
    <row r="25" spans="2:15" ht="16">
      <c r="B25" s="307" t="s">
        <v>282</v>
      </c>
      <c r="C25" s="136" t="s">
        <v>290</v>
      </c>
      <c r="D25" s="137">
        <v>2</v>
      </c>
      <c r="E25" s="137">
        <f>0.107913669064748*556</f>
        <v>59.999999999999886</v>
      </c>
      <c r="F25" s="137">
        <v>2.8</v>
      </c>
      <c r="G25" s="182">
        <f t="shared" ref="G25:G41" si="3">IF(ISBLANK(B25), " ",D25*E25*F25)</f>
        <v>335.99999999999932</v>
      </c>
      <c r="H25" s="182">
        <f t="shared" ref="H25:H41" si="4">IF(ISBLANK(B25), " ",G25*$H$8)</f>
        <v>2015.9999999999959</v>
      </c>
      <c r="I25" s="182">
        <f>IF(ISBLANK(B25), " ",IF(ISERROR(G25/'Informações Gerais'!$E$17),0,(G25/'Informações Gerais'!$E$17)))</f>
        <v>22.399999999999956</v>
      </c>
      <c r="K25" s="317">
        <f>L25*5</f>
        <v>32317.499999999996</v>
      </c>
      <c r="L25" s="317">
        <f>M25*L24/M24</f>
        <v>6463.4999999999991</v>
      </c>
      <c r="M25" s="318">
        <v>6.2</v>
      </c>
      <c r="N25" s="28" t="s">
        <v>231</v>
      </c>
      <c r="O25" s="28"/>
    </row>
    <row r="26" spans="2:15" ht="16">
      <c r="B26" s="307" t="s">
        <v>283</v>
      </c>
      <c r="C26" s="136" t="s">
        <v>290</v>
      </c>
      <c r="D26" s="137">
        <v>2</v>
      </c>
      <c r="E26" s="137">
        <f>12</f>
        <v>12</v>
      </c>
      <c r="F26" s="137">
        <v>2.8</v>
      </c>
      <c r="G26" s="182">
        <f t="shared" si="3"/>
        <v>67.199999999999989</v>
      </c>
      <c r="H26" s="182">
        <f t="shared" si="4"/>
        <v>403.19999999999993</v>
      </c>
      <c r="I26" s="182">
        <f>IF(ISBLANK(B26), " ",IF(ISERROR(G26/'Informações Gerais'!$E$17),0,(G26/'Informações Gerais'!$E$17)))</f>
        <v>4.4799999999999995</v>
      </c>
      <c r="K26" s="28"/>
      <c r="L26" s="28"/>
      <c r="M26" s="28"/>
      <c r="N26" s="28"/>
      <c r="O26" s="28"/>
    </row>
    <row r="27" spans="2:15" ht="16">
      <c r="B27" s="307" t="s">
        <v>284</v>
      </c>
      <c r="C27" s="136" t="s">
        <v>290</v>
      </c>
      <c r="D27" s="137">
        <v>2</v>
      </c>
      <c r="E27" s="137">
        <f>0.2*556</f>
        <v>111.2</v>
      </c>
      <c r="F27" s="137">
        <v>1.6</v>
      </c>
      <c r="G27" s="182">
        <f t="shared" si="3"/>
        <v>355.84000000000003</v>
      </c>
      <c r="H27" s="182">
        <f t="shared" si="4"/>
        <v>2135.04</v>
      </c>
      <c r="I27" s="182">
        <f>IF(ISBLANK(B27), " ",IF(ISERROR(G27/'Informações Gerais'!$E$17),0,(G27/'Informações Gerais'!$E$17)))</f>
        <v>23.722666666666669</v>
      </c>
      <c r="K27" s="28"/>
      <c r="L27" s="28"/>
      <c r="M27" s="28"/>
      <c r="N27" s="28"/>
      <c r="O27" s="28"/>
    </row>
    <row r="28" spans="2:15" ht="16">
      <c r="B28" s="307" t="s">
        <v>285</v>
      </c>
      <c r="C28" s="136" t="s">
        <v>277</v>
      </c>
      <c r="D28" s="137">
        <v>3</v>
      </c>
      <c r="E28" s="137">
        <v>25</v>
      </c>
      <c r="F28" s="137">
        <v>2.72</v>
      </c>
      <c r="G28" s="182">
        <f t="shared" si="3"/>
        <v>204.00000000000003</v>
      </c>
      <c r="H28" s="182">
        <f t="shared" si="4"/>
        <v>1224.0000000000002</v>
      </c>
      <c r="I28" s="182">
        <f>IF(ISBLANK(B28), " ",IF(ISERROR(G28/'Informações Gerais'!$E$17),0,(G28/'Informações Gerais'!$E$17)))</f>
        <v>13.600000000000001</v>
      </c>
      <c r="K28" s="28"/>
      <c r="L28" s="28"/>
      <c r="M28" s="28"/>
      <c r="N28" s="28"/>
      <c r="O28" s="28"/>
    </row>
    <row r="29" spans="2:15" ht="16">
      <c r="B29" s="307" t="s">
        <v>287</v>
      </c>
      <c r="C29" s="136" t="s">
        <v>277</v>
      </c>
      <c r="D29" s="137">
        <v>2</v>
      </c>
      <c r="E29" s="137">
        <f>0.3*556</f>
        <v>166.79999999999998</v>
      </c>
      <c r="F29" s="137">
        <v>2.72</v>
      </c>
      <c r="G29" s="182">
        <f t="shared" si="3"/>
        <v>907.39199999999994</v>
      </c>
      <c r="H29" s="182">
        <f t="shared" si="4"/>
        <v>5444.3519999999999</v>
      </c>
      <c r="I29" s="182">
        <f>IF(ISBLANK(B29), " ",IF(ISERROR(G29/'Informações Gerais'!$E$17),0,(G29/'Informações Gerais'!$E$17)))</f>
        <v>60.492799999999995</v>
      </c>
      <c r="K29" s="28"/>
      <c r="L29" s="28"/>
      <c r="M29" s="28"/>
      <c r="N29" s="28"/>
      <c r="O29" s="28"/>
    </row>
    <row r="30" spans="2:15" ht="16">
      <c r="B30" s="307" t="s">
        <v>279</v>
      </c>
      <c r="C30" s="136" t="s">
        <v>277</v>
      </c>
      <c r="D30" s="137">
        <v>1</v>
      </c>
      <c r="E30" s="137">
        <f>0.2*556</f>
        <v>111.2</v>
      </c>
      <c r="F30" s="137">
        <f>220/50</f>
        <v>4.4000000000000004</v>
      </c>
      <c r="G30" s="182">
        <f t="shared" si="3"/>
        <v>489.28000000000003</v>
      </c>
      <c r="H30" s="182">
        <f t="shared" si="4"/>
        <v>2935.6800000000003</v>
      </c>
      <c r="I30" s="182">
        <f>IF(ISBLANK(B30), " ",IF(ISERROR(G30/'Informações Gerais'!$E$17),0,(G30/'Informações Gerais'!$E$17)))</f>
        <v>32.61866666666667</v>
      </c>
    </row>
    <row r="31" spans="2:15" ht="16">
      <c r="B31" s="136" t="s">
        <v>286</v>
      </c>
      <c r="C31" s="136" t="s">
        <v>277</v>
      </c>
      <c r="D31" s="137">
        <v>2</v>
      </c>
      <c r="E31" s="137">
        <v>24</v>
      </c>
      <c r="F31" s="137">
        <f>190/25</f>
        <v>7.6</v>
      </c>
      <c r="G31" s="182">
        <f t="shared" si="3"/>
        <v>364.79999999999995</v>
      </c>
      <c r="H31" s="182">
        <f t="shared" si="4"/>
        <v>2188.7999999999997</v>
      </c>
      <c r="I31" s="182">
        <f>IF(ISBLANK(B31), " ",IF(ISERROR(G31/'Informações Gerais'!$E$17),0,(G31/'Informações Gerais'!$E$17)))</f>
        <v>24.319999999999997</v>
      </c>
      <c r="J31" s="297"/>
    </row>
    <row r="32" spans="2:15" ht="16">
      <c r="B32" s="136" t="s">
        <v>280</v>
      </c>
      <c r="C32" s="136" t="s">
        <v>277</v>
      </c>
      <c r="D32" s="137">
        <v>1</v>
      </c>
      <c r="E32" s="137">
        <f>0.3*556</f>
        <v>166.79999999999998</v>
      </c>
      <c r="F32" s="137">
        <v>2.6</v>
      </c>
      <c r="G32" s="182">
        <f t="shared" si="3"/>
        <v>433.67999999999995</v>
      </c>
      <c r="H32" s="182">
        <f t="shared" si="4"/>
        <v>2602.08</v>
      </c>
      <c r="I32" s="182">
        <f>IF(ISBLANK(B32), " ",IF(ISERROR(G32/'Informações Gerais'!$E$17),0,(G32/'Informações Gerais'!$E$17)))</f>
        <v>28.911999999999995</v>
      </c>
    </row>
    <row r="33" spans="2:9" ht="16">
      <c r="B33" s="136" t="s">
        <v>281</v>
      </c>
      <c r="C33" s="136" t="s">
        <v>277</v>
      </c>
      <c r="D33" s="137">
        <v>1</v>
      </c>
      <c r="E33" s="137">
        <f>0.3*556</f>
        <v>166.79999999999998</v>
      </c>
      <c r="F33" s="137">
        <f>135/50</f>
        <v>2.7</v>
      </c>
      <c r="G33" s="182">
        <f t="shared" si="3"/>
        <v>450.35999999999996</v>
      </c>
      <c r="H33" s="182">
        <f t="shared" si="4"/>
        <v>2702.16</v>
      </c>
      <c r="I33" s="182">
        <f>IF(ISBLANK(B33), " ",IF(ISERROR(G33/'Informações Gerais'!$E$17),0,(G33/'Informações Gerais'!$E$17)))</f>
        <v>30.023999999999997</v>
      </c>
    </row>
    <row r="34" spans="2:9" ht="16">
      <c r="B34" s="307" t="s">
        <v>278</v>
      </c>
      <c r="C34" s="136" t="s">
        <v>277</v>
      </c>
      <c r="D34" s="137">
        <v>1</v>
      </c>
      <c r="E34" s="137">
        <f>1*556</f>
        <v>556</v>
      </c>
      <c r="F34" s="137">
        <v>1.825</v>
      </c>
      <c r="G34" s="182">
        <f t="shared" si="3"/>
        <v>1014.6999999999999</v>
      </c>
      <c r="H34" s="182">
        <f t="shared" si="4"/>
        <v>6088.2</v>
      </c>
      <c r="I34" s="182">
        <f>IF(ISBLANK(B34), " ",IF(ISERROR(G34/'Informações Gerais'!$E$17),0,(G34/'Informações Gerais'!$E$17)))</f>
        <v>67.646666666666661</v>
      </c>
    </row>
    <row r="35" spans="2:9" ht="16">
      <c r="B35" s="136" t="s">
        <v>288</v>
      </c>
      <c r="C35" s="136" t="s">
        <v>290</v>
      </c>
      <c r="D35" s="137">
        <v>1</v>
      </c>
      <c r="E35" s="137">
        <f>0.015*556</f>
        <v>8.34</v>
      </c>
      <c r="F35" s="137">
        <v>8</v>
      </c>
      <c r="G35" s="182">
        <f t="shared" si="3"/>
        <v>66.72</v>
      </c>
      <c r="H35" s="182">
        <f t="shared" si="4"/>
        <v>400.32</v>
      </c>
      <c r="I35" s="182">
        <f>IF(ISBLANK(B35), " ",IF(ISERROR(G35/'Informações Gerais'!$E$17),0,(G35/'Informações Gerais'!$E$17)))</f>
        <v>4.4479999999999995</v>
      </c>
    </row>
    <row r="36" spans="2:9" ht="16">
      <c r="B36" s="136" t="s">
        <v>289</v>
      </c>
      <c r="C36" s="136" t="s">
        <v>290</v>
      </c>
      <c r="D36" s="137">
        <v>1</v>
      </c>
      <c r="E36" s="137">
        <f>0.05*556</f>
        <v>27.8</v>
      </c>
      <c r="F36" s="137">
        <v>5.6</v>
      </c>
      <c r="G36" s="182">
        <f t="shared" si="3"/>
        <v>155.68</v>
      </c>
      <c r="H36" s="182">
        <f t="shared" si="4"/>
        <v>934.08</v>
      </c>
      <c r="I36" s="182">
        <f>IF(ISBLANK(B36), " ",IF(ISERROR(G36/'Informações Gerais'!$E$17),0,(G36/'Informações Gerais'!$E$17)))</f>
        <v>10.378666666666668</v>
      </c>
    </row>
    <row r="37" spans="2:9" ht="16">
      <c r="B37" s="136" t="s">
        <v>275</v>
      </c>
      <c r="C37" s="136" t="s">
        <v>290</v>
      </c>
      <c r="D37" s="137">
        <v>2</v>
      </c>
      <c r="E37" s="137">
        <f>0.3*556</f>
        <v>166.79999999999998</v>
      </c>
      <c r="F37" s="137">
        <v>1.64</v>
      </c>
      <c r="G37" s="182">
        <f t="shared" si="3"/>
        <v>547.10399999999993</v>
      </c>
      <c r="H37" s="182">
        <f t="shared" si="4"/>
        <v>3282.6239999999998</v>
      </c>
      <c r="I37" s="182">
        <f>IF(ISBLANK(B37), " ",IF(ISERROR(G37/'Informações Gerais'!$E$17),0,(G37/'Informações Gerais'!$E$17)))</f>
        <v>36.473599999999998</v>
      </c>
    </row>
    <row r="38" spans="2:9" ht="16">
      <c r="B38" s="136" t="s">
        <v>322</v>
      </c>
      <c r="C38" s="136" t="s">
        <v>291</v>
      </c>
      <c r="D38" s="137">
        <v>2</v>
      </c>
      <c r="E38" s="137">
        <f>0.02*556</f>
        <v>11.120000000000001</v>
      </c>
      <c r="F38" s="137">
        <v>58</v>
      </c>
      <c r="G38" s="182">
        <f t="shared" si="3"/>
        <v>1289.92</v>
      </c>
      <c r="H38" s="182">
        <f t="shared" si="4"/>
        <v>7739.52</v>
      </c>
      <c r="I38" s="182">
        <f>IF(ISBLANK(B38), " ",IF(ISERROR(G38/'Informações Gerais'!$E$17),0,(G38/'Informações Gerais'!$E$17)))</f>
        <v>85.994666666666674</v>
      </c>
    </row>
    <row r="39" spans="2:9" ht="16">
      <c r="B39" s="136"/>
      <c r="C39" s="136"/>
      <c r="D39" s="137"/>
      <c r="E39" s="137"/>
      <c r="F39" s="137"/>
      <c r="G39" s="182" t="str">
        <f t="shared" si="3"/>
        <v xml:space="preserve"> </v>
      </c>
      <c r="H39" s="182" t="str">
        <f t="shared" si="4"/>
        <v xml:space="preserve"> </v>
      </c>
      <c r="I39" s="182" t="str">
        <f>IF(ISBLANK(B39), " ",IF(ISERROR(G39/'Informações Gerais'!$E$17),0,(G39/'Informações Gerais'!$E$17)))</f>
        <v xml:space="preserve"> </v>
      </c>
    </row>
    <row r="40" spans="2:9" ht="16">
      <c r="B40" s="136"/>
      <c r="C40" s="136"/>
      <c r="D40" s="137"/>
      <c r="E40" s="137"/>
      <c r="F40" s="137"/>
      <c r="G40" s="182" t="str">
        <f t="shared" si="3"/>
        <v xml:space="preserve"> </v>
      </c>
      <c r="H40" s="182" t="str">
        <f t="shared" si="4"/>
        <v xml:space="preserve"> </v>
      </c>
      <c r="I40" s="182" t="str">
        <f>IF(ISBLANK(B40), " ",IF(ISERROR(G40/'Informações Gerais'!$E$17),0,(G40/'Informações Gerais'!$E$17)))</f>
        <v xml:space="preserve"> </v>
      </c>
    </row>
    <row r="41" spans="2:9" ht="16">
      <c r="B41" s="136"/>
      <c r="C41" s="136"/>
      <c r="D41" s="137"/>
      <c r="E41" s="137"/>
      <c r="F41" s="137"/>
      <c r="G41" s="182" t="str">
        <f t="shared" si="3"/>
        <v xml:space="preserve"> </v>
      </c>
      <c r="H41" s="182" t="str">
        <f t="shared" si="4"/>
        <v xml:space="preserve"> </v>
      </c>
      <c r="I41" s="182" t="str">
        <f>IF(ISBLANK(B41), " ",IF(ISERROR(G41/'Informações Gerais'!$E$17),0,(G41/'Informações Gerais'!$E$17)))</f>
        <v xml:space="preserve"> </v>
      </c>
    </row>
    <row r="42" spans="2:9" s="38" customFormat="1" ht="21">
      <c r="B42" s="55" t="s">
        <v>183</v>
      </c>
      <c r="C42" s="55"/>
      <c r="D42" s="56"/>
      <c r="E42" s="56"/>
      <c r="F42" s="56"/>
      <c r="G42" s="183">
        <f>SUM(G43:G64)</f>
        <v>2359.04</v>
      </c>
      <c r="H42" s="183">
        <f>SUM(H43:H64)</f>
        <v>14154.24</v>
      </c>
      <c r="I42" s="183">
        <f>SUM(I43:I64)</f>
        <v>157.26933333333332</v>
      </c>
    </row>
    <row r="43" spans="2:9" ht="16">
      <c r="B43" s="308" t="s">
        <v>295</v>
      </c>
      <c r="C43" s="136" t="s">
        <v>291</v>
      </c>
      <c r="D43" s="137">
        <v>2</v>
      </c>
      <c r="E43" s="137">
        <v>0.2</v>
      </c>
      <c r="F43" s="137">
        <f>185</f>
        <v>185</v>
      </c>
      <c r="G43" s="182">
        <f>IF(ISBLANK(B43), " ",D43*E43*F43)</f>
        <v>74</v>
      </c>
      <c r="H43" s="182">
        <f>IF(ISBLANK(B43), " ",G43*$H$8)</f>
        <v>444</v>
      </c>
      <c r="I43" s="182">
        <f>IF(ISBLANK(B43), " ",IF(ISERROR(G43/'Informações Gerais'!$E$17),0,(G43/'Informações Gerais'!$E$17)))</f>
        <v>4.9333333333333336</v>
      </c>
    </row>
    <row r="44" spans="2:9" ht="16">
      <c r="B44" s="308" t="s">
        <v>293</v>
      </c>
      <c r="C44" s="136" t="s">
        <v>291</v>
      </c>
      <c r="D44" s="137">
        <v>2</v>
      </c>
      <c r="E44" s="137">
        <v>0.8</v>
      </c>
      <c r="F44" s="137">
        <v>52</v>
      </c>
      <c r="G44" s="182">
        <f t="shared" ref="G44:G64" si="5">IF(ISBLANK(B44), " ",D44*E44*F44)</f>
        <v>83.2</v>
      </c>
      <c r="H44" s="182">
        <f t="shared" ref="H44:H64" si="6">IF(ISBLANK(B44), " ",G44*$H$8)</f>
        <v>499.20000000000005</v>
      </c>
      <c r="I44" s="182">
        <f>IF(ISBLANK(B44), " ",IF(ISERROR(G44/'Informações Gerais'!$E$17),0,(G44/'Informações Gerais'!$E$17)))</f>
        <v>5.5466666666666669</v>
      </c>
    </row>
    <row r="45" spans="2:9" ht="16">
      <c r="B45" s="308" t="s">
        <v>297</v>
      </c>
      <c r="C45" s="136" t="s">
        <v>291</v>
      </c>
      <c r="D45" s="137">
        <v>2</v>
      </c>
      <c r="E45" s="137">
        <v>0.4</v>
      </c>
      <c r="F45" s="137">
        <v>99</v>
      </c>
      <c r="G45" s="182">
        <f t="shared" si="5"/>
        <v>79.2</v>
      </c>
      <c r="H45" s="182">
        <f t="shared" si="6"/>
        <v>475.20000000000005</v>
      </c>
      <c r="I45" s="182">
        <f>IF(ISBLANK(B45), " ",IF(ISERROR(G45/'Informações Gerais'!$E$17),0,(G45/'Informações Gerais'!$E$17)))</f>
        <v>5.28</v>
      </c>
    </row>
    <row r="46" spans="2:9" ht="16">
      <c r="B46" s="308" t="s">
        <v>298</v>
      </c>
      <c r="C46" s="136" t="s">
        <v>291</v>
      </c>
      <c r="D46" s="137">
        <v>2</v>
      </c>
      <c r="E46" s="137">
        <v>0.8</v>
      </c>
      <c r="F46" s="137">
        <v>75</v>
      </c>
      <c r="G46" s="182">
        <f t="shared" si="5"/>
        <v>120</v>
      </c>
      <c r="H46" s="182">
        <f t="shared" si="6"/>
        <v>720</v>
      </c>
      <c r="I46" s="182">
        <f>IF(ISBLANK(B46), " ",IF(ISERROR(G46/'Informações Gerais'!$E$17),0,(G46/'Informações Gerais'!$E$17)))</f>
        <v>8</v>
      </c>
    </row>
    <row r="47" spans="2:9" ht="16">
      <c r="B47" s="308" t="s">
        <v>317</v>
      </c>
      <c r="C47" s="136" t="s">
        <v>291</v>
      </c>
      <c r="D47" s="137">
        <v>2</v>
      </c>
      <c r="E47" s="137">
        <v>0.4</v>
      </c>
      <c r="F47" s="137">
        <v>152.19999999999999</v>
      </c>
      <c r="G47" s="182">
        <f t="shared" si="5"/>
        <v>121.75999999999999</v>
      </c>
      <c r="H47" s="182">
        <f t="shared" si="6"/>
        <v>730.56</v>
      </c>
      <c r="I47" s="182">
        <f>IF(ISBLANK(B47), " ",IF(ISERROR(G47/'Informações Gerais'!$E$17),0,(G47/'Informações Gerais'!$E$17)))</f>
        <v>8.1173333333333328</v>
      </c>
    </row>
    <row r="48" spans="2:9" ht="16">
      <c r="B48" s="308" t="s">
        <v>318</v>
      </c>
      <c r="C48" s="136" t="s">
        <v>290</v>
      </c>
      <c r="D48" s="137">
        <v>1</v>
      </c>
      <c r="E48" s="137">
        <v>0.4</v>
      </c>
      <c r="F48" s="137">
        <v>73</v>
      </c>
      <c r="G48" s="182">
        <f t="shared" si="5"/>
        <v>29.200000000000003</v>
      </c>
      <c r="H48" s="182">
        <f t="shared" si="6"/>
        <v>175.20000000000002</v>
      </c>
      <c r="I48" s="182">
        <f>IF(ISBLANK(B48), " ",IF(ISERROR(G48/'Informações Gerais'!$E$17),0,(G48/'Informações Gerais'!$E$17)))</f>
        <v>1.9466666666666668</v>
      </c>
    </row>
    <row r="49" spans="2:10" ht="16">
      <c r="B49" s="308" t="s">
        <v>304</v>
      </c>
      <c r="C49" s="136" t="s">
        <v>291</v>
      </c>
      <c r="D49" s="137">
        <v>3</v>
      </c>
      <c r="E49" s="137">
        <v>0.2</v>
      </c>
      <c r="F49" s="137">
        <v>680</v>
      </c>
      <c r="G49" s="182">
        <f t="shared" si="5"/>
        <v>408.00000000000006</v>
      </c>
      <c r="H49" s="182">
        <f t="shared" si="6"/>
        <v>2448.0000000000005</v>
      </c>
      <c r="I49" s="182">
        <f>IF(ISBLANK(B49), " ",IF(ISERROR(G49/'Informações Gerais'!$E$17),0,(G49/'Informações Gerais'!$E$17)))</f>
        <v>27.200000000000003</v>
      </c>
    </row>
    <row r="50" spans="2:10" ht="16">
      <c r="B50" s="309" t="s">
        <v>294</v>
      </c>
      <c r="C50" s="136" t="s">
        <v>291</v>
      </c>
      <c r="D50" s="137">
        <v>2</v>
      </c>
      <c r="E50" s="137">
        <v>0.4</v>
      </c>
      <c r="F50" s="137">
        <v>98.5</v>
      </c>
      <c r="G50" s="182">
        <f t="shared" si="5"/>
        <v>78.800000000000011</v>
      </c>
      <c r="H50" s="182">
        <f t="shared" si="6"/>
        <v>472.80000000000007</v>
      </c>
      <c r="I50" s="182">
        <f>IF(ISBLANK(B50), " ",IF(ISERROR(G50/'Informações Gerais'!$E$17),0,(G50/'Informações Gerais'!$E$17)))</f>
        <v>5.2533333333333339</v>
      </c>
    </row>
    <row r="51" spans="2:10" ht="16">
      <c r="B51" s="309" t="s">
        <v>299</v>
      </c>
      <c r="C51" s="136" t="s">
        <v>291</v>
      </c>
      <c r="D51" s="137">
        <v>1</v>
      </c>
      <c r="E51" s="137">
        <v>0.32</v>
      </c>
      <c r="F51" s="137">
        <v>229</v>
      </c>
      <c r="G51" s="182">
        <f t="shared" si="5"/>
        <v>73.28</v>
      </c>
      <c r="H51" s="182">
        <f t="shared" si="6"/>
        <v>439.68</v>
      </c>
      <c r="I51" s="182">
        <f>IF(ISBLANK(B51), " ",IF(ISERROR(G51/'Informações Gerais'!$E$17),0,(G51/'Informações Gerais'!$E$17)))</f>
        <v>4.8853333333333335</v>
      </c>
    </row>
    <row r="52" spans="2:10" ht="16">
      <c r="B52" s="309" t="s">
        <v>292</v>
      </c>
      <c r="C52" s="136" t="s">
        <v>291</v>
      </c>
      <c r="D52" s="137">
        <v>1</v>
      </c>
      <c r="E52" s="137">
        <v>0.8</v>
      </c>
      <c r="F52" s="137">
        <v>111</v>
      </c>
      <c r="G52" s="182">
        <f t="shared" si="5"/>
        <v>88.800000000000011</v>
      </c>
      <c r="H52" s="182">
        <f t="shared" si="6"/>
        <v>532.80000000000007</v>
      </c>
      <c r="I52" s="182">
        <f>IF(ISBLANK(B52), " ",IF(ISERROR(G52/'Informações Gerais'!$E$17),0,(G52/'Informações Gerais'!$E$17)))</f>
        <v>5.9200000000000008</v>
      </c>
    </row>
    <row r="53" spans="2:10" ht="16">
      <c r="B53" s="309" t="s">
        <v>300</v>
      </c>
      <c r="C53" s="136" t="s">
        <v>290</v>
      </c>
      <c r="D53" s="137">
        <v>2</v>
      </c>
      <c r="E53" s="137">
        <v>0.2</v>
      </c>
      <c r="F53" s="137">
        <v>229</v>
      </c>
      <c r="G53" s="182">
        <f t="shared" si="5"/>
        <v>91.600000000000009</v>
      </c>
      <c r="H53" s="182">
        <f t="shared" si="6"/>
        <v>549.6</v>
      </c>
      <c r="I53" s="182">
        <f>IF(ISBLANK(B53), " ",IF(ISERROR(G53/'Informações Gerais'!$E$17),0,(G53/'Informações Gerais'!$E$17)))</f>
        <v>6.1066666666666674</v>
      </c>
    </row>
    <row r="54" spans="2:10" ht="16">
      <c r="B54" s="310" t="s">
        <v>320</v>
      </c>
      <c r="C54" s="136" t="s">
        <v>277</v>
      </c>
      <c r="D54" s="137">
        <v>1</v>
      </c>
      <c r="E54" s="137">
        <v>4</v>
      </c>
      <c r="F54" s="137">
        <v>22</v>
      </c>
      <c r="G54" s="182">
        <f t="shared" si="5"/>
        <v>88</v>
      </c>
      <c r="H54" s="182">
        <f t="shared" si="6"/>
        <v>528</v>
      </c>
      <c r="I54" s="182">
        <f>IF(ISBLANK(B54), " ",IF(ISERROR(G54/'Informações Gerais'!$E$17),0,(G54/'Informações Gerais'!$E$17)))</f>
        <v>5.8666666666666663</v>
      </c>
    </row>
    <row r="55" spans="2:10" ht="16">
      <c r="B55" s="309" t="s">
        <v>301</v>
      </c>
      <c r="C55" s="136" t="s">
        <v>291</v>
      </c>
      <c r="D55" s="137">
        <v>1</v>
      </c>
      <c r="E55" s="137">
        <v>1.2</v>
      </c>
      <c r="F55" s="137">
        <v>130</v>
      </c>
      <c r="G55" s="182">
        <f t="shared" si="5"/>
        <v>156</v>
      </c>
      <c r="H55" s="182">
        <f t="shared" si="6"/>
        <v>936</v>
      </c>
      <c r="I55" s="182">
        <f>IF(ISBLANK(B55), " ",IF(ISERROR(G55/'Informações Gerais'!$E$17),0,(G55/'Informações Gerais'!$E$17)))</f>
        <v>10.4</v>
      </c>
    </row>
    <row r="56" spans="2:10" ht="16">
      <c r="B56" s="309" t="s">
        <v>307</v>
      </c>
      <c r="C56" s="136" t="s">
        <v>291</v>
      </c>
      <c r="D56" s="137">
        <v>2</v>
      </c>
      <c r="E56" s="137">
        <v>0.8</v>
      </c>
      <c r="F56" s="137">
        <v>168</v>
      </c>
      <c r="G56" s="182">
        <f t="shared" si="5"/>
        <v>268.8</v>
      </c>
      <c r="H56" s="182">
        <f t="shared" si="6"/>
        <v>1612.8000000000002</v>
      </c>
      <c r="I56" s="182">
        <f>IF(ISBLANK(B56), " ",IF(ISERROR(G56/'Informações Gerais'!$E$17),0,(G56/'Informações Gerais'!$E$17)))</f>
        <v>17.920000000000002</v>
      </c>
    </row>
    <row r="57" spans="2:10" ht="16">
      <c r="B57" s="309" t="s">
        <v>302</v>
      </c>
      <c r="C57" s="136" t="s">
        <v>291</v>
      </c>
      <c r="D57" s="137">
        <v>2</v>
      </c>
      <c r="E57" s="137">
        <v>0.8</v>
      </c>
      <c r="F57" s="137">
        <v>110</v>
      </c>
      <c r="G57" s="182">
        <f t="shared" si="5"/>
        <v>176</v>
      </c>
      <c r="H57" s="182">
        <f t="shared" si="6"/>
        <v>1056</v>
      </c>
      <c r="I57" s="182">
        <f>IF(ISBLANK(B57), " ",IF(ISERROR(G57/'Informações Gerais'!$E$17),0,(G57/'Informações Gerais'!$E$17)))</f>
        <v>11.733333333333333</v>
      </c>
    </row>
    <row r="58" spans="2:10" ht="16">
      <c r="B58" s="309" t="s">
        <v>303</v>
      </c>
      <c r="C58" s="136" t="s">
        <v>277</v>
      </c>
      <c r="D58" s="137">
        <v>3</v>
      </c>
      <c r="E58" s="137">
        <v>1</v>
      </c>
      <c r="F58" s="137">
        <v>32</v>
      </c>
      <c r="G58" s="182">
        <f t="shared" si="5"/>
        <v>96</v>
      </c>
      <c r="H58" s="182">
        <f t="shared" si="6"/>
        <v>576</v>
      </c>
      <c r="I58" s="182">
        <f>IF(ISBLANK(B58), " ",IF(ISERROR(G58/'Informações Gerais'!$E$17),0,(G58/'Informações Gerais'!$E$17)))</f>
        <v>6.4</v>
      </c>
    </row>
    <row r="59" spans="2:10" ht="16">
      <c r="B59" s="310" t="s">
        <v>305</v>
      </c>
      <c r="C59" s="136" t="s">
        <v>291</v>
      </c>
      <c r="D59" s="137">
        <v>14</v>
      </c>
      <c r="E59" s="137">
        <v>0.2</v>
      </c>
      <c r="F59" s="137">
        <v>40</v>
      </c>
      <c r="G59" s="182">
        <f t="shared" ref="G59" si="7">IF(ISBLANK(B59), " ",D59*E59*F59)</f>
        <v>112.00000000000001</v>
      </c>
      <c r="H59" s="182">
        <f t="shared" ref="H59" si="8">IF(ISBLANK(B59), " ",G59*$H$8)</f>
        <v>672.00000000000011</v>
      </c>
      <c r="I59" s="182">
        <f>IF(ISBLANK(B59), " ",IF(ISERROR(G59/'Informações Gerais'!$E$17),0,(G59/'Informações Gerais'!$E$17)))</f>
        <v>7.4666666666666677</v>
      </c>
    </row>
    <row r="60" spans="2:10" ht="16">
      <c r="B60" s="136" t="s">
        <v>296</v>
      </c>
      <c r="C60" s="136" t="s">
        <v>291</v>
      </c>
      <c r="D60" s="137">
        <v>3</v>
      </c>
      <c r="E60" s="137">
        <v>2</v>
      </c>
      <c r="F60" s="137">
        <v>25</v>
      </c>
      <c r="G60" s="182">
        <f t="shared" si="5"/>
        <v>150</v>
      </c>
      <c r="H60" s="182">
        <f t="shared" si="6"/>
        <v>900</v>
      </c>
      <c r="I60" s="182">
        <f>IF(ISBLANK(B60), " ",IF(ISERROR(G60/'Informações Gerais'!$E$17),0,(G60/'Informações Gerais'!$E$17)))</f>
        <v>10</v>
      </c>
    </row>
    <row r="61" spans="2:10" ht="16">
      <c r="B61" s="136" t="s">
        <v>306</v>
      </c>
      <c r="C61" s="136" t="s">
        <v>291</v>
      </c>
      <c r="D61" s="137">
        <v>14</v>
      </c>
      <c r="E61" s="137">
        <v>0.2</v>
      </c>
      <c r="F61" s="137">
        <v>23</v>
      </c>
      <c r="G61" s="182">
        <f t="shared" si="5"/>
        <v>64.400000000000006</v>
      </c>
      <c r="H61" s="182">
        <f t="shared" si="6"/>
        <v>386.40000000000003</v>
      </c>
      <c r="I61" s="182">
        <f>IF(ISBLANK(B61), " ",IF(ISERROR(G61/'Informações Gerais'!$E$17),0,(G61/'Informações Gerais'!$E$17)))</f>
        <v>4.2933333333333339</v>
      </c>
    </row>
    <row r="62" spans="2:10" ht="16">
      <c r="B62" s="310"/>
      <c r="C62" s="136"/>
      <c r="D62" s="137"/>
      <c r="E62" s="137"/>
      <c r="F62" s="137"/>
      <c r="G62" s="182" t="str">
        <f t="shared" si="5"/>
        <v xml:space="preserve"> </v>
      </c>
      <c r="H62" s="182" t="str">
        <f t="shared" si="6"/>
        <v xml:space="preserve"> </v>
      </c>
      <c r="I62" s="182" t="str">
        <f>IF(ISBLANK(B62), " ",IF(ISERROR(G62/'Informações Gerais'!$E$17),0,(G62/'Informações Gerais'!$E$17)))</f>
        <v xml:space="preserve"> </v>
      </c>
    </row>
    <row r="63" spans="2:10" ht="16">
      <c r="B63" s="136"/>
      <c r="C63" s="136"/>
      <c r="D63" s="137"/>
      <c r="E63" s="137"/>
      <c r="F63" s="137"/>
      <c r="G63" s="182" t="str">
        <f t="shared" si="5"/>
        <v xml:space="preserve"> </v>
      </c>
      <c r="H63" s="182" t="str">
        <f t="shared" si="6"/>
        <v xml:space="preserve"> </v>
      </c>
      <c r="I63" s="182" t="str">
        <f>IF(ISBLANK(B63), " ",IF(ISERROR(G63/'Informações Gerais'!$E$17),0,(G63/'Informações Gerais'!$E$17)))</f>
        <v xml:space="preserve"> </v>
      </c>
    </row>
    <row r="64" spans="2:10" ht="16">
      <c r="B64" s="136"/>
      <c r="C64" s="136"/>
      <c r="D64" s="137"/>
      <c r="E64" s="137"/>
      <c r="F64" s="137"/>
      <c r="G64" s="182" t="str">
        <f t="shared" si="5"/>
        <v xml:space="preserve"> </v>
      </c>
      <c r="H64" s="182" t="str">
        <f t="shared" si="6"/>
        <v xml:space="preserve"> </v>
      </c>
      <c r="I64" s="182" t="str">
        <f>IF(ISBLANK(B64), " ",IF(ISERROR(G64/'Informações Gerais'!$E$17),0,(G64/'Informações Gerais'!$E$17)))</f>
        <v xml:space="preserve"> </v>
      </c>
      <c r="J64" s="44"/>
    </row>
    <row r="65" spans="2:12" ht="21">
      <c r="B65" s="238" t="s">
        <v>45</v>
      </c>
      <c r="C65" s="238"/>
      <c r="D65" s="239"/>
      <c r="E65" s="239"/>
      <c r="F65" s="239"/>
      <c r="G65" s="239">
        <f>IF(ISERROR(SUM(G23,G18,G42,G14)),0,(SUM(G23,G18,G42,G14)))</f>
        <v>11500.419155548414</v>
      </c>
      <c r="H65" s="239">
        <f t="shared" ref="H65:I65" si="9">IF(ISERROR(SUM(H23,H18,H42,H14)),0,(SUM(H23,H18,H42,H14)))</f>
        <v>69002.514933290484</v>
      </c>
      <c r="I65" s="239">
        <f t="shared" si="9"/>
        <v>766.69461036989424</v>
      </c>
    </row>
    <row r="66" spans="2:12">
      <c r="B66" s="42"/>
      <c r="C66" s="42"/>
      <c r="D66" s="42"/>
      <c r="E66" s="42"/>
      <c r="F66" s="42"/>
      <c r="G66" s="42"/>
      <c r="H66" s="42"/>
    </row>
    <row r="67" spans="2:12">
      <c r="B67" s="42"/>
      <c r="C67" s="42"/>
      <c r="D67" s="42"/>
      <c r="E67" s="42"/>
      <c r="F67" s="42"/>
      <c r="G67" s="42"/>
      <c r="H67" s="42"/>
    </row>
    <row r="68" spans="2:12" ht="24">
      <c r="B68" s="43"/>
      <c r="C68" s="43"/>
      <c r="D68" s="43"/>
      <c r="E68" s="43"/>
      <c r="F68" s="43"/>
      <c r="G68" s="43"/>
      <c r="H68" s="43"/>
      <c r="I68" s="43"/>
      <c r="J68" s="43"/>
    </row>
    <row r="69" spans="2:12" ht="21" customHeight="1">
      <c r="B69" s="261" t="s">
        <v>125</v>
      </c>
      <c r="C69" s="52"/>
      <c r="D69" s="52"/>
      <c r="E69" s="52"/>
      <c r="F69" s="52"/>
      <c r="G69" s="52"/>
      <c r="H69" s="52"/>
      <c r="I69" s="52"/>
      <c r="J69" s="55"/>
    </row>
    <row r="70" spans="2:12" customFormat="1" ht="27" customHeight="1">
      <c r="B70" s="238" t="s">
        <v>44</v>
      </c>
      <c r="C70" s="238" t="s">
        <v>24</v>
      </c>
      <c r="D70" s="238" t="s">
        <v>48</v>
      </c>
      <c r="E70" s="238" t="s">
        <v>109</v>
      </c>
      <c r="F70" s="238" t="s">
        <v>82</v>
      </c>
      <c r="G70" s="238" t="s">
        <v>107</v>
      </c>
      <c r="H70" s="238" t="s">
        <v>68</v>
      </c>
      <c r="I70" s="238" t="s">
        <v>25</v>
      </c>
      <c r="J70" s="238" t="s">
        <v>250</v>
      </c>
    </row>
    <row r="71" spans="2:12" ht="19">
      <c r="B71" s="312" t="s">
        <v>319</v>
      </c>
      <c r="C71" s="139" t="s">
        <v>27</v>
      </c>
      <c r="D71" s="137"/>
      <c r="E71" s="182">
        <f>IF(ISBLANK(B71), " ",'Pessoas MOB'!$L$30)</f>
        <v>76.028458079873047</v>
      </c>
      <c r="F71" s="137"/>
      <c r="G71" s="182">
        <f t="shared" ref="G71:G96" si="10">D71*F71</f>
        <v>0</v>
      </c>
      <c r="H71" s="182">
        <f>IF(ISERROR((G71*E71)+(E72*G72)),0,((G71*E71)+(E72*G72)))</f>
        <v>568</v>
      </c>
      <c r="I71" s="182">
        <f>Tabela7[[#This Row],[R$/ha]]*$H$8</f>
        <v>3408</v>
      </c>
      <c r="J71" s="182">
        <f>Tabela7[[#This Row],[R$ (TOTAL)]]/$H$10</f>
        <v>37.866666666666667</v>
      </c>
    </row>
    <row r="72" spans="2:12" ht="19">
      <c r="B72" s="312"/>
      <c r="C72" s="139" t="s">
        <v>26</v>
      </c>
      <c r="D72" s="137">
        <v>3</v>
      </c>
      <c r="E72" s="182">
        <f>IF(ISBLANK(B71), " ",Custos_Mecanização!$C$29)</f>
        <v>284</v>
      </c>
      <c r="F72" s="137">
        <f>40/60</f>
        <v>0.66666666666666663</v>
      </c>
      <c r="G72" s="182">
        <f t="shared" si="10"/>
        <v>2</v>
      </c>
      <c r="H72" s="182"/>
      <c r="I72" s="182"/>
      <c r="J72" s="182"/>
    </row>
    <row r="73" spans="2:12" ht="19">
      <c r="B73" s="311" t="s">
        <v>308</v>
      </c>
      <c r="C73" s="139" t="s">
        <v>27</v>
      </c>
      <c r="D73" s="137"/>
      <c r="E73" s="182">
        <f>IF(ISBLANK(B73), " ",'Pessoas MOB'!$L$30)</f>
        <v>76.028458079873047</v>
      </c>
      <c r="F73" s="137"/>
      <c r="G73" s="182">
        <f t="shared" si="10"/>
        <v>0</v>
      </c>
      <c r="H73" s="182">
        <f>IF(ISERROR((G73*E73)+(E74*G74)),0,((G73*E73)+(E74*G74)))</f>
        <v>568</v>
      </c>
      <c r="I73" s="182">
        <f>Tabela7[[#This Row],[R$/ha]]*$H$8</f>
        <v>3408</v>
      </c>
      <c r="J73" s="182">
        <f>Tabela7[[#This Row],[R$ (TOTAL)]]/$H$10</f>
        <v>37.866666666666667</v>
      </c>
      <c r="L73" s="45"/>
    </row>
    <row r="74" spans="2:12" ht="19">
      <c r="B74" s="311"/>
      <c r="C74" s="139" t="s">
        <v>26</v>
      </c>
      <c r="D74" s="137">
        <v>3</v>
      </c>
      <c r="E74" s="182">
        <f>IF(ISBLANK(B73), " ",Custos_Mecanização!$C$29)</f>
        <v>284</v>
      </c>
      <c r="F74" s="137">
        <f>40/60</f>
        <v>0.66666666666666663</v>
      </c>
      <c r="G74" s="182">
        <f t="shared" si="10"/>
        <v>2</v>
      </c>
      <c r="H74" s="182"/>
      <c r="I74" s="182"/>
      <c r="J74" s="182"/>
      <c r="L74" s="45"/>
    </row>
    <row r="75" spans="2:12" ht="19">
      <c r="B75" s="311" t="s">
        <v>309</v>
      </c>
      <c r="C75" s="139" t="s">
        <v>27</v>
      </c>
      <c r="D75" s="137"/>
      <c r="E75" s="182">
        <f>IF(ISBLANK(B75), " ",'Pessoas MOB'!$L$30)</f>
        <v>76.028458079873047</v>
      </c>
      <c r="F75" s="137"/>
      <c r="G75" s="182">
        <f t="shared" si="10"/>
        <v>0</v>
      </c>
      <c r="H75" s="182">
        <f>IF(ISERROR((G75*E75)+(E76*G76)),0,((G75*E75)+(E76*G76)))</f>
        <v>757.33333333333326</v>
      </c>
      <c r="I75" s="182">
        <f>Tabela7[[#This Row],[R$/ha]]*$H$8</f>
        <v>4544</v>
      </c>
      <c r="J75" s="182">
        <f>Tabela7[[#This Row],[R$ (TOTAL)]]/$H$10</f>
        <v>50.488888888888887</v>
      </c>
      <c r="L75" s="45"/>
    </row>
    <row r="76" spans="2:12" ht="19">
      <c r="B76" s="311"/>
      <c r="C76" s="139" t="s">
        <v>26</v>
      </c>
      <c r="D76" s="137">
        <v>4</v>
      </c>
      <c r="E76" s="182">
        <f>IF(ISBLANK(B75), " ",Custos_Mecanização!$C$29)</f>
        <v>284</v>
      </c>
      <c r="F76" s="137">
        <f>40/60</f>
        <v>0.66666666666666663</v>
      </c>
      <c r="G76" s="182">
        <f t="shared" si="10"/>
        <v>2.6666666666666665</v>
      </c>
      <c r="H76" s="182"/>
      <c r="I76" s="182"/>
      <c r="J76" s="182"/>
      <c r="L76" s="45"/>
    </row>
    <row r="77" spans="2:12" ht="19">
      <c r="B77" s="311" t="s">
        <v>310</v>
      </c>
      <c r="C77" s="139" t="s">
        <v>27</v>
      </c>
      <c r="D77" s="137"/>
      <c r="E77" s="182">
        <f>IF(ISBLANK(B77), " ",'Pessoas MOB'!$L$30)</f>
        <v>76.028458079873047</v>
      </c>
      <c r="F77" s="137"/>
      <c r="G77" s="182">
        <f t="shared" si="10"/>
        <v>0</v>
      </c>
      <c r="H77" s="182">
        <f>IF(ISERROR((G77*E77)+(E78*G78)),0,((G77*E77)+(E78*G78)))</f>
        <v>2650.6666666666665</v>
      </c>
      <c r="I77" s="182">
        <f>Tabela7[[#This Row],[R$/ha]]*$H$8</f>
        <v>15904</v>
      </c>
      <c r="J77" s="182">
        <f>Tabela7[[#This Row],[R$ (TOTAL)]]/$H$10</f>
        <v>176.71111111111111</v>
      </c>
    </row>
    <row r="78" spans="2:12" ht="19">
      <c r="B78" s="311"/>
      <c r="C78" s="139" t="s">
        <v>26</v>
      </c>
      <c r="D78" s="137">
        <v>14</v>
      </c>
      <c r="E78" s="182">
        <f>IF(ISBLANK(B77), " ",Custos_Mecanização!$C$29)</f>
        <v>284</v>
      </c>
      <c r="F78" s="137">
        <f>40/60</f>
        <v>0.66666666666666663</v>
      </c>
      <c r="G78" s="182">
        <f t="shared" si="10"/>
        <v>9.3333333333333321</v>
      </c>
      <c r="H78" s="182"/>
      <c r="I78" s="182"/>
      <c r="J78" s="182"/>
    </row>
    <row r="79" spans="2:12" ht="19">
      <c r="B79" s="311" t="s">
        <v>311</v>
      </c>
      <c r="C79" s="139" t="s">
        <v>27</v>
      </c>
      <c r="D79" s="137">
        <v>3</v>
      </c>
      <c r="E79" s="182">
        <f>IF(ISBLANK(B79), " ",'Pessoas MOB'!$L$30)</f>
        <v>76.028458079873047</v>
      </c>
      <c r="F79" s="137">
        <f>2/8</f>
        <v>0.25</v>
      </c>
      <c r="G79" s="182">
        <f t="shared" si="10"/>
        <v>0.75</v>
      </c>
      <c r="H79" s="182">
        <f>IF(ISERROR((G79*E79)+(E80*G80)),0,((G79*E79)+(E80*G80)))</f>
        <v>483.02134355990478</v>
      </c>
      <c r="I79" s="182">
        <f>Tabela7[[#This Row],[R$/ha]]*$H$8</f>
        <v>2898.1280613594286</v>
      </c>
      <c r="J79" s="182">
        <f>Tabela7[[#This Row],[R$ (TOTAL)]]/$H$10</f>
        <v>32.201422903993652</v>
      </c>
    </row>
    <row r="80" spans="2:12" ht="19">
      <c r="B80" s="311"/>
      <c r="C80" s="139" t="s">
        <v>26</v>
      </c>
      <c r="D80" s="137">
        <v>3</v>
      </c>
      <c r="E80" s="182">
        <f>IF(ISBLANK(B79), " ",Custos_Mecanização!$C$29)</f>
        <v>284</v>
      </c>
      <c r="F80" s="137">
        <v>0.5</v>
      </c>
      <c r="G80" s="182">
        <f t="shared" si="10"/>
        <v>1.5</v>
      </c>
      <c r="H80" s="182"/>
      <c r="I80" s="182"/>
      <c r="J80" s="182"/>
    </row>
    <row r="81" spans="2:11" ht="19">
      <c r="B81" s="311" t="s">
        <v>312</v>
      </c>
      <c r="C81" s="139" t="s">
        <v>27</v>
      </c>
      <c r="D81" s="137">
        <v>1</v>
      </c>
      <c r="E81" s="182">
        <f>IF(ISBLANK(B81), " ",'Pessoas MOB'!$L$30)</f>
        <v>76.028458079873047</v>
      </c>
      <c r="F81" s="137">
        <v>20</v>
      </c>
      <c r="G81" s="182">
        <f t="shared" si="10"/>
        <v>20</v>
      </c>
      <c r="H81" s="182">
        <f>IF(ISERROR((G81*E81)+(E82*G82)),0,((G81*E81)+(E82*G82)))</f>
        <v>1520.5691615974611</v>
      </c>
      <c r="I81" s="182">
        <f>Tabela7[[#This Row],[R$/ha]]*$H$8</f>
        <v>9123.4149695847664</v>
      </c>
      <c r="J81" s="182">
        <f>Tabela7[[#This Row],[R$ (TOTAL)]]/$H$10</f>
        <v>101.37127743983073</v>
      </c>
    </row>
    <row r="82" spans="2:11" ht="19">
      <c r="B82" s="311"/>
      <c r="C82" s="139" t="s">
        <v>26</v>
      </c>
      <c r="D82" s="137"/>
      <c r="E82" s="182">
        <f>IF(ISBLANK(B81), " ",Custos_Mecanização!$C$29)</f>
        <v>284</v>
      </c>
      <c r="F82" s="137"/>
      <c r="G82" s="182">
        <f t="shared" si="10"/>
        <v>0</v>
      </c>
      <c r="H82" s="182"/>
      <c r="I82" s="182"/>
      <c r="J82" s="182"/>
    </row>
    <row r="83" spans="2:11" ht="19">
      <c r="B83" s="311" t="s">
        <v>313</v>
      </c>
      <c r="C83" s="139" t="s">
        <v>27</v>
      </c>
      <c r="D83" s="137">
        <v>1</v>
      </c>
      <c r="E83" s="182">
        <f>IF(ISBLANK(B83), " ",'Pessoas MOB'!$L$30)</f>
        <v>76.028458079873047</v>
      </c>
      <c r="F83" s="137">
        <v>2</v>
      </c>
      <c r="G83" s="182">
        <f t="shared" si="10"/>
        <v>2</v>
      </c>
      <c r="H83" s="182">
        <f>IF(ISERROR((G83*E83)+(E84*G84)),0,((G83*E83)+(E84*G84)))</f>
        <v>152.05691615974609</v>
      </c>
      <c r="I83" s="182">
        <f>Tabela7[[#This Row],[R$/ha]]*$H$8</f>
        <v>912.34149695847657</v>
      </c>
      <c r="J83" s="182">
        <f>Tabela7[[#This Row],[R$ (TOTAL)]]/$H$10</f>
        <v>10.137127743983074</v>
      </c>
      <c r="K83" s="45"/>
    </row>
    <row r="84" spans="2:11" ht="19">
      <c r="B84" s="311"/>
      <c r="C84" s="139" t="s">
        <v>26</v>
      </c>
      <c r="D84" s="137"/>
      <c r="E84" s="182">
        <f>IF(ISBLANK(B83), " ",Custos_Mecanização!$C$29)</f>
        <v>284</v>
      </c>
      <c r="F84" s="137"/>
      <c r="G84" s="182">
        <f t="shared" si="10"/>
        <v>0</v>
      </c>
      <c r="H84" s="182"/>
      <c r="I84" s="182"/>
      <c r="J84" s="182"/>
    </row>
    <row r="85" spans="2:11" ht="19">
      <c r="B85" s="138" t="s">
        <v>316</v>
      </c>
      <c r="C85" s="139" t="s">
        <v>27</v>
      </c>
      <c r="D85" s="137">
        <v>2</v>
      </c>
      <c r="E85" s="182">
        <f>IF(ISBLANK(B85), " ",'Pessoas MOB'!$L$30)</f>
        <v>76.028458079873047</v>
      </c>
      <c r="F85" s="137">
        <v>1</v>
      </c>
      <c r="G85" s="182">
        <f t="shared" si="10"/>
        <v>2</v>
      </c>
      <c r="H85" s="182">
        <f>IF(ISERROR((G85*E85)+(E86*G86)),0,((G85*E85)+(E86*G86)))</f>
        <v>152.05691615974609</v>
      </c>
      <c r="I85" s="182">
        <f>Tabela7[[#This Row],[R$/ha]]*$H$8</f>
        <v>912.34149695847657</v>
      </c>
      <c r="J85" s="182">
        <f>Tabela7[[#This Row],[R$ (TOTAL)]]/$H$10</f>
        <v>10.137127743983074</v>
      </c>
    </row>
    <row r="86" spans="2:11" ht="19">
      <c r="B86" s="138"/>
      <c r="C86" s="139" t="s">
        <v>26</v>
      </c>
      <c r="D86" s="137"/>
      <c r="E86" s="182">
        <f>IF(ISBLANK(B85), " ",Custos_Mecanização!$C$29)</f>
        <v>284</v>
      </c>
      <c r="F86" s="137"/>
      <c r="G86" s="182">
        <f t="shared" si="10"/>
        <v>0</v>
      </c>
      <c r="H86" s="182"/>
      <c r="I86" s="182"/>
      <c r="J86" s="182"/>
      <c r="K86" s="45"/>
    </row>
    <row r="87" spans="2:11" ht="19">
      <c r="B87" s="311" t="s">
        <v>314</v>
      </c>
      <c r="C87" s="139" t="s">
        <v>27</v>
      </c>
      <c r="D87" s="137">
        <v>1</v>
      </c>
      <c r="E87" s="182">
        <f>IF(ISBLANK(B87), " ",'Pessoas MOB'!$L$30)</f>
        <v>76.028458079873047</v>
      </c>
      <c r="F87" s="137">
        <f>556/25.8</f>
        <v>21.550387596899224</v>
      </c>
      <c r="G87" s="182">
        <f t="shared" si="10"/>
        <v>21.550387596899224</v>
      </c>
      <c r="H87" s="182">
        <f>IF(ISERROR((G87*E87)+(E88*G88)),0,((G87*E87)+(E88*G88)))</f>
        <v>1638.4427400158688</v>
      </c>
      <c r="I87" s="182">
        <f>Tabela7[[#This Row],[R$/ha]]*$H$8</f>
        <v>9830.656440095212</v>
      </c>
      <c r="J87" s="182">
        <f>Tabela7[[#This Row],[R$ (TOTAL)]]/$H$10</f>
        <v>109.22951600105792</v>
      </c>
      <c r="K87" s="45"/>
    </row>
    <row r="88" spans="2:11" ht="19">
      <c r="B88" s="311"/>
      <c r="C88" s="139" t="s">
        <v>26</v>
      </c>
      <c r="D88" s="137"/>
      <c r="E88" s="182">
        <f>IF(ISBLANK(B87), " ",Custos_Mecanização!$C$29)</f>
        <v>284</v>
      </c>
      <c r="F88" s="137"/>
      <c r="G88" s="182">
        <f t="shared" si="10"/>
        <v>0</v>
      </c>
      <c r="H88" s="182"/>
      <c r="I88" s="182"/>
      <c r="J88" s="182"/>
    </row>
    <row r="89" spans="2:11" ht="19">
      <c r="B89" s="138" t="s">
        <v>315</v>
      </c>
      <c r="C89" s="139" t="s">
        <v>27</v>
      </c>
      <c r="D89" s="137">
        <v>1</v>
      </c>
      <c r="E89" s="182">
        <f>IF(ISBLANK(B89), " ",'Pessoas MOB'!$L$30)</f>
        <v>76.028458079873047</v>
      </c>
      <c r="F89" s="137">
        <v>6</v>
      </c>
      <c r="G89" s="182">
        <f t="shared" si="10"/>
        <v>6</v>
      </c>
      <c r="H89" s="182">
        <f>IF(ISERROR((G89*E89)+(E90*G90)),0,((G89*E89)+(E90*G90)))</f>
        <v>456.17074847923828</v>
      </c>
      <c r="I89" s="182">
        <f>Tabela7[[#This Row],[R$/ha]]*$H$8</f>
        <v>2737.0244908754298</v>
      </c>
      <c r="J89" s="182">
        <f>Tabela7[[#This Row],[R$ (TOTAL)]]/$H$10</f>
        <v>30.41138323194922</v>
      </c>
    </row>
    <row r="90" spans="2:11" ht="19">
      <c r="B90" s="138"/>
      <c r="C90" s="139" t="s">
        <v>26</v>
      </c>
      <c r="D90" s="137"/>
      <c r="E90" s="182">
        <f>IF(ISBLANK(B89), " ",Custos_Mecanização!$C$29)</f>
        <v>284</v>
      </c>
      <c r="F90" s="137"/>
      <c r="G90" s="182">
        <f t="shared" si="10"/>
        <v>0</v>
      </c>
      <c r="H90" s="182"/>
      <c r="I90" s="182"/>
      <c r="J90" s="182"/>
      <c r="K90" s="45"/>
    </row>
    <row r="91" spans="2:11" ht="19">
      <c r="B91" s="138" t="s">
        <v>323</v>
      </c>
      <c r="C91" s="139" t="s">
        <v>27</v>
      </c>
      <c r="D91" s="137">
        <v>1</v>
      </c>
      <c r="E91" s="182">
        <f>IF(ISBLANK(B91), " ",'Pessoas MOB'!$L$30)</f>
        <v>76.028458079873047</v>
      </c>
      <c r="F91" s="137">
        <v>5</v>
      </c>
      <c r="G91" s="182">
        <f t="shared" si="10"/>
        <v>5</v>
      </c>
      <c r="H91" s="182">
        <f>IF(ISERROR((G91*E91)+(E92*G92)),0,((G91*E91)+(E92*G92)))</f>
        <v>380.14229039936527</v>
      </c>
      <c r="I91" s="182">
        <f>Tabela7[[#This Row],[R$/ha]]*$H$8</f>
        <v>2280.8537423961916</v>
      </c>
      <c r="J91" s="182">
        <f>Tabela7[[#This Row],[R$ (TOTAL)]]/$H$10</f>
        <v>25.342819359957684</v>
      </c>
      <c r="K91" s="45"/>
    </row>
    <row r="92" spans="2:11" ht="19">
      <c r="B92" s="138"/>
      <c r="C92" s="139" t="s">
        <v>26</v>
      </c>
      <c r="D92" s="137"/>
      <c r="E92" s="182">
        <f>IF(ISBLANK(B91), " ",Custos_Mecanização!$C$29)</f>
        <v>284</v>
      </c>
      <c r="F92" s="137"/>
      <c r="G92" s="182">
        <f t="shared" si="10"/>
        <v>0</v>
      </c>
      <c r="H92" s="182"/>
      <c r="I92" s="182"/>
      <c r="J92" s="182"/>
    </row>
    <row r="93" spans="2:11" ht="19">
      <c r="B93" s="138" t="s">
        <v>321</v>
      </c>
      <c r="C93" s="139" t="s">
        <v>27</v>
      </c>
      <c r="D93" s="137">
        <v>252</v>
      </c>
      <c r="E93" s="182">
        <f>IF(ISBLANK(B93), " ",'Pessoas MOB'!$L$30)</f>
        <v>76.028458079873047</v>
      </c>
      <c r="F93" s="137">
        <f>2/8/6</f>
        <v>4.1666666666666664E-2</v>
      </c>
      <c r="G93" s="182">
        <f t="shared" si="10"/>
        <v>10.5</v>
      </c>
      <c r="H93" s="182">
        <f>IF(ISERROR((G93*E93)+(E94*G94)),0,((G93*E93)+(E94*G94)))</f>
        <v>798.29880983866701</v>
      </c>
      <c r="I93" s="182">
        <f>Tabela7[[#This Row],[R$/ha]]*$H$8</f>
        <v>4789.7928590320025</v>
      </c>
      <c r="J93" s="182">
        <f>Tabela7[[#This Row],[R$ (TOTAL)]]/$H$10</f>
        <v>53.219920655911139</v>
      </c>
    </row>
    <row r="94" spans="2:11" ht="19">
      <c r="B94" s="138"/>
      <c r="C94" s="139" t="s">
        <v>26</v>
      </c>
      <c r="D94" s="137"/>
      <c r="E94" s="182">
        <f>IF(ISBLANK(B93), " ",Custos_Mecanização!$C$29)</f>
        <v>284</v>
      </c>
      <c r="F94" s="137"/>
      <c r="G94" s="182">
        <f t="shared" si="10"/>
        <v>0</v>
      </c>
      <c r="H94" s="182"/>
      <c r="I94" s="182"/>
      <c r="J94" s="182"/>
    </row>
    <row r="95" spans="2:11" ht="19">
      <c r="B95" s="138"/>
      <c r="C95" s="139" t="s">
        <v>27</v>
      </c>
      <c r="D95" s="137"/>
      <c r="E95" s="182" t="str">
        <f>IF(ISBLANK(B95), " ",'Pessoas MOB'!$L$30)</f>
        <v xml:space="preserve"> </v>
      </c>
      <c r="F95" s="137"/>
      <c r="G95" s="182">
        <f t="shared" si="10"/>
        <v>0</v>
      </c>
      <c r="H95" s="182">
        <f>IF(ISERROR((G95*E95)+(E96*G96)),0,((G95*E95)+(E96*G96)))</f>
        <v>0</v>
      </c>
      <c r="I95" s="182">
        <f>Tabela7[[#This Row],[R$/ha]]*$H$8</f>
        <v>0</v>
      </c>
      <c r="J95" s="182">
        <f>Tabela7[[#This Row],[R$ (TOTAL)]]/$H$10</f>
        <v>0</v>
      </c>
    </row>
    <row r="96" spans="2:11" ht="19">
      <c r="B96" s="138"/>
      <c r="C96" s="139" t="s">
        <v>26</v>
      </c>
      <c r="D96" s="137"/>
      <c r="E96" s="182" t="str">
        <f>IF(ISBLANK(B95), " ",Custos_Mecanização!$C$29)</f>
        <v xml:space="preserve"> </v>
      </c>
      <c r="F96" s="137"/>
      <c r="G96" s="182">
        <f t="shared" si="10"/>
        <v>0</v>
      </c>
      <c r="H96" s="182"/>
      <c r="I96" s="182"/>
      <c r="J96" s="182"/>
    </row>
    <row r="97" spans="2:10" ht="19">
      <c r="B97" s="138" t="s">
        <v>43</v>
      </c>
      <c r="C97" s="139" t="s">
        <v>27</v>
      </c>
      <c r="D97" s="137"/>
      <c r="E97" s="182">
        <f>IF(ISBLANK(B97), " ",'Pessoas MOB'!$L$30)</f>
        <v>76.028458079873047</v>
      </c>
      <c r="F97" s="137"/>
      <c r="G97" s="182">
        <f>IF(($G$107&lt;0),"RESÍDUO INCOMPATÍVEL",($G$107))</f>
        <v>2.5670604158976289</v>
      </c>
      <c r="H97" s="182">
        <f>IF(ISERROR(SUM((E97*G97),(E98*G98),(E99*G99))),"RESÍDUO INCOMPATÍVEL",SUM((E97*G97),(E98*G98),(E99*G99)))</f>
        <v>195.16964521857435</v>
      </c>
      <c r="I97" s="182">
        <f>Tabela7[[#This Row],[R$/ha]]*$H$8</f>
        <v>1171.017871311446</v>
      </c>
      <c r="J97" s="182">
        <f>Tabela7[[#This Row],[R$ (TOTAL)]]/$H$10</f>
        <v>13.01130968123829</v>
      </c>
    </row>
    <row r="98" spans="2:10" ht="19">
      <c r="B98" s="138"/>
      <c r="C98" s="139" t="s">
        <v>26</v>
      </c>
      <c r="D98" s="137"/>
      <c r="E98" s="182">
        <f>IF(ISBLANK(B97), " ",Custos_Mecanização!$C$29)</f>
        <v>284</v>
      </c>
      <c r="F98" s="137"/>
      <c r="G98" s="182">
        <f>IF(($G$108&lt;0),"RESÍDUO INCOMPATÍVEL",($G$108))</f>
        <v>0</v>
      </c>
      <c r="H98" s="182"/>
      <c r="I98" s="182"/>
      <c r="J98" s="182"/>
    </row>
    <row r="99" spans="2:10" ht="19">
      <c r="B99" s="138"/>
      <c r="C99" s="139" t="s">
        <v>73</v>
      </c>
      <c r="D99" s="137"/>
      <c r="E99" s="182">
        <f>'Pessoas MOB'!$L$46</f>
        <v>0</v>
      </c>
      <c r="F99" s="137"/>
      <c r="G99" s="182">
        <f>IF('Pessoas MOB'!D53="VERIFICAR",0,IF(('Pessoas MOB'!D53&lt;0),"RESÍDUO INCOMPATÍVEL",('Pessoas MOB'!D53)))</f>
        <v>0</v>
      </c>
      <c r="H99" s="182"/>
      <c r="I99" s="182"/>
      <c r="J99" s="182"/>
    </row>
    <row r="100" spans="2:10" ht="21">
      <c r="B100" s="238" t="s">
        <v>42</v>
      </c>
      <c r="C100" s="240"/>
      <c r="D100" s="241"/>
      <c r="E100" s="241"/>
      <c r="F100" s="241"/>
      <c r="G100" s="241"/>
      <c r="H100" s="241">
        <f>IF(ISERROR(SUM(H71:H99)),0,(SUM(H71:H99)))</f>
        <v>10319.928571428572</v>
      </c>
      <c r="I100" s="241">
        <f>IF(ISERROR(SUM(I71:I99)),0,(SUM(I71:I99)))</f>
        <v>61919.571428571428</v>
      </c>
      <c r="J100" s="239">
        <f>IF(ISERROR(SUM(J71:J99)),0,(SUM(J71:J99)))</f>
        <v>687.99523809523816</v>
      </c>
    </row>
    <row r="101" spans="2:10" s="245" customFormat="1">
      <c r="B101" s="242"/>
      <c r="C101" s="242"/>
      <c r="D101" s="242"/>
      <c r="E101" s="242"/>
      <c r="F101" s="242"/>
      <c r="G101" s="242"/>
      <c r="H101" s="243"/>
      <c r="I101" s="243"/>
      <c r="J101" s="244"/>
    </row>
    <row r="102" spans="2:10" ht="21">
      <c r="B102" s="238" t="s">
        <v>87</v>
      </c>
      <c r="C102" s="240"/>
      <c r="D102" s="240"/>
      <c r="E102" s="240"/>
      <c r="F102" s="240"/>
      <c r="G102" s="240"/>
      <c r="H102" s="241">
        <f>IF(ISERROR(SUM(G65,H100)),0,(SUM(G65,H100)))</f>
        <v>21820.347726976986</v>
      </c>
      <c r="I102" s="241">
        <f>IF(ISERROR(SUM(H65,I100)),0,(SUM(H65,I100)))</f>
        <v>130922.0863618619</v>
      </c>
      <c r="J102" s="239">
        <f>IF(ISERROR(SUM(I65,J100)),0,SUM(I65,J100))</f>
        <v>1454.6898484651324</v>
      </c>
    </row>
    <row r="103" spans="2:10">
      <c r="H103" s="45"/>
      <c r="I103" s="45"/>
      <c r="J103" s="45"/>
    </row>
    <row r="104" spans="2:10">
      <c r="H104" s="45"/>
      <c r="I104" s="46"/>
      <c r="J104" s="45"/>
    </row>
    <row r="105" spans="2:10" ht="22.25" customHeight="1"/>
    <row r="106" spans="2:10" ht="25.25" customHeight="1">
      <c r="D106" s="59" t="s">
        <v>44</v>
      </c>
      <c r="E106" s="59" t="s">
        <v>70</v>
      </c>
      <c r="F106" s="59" t="s">
        <v>72</v>
      </c>
      <c r="G106" s="59" t="s">
        <v>71</v>
      </c>
      <c r="I106" s="47"/>
    </row>
    <row r="107" spans="2:10" ht="25.25" customHeight="1">
      <c r="D107" s="58" t="s">
        <v>41</v>
      </c>
      <c r="E107" s="185">
        <f>IF(ISERROR(('Pessoas MOB'!I24+'Pessoas MOB'!I28)/'Informações Gerais'!$E$16),0,('Pessoas MOB'!I24+'Pessoas MOB'!I28)/'Informações Gerais'!$E$16)</f>
        <v>73.275193798449621</v>
      </c>
      <c r="F107" s="185">
        <f>IF(ISERROR((SUMIF(C71:C96,C71,G71:G96))+(Atividade_ColheitaePós!$D$15)),0,(SUMIF(C71:C96,C71,G71:G96))+(Atividade_ColheitaePós!$D$15))</f>
        <v>70.708133382551992</v>
      </c>
      <c r="G107" s="185">
        <f>IF(((E107-F107)&lt;0),"RESÍDUO INCOMPATÍVEL",(E107-F107))</f>
        <v>2.5670604158976289</v>
      </c>
    </row>
    <row r="108" spans="2:10" ht="25.25" customHeight="1">
      <c r="D108" s="58" t="s">
        <v>40</v>
      </c>
      <c r="E108" s="185">
        <f>IF(ISERROR((SUM(Custos_Mecanização!E10:E22))/'Informações Gerais'!$E$16),0,(SUM(Custos_Mecanização!E10:E22))/'Informações Gerais'!$E$16)</f>
        <v>17.5</v>
      </c>
      <c r="F108" s="185">
        <f>IF(ISERROR((SUMIF(C71:C96,C72,G71:G96))+(Atividade_ColheitaePós!$D$17)),0,(SUMIF(C71:C96,C72,G71:G96))+(Atividade_ColheitaePós!$D$17))</f>
        <v>17.5</v>
      </c>
      <c r="G108" s="185">
        <f>IF(((E108-F108)&lt;0),"RESÍDUO INCOMPATÍVEL",(E108-F108))</f>
        <v>0</v>
      </c>
    </row>
    <row r="135" spans="1:12" ht="22" thickBot="1">
      <c r="A135" s="220"/>
      <c r="B135" s="221"/>
      <c r="C135" s="221"/>
      <c r="D135" s="222"/>
      <c r="E135" s="223"/>
      <c r="F135" s="224"/>
      <c r="G135" s="224"/>
      <c r="H135" s="224"/>
      <c r="I135" s="224"/>
      <c r="J135" s="224"/>
      <c r="K135" s="224"/>
      <c r="L135" s="225"/>
    </row>
    <row r="136" spans="1:12" ht="16" thickTop="1"/>
    <row r="147" spans="2:12" ht="23">
      <c r="B147" s="328" t="s">
        <v>225</v>
      </c>
      <c r="C147" s="328"/>
      <c r="D147" s="328"/>
      <c r="E147" s="328"/>
      <c r="F147" s="328"/>
    </row>
    <row r="150" spans="2:12" ht="21">
      <c r="B150"/>
      <c r="C150"/>
      <c r="D150"/>
      <c r="E150"/>
      <c r="F150" s="327" t="s">
        <v>224</v>
      </c>
      <c r="G150" s="327"/>
      <c r="H150" s="327"/>
      <c r="I150" s="327"/>
      <c r="J150" s="327"/>
      <c r="K150" s="327"/>
      <c r="L150" s="327"/>
    </row>
    <row r="151" spans="2:12">
      <c r="B151"/>
      <c r="C151"/>
      <c r="D151"/>
      <c r="E151"/>
      <c r="F151" s="209">
        <v>-0.3</v>
      </c>
      <c r="G151" s="209">
        <v>-0.2</v>
      </c>
      <c r="H151" s="209">
        <v>-0.1</v>
      </c>
      <c r="I151" s="209">
        <v>0</v>
      </c>
      <c r="J151" s="209">
        <v>0.1</v>
      </c>
      <c r="K151" s="209">
        <v>0.2</v>
      </c>
      <c r="L151" s="209">
        <v>0.3</v>
      </c>
    </row>
    <row r="152" spans="2:12">
      <c r="B152"/>
      <c r="C152"/>
      <c r="D152"/>
      <c r="E152"/>
      <c r="F152" s="210">
        <f>$I$23*(1+F151)</f>
        <v>324.31261333333322</v>
      </c>
      <c r="G152" s="210">
        <f t="shared" ref="G152:L152" si="11">$I$23*(1+G151)</f>
        <v>370.64298666666656</v>
      </c>
      <c r="H152" s="210">
        <f t="shared" si="11"/>
        <v>416.9733599999999</v>
      </c>
      <c r="I152" s="210">
        <f t="shared" si="11"/>
        <v>463.30373333333318</v>
      </c>
      <c r="J152" s="210">
        <f t="shared" si="11"/>
        <v>509.63410666666653</v>
      </c>
      <c r="K152" s="210">
        <f t="shared" si="11"/>
        <v>555.96447999999975</v>
      </c>
      <c r="L152" s="210">
        <f t="shared" si="11"/>
        <v>602.29485333333321</v>
      </c>
    </row>
    <row r="153" spans="2:12">
      <c r="B153"/>
      <c r="C153"/>
      <c r="D153"/>
      <c r="E153"/>
      <c r="F153"/>
      <c r="G153"/>
      <c r="H153"/>
      <c r="I153"/>
      <c r="J153"/>
      <c r="K153"/>
      <c r="L153"/>
    </row>
    <row r="154" spans="2:12" ht="19">
      <c r="B154"/>
      <c r="C154"/>
      <c r="D154"/>
      <c r="E154" s="211">
        <f>Análise!M23</f>
        <v>42.199219087609606</v>
      </c>
      <c r="F154" s="212">
        <v>65.239999999999995</v>
      </c>
      <c r="G154" s="212">
        <v>74.559999999999988</v>
      </c>
      <c r="H154" s="212">
        <v>83.88</v>
      </c>
      <c r="I154" s="212">
        <v>93.199999999999989</v>
      </c>
      <c r="J154" s="212">
        <v>102.52</v>
      </c>
      <c r="K154" s="212">
        <v>111.83999999999999</v>
      </c>
      <c r="L154" s="212">
        <v>121.15999999999998</v>
      </c>
    </row>
    <row r="155" spans="2:12" ht="19">
      <c r="B155" s="208">
        <v>-0.3</v>
      </c>
      <c r="C155" s="218">
        <f>$I$42*(1+B155)</f>
        <v>110.08853333333332</v>
      </c>
      <c r="D155"/>
      <c r="E155" s="213">
        <v>19.091000000000001</v>
      </c>
      <c r="F155" s="214">
        <f t="dataTable" ref="F155:L161" dt2D="1" dtr="1" r1="I23" r2="I42" ca="1"/>
        <v>55.939033752169529</v>
      </c>
      <c r="G155" s="214">
        <v>55.700232881007558</v>
      </c>
      <c r="H155" s="214">
        <v>55.461432009845581</v>
      </c>
      <c r="I155" s="216">
        <v>55.222631138683596</v>
      </c>
      <c r="J155" s="214">
        <v>54.983830267521626</v>
      </c>
      <c r="K155" s="214">
        <v>54.745029396359648</v>
      </c>
      <c r="L155" s="215">
        <v>54.506228525197677</v>
      </c>
    </row>
    <row r="156" spans="2:12" ht="19">
      <c r="B156" s="208">
        <v>-0.2</v>
      </c>
      <c r="C156" s="218">
        <f t="shared" ref="C156:C161" si="12">$I$42*(1+B156)</f>
        <v>125.81546666666667</v>
      </c>
      <c r="D156"/>
      <c r="E156" s="213">
        <v>21.818285714285718</v>
      </c>
      <c r="F156" s="214">
        <v>55.869154116495814</v>
      </c>
      <c r="G156" s="214">
        <v>55.630353245333843</v>
      </c>
      <c r="H156" s="214">
        <v>55.391552374171859</v>
      </c>
      <c r="I156" s="216">
        <v>55.152751503009881</v>
      </c>
      <c r="J156" s="214">
        <v>54.913950631847918</v>
      </c>
      <c r="K156" s="214">
        <v>54.67514976068594</v>
      </c>
      <c r="L156" s="215">
        <v>54.436348889523956</v>
      </c>
    </row>
    <row r="157" spans="2:12" ht="19">
      <c r="B157" s="208">
        <v>-0.1</v>
      </c>
      <c r="C157" s="218">
        <f t="shared" si="12"/>
        <v>141.54239999999999</v>
      </c>
      <c r="D157"/>
      <c r="E157" s="213">
        <v>24.545571428571431</v>
      </c>
      <c r="F157" s="214">
        <v>55.799274480822092</v>
      </c>
      <c r="G157" s="214">
        <v>55.560473609660121</v>
      </c>
      <c r="H157" s="214">
        <v>55.321672738498151</v>
      </c>
      <c r="I157" s="216">
        <v>55.082871867336166</v>
      </c>
      <c r="J157" s="214">
        <v>54.844070996174196</v>
      </c>
      <c r="K157" s="214">
        <v>54.605270125012218</v>
      </c>
      <c r="L157" s="215">
        <v>54.366469253850234</v>
      </c>
    </row>
    <row r="158" spans="2:12" ht="19">
      <c r="B158" s="208">
        <v>0</v>
      </c>
      <c r="C158" s="218">
        <f t="shared" si="12"/>
        <v>157.26933333333332</v>
      </c>
      <c r="D158"/>
      <c r="E158" s="213">
        <v>27.272857142857145</v>
      </c>
      <c r="F158" s="216">
        <v>55.729394845148384</v>
      </c>
      <c r="G158" s="216">
        <v>55.490593973986414</v>
      </c>
      <c r="H158" s="216">
        <v>55.251793102824429</v>
      </c>
      <c r="I158" s="216">
        <v>55.012992231662452</v>
      </c>
      <c r="J158" s="216">
        <v>54.774191360500481</v>
      </c>
      <c r="K158" s="216">
        <v>54.535390489338496</v>
      </c>
      <c r="L158" s="217">
        <v>54.296589618176519</v>
      </c>
    </row>
    <row r="159" spans="2:12" ht="19">
      <c r="B159" s="208">
        <v>0.1</v>
      </c>
      <c r="C159" s="218">
        <f t="shared" si="12"/>
        <v>172.99626666666666</v>
      </c>
      <c r="D159"/>
      <c r="E159" s="213">
        <v>30.000142857142862</v>
      </c>
      <c r="F159" s="214">
        <v>55.659515209474662</v>
      </c>
      <c r="G159" s="214">
        <v>55.420714338312692</v>
      </c>
      <c r="H159" s="214">
        <v>55.181913467150714</v>
      </c>
      <c r="I159" s="216">
        <v>54.94311259598873</v>
      </c>
      <c r="J159" s="214">
        <v>54.704311724826759</v>
      </c>
      <c r="K159" s="214">
        <v>54.465510853664782</v>
      </c>
      <c r="L159" s="215">
        <v>54.226709982502811</v>
      </c>
    </row>
    <row r="160" spans="2:12" ht="19">
      <c r="B160" s="208">
        <v>0.2</v>
      </c>
      <c r="C160" s="218">
        <f t="shared" si="12"/>
        <v>188.72319999999999</v>
      </c>
      <c r="D160"/>
      <c r="E160" s="213">
        <v>32.727428571428575</v>
      </c>
      <c r="F160" s="214">
        <v>55.589635573800948</v>
      </c>
      <c r="G160" s="214">
        <v>55.350834702638977</v>
      </c>
      <c r="H160" s="214">
        <v>55.112033831476992</v>
      </c>
      <c r="I160" s="216">
        <v>54.873232960315022</v>
      </c>
      <c r="J160" s="214">
        <v>54.634432089153051</v>
      </c>
      <c r="K160" s="214">
        <v>54.395631217991067</v>
      </c>
      <c r="L160" s="215">
        <v>54.156830346829089</v>
      </c>
    </row>
    <row r="161" spans="2:12" ht="19">
      <c r="B161" s="208">
        <v>0.3</v>
      </c>
      <c r="C161" s="218">
        <f t="shared" si="12"/>
        <v>204.45013333333333</v>
      </c>
      <c r="D161"/>
      <c r="E161" s="213">
        <v>35.454714285714289</v>
      </c>
      <c r="F161" s="214">
        <v>55.519755938127226</v>
      </c>
      <c r="G161" s="214">
        <v>55.280955066965262</v>
      </c>
      <c r="H161" s="214">
        <v>55.042154195803285</v>
      </c>
      <c r="I161" s="216">
        <v>54.8033533246413</v>
      </c>
      <c r="J161" s="214">
        <v>54.56455245347933</v>
      </c>
      <c r="K161" s="214">
        <v>54.325751582317352</v>
      </c>
      <c r="L161" s="215">
        <v>54.086950711155367</v>
      </c>
    </row>
    <row r="165" spans="2:12">
      <c r="F165" s="209">
        <v>-0.3</v>
      </c>
      <c r="G165" s="209">
        <v>-0.2</v>
      </c>
      <c r="H165" s="209">
        <v>-0.1</v>
      </c>
      <c r="I165" s="209">
        <v>0</v>
      </c>
      <c r="J165" s="209">
        <v>0.1</v>
      </c>
      <c r="K165" s="209">
        <v>0.2</v>
      </c>
      <c r="L165" s="209">
        <v>0.3</v>
      </c>
    </row>
    <row r="166" spans="2:12" ht="19">
      <c r="E166" s="208">
        <v>-0.3</v>
      </c>
      <c r="F166" s="219">
        <f t="shared" ref="F166:L172" si="13">((F155/$E$154)-1)*100</f>
        <v>32.559405035516775</v>
      </c>
      <c r="G166" s="219">
        <f t="shared" si="13"/>
        <v>31.993515722100362</v>
      </c>
      <c r="H166" s="219">
        <f t="shared" si="13"/>
        <v>31.427626408683906</v>
      </c>
      <c r="I166" s="219">
        <f t="shared" si="13"/>
        <v>30.861737095267429</v>
      </c>
      <c r="J166" s="219">
        <f t="shared" si="13"/>
        <v>30.295847781850995</v>
      </c>
      <c r="K166" s="219">
        <f t="shared" si="13"/>
        <v>29.72995846843456</v>
      </c>
      <c r="L166" s="219">
        <f t="shared" si="13"/>
        <v>29.164069155018126</v>
      </c>
    </row>
    <row r="167" spans="2:12" ht="19">
      <c r="E167" s="208">
        <v>-0.2</v>
      </c>
      <c r="F167" s="219">
        <f t="shared" si="13"/>
        <v>32.39381041745375</v>
      </c>
      <c r="G167" s="219">
        <f t="shared" si="13"/>
        <v>31.827921104037316</v>
      </c>
      <c r="H167" s="219">
        <f t="shared" si="13"/>
        <v>31.262031790620838</v>
      </c>
      <c r="I167" s="219">
        <f t="shared" si="13"/>
        <v>30.696142477204379</v>
      </c>
      <c r="J167" s="219">
        <f t="shared" si="13"/>
        <v>30.13025316378797</v>
      </c>
      <c r="K167" s="219">
        <f t="shared" si="13"/>
        <v>29.564363850371535</v>
      </c>
      <c r="L167" s="219">
        <f t="shared" si="13"/>
        <v>28.998474536955055</v>
      </c>
    </row>
    <row r="168" spans="2:12" ht="19">
      <c r="E168" s="208">
        <v>-0.1</v>
      </c>
      <c r="F168" s="219">
        <f t="shared" si="13"/>
        <v>32.228215799390682</v>
      </c>
      <c r="G168" s="219">
        <f t="shared" si="13"/>
        <v>31.662326485974248</v>
      </c>
      <c r="H168" s="219">
        <f t="shared" si="13"/>
        <v>31.096437172557813</v>
      </c>
      <c r="I168" s="219">
        <f t="shared" si="13"/>
        <v>30.530547859141354</v>
      </c>
      <c r="J168" s="219">
        <f t="shared" si="13"/>
        <v>29.964658545724919</v>
      </c>
      <c r="K168" s="219">
        <f t="shared" si="13"/>
        <v>29.398769232308464</v>
      </c>
      <c r="L168" s="219">
        <f t="shared" si="13"/>
        <v>28.832879918891983</v>
      </c>
    </row>
    <row r="169" spans="2:12" ht="19">
      <c r="E169" s="208">
        <v>0</v>
      </c>
      <c r="F169" s="219">
        <f t="shared" si="13"/>
        <v>32.062621181327657</v>
      </c>
      <c r="G169" s="219">
        <f t="shared" si="13"/>
        <v>31.496731867911222</v>
      </c>
      <c r="H169" s="219">
        <f t="shared" si="13"/>
        <v>30.930842554494742</v>
      </c>
      <c r="I169" s="219">
        <f t="shared" si="13"/>
        <v>30.364953241078307</v>
      </c>
      <c r="J169" s="219">
        <f t="shared" si="13"/>
        <v>29.799063927661873</v>
      </c>
      <c r="K169" s="219">
        <f t="shared" si="13"/>
        <v>29.233174614245392</v>
      </c>
      <c r="L169" s="219">
        <f t="shared" si="13"/>
        <v>28.667285300828958</v>
      </c>
    </row>
    <row r="170" spans="2:12" ht="19">
      <c r="E170" s="208">
        <v>0.1</v>
      </c>
      <c r="F170" s="219">
        <f t="shared" si="13"/>
        <v>31.897026563264586</v>
      </c>
      <c r="G170" s="219">
        <f t="shared" si="13"/>
        <v>31.331137249848151</v>
      </c>
      <c r="H170" s="219">
        <f t="shared" si="13"/>
        <v>30.765247936431695</v>
      </c>
      <c r="I170" s="219">
        <f t="shared" si="13"/>
        <v>30.199358623015236</v>
      </c>
      <c r="J170" s="219">
        <f t="shared" si="13"/>
        <v>29.633469309598802</v>
      </c>
      <c r="K170" s="219">
        <f t="shared" si="13"/>
        <v>29.067579996182346</v>
      </c>
      <c r="L170" s="219">
        <f t="shared" si="13"/>
        <v>28.501690682765911</v>
      </c>
    </row>
    <row r="171" spans="2:12" ht="19">
      <c r="E171" s="208">
        <v>0.2</v>
      </c>
      <c r="F171" s="219">
        <f t="shared" si="13"/>
        <v>31.731431945201539</v>
      </c>
      <c r="G171" s="219">
        <f t="shared" si="13"/>
        <v>31.165542631785105</v>
      </c>
      <c r="H171" s="219">
        <f t="shared" si="13"/>
        <v>30.599653318368645</v>
      </c>
      <c r="I171" s="219">
        <f t="shared" si="13"/>
        <v>30.033764004952211</v>
      </c>
      <c r="J171" s="219">
        <f t="shared" si="13"/>
        <v>29.467874691535776</v>
      </c>
      <c r="K171" s="219">
        <f t="shared" si="13"/>
        <v>28.901985378119299</v>
      </c>
      <c r="L171" s="219">
        <f t="shared" si="13"/>
        <v>28.336096064702865</v>
      </c>
    </row>
    <row r="172" spans="2:12" ht="19">
      <c r="E172" s="208">
        <v>0.3</v>
      </c>
      <c r="F172" s="219">
        <f t="shared" si="13"/>
        <v>31.565837327138489</v>
      </c>
      <c r="G172" s="219">
        <f t="shared" si="13"/>
        <v>30.999948013722054</v>
      </c>
      <c r="H172" s="219">
        <f t="shared" si="13"/>
        <v>30.43405870030562</v>
      </c>
      <c r="I172" s="219">
        <f t="shared" si="13"/>
        <v>29.868169386889143</v>
      </c>
      <c r="J172" s="219">
        <f t="shared" si="13"/>
        <v>29.302280073472708</v>
      </c>
      <c r="K172" s="219">
        <f t="shared" si="13"/>
        <v>28.736390760056274</v>
      </c>
      <c r="L172" s="219">
        <f t="shared" si="13"/>
        <v>28.170501446639797</v>
      </c>
    </row>
    <row r="173" spans="2:12" ht="19">
      <c r="E173" s="208"/>
      <c r="F173" s="219"/>
      <c r="G173" s="219"/>
      <c r="H173" s="219"/>
      <c r="I173" s="219"/>
      <c r="J173" s="219"/>
      <c r="K173" s="219"/>
      <c r="L173" s="219"/>
    </row>
    <row r="174" spans="2:12" ht="19">
      <c r="E174" s="208"/>
      <c r="F174" s="219"/>
      <c r="G174" s="219"/>
      <c r="H174" s="219"/>
      <c r="I174" s="219"/>
      <c r="J174" s="298"/>
      <c r="K174" s="219"/>
      <c r="L174" s="219"/>
    </row>
    <row r="175" spans="2:12" ht="19">
      <c r="E175" s="208"/>
      <c r="F175" s="219"/>
      <c r="G175" s="219"/>
      <c r="H175" s="219"/>
      <c r="I175" s="219"/>
      <c r="J175" s="219"/>
      <c r="K175" s="219"/>
      <c r="L175" s="219"/>
    </row>
    <row r="176" spans="2:12" ht="19">
      <c r="E176" s="208"/>
      <c r="F176" s="219"/>
      <c r="G176" s="219"/>
      <c r="H176" s="219"/>
      <c r="I176" s="219"/>
      <c r="J176" s="219"/>
      <c r="K176" s="219"/>
      <c r="L176" s="219"/>
    </row>
    <row r="177" spans="1:12" ht="19">
      <c r="E177" s="208"/>
      <c r="F177" s="219"/>
      <c r="G177" s="219"/>
      <c r="H177" s="219"/>
      <c r="I177" s="219"/>
      <c r="J177" s="219"/>
      <c r="K177" s="219"/>
      <c r="L177" s="219"/>
    </row>
    <row r="178" spans="1:12" ht="22" thickBot="1">
      <c r="A178" s="220"/>
      <c r="B178" s="221"/>
      <c r="C178" s="221"/>
      <c r="D178" s="222"/>
      <c r="E178" s="223"/>
      <c r="F178" s="224"/>
      <c r="G178" s="224"/>
      <c r="H178" s="224"/>
      <c r="I178" s="224"/>
      <c r="J178" s="224"/>
      <c r="K178" s="224"/>
      <c r="L178" s="225"/>
    </row>
    <row r="179" spans="1:12" ht="20" thickTop="1">
      <c r="E179" s="208"/>
      <c r="F179" s="219"/>
      <c r="G179" s="219"/>
      <c r="H179" s="219"/>
      <c r="I179" s="219"/>
      <c r="J179" s="219"/>
      <c r="K179" s="219"/>
      <c r="L179" s="219"/>
    </row>
    <row r="180" spans="1:12" ht="19">
      <c r="E180" s="208"/>
      <c r="F180" s="219"/>
      <c r="G180" s="219"/>
      <c r="H180" s="219"/>
      <c r="I180" s="219"/>
      <c r="J180" s="219"/>
      <c r="K180" s="219"/>
      <c r="L180" s="219"/>
    </row>
    <row r="181" spans="1:12" ht="19">
      <c r="E181" s="208"/>
      <c r="F181" s="219"/>
      <c r="G181" s="219"/>
      <c r="H181" s="219"/>
      <c r="I181" s="219"/>
      <c r="J181" s="219"/>
      <c r="K181" s="219"/>
      <c r="L181" s="219"/>
    </row>
    <row r="182" spans="1:12" ht="19">
      <c r="E182" s="208"/>
      <c r="F182" s="219"/>
      <c r="G182" s="219"/>
      <c r="H182" s="219"/>
      <c r="I182" s="219"/>
      <c r="J182" s="219"/>
      <c r="K182" s="219"/>
      <c r="L182" s="219"/>
    </row>
    <row r="183" spans="1:12" ht="19">
      <c r="E183" s="208"/>
      <c r="F183" s="219"/>
      <c r="G183" s="219"/>
      <c r="H183" s="219"/>
      <c r="I183" s="219"/>
      <c r="J183" s="219"/>
      <c r="K183" s="219"/>
      <c r="L183" s="219"/>
    </row>
    <row r="184" spans="1:12" ht="19">
      <c r="E184" s="208"/>
      <c r="F184" s="219"/>
      <c r="G184" s="219"/>
      <c r="H184" s="219"/>
      <c r="I184" s="219"/>
      <c r="J184" s="219"/>
      <c r="K184" s="219"/>
      <c r="L184" s="219"/>
    </row>
    <row r="185" spans="1:12" ht="19">
      <c r="E185" s="208"/>
      <c r="F185" s="219"/>
      <c r="G185" s="219"/>
      <c r="H185" s="219"/>
      <c r="I185" s="219"/>
      <c r="J185" s="219"/>
      <c r="K185" s="219"/>
      <c r="L185" s="219"/>
    </row>
    <row r="186" spans="1:12" ht="19">
      <c r="E186" s="208"/>
      <c r="F186" s="219"/>
      <c r="G186" s="219"/>
      <c r="H186" s="219"/>
      <c r="I186" s="219"/>
      <c r="J186" s="219"/>
      <c r="K186" s="219"/>
      <c r="L186" s="219"/>
    </row>
    <row r="187" spans="1:12" ht="19">
      <c r="E187" s="208"/>
      <c r="F187" s="219"/>
      <c r="G187" s="219"/>
      <c r="H187" s="219"/>
      <c r="I187" s="219"/>
      <c r="J187" s="219"/>
      <c r="K187" s="219"/>
      <c r="L187" s="219"/>
    </row>
    <row r="188" spans="1:12" ht="19">
      <c r="E188" s="208"/>
      <c r="F188" s="219"/>
      <c r="G188" s="219"/>
      <c r="H188" s="219"/>
      <c r="I188" s="219"/>
      <c r="J188" s="219"/>
      <c r="K188" s="219"/>
      <c r="L188" s="219"/>
    </row>
    <row r="189" spans="1:12" ht="19">
      <c r="E189" s="208"/>
      <c r="F189" s="219"/>
      <c r="G189" s="219"/>
      <c r="H189" s="219"/>
      <c r="I189" s="219"/>
      <c r="J189" s="219"/>
      <c r="K189" s="219"/>
      <c r="L189" s="219"/>
    </row>
    <row r="190" spans="1:12" ht="19">
      <c r="E190" s="208"/>
      <c r="F190" s="219"/>
      <c r="G190" s="219"/>
      <c r="H190" s="219"/>
      <c r="I190" s="219"/>
      <c r="J190" s="219"/>
      <c r="K190" s="219"/>
      <c r="L190" s="219"/>
    </row>
    <row r="191" spans="1:12" ht="19">
      <c r="E191" s="208"/>
      <c r="F191" s="219"/>
      <c r="G191" s="219"/>
      <c r="H191" s="219"/>
      <c r="I191" s="219"/>
      <c r="J191" s="219"/>
      <c r="K191" s="219"/>
      <c r="L191" s="219"/>
    </row>
    <row r="192" spans="1:12" ht="19">
      <c r="E192" s="208"/>
      <c r="F192" s="219"/>
      <c r="G192" s="219"/>
      <c r="H192" s="219"/>
      <c r="I192" s="219"/>
      <c r="J192" s="219"/>
      <c r="K192" s="219"/>
      <c r="L192" s="219"/>
    </row>
    <row r="193" spans="1:12" ht="19">
      <c r="E193" s="208"/>
      <c r="F193" s="219"/>
      <c r="G193" s="219"/>
      <c r="H193" s="219"/>
      <c r="I193" s="219"/>
      <c r="J193" s="219"/>
      <c r="K193" s="219"/>
      <c r="L193" s="219"/>
    </row>
    <row r="194" spans="1:12" ht="19">
      <c r="E194" s="208"/>
      <c r="F194" s="219"/>
      <c r="G194" s="219"/>
      <c r="H194" s="219"/>
      <c r="I194" s="219"/>
      <c r="J194" s="219"/>
      <c r="K194" s="219"/>
      <c r="L194" s="219"/>
    </row>
    <row r="195" spans="1:12" ht="19">
      <c r="E195" s="208"/>
      <c r="F195" s="219"/>
      <c r="G195" s="219"/>
      <c r="H195" s="219"/>
      <c r="I195" s="219"/>
      <c r="J195" s="219"/>
      <c r="K195" s="219"/>
      <c r="L195" s="219"/>
    </row>
    <row r="196" spans="1:12" ht="19">
      <c r="E196" s="208"/>
      <c r="F196" s="219"/>
      <c r="G196" s="219"/>
      <c r="H196" s="219"/>
      <c r="I196" s="219"/>
      <c r="J196" s="219"/>
      <c r="K196" s="219"/>
      <c r="L196" s="219"/>
    </row>
    <row r="197" spans="1:12" ht="19">
      <c r="E197" s="208"/>
      <c r="F197" s="219"/>
      <c r="G197" s="219"/>
      <c r="H197" s="219"/>
      <c r="I197" s="219"/>
      <c r="J197" s="219"/>
      <c r="K197" s="219"/>
      <c r="L197" s="219"/>
    </row>
    <row r="198" spans="1:12" ht="19">
      <c r="E198" s="208"/>
      <c r="F198" s="219"/>
      <c r="G198" s="219"/>
      <c r="H198" s="219"/>
      <c r="I198" s="219"/>
      <c r="J198" s="219"/>
      <c r="K198" s="219"/>
      <c r="L198" s="219"/>
    </row>
    <row r="199" spans="1:12" ht="19">
      <c r="E199" s="208"/>
      <c r="F199" s="219"/>
      <c r="G199" s="219"/>
      <c r="H199" s="219"/>
      <c r="I199" s="219"/>
      <c r="J199" s="219"/>
      <c r="K199" s="219"/>
      <c r="L199" s="219"/>
    </row>
    <row r="200" spans="1:12" ht="19">
      <c r="E200" s="208"/>
      <c r="F200" s="219"/>
      <c r="G200" s="219"/>
      <c r="H200" s="219"/>
      <c r="I200" s="219"/>
      <c r="J200" s="219"/>
      <c r="K200" s="219"/>
      <c r="L200" s="219"/>
    </row>
    <row r="201" spans="1:12" ht="19">
      <c r="E201" s="208"/>
      <c r="F201" s="219"/>
      <c r="G201" s="219"/>
      <c r="H201" s="219"/>
      <c r="I201" s="219"/>
      <c r="J201" s="219"/>
      <c r="K201" s="219"/>
      <c r="L201" s="219"/>
    </row>
    <row r="202" spans="1:12" ht="19">
      <c r="E202" s="208"/>
      <c r="F202" s="219"/>
      <c r="G202" s="219"/>
      <c r="H202" s="219"/>
      <c r="I202" s="219"/>
      <c r="J202" s="219"/>
      <c r="K202" s="219"/>
      <c r="L202" s="219"/>
    </row>
    <row r="203" spans="1:12" ht="22" thickBot="1">
      <c r="A203" s="220"/>
      <c r="B203" s="221"/>
      <c r="C203" s="221"/>
      <c r="D203" s="222"/>
      <c r="E203" s="223"/>
      <c r="F203" s="224"/>
      <c r="G203" s="224"/>
      <c r="H203" s="224"/>
      <c r="I203" s="224"/>
      <c r="J203" s="224"/>
      <c r="K203" s="224"/>
      <c r="L203" s="225"/>
    </row>
    <row r="204" spans="1:12" ht="20" thickTop="1">
      <c r="E204" s="208"/>
      <c r="F204" s="219"/>
      <c r="G204" s="219"/>
      <c r="H204" s="219"/>
      <c r="I204" s="219"/>
      <c r="J204" s="219"/>
      <c r="K204" s="219"/>
      <c r="L204" s="219"/>
    </row>
    <row r="205" spans="1:12" ht="19">
      <c r="E205" s="208"/>
      <c r="F205" s="219"/>
      <c r="G205" s="219"/>
      <c r="H205" s="219"/>
      <c r="I205" s="219"/>
      <c r="J205" s="219"/>
      <c r="K205" s="219"/>
      <c r="L205" s="219"/>
    </row>
    <row r="206" spans="1:12" ht="19">
      <c r="E206" s="208"/>
      <c r="F206" s="219"/>
      <c r="G206" s="219"/>
      <c r="H206" s="219"/>
      <c r="I206" s="219"/>
      <c r="J206" s="219"/>
      <c r="K206" s="219"/>
      <c r="L206" s="219"/>
    </row>
    <row r="207" spans="1:12" ht="19">
      <c r="E207" s="208"/>
      <c r="F207" s="219"/>
      <c r="G207" s="219"/>
      <c r="H207" s="219"/>
      <c r="I207" s="219"/>
      <c r="J207" s="219"/>
      <c r="K207" s="219"/>
      <c r="L207" s="219"/>
    </row>
    <row r="214" spans="2:12" ht="23">
      <c r="B214" s="328" t="s">
        <v>226</v>
      </c>
      <c r="C214" s="328"/>
      <c r="D214" s="328"/>
      <c r="E214" s="328"/>
      <c r="F214" s="328"/>
      <c r="G214"/>
      <c r="H214"/>
      <c r="I214"/>
      <c r="J214"/>
      <c r="K214"/>
      <c r="L214"/>
    </row>
    <row r="215" spans="2:12">
      <c r="B215"/>
      <c r="C215"/>
      <c r="D215"/>
      <c r="E215"/>
      <c r="F215"/>
      <c r="G215"/>
      <c r="H215"/>
      <c r="I215"/>
      <c r="J215"/>
      <c r="K215"/>
      <c r="L215"/>
    </row>
    <row r="216" spans="2:12">
      <c r="B216"/>
      <c r="C216"/>
      <c r="D216"/>
      <c r="E216"/>
      <c r="F216"/>
      <c r="G216"/>
      <c r="H216"/>
      <c r="I216"/>
      <c r="J216"/>
      <c r="K216"/>
      <c r="L216"/>
    </row>
    <row r="217" spans="2:12" ht="21">
      <c r="B217"/>
      <c r="C217"/>
      <c r="D217"/>
      <c r="E217"/>
      <c r="F217" s="327" t="s">
        <v>224</v>
      </c>
      <c r="G217" s="327"/>
      <c r="H217" s="327"/>
      <c r="I217" s="327"/>
      <c r="J217" s="327"/>
      <c r="K217" s="327"/>
      <c r="L217" s="327"/>
    </row>
    <row r="218" spans="2:12">
      <c r="B218"/>
      <c r="C218"/>
      <c r="D218"/>
      <c r="E218"/>
      <c r="F218" s="209">
        <v>-0.3</v>
      </c>
      <c r="G218" s="209">
        <v>-0.2</v>
      </c>
      <c r="H218" s="209">
        <v>-0.1</v>
      </c>
      <c r="I218" s="209">
        <v>0</v>
      </c>
      <c r="J218" s="209">
        <v>0.1</v>
      </c>
      <c r="K218" s="209">
        <v>0.2</v>
      </c>
      <c r="L218" s="209">
        <v>0.3</v>
      </c>
    </row>
    <row r="219" spans="2:12">
      <c r="B219"/>
      <c r="C219"/>
      <c r="D219"/>
      <c r="E219"/>
      <c r="F219" s="210">
        <f t="shared" ref="F219:L219" si="14">$I$23*(1+F218)</f>
        <v>324.31261333333322</v>
      </c>
      <c r="G219" s="210">
        <f t="shared" si="14"/>
        <v>370.64298666666656</v>
      </c>
      <c r="H219" s="210">
        <f t="shared" si="14"/>
        <v>416.9733599999999</v>
      </c>
      <c r="I219" s="210">
        <f t="shared" si="14"/>
        <v>463.30373333333318</v>
      </c>
      <c r="J219" s="210">
        <f t="shared" si="14"/>
        <v>509.63410666666653</v>
      </c>
      <c r="K219" s="210">
        <f t="shared" si="14"/>
        <v>555.96447999999975</v>
      </c>
      <c r="L219" s="210">
        <f t="shared" si="14"/>
        <v>602.29485333333321</v>
      </c>
    </row>
    <row r="220" spans="2:12">
      <c r="B220"/>
      <c r="C220"/>
      <c r="D220"/>
      <c r="E220"/>
      <c r="F220"/>
      <c r="G220"/>
      <c r="H220"/>
      <c r="I220"/>
      <c r="J220"/>
      <c r="K220"/>
      <c r="L220"/>
    </row>
    <row r="221" spans="2:12" ht="19">
      <c r="B221"/>
      <c r="C221"/>
      <c r="D221"/>
      <c r="E221" s="211">
        <f>Análise!D45</f>
        <v>2179.5735561344964</v>
      </c>
      <c r="F221" s="212">
        <v>65.239999999999995</v>
      </c>
      <c r="G221" s="212">
        <v>74.559999999999988</v>
      </c>
      <c r="H221" s="212">
        <v>83.88</v>
      </c>
      <c r="I221" s="212">
        <v>93.199999999999989</v>
      </c>
      <c r="J221" s="212">
        <v>102.52</v>
      </c>
      <c r="K221" s="212">
        <v>111.83999999999999</v>
      </c>
      <c r="L221" s="212">
        <v>121.15999999999998</v>
      </c>
    </row>
    <row r="222" spans="2:12" ht="19">
      <c r="B222" s="208">
        <v>-0.3</v>
      </c>
      <c r="C222" s="218">
        <f>$I$42*(1+B222)</f>
        <v>110.08853333333332</v>
      </c>
      <c r="D222"/>
      <c r="E222" s="213">
        <v>19.091000000000001</v>
      </c>
      <c r="F222" s="214">
        <f t="dataTable" ref="F222:L228" dt2D="1" dtr="1" r1="I23" r2="I42"/>
        <v>2715.8156228011626</v>
      </c>
      <c r="G222" s="214">
        <v>2706.4956228011629</v>
      </c>
      <c r="H222" s="214">
        <v>2697.1756228011627</v>
      </c>
      <c r="I222" s="216">
        <v>2687.8556228011626</v>
      </c>
      <c r="J222" s="214">
        <v>2678.5356228011628</v>
      </c>
      <c r="K222" s="214">
        <v>2669.2156228011627</v>
      </c>
      <c r="L222" s="215">
        <v>2659.895622801163</v>
      </c>
    </row>
    <row r="223" spans="2:12" ht="19">
      <c r="B223" s="208">
        <v>-0.2</v>
      </c>
      <c r="C223" s="218">
        <f t="shared" ref="C223:C228" si="15">$I$42*(1+B223)</f>
        <v>125.81546666666667</v>
      </c>
      <c r="D223"/>
      <c r="E223" s="213">
        <v>21.818285714285718</v>
      </c>
      <c r="F223" s="214">
        <v>2713.0883370868769</v>
      </c>
      <c r="G223" s="214">
        <v>2703.7683370868772</v>
      </c>
      <c r="H223" s="214">
        <v>2694.448337086877</v>
      </c>
      <c r="I223" s="216">
        <v>2685.1283370868769</v>
      </c>
      <c r="J223" s="214">
        <v>2675.8083370868771</v>
      </c>
      <c r="K223" s="214">
        <v>2666.488337086877</v>
      </c>
      <c r="L223" s="215">
        <v>2657.1683370868768</v>
      </c>
    </row>
    <row r="224" spans="2:12" ht="19">
      <c r="B224" s="208">
        <v>-0.1</v>
      </c>
      <c r="C224" s="218">
        <f t="shared" si="15"/>
        <v>141.54239999999999</v>
      </c>
      <c r="D224"/>
      <c r="E224" s="213">
        <v>24.545571428571431</v>
      </c>
      <c r="F224" s="214">
        <v>2710.3610513725912</v>
      </c>
      <c r="G224" s="214">
        <v>2701.0410513725915</v>
      </c>
      <c r="H224" s="214">
        <v>2691.7210513725913</v>
      </c>
      <c r="I224" s="216">
        <v>2682.4010513725912</v>
      </c>
      <c r="J224" s="214">
        <v>2673.0810513725914</v>
      </c>
      <c r="K224" s="214">
        <v>2663.7610513725913</v>
      </c>
      <c r="L224" s="215">
        <v>2654.4410513725911</v>
      </c>
    </row>
    <row r="225" spans="2:12" ht="19">
      <c r="B225" s="208">
        <v>0</v>
      </c>
      <c r="C225" s="218">
        <f t="shared" si="15"/>
        <v>157.26933333333332</v>
      </c>
      <c r="D225"/>
      <c r="E225" s="213">
        <v>27.272857142857145</v>
      </c>
      <c r="F225" s="216">
        <v>2707.6337656583055</v>
      </c>
      <c r="G225" s="216">
        <v>2698.3137656583058</v>
      </c>
      <c r="H225" s="216">
        <v>2688.9937656583056</v>
      </c>
      <c r="I225" s="216">
        <v>2679.6737656583055</v>
      </c>
      <c r="J225" s="216">
        <v>2670.3537656583057</v>
      </c>
      <c r="K225" s="216">
        <v>2661.0337656583056</v>
      </c>
      <c r="L225" s="217">
        <v>2651.7137656583054</v>
      </c>
    </row>
    <row r="226" spans="2:12" ht="19">
      <c r="B226" s="208">
        <v>0.1</v>
      </c>
      <c r="C226" s="218">
        <f t="shared" si="15"/>
        <v>172.99626666666666</v>
      </c>
      <c r="D226"/>
      <c r="E226" s="213">
        <v>30.000142857142862</v>
      </c>
      <c r="F226" s="214">
        <v>2704.9064799440198</v>
      </c>
      <c r="G226" s="214">
        <v>2695.5864799440201</v>
      </c>
      <c r="H226" s="214">
        <v>2686.2664799440199</v>
      </c>
      <c r="I226" s="216">
        <v>2676.9464799440198</v>
      </c>
      <c r="J226" s="214">
        <v>2667.62647994402</v>
      </c>
      <c r="K226" s="214">
        <v>2658.3064799440199</v>
      </c>
      <c r="L226" s="215">
        <v>2648.9864799440197</v>
      </c>
    </row>
    <row r="227" spans="2:12" ht="19">
      <c r="B227" s="208">
        <v>0.2</v>
      </c>
      <c r="C227" s="218">
        <f t="shared" si="15"/>
        <v>188.72319999999999</v>
      </c>
      <c r="D227"/>
      <c r="E227" s="213">
        <v>32.727428571428575</v>
      </c>
      <c r="F227" s="214">
        <v>2702.1791942297341</v>
      </c>
      <c r="G227" s="214">
        <v>2692.8591942297344</v>
      </c>
      <c r="H227" s="214">
        <v>2683.5391942297342</v>
      </c>
      <c r="I227" s="216">
        <v>2674.2191942297341</v>
      </c>
      <c r="J227" s="214">
        <v>2664.8991942297343</v>
      </c>
      <c r="K227" s="214">
        <v>2655.5791942297342</v>
      </c>
      <c r="L227" s="215">
        <v>2646.259194229734</v>
      </c>
    </row>
    <row r="228" spans="2:12" ht="19">
      <c r="B228" s="208">
        <v>0.3</v>
      </c>
      <c r="C228" s="218">
        <f t="shared" si="15"/>
        <v>204.45013333333333</v>
      </c>
      <c r="D228"/>
      <c r="E228" s="213">
        <v>35.454714285714289</v>
      </c>
      <c r="F228" s="214">
        <v>2699.4519085154484</v>
      </c>
      <c r="G228" s="214">
        <v>2690.1319085154487</v>
      </c>
      <c r="H228" s="214">
        <v>2680.8119085154485</v>
      </c>
      <c r="I228" s="216">
        <v>2671.4919085154484</v>
      </c>
      <c r="J228" s="214">
        <v>2662.1719085154486</v>
      </c>
      <c r="K228" s="214">
        <v>2652.8519085154485</v>
      </c>
      <c r="L228" s="215">
        <v>2643.5319085154483</v>
      </c>
    </row>
    <row r="232" spans="2:12">
      <c r="F232" s="209">
        <v>-0.3</v>
      </c>
      <c r="G232" s="209">
        <v>-0.2</v>
      </c>
      <c r="H232" s="209">
        <v>-0.1</v>
      </c>
      <c r="I232" s="209">
        <v>0</v>
      </c>
      <c r="J232" s="209">
        <v>0.1</v>
      </c>
      <c r="K232" s="209">
        <v>0.2</v>
      </c>
      <c r="L232" s="209">
        <v>0.3</v>
      </c>
    </row>
    <row r="233" spans="2:12" ht="19">
      <c r="E233" s="208">
        <v>-0.3</v>
      </c>
      <c r="F233" s="219">
        <f t="shared" ref="F233:L239" si="16">((F222/$E$221)-1)*100</f>
        <v>24.603072704630293</v>
      </c>
      <c r="G233" s="219">
        <f t="shared" si="16"/>
        <v>24.175466121967926</v>
      </c>
      <c r="H233" s="219">
        <f t="shared" si="16"/>
        <v>23.747859539305516</v>
      </c>
      <c r="I233" s="219">
        <f t="shared" si="16"/>
        <v>23.320252956643106</v>
      </c>
      <c r="J233" s="219">
        <f t="shared" si="16"/>
        <v>22.892646373980718</v>
      </c>
      <c r="K233" s="219">
        <f t="shared" si="16"/>
        <v>22.465039791318308</v>
      </c>
      <c r="L233" s="219">
        <f t="shared" si="16"/>
        <v>22.037433208655944</v>
      </c>
    </row>
    <row r="234" spans="2:12" ht="19">
      <c r="E234" s="208">
        <v>-0.2</v>
      </c>
      <c r="F234" s="219">
        <f t="shared" si="16"/>
        <v>24.477943377996205</v>
      </c>
      <c r="G234" s="219">
        <f t="shared" si="16"/>
        <v>24.050336795333838</v>
      </c>
      <c r="H234" s="219">
        <f t="shared" si="16"/>
        <v>23.622730212671428</v>
      </c>
      <c r="I234" s="219">
        <f t="shared" si="16"/>
        <v>23.195123630009018</v>
      </c>
      <c r="J234" s="219">
        <f t="shared" si="16"/>
        <v>22.76751704734663</v>
      </c>
      <c r="K234" s="219">
        <f t="shared" si="16"/>
        <v>22.339910464684245</v>
      </c>
      <c r="L234" s="219">
        <f t="shared" si="16"/>
        <v>21.912303882021831</v>
      </c>
    </row>
    <row r="235" spans="2:12" ht="19">
      <c r="E235" s="208">
        <v>-0.1</v>
      </c>
      <c r="F235" s="219">
        <f t="shared" si="16"/>
        <v>24.352814051362138</v>
      </c>
      <c r="G235" s="219">
        <f t="shared" si="16"/>
        <v>23.92520746869975</v>
      </c>
      <c r="H235" s="219">
        <f t="shared" si="16"/>
        <v>23.49760088603734</v>
      </c>
      <c r="I235" s="219">
        <f t="shared" si="16"/>
        <v>23.06999430337493</v>
      </c>
      <c r="J235" s="219">
        <f t="shared" si="16"/>
        <v>22.642387720712541</v>
      </c>
      <c r="K235" s="219">
        <f t="shared" si="16"/>
        <v>22.214781138050157</v>
      </c>
      <c r="L235" s="219">
        <f t="shared" si="16"/>
        <v>21.787174555387743</v>
      </c>
    </row>
    <row r="236" spans="2:12" ht="19">
      <c r="E236" s="208">
        <v>0</v>
      </c>
      <c r="F236" s="219">
        <f t="shared" si="16"/>
        <v>24.22768472472805</v>
      </c>
      <c r="G236" s="219">
        <f t="shared" si="16"/>
        <v>23.800078142065662</v>
      </c>
      <c r="H236" s="219">
        <f t="shared" si="16"/>
        <v>23.372471559403252</v>
      </c>
      <c r="I236" s="219">
        <f t="shared" si="16"/>
        <v>22.944864976740842</v>
      </c>
      <c r="J236" s="219">
        <f t="shared" si="16"/>
        <v>22.517258394078453</v>
      </c>
      <c r="K236" s="219">
        <f t="shared" si="16"/>
        <v>22.089651811416068</v>
      </c>
      <c r="L236" s="219">
        <f t="shared" si="16"/>
        <v>21.662045228753655</v>
      </c>
    </row>
    <row r="237" spans="2:12" ht="19">
      <c r="E237" s="208">
        <v>0.1</v>
      </c>
      <c r="F237" s="219">
        <f t="shared" si="16"/>
        <v>24.102555398093962</v>
      </c>
      <c r="G237" s="219">
        <f t="shared" si="16"/>
        <v>23.674948815431573</v>
      </c>
      <c r="H237" s="219">
        <f t="shared" si="16"/>
        <v>23.247342232769164</v>
      </c>
      <c r="I237" s="219">
        <f t="shared" si="16"/>
        <v>22.819735650106754</v>
      </c>
      <c r="J237" s="219">
        <f t="shared" si="16"/>
        <v>22.392129067444387</v>
      </c>
      <c r="K237" s="219">
        <f t="shared" si="16"/>
        <v>21.96452248478198</v>
      </c>
      <c r="L237" s="219">
        <f t="shared" si="16"/>
        <v>21.536915902119567</v>
      </c>
    </row>
    <row r="238" spans="2:12" ht="19">
      <c r="E238" s="208">
        <v>0.2</v>
      </c>
      <c r="F238" s="219">
        <f t="shared" si="16"/>
        <v>23.977426071459874</v>
      </c>
      <c r="G238" s="219">
        <f t="shared" si="16"/>
        <v>23.549819488797485</v>
      </c>
      <c r="H238" s="219">
        <f t="shared" si="16"/>
        <v>23.122212906135076</v>
      </c>
      <c r="I238" s="219">
        <f t="shared" si="16"/>
        <v>22.694606323472666</v>
      </c>
      <c r="J238" s="219">
        <f t="shared" si="16"/>
        <v>22.266999740810299</v>
      </c>
      <c r="K238" s="219">
        <f t="shared" si="16"/>
        <v>21.839393158147892</v>
      </c>
      <c r="L238" s="219">
        <f t="shared" si="16"/>
        <v>21.411786575485479</v>
      </c>
    </row>
    <row r="239" spans="2:12" ht="19">
      <c r="E239" s="208">
        <v>0.3</v>
      </c>
      <c r="F239" s="219">
        <f t="shared" si="16"/>
        <v>23.852296744825786</v>
      </c>
      <c r="G239" s="219">
        <f t="shared" si="16"/>
        <v>23.424690162163397</v>
      </c>
      <c r="H239" s="219">
        <f t="shared" si="16"/>
        <v>22.997083579500988</v>
      </c>
      <c r="I239" s="219">
        <f t="shared" si="16"/>
        <v>22.569476996838599</v>
      </c>
      <c r="J239" s="219">
        <f t="shared" si="16"/>
        <v>22.141870414176211</v>
      </c>
      <c r="K239" s="219">
        <f t="shared" si="16"/>
        <v>21.714263831513804</v>
      </c>
      <c r="L239" s="219">
        <f t="shared" si="16"/>
        <v>21.286657248851391</v>
      </c>
    </row>
    <row r="246" spans="1:12" ht="22" thickBot="1">
      <c r="A246" s="220"/>
      <c r="B246" s="221"/>
      <c r="C246" s="221"/>
      <c r="D246" s="222"/>
      <c r="E246" s="223"/>
      <c r="F246" s="224"/>
      <c r="G246" s="224"/>
      <c r="H246" s="224"/>
      <c r="I246" s="224"/>
      <c r="J246" s="224"/>
      <c r="K246" s="224"/>
      <c r="L246" s="225"/>
    </row>
    <row r="247" spans="1:12" ht="16" thickTop="1"/>
    <row r="264" spans="1:12" ht="22" thickBot="1">
      <c r="A264" s="220"/>
      <c r="B264" s="221"/>
      <c r="C264" s="221"/>
      <c r="D264" s="222"/>
      <c r="E264" s="223"/>
      <c r="F264" s="224"/>
      <c r="G264" s="224"/>
      <c r="H264" s="224"/>
      <c r="I264" s="224"/>
      <c r="J264" s="224"/>
      <c r="K264" s="224"/>
      <c r="L264" s="225"/>
    </row>
    <row r="265" spans="1:12" ht="16" thickTop="1"/>
    <row r="276" spans="2:12" ht="23">
      <c r="B276" s="328" t="s">
        <v>238</v>
      </c>
      <c r="C276" s="328"/>
      <c r="D276" s="328"/>
      <c r="E276" s="328"/>
      <c r="F276" s="328"/>
    </row>
    <row r="279" spans="2:12" ht="21">
      <c r="B279"/>
      <c r="C279"/>
      <c r="D279"/>
      <c r="E279"/>
      <c r="F279" s="326"/>
      <c r="G279" s="326"/>
      <c r="H279" s="326"/>
      <c r="I279" s="326"/>
      <c r="J279" s="326"/>
      <c r="K279" s="326"/>
      <c r="L279" s="326"/>
    </row>
    <row r="280" spans="2:12">
      <c r="B280"/>
      <c r="C280"/>
      <c r="D280"/>
      <c r="E280"/>
      <c r="F280" s="209"/>
    </row>
    <row r="281" spans="2:12">
      <c r="B281"/>
      <c r="C281"/>
      <c r="D281"/>
      <c r="E281"/>
      <c r="F281" s="210"/>
    </row>
    <row r="282" spans="2:12" ht="21">
      <c r="B282"/>
      <c r="C282"/>
      <c r="D282"/>
      <c r="E282"/>
      <c r="F282" s="231" t="s">
        <v>235</v>
      </c>
      <c r="G282" s="232" t="s">
        <v>236</v>
      </c>
      <c r="H282" s="232" t="s">
        <v>237</v>
      </c>
    </row>
    <row r="283" spans="2:12" ht="19">
      <c r="B283"/>
      <c r="C283"/>
      <c r="D283"/>
      <c r="E283" s="211"/>
      <c r="F283" s="212">
        <f>Análise2!M23</f>
        <v>99.275247745288993</v>
      </c>
      <c r="G283" s="212"/>
      <c r="H283" s="212"/>
    </row>
    <row r="284" spans="2:12" ht="19">
      <c r="B284" s="208">
        <v>-0.3</v>
      </c>
      <c r="C284" s="218">
        <f>$E$24*(1+B284)</f>
        <v>29.189999999999994</v>
      </c>
      <c r="D284"/>
      <c r="E284" s="233">
        <v>0.27999999999999997</v>
      </c>
      <c r="F284" s="214">
        <f t="dataTable" ref="F284:F290" dt2D="0" dtr="0" r1="E24"/>
        <v>-6.9409219462154725</v>
      </c>
      <c r="G284" s="234">
        <f>$D$24*E284*1000/5/$M$24</f>
        <v>6.9999999999999982</v>
      </c>
      <c r="H284" s="235">
        <f>(F284/$F$283)-1</f>
        <v>-1.0699159367904458</v>
      </c>
    </row>
    <row r="285" spans="2:12" ht="19">
      <c r="B285" s="208">
        <v>-0.2</v>
      </c>
      <c r="C285" s="218">
        <f t="shared" ref="C285:C290" si="17">$E$24*(1+B285)</f>
        <v>33.36</v>
      </c>
      <c r="D285"/>
      <c r="E285" s="233">
        <v>0.32000000000000006</v>
      </c>
      <c r="F285" s="214">
        <v>6.4258521850488552</v>
      </c>
      <c r="G285" s="234">
        <f t="shared" ref="G285:G290" si="18">$D$24*E285*1000/5/$M$24</f>
        <v>8.0000000000000018</v>
      </c>
      <c r="H285" s="235">
        <f t="shared" ref="H285:H290" si="19">(F285/$F$283)-1</f>
        <v>-0.93527236314196172</v>
      </c>
    </row>
    <row r="286" spans="2:12" ht="19">
      <c r="B286" s="208">
        <v>-0.1</v>
      </c>
      <c r="C286" s="218">
        <f t="shared" si="17"/>
        <v>37.529999999999994</v>
      </c>
      <c r="D286"/>
      <c r="E286" s="233">
        <v>0.36000000000000004</v>
      </c>
      <c r="F286" s="214">
        <v>16.822232064921074</v>
      </c>
      <c r="G286" s="234">
        <f t="shared" si="18"/>
        <v>9.0000000000000018</v>
      </c>
      <c r="H286" s="235">
        <f t="shared" si="19"/>
        <v>-0.83054958363758546</v>
      </c>
    </row>
    <row r="287" spans="2:12" ht="19">
      <c r="B287" s="208">
        <v>0</v>
      </c>
      <c r="C287" s="218">
        <f t="shared" si="17"/>
        <v>41.699999999999996</v>
      </c>
      <c r="D287"/>
      <c r="E287" s="233">
        <v>0.4</v>
      </c>
      <c r="F287" s="216">
        <v>25.139335968818845</v>
      </c>
      <c r="G287" s="216">
        <f t="shared" si="18"/>
        <v>10</v>
      </c>
      <c r="H287" s="216">
        <f t="shared" si="19"/>
        <v>-0.74677136003408462</v>
      </c>
    </row>
    <row r="288" spans="2:12" ht="19">
      <c r="B288" s="208">
        <v>0.1</v>
      </c>
      <c r="C288" s="218">
        <f t="shared" si="17"/>
        <v>45.87</v>
      </c>
      <c r="D288"/>
      <c r="E288" s="233">
        <v>0.44000000000000006</v>
      </c>
      <c r="F288" s="214">
        <v>31.944239162917043</v>
      </c>
      <c r="G288" s="234">
        <f t="shared" si="18"/>
        <v>11.000000000000002</v>
      </c>
      <c r="H288" s="235">
        <f t="shared" si="19"/>
        <v>-0.67822554072212904</v>
      </c>
    </row>
    <row r="289" spans="1:13" ht="19">
      <c r="B289" s="208">
        <v>0.2</v>
      </c>
      <c r="C289" s="218">
        <f t="shared" si="17"/>
        <v>50.039999999999992</v>
      </c>
      <c r="D289"/>
      <c r="E289" s="233">
        <v>0.48</v>
      </c>
      <c r="F289" s="214">
        <v>37.614991824665516</v>
      </c>
      <c r="G289" s="234">
        <f t="shared" si="18"/>
        <v>12</v>
      </c>
      <c r="H289" s="235">
        <f t="shared" si="19"/>
        <v>-0.62110402462883307</v>
      </c>
    </row>
    <row r="290" spans="1:13" ht="19">
      <c r="B290" s="208">
        <v>0.3</v>
      </c>
      <c r="C290" s="218">
        <f t="shared" si="17"/>
        <v>54.209999999999994</v>
      </c>
      <c r="D290"/>
      <c r="E290" s="233">
        <v>0.52</v>
      </c>
      <c r="F290" s="214">
        <v>42.413320999991164</v>
      </c>
      <c r="G290" s="234">
        <f t="shared" si="18"/>
        <v>13</v>
      </c>
      <c r="H290" s="235">
        <f t="shared" si="19"/>
        <v>-0.57277043408835171</v>
      </c>
    </row>
    <row r="294" spans="1:13">
      <c r="E294"/>
      <c r="F294"/>
      <c r="G294"/>
      <c r="H294"/>
      <c r="I294"/>
      <c r="J294"/>
      <c r="K294"/>
      <c r="L294"/>
      <c r="M294"/>
    </row>
    <row r="295" spans="1:13">
      <c r="E295"/>
      <c r="F295"/>
      <c r="G295"/>
      <c r="H295"/>
      <c r="I295"/>
      <c r="J295"/>
      <c r="K295"/>
      <c r="L295"/>
      <c r="M295"/>
    </row>
    <row r="296" spans="1:13">
      <c r="E296"/>
      <c r="F296"/>
      <c r="G296"/>
      <c r="H296"/>
      <c r="I296"/>
      <c r="J296"/>
      <c r="K296"/>
      <c r="L296"/>
      <c r="M296"/>
    </row>
    <row r="297" spans="1:13">
      <c r="E297"/>
      <c r="F297"/>
      <c r="G297"/>
      <c r="H297"/>
      <c r="I297"/>
      <c r="J297"/>
      <c r="K297"/>
      <c r="L297"/>
      <c r="M297"/>
    </row>
    <row r="298" spans="1:13">
      <c r="E298"/>
      <c r="F298"/>
      <c r="G298"/>
      <c r="H298"/>
      <c r="I298"/>
      <c r="J298"/>
      <c r="K298"/>
      <c r="L298"/>
      <c r="M298"/>
    </row>
    <row r="299" spans="1:13">
      <c r="E299"/>
      <c r="F299"/>
      <c r="G299"/>
      <c r="H299"/>
      <c r="I299"/>
      <c r="J299"/>
      <c r="K299"/>
      <c r="L299"/>
      <c r="M299"/>
    </row>
    <row r="300" spans="1:13">
      <c r="E300"/>
      <c r="F300"/>
      <c r="G300"/>
      <c r="H300"/>
      <c r="I300"/>
      <c r="J300"/>
      <c r="K300"/>
      <c r="L300"/>
      <c r="M300"/>
    </row>
    <row r="301" spans="1:13" ht="22" thickBot="1">
      <c r="A301" s="220"/>
      <c r="B301" s="221"/>
      <c r="C301" s="221"/>
      <c r="D301" s="222"/>
      <c r="E301" s="223"/>
      <c r="F301" s="224"/>
      <c r="G301" s="224"/>
      <c r="H301" s="224"/>
      <c r="I301" s="224"/>
      <c r="J301" s="224"/>
      <c r="K301" s="224"/>
      <c r="L301" s="225"/>
    </row>
    <row r="302" spans="1:13" ht="20" thickTop="1">
      <c r="E302" s="208"/>
      <c r="F302" s="219"/>
      <c r="G302" s="219"/>
      <c r="H302" s="219"/>
      <c r="I302" s="219"/>
      <c r="J302" s="219"/>
      <c r="K302" s="219"/>
      <c r="L302" s="219"/>
    </row>
  </sheetData>
  <mergeCells count="7">
    <mergeCell ref="B11:C11"/>
    <mergeCell ref="F279:L279"/>
    <mergeCell ref="F150:L150"/>
    <mergeCell ref="B214:F214"/>
    <mergeCell ref="F217:L217"/>
    <mergeCell ref="B147:F147"/>
    <mergeCell ref="B276:F276"/>
  </mergeCells>
  <pageMargins left="0.511811024" right="0.511811024" top="0.78740157499999996" bottom="0.78740157499999996" header="0.31496062000000002" footer="0.31496062000000002"/>
  <pageSetup orientation="portrait" horizontalDpi="4294967293" r:id="rId1"/>
  <ignoredErrors>
    <ignoredError sqref="A12:I12 A13 A11 F11:I11 A17 A60:A64 A19 A21:A51 A54:A58" unlockedFormula="1"/>
    <ignoredError sqref="G23:I23 G42:I42 G18:I18" formula="1"/>
    <ignoredError sqref="E108:F108 E107:F107 G107 G108" calculatedColumn="1"/>
  </ignoredErrors>
  <drawing r:id="rId2"/>
  <legacy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5:N191"/>
  <sheetViews>
    <sheetView showGridLines="0" showRowColHeaders="0" topLeftCell="A12" zoomScale="103" zoomScaleNormal="93" workbookViewId="0">
      <selection activeCell="D19" sqref="D19"/>
    </sheetView>
  </sheetViews>
  <sheetFormatPr baseColWidth="10" defaultColWidth="9.1640625" defaultRowHeight="15"/>
  <cols>
    <col min="1" max="1" width="3.33203125" style="39" bestFit="1" customWidth="1"/>
    <col min="2" max="2" width="45.6640625" style="39" bestFit="1" customWidth="1"/>
    <col min="3" max="4" width="20.6640625" style="39" customWidth="1"/>
    <col min="5" max="5" width="22.6640625" style="39" bestFit="1" customWidth="1"/>
    <col min="6" max="6" width="30.1640625" style="39" bestFit="1" customWidth="1"/>
    <col min="7" max="7" width="14.6640625" style="39" customWidth="1"/>
    <col min="8" max="8" width="11.5" style="39" customWidth="1"/>
    <col min="9" max="12" width="11" style="39" bestFit="1" customWidth="1"/>
    <col min="13" max="16384" width="9.1640625" style="39"/>
  </cols>
  <sheetData>
    <row r="5" spans="2:9" ht="22.25" customHeight="1">
      <c r="B5" s="38"/>
      <c r="D5" s="54"/>
      <c r="G5" s="54"/>
    </row>
    <row r="6" spans="2:9" ht="19">
      <c r="B6" s="48"/>
      <c r="C6" s="49"/>
      <c r="F6" s="134" t="s">
        <v>30</v>
      </c>
      <c r="G6" s="184">
        <f>'Informações Gerais'!$E$16</f>
        <v>6</v>
      </c>
    </row>
    <row r="7" spans="2:9" ht="19">
      <c r="F7" s="134" t="s">
        <v>249</v>
      </c>
      <c r="G7" s="184">
        <f>'Informações Gerais'!$E$17</f>
        <v>15</v>
      </c>
    </row>
    <row r="8" spans="2:9" ht="19">
      <c r="F8" s="134" t="s">
        <v>251</v>
      </c>
      <c r="G8" s="184">
        <f>G6*G7</f>
        <v>90</v>
      </c>
    </row>
    <row r="9" spans="2:9" ht="19">
      <c r="F9" s="134" t="s">
        <v>29</v>
      </c>
      <c r="G9" s="302">
        <f>10/21</f>
        <v>0.47619047619047616</v>
      </c>
    </row>
    <row r="11" spans="2:9">
      <c r="B11" s="48"/>
      <c r="C11" s="49"/>
    </row>
    <row r="12" spans="2:9" ht="47.75" customHeight="1">
      <c r="B12" s="262" t="s">
        <v>28</v>
      </c>
      <c r="E12" s="43"/>
      <c r="F12" s="43"/>
      <c r="G12" s="43"/>
      <c r="H12" s="43"/>
    </row>
    <row r="13" spans="2:9" ht="28.25" customHeight="1">
      <c r="B13" s="261" t="s">
        <v>110</v>
      </c>
      <c r="C13" s="52"/>
      <c r="D13" s="291"/>
      <c r="E13" s="52"/>
      <c r="F13" s="52"/>
      <c r="G13" s="52"/>
      <c r="H13" s="52"/>
    </row>
    <row r="14" spans="2:9" ht="27" customHeight="1">
      <c r="B14" s="253" t="s">
        <v>185</v>
      </c>
      <c r="C14" s="240" t="s">
        <v>24</v>
      </c>
      <c r="D14" s="240" t="s">
        <v>69</v>
      </c>
      <c r="E14" s="240" t="s">
        <v>109</v>
      </c>
      <c r="F14" s="240" t="s">
        <v>68</v>
      </c>
      <c r="G14" s="240" t="s">
        <v>25</v>
      </c>
      <c r="H14" s="240" t="s">
        <v>250</v>
      </c>
    </row>
    <row r="15" spans="2:9" ht="16">
      <c r="B15" s="142" t="s">
        <v>111</v>
      </c>
      <c r="C15" s="142" t="s">
        <v>27</v>
      </c>
      <c r="D15" s="182">
        <f>IF(ISERROR((('Atividades_Condução '!E107/12)*Atividade_ColheitaePós!$G$9)),0,(('Atividades_Condução '!E107/12)*Atividade_ColheitaePós!$G$9))</f>
        <v>2.9077457856527626</v>
      </c>
      <c r="E15" s="182">
        <f>'Pessoas MOB'!$L$30</f>
        <v>76.028458079873047</v>
      </c>
      <c r="F15" s="182">
        <f>IF((ISERROR(D15*E15)),0,(D15*E15))</f>
        <v>221.07142857142858</v>
      </c>
      <c r="G15" s="182">
        <f>IF(ISERROR((F15*'Informações Gerais'!$E$16)),0,(F15*'Informações Gerais'!$E$16))</f>
        <v>1326.4285714285716</v>
      </c>
      <c r="H15" s="182">
        <f>IF(ISERROR(F15/'Informações Gerais'!$E$17),0,(F15/'Informações Gerais'!$E$17))</f>
        <v>14.738095238095239</v>
      </c>
      <c r="I15" s="45">
        <f>SUM(F15:F16,F19)</f>
        <v>581.07142857142856</v>
      </c>
    </row>
    <row r="16" spans="2:9" ht="16">
      <c r="B16" s="142" t="s">
        <v>54</v>
      </c>
      <c r="C16" s="142" t="s">
        <v>27</v>
      </c>
      <c r="D16" s="182">
        <f>IF('Pessoas MOB'!$C$53="VERIFICAR",0,IF(ISERROR('Pessoas MOB'!$C$53),0,('Pessoas MOB'!$C$53)))</f>
        <v>0</v>
      </c>
      <c r="E16" s="182">
        <f>'Pessoas MOB'!$L$46</f>
        <v>0</v>
      </c>
      <c r="F16" s="182">
        <f>IF((ISERROR(D16*E16)),0,(D16*E16))</f>
        <v>0</v>
      </c>
      <c r="G16" s="182">
        <f>IF(ISERROR((F16*'Informações Gerais'!$E$16)),0,(F16*'Informações Gerais'!$E$16))</f>
        <v>0</v>
      </c>
      <c r="H16" s="182">
        <f>IF(ISERROR(F16/'Informações Gerais'!$E$17),0,(F16/'Informações Gerais'!$E$17))</f>
        <v>0</v>
      </c>
      <c r="I16" s="45">
        <f>F17</f>
        <v>0</v>
      </c>
    </row>
    <row r="17" spans="2:10" ht="16">
      <c r="B17" s="142" t="s">
        <v>55</v>
      </c>
      <c r="C17" s="142" t="s">
        <v>26</v>
      </c>
      <c r="D17" s="182">
        <v>0</v>
      </c>
      <c r="E17" s="182">
        <f>Custos_Mecanização!$C$29</f>
        <v>284</v>
      </c>
      <c r="F17" s="182">
        <f>IF((ISERROR(D17*E17)),0,(D17*E17))</f>
        <v>0</v>
      </c>
      <c r="G17" s="182">
        <f>IF(ISERROR((F17*'Informações Gerais'!$E$16)),0,(F17*'Informações Gerais'!$E$16))</f>
        <v>0</v>
      </c>
      <c r="H17" s="182">
        <f>IF(ISERROR(F17/'Informações Gerais'!$E$17),0,(F17/'Informações Gerais'!$E$17))</f>
        <v>0</v>
      </c>
      <c r="I17" s="45">
        <f>F41</f>
        <v>0</v>
      </c>
    </row>
    <row r="18" spans="2:10" ht="16">
      <c r="B18" s="142"/>
      <c r="C18" s="142" t="s">
        <v>150</v>
      </c>
      <c r="D18" s="182">
        <v>0</v>
      </c>
      <c r="E18" s="182">
        <v>0</v>
      </c>
      <c r="F18" s="182">
        <f>IF((ISERROR(D18*E18)),0,(D18*E18))</f>
        <v>0</v>
      </c>
      <c r="G18" s="182">
        <f>IF(ISERROR((F18*'Informações Gerais'!$E$16)),0,(F18*'Informações Gerais'!$E$16))</f>
        <v>0</v>
      </c>
      <c r="H18" s="182">
        <f>IF(ISERROR(F18/'Informações Gerais'!$E$17),0,(F18/'Informações Gerais'!$E$17))</f>
        <v>0</v>
      </c>
    </row>
    <row r="19" spans="2:10" ht="16">
      <c r="B19" s="142" t="s">
        <v>112</v>
      </c>
      <c r="C19" s="142" t="s">
        <v>24</v>
      </c>
      <c r="D19" s="182">
        <f>G7</f>
        <v>15</v>
      </c>
      <c r="E19" s="182">
        <v>24</v>
      </c>
      <c r="F19" s="182">
        <f>IF((ISERROR(D19*E19)),0,(D19*E19))</f>
        <v>360</v>
      </c>
      <c r="G19" s="182">
        <f>IF(ISERROR((F19*'Informações Gerais'!$E$16)),0,(F19*'Informações Gerais'!$E$16))</f>
        <v>2160</v>
      </c>
      <c r="H19" s="182">
        <f>IF(ISERROR(F19/'Informações Gerais'!$E$17),0,(F19/'Informações Gerais'!$E$17))</f>
        <v>24</v>
      </c>
      <c r="J19" s="140"/>
    </row>
    <row r="20" spans="2:10" ht="21">
      <c r="B20" s="238" t="s">
        <v>45</v>
      </c>
      <c r="C20" s="240"/>
      <c r="D20" s="260"/>
      <c r="E20" s="260"/>
      <c r="F20" s="260">
        <f>SUM(F15:F19)</f>
        <v>581.07142857142856</v>
      </c>
      <c r="G20" s="260">
        <f>SUM(G15:G19)</f>
        <v>3486.4285714285716</v>
      </c>
      <c r="H20" s="260">
        <f>SUM(H15:H19)</f>
        <v>38.738095238095241</v>
      </c>
    </row>
    <row r="21" spans="2:10">
      <c r="H21" s="141"/>
    </row>
    <row r="22" spans="2:10" ht="24">
      <c r="B22" s="246"/>
      <c r="C22" s="43"/>
      <c r="E22" s="43"/>
      <c r="F22" s="43"/>
      <c r="G22" s="43"/>
      <c r="H22" s="43"/>
    </row>
    <row r="23" spans="2:10" ht="21" customHeight="1">
      <c r="B23" s="261" t="s">
        <v>85</v>
      </c>
      <c r="C23" s="52"/>
      <c r="D23" s="52"/>
      <c r="E23" s="52"/>
      <c r="F23" s="52"/>
      <c r="G23" s="52"/>
      <c r="H23" s="52"/>
    </row>
    <row r="24" spans="2:10" ht="27" customHeight="1">
      <c r="B24" s="253" t="s">
        <v>185</v>
      </c>
      <c r="C24" s="240" t="s">
        <v>24</v>
      </c>
      <c r="D24" s="240" t="s">
        <v>16</v>
      </c>
      <c r="E24" s="240" t="s">
        <v>109</v>
      </c>
      <c r="F24" s="240" t="s">
        <v>68</v>
      </c>
      <c r="G24" s="240" t="s">
        <v>25</v>
      </c>
      <c r="H24" s="240" t="s">
        <v>250</v>
      </c>
    </row>
    <row r="25" spans="2:10" ht="16">
      <c r="B25" s="142"/>
      <c r="C25" s="136"/>
      <c r="D25" s="137"/>
      <c r="E25" s="137"/>
      <c r="F25" s="182" t="str">
        <f>IF(ISBLANK(B25), " ",IF(ISERROR(G25/'Informações Gerais'!$E$16),0,(G25/'Informações Gerais'!$E$16)))</f>
        <v xml:space="preserve"> </v>
      </c>
      <c r="G25" s="182" t="str">
        <f>IF(ISBLANK(B25), " ",IF(ISERROR(D25*E25),0,(D25*E25)))</f>
        <v xml:space="preserve"> </v>
      </c>
      <c r="H25" s="182" t="str">
        <f>IF(ISBLANK(B25), " ",IF(ISERROR(F25/'Informações Gerais'!$E$17),0,(F25/'Informações Gerais'!$E$17)))</f>
        <v xml:space="preserve"> </v>
      </c>
    </row>
    <row r="26" spans="2:10" ht="16">
      <c r="B26" s="142"/>
      <c r="C26" s="136"/>
      <c r="D26" s="137"/>
      <c r="E26" s="137"/>
      <c r="F26" s="182" t="str">
        <f>IF(ISBLANK(B26), " ",IF(ISERROR(G26/'Informações Gerais'!$E$16),0,(G26/'Informações Gerais'!$E$16)))</f>
        <v xml:space="preserve"> </v>
      </c>
      <c r="G26" s="182" t="str">
        <f t="shared" ref="G26:G40" si="0">IF(ISBLANK(B26), " ",IF(ISERROR(D26*E26),0,(D26*E26)))</f>
        <v xml:space="preserve"> </v>
      </c>
      <c r="H26" s="182" t="str">
        <f>IF(ISBLANK(B26), " ",IF(ISERROR(F26/'Informações Gerais'!$E$17),0,(F26/'Informações Gerais'!$E$17)))</f>
        <v xml:space="preserve"> </v>
      </c>
    </row>
    <row r="27" spans="2:10" ht="16">
      <c r="B27" s="142"/>
      <c r="C27" s="136"/>
      <c r="D27" s="137"/>
      <c r="E27" s="137"/>
      <c r="F27" s="182" t="str">
        <f>IF(ISBLANK(B27), " ",IF(ISERROR(G27/'Informações Gerais'!$E$16),0,(G27/'Informações Gerais'!$E$16)))</f>
        <v xml:space="preserve"> </v>
      </c>
      <c r="G27" s="182" t="str">
        <f t="shared" si="0"/>
        <v xml:space="preserve"> </v>
      </c>
      <c r="H27" s="182" t="str">
        <f>IF(ISBLANK(B27), " ",IF(ISERROR(F27/'Informações Gerais'!$E$17),0,(F27/'Informações Gerais'!$E$17)))</f>
        <v xml:space="preserve"> </v>
      </c>
      <c r="J27" s="140"/>
    </row>
    <row r="28" spans="2:10" ht="16">
      <c r="B28" s="142"/>
      <c r="C28" s="136"/>
      <c r="D28" s="137"/>
      <c r="E28" s="137"/>
      <c r="F28" s="182" t="str">
        <f>IF(ISBLANK(B28), " ",IF(ISERROR(G28/'Informações Gerais'!$E$16),0,(G28/'Informações Gerais'!$E$16)))</f>
        <v xml:space="preserve"> </v>
      </c>
      <c r="G28" s="182" t="str">
        <f t="shared" si="0"/>
        <v xml:space="preserve"> </v>
      </c>
      <c r="H28" s="182" t="str">
        <f>IF(ISBLANK(B28), " ",IF(ISERROR(F28/'Informações Gerais'!$E$17),0,(F28/'Informações Gerais'!$E$17)))</f>
        <v xml:space="preserve"> </v>
      </c>
    </row>
    <row r="29" spans="2:10" ht="16">
      <c r="B29" s="142"/>
      <c r="C29" s="136"/>
      <c r="D29" s="137"/>
      <c r="E29" s="137"/>
      <c r="F29" s="182" t="str">
        <f>IF(ISBLANK(B29), " ",IF(ISERROR(G29/'Informações Gerais'!$E$16),0,(G29/'Informações Gerais'!$E$16)))</f>
        <v xml:space="preserve"> </v>
      </c>
      <c r="G29" s="182" t="str">
        <f t="shared" si="0"/>
        <v xml:space="preserve"> </v>
      </c>
      <c r="H29" s="182" t="str">
        <f>IF(ISBLANK(B29), " ",IF(ISERROR(F29/'Informações Gerais'!$E$17),0,(F29/'Informações Gerais'!$E$17)))</f>
        <v xml:space="preserve"> </v>
      </c>
    </row>
    <row r="30" spans="2:10" ht="16">
      <c r="B30" s="142"/>
      <c r="C30" s="136"/>
      <c r="D30" s="137"/>
      <c r="E30" s="137"/>
      <c r="F30" s="182" t="str">
        <f>IF(ISBLANK(B30), " ",IF(ISERROR(G30/'Informações Gerais'!$E$16),0,(G30/'Informações Gerais'!$E$16)))</f>
        <v xml:space="preserve"> </v>
      </c>
      <c r="G30" s="182" t="str">
        <f t="shared" si="0"/>
        <v xml:space="preserve"> </v>
      </c>
      <c r="H30" s="182" t="str">
        <f>IF(ISBLANK(B30), " ",IF(ISERROR(F30/'Informações Gerais'!$E$17),0,(F30/'Informações Gerais'!$E$17)))</f>
        <v xml:space="preserve"> </v>
      </c>
    </row>
    <row r="31" spans="2:10" ht="16">
      <c r="B31" s="142"/>
      <c r="C31" s="136"/>
      <c r="D31" s="137"/>
      <c r="E31" s="137"/>
      <c r="F31" s="182" t="str">
        <f>IF(ISBLANK(B31), " ",IF(ISERROR(G31/'Informações Gerais'!$E$16),0,(G31/'Informações Gerais'!$E$16)))</f>
        <v xml:space="preserve"> </v>
      </c>
      <c r="G31" s="182" t="str">
        <f t="shared" si="0"/>
        <v xml:space="preserve"> </v>
      </c>
      <c r="H31" s="182" t="str">
        <f>IF(ISBLANK(B31), " ",IF(ISERROR(F31/'Informações Gerais'!$E$17),0,(F31/'Informações Gerais'!$E$17)))</f>
        <v xml:space="preserve"> </v>
      </c>
    </row>
    <row r="32" spans="2:10" ht="16">
      <c r="B32" s="142"/>
      <c r="C32" s="136"/>
      <c r="D32" s="137"/>
      <c r="E32" s="137"/>
      <c r="F32" s="182" t="str">
        <f>IF(ISBLANK(B32), " ",IF(ISERROR(G32/'Informações Gerais'!$E$16),0,(G32/'Informações Gerais'!$E$16)))</f>
        <v xml:space="preserve"> </v>
      </c>
      <c r="G32" s="182" t="str">
        <f t="shared" si="0"/>
        <v xml:space="preserve"> </v>
      </c>
      <c r="H32" s="182" t="str">
        <f>IF(ISBLANK(B32), " ",IF(ISERROR(F32/'Informações Gerais'!$E$17),0,(F32/'Informações Gerais'!$E$17)))</f>
        <v xml:space="preserve"> </v>
      </c>
    </row>
    <row r="33" spans="2:10" ht="16">
      <c r="B33" s="142"/>
      <c r="C33" s="136"/>
      <c r="D33" s="137"/>
      <c r="E33" s="137"/>
      <c r="F33" s="182" t="str">
        <f>IF(ISBLANK(B33), " ",IF(ISERROR(G33/'Informações Gerais'!$E$16),0,(G33/'Informações Gerais'!$E$16)))</f>
        <v xml:space="preserve"> </v>
      </c>
      <c r="G33" s="182" t="str">
        <f t="shared" si="0"/>
        <v xml:space="preserve"> </v>
      </c>
      <c r="H33" s="182" t="str">
        <f>IF(ISBLANK(B33), " ",IF(ISERROR(F33/'Informações Gerais'!$E$17),0,(F33/'Informações Gerais'!$E$17)))</f>
        <v xml:space="preserve"> </v>
      </c>
    </row>
    <row r="34" spans="2:10" ht="16">
      <c r="B34" s="142"/>
      <c r="C34" s="136"/>
      <c r="D34" s="137"/>
      <c r="E34" s="137"/>
      <c r="F34" s="182" t="str">
        <f>IF(ISBLANK(B34), " ",IF(ISERROR(G34/'Informações Gerais'!$E$16),0,(G34/'Informações Gerais'!$E$16)))</f>
        <v xml:space="preserve"> </v>
      </c>
      <c r="G34" s="182" t="str">
        <f t="shared" si="0"/>
        <v xml:space="preserve"> </v>
      </c>
      <c r="H34" s="182" t="str">
        <f>IF(ISBLANK(B34), " ",IF(ISERROR(F34/'Informações Gerais'!$E$17),0,(F34/'Informações Gerais'!$E$17)))</f>
        <v xml:space="preserve"> </v>
      </c>
    </row>
    <row r="35" spans="2:10" ht="16">
      <c r="B35" s="142"/>
      <c r="C35" s="136"/>
      <c r="D35" s="137"/>
      <c r="E35" s="137"/>
      <c r="F35" s="182" t="str">
        <f>IF(ISBLANK(B35), " ",IF(ISERROR(G35/'Informações Gerais'!$E$16),0,(G35/'Informações Gerais'!$E$16)))</f>
        <v xml:space="preserve"> </v>
      </c>
      <c r="G35" s="182" t="str">
        <f t="shared" si="0"/>
        <v xml:space="preserve"> </v>
      </c>
      <c r="H35" s="182" t="str">
        <f>IF(ISBLANK(B35), " ",IF(ISERROR(F35/'Informações Gerais'!$E$17),0,(F35/'Informações Gerais'!$E$17)))</f>
        <v xml:space="preserve"> </v>
      </c>
    </row>
    <row r="36" spans="2:10" ht="16">
      <c r="B36" s="142"/>
      <c r="C36" s="136"/>
      <c r="D36" s="137"/>
      <c r="E36" s="137"/>
      <c r="F36" s="182" t="str">
        <f>IF(ISBLANK(B36), " ",IF(ISERROR(G36/'Informações Gerais'!$E$16),0,(G36/'Informações Gerais'!$E$16)))</f>
        <v xml:space="preserve"> </v>
      </c>
      <c r="G36" s="182" t="str">
        <f t="shared" si="0"/>
        <v xml:space="preserve"> </v>
      </c>
      <c r="H36" s="182" t="str">
        <f>IF(ISBLANK(B36), " ",IF(ISERROR(F36/'Informações Gerais'!$E$17),0,(F36/'Informações Gerais'!$E$17)))</f>
        <v xml:space="preserve"> </v>
      </c>
    </row>
    <row r="37" spans="2:10" ht="16">
      <c r="B37" s="142"/>
      <c r="C37" s="136"/>
      <c r="D37" s="137"/>
      <c r="E37" s="137"/>
      <c r="F37" s="182" t="str">
        <f>IF(ISBLANK(B37), " ",IF(ISERROR(G37/'Informações Gerais'!$E$16),0,(G37/'Informações Gerais'!$E$16)))</f>
        <v xml:space="preserve"> </v>
      </c>
      <c r="G37" s="182" t="str">
        <f t="shared" si="0"/>
        <v xml:space="preserve"> </v>
      </c>
      <c r="H37" s="182" t="str">
        <f>IF(ISBLANK(B37), " ",IF(ISERROR(F37/'Informações Gerais'!$E$17),0,(F37/'Informações Gerais'!$E$17)))</f>
        <v xml:space="preserve"> </v>
      </c>
      <c r="J37" s="140"/>
    </row>
    <row r="38" spans="2:10" ht="16">
      <c r="B38" s="142"/>
      <c r="C38" s="136"/>
      <c r="D38" s="137"/>
      <c r="E38" s="137"/>
      <c r="F38" s="182" t="str">
        <f>IF(ISBLANK(B38), " ",IF(ISERROR(G38/'Informações Gerais'!$E$16),0,(G38/'Informações Gerais'!$E$16)))</f>
        <v xml:space="preserve"> </v>
      </c>
      <c r="G38" s="182" t="str">
        <f t="shared" si="0"/>
        <v xml:space="preserve"> </v>
      </c>
      <c r="H38" s="182" t="str">
        <f>IF(ISBLANK(B38), " ",IF(ISERROR(F38/'Informações Gerais'!$E$17),0,(F38/'Informações Gerais'!$E$17)))</f>
        <v xml:space="preserve"> </v>
      </c>
    </row>
    <row r="39" spans="2:10" ht="16">
      <c r="B39" s="142"/>
      <c r="C39" s="136"/>
      <c r="D39" s="137"/>
      <c r="E39" s="137"/>
      <c r="F39" s="182" t="str">
        <f>IF(ISBLANK(B39), " ",IF(ISERROR(G39/'Informações Gerais'!$E$16),0,(G39/'Informações Gerais'!$E$16)))</f>
        <v xml:space="preserve"> </v>
      </c>
      <c r="G39" s="182" t="str">
        <f t="shared" si="0"/>
        <v xml:space="preserve"> </v>
      </c>
      <c r="H39" s="182" t="str">
        <f>IF(ISBLANK(B39), " ",IF(ISERROR(F39/'Informações Gerais'!$E$17),0,(F39/'Informações Gerais'!$E$17)))</f>
        <v xml:space="preserve"> </v>
      </c>
    </row>
    <row r="40" spans="2:10" ht="16">
      <c r="B40" s="142"/>
      <c r="C40" s="136"/>
      <c r="D40" s="137"/>
      <c r="E40" s="137"/>
      <c r="F40" s="182" t="str">
        <f>IF(ISBLANK(B40), " ",IF(ISERROR(G40/'Informações Gerais'!$E$16),0,(G40/'Informações Gerais'!$E$16)))</f>
        <v xml:space="preserve"> </v>
      </c>
      <c r="G40" s="182" t="str">
        <f t="shared" si="0"/>
        <v xml:space="preserve"> </v>
      </c>
      <c r="H40" s="182" t="str">
        <f>IF(ISBLANK(B40), " ",IF(ISERROR(F40/'Informações Gerais'!$E$17),0,(F40/'Informações Gerais'!$E$17)))</f>
        <v xml:space="preserve"> </v>
      </c>
    </row>
    <row r="41" spans="2:10" ht="21">
      <c r="B41" s="238" t="s">
        <v>42</v>
      </c>
      <c r="C41" s="240"/>
      <c r="D41" s="241"/>
      <c r="E41" s="241"/>
      <c r="F41" s="260">
        <f>(SUM(F25:F40))</f>
        <v>0</v>
      </c>
      <c r="G41" s="260">
        <f>(SUM(G25:G40))</f>
        <v>0</v>
      </c>
      <c r="H41" s="260">
        <f>(SUM(H25:H40))</f>
        <v>0</v>
      </c>
    </row>
    <row r="42" spans="2:10">
      <c r="D42" s="50"/>
      <c r="E42" s="50"/>
      <c r="F42" s="50"/>
      <c r="G42" s="50"/>
    </row>
    <row r="43" spans="2:10" ht="21">
      <c r="B43" s="238" t="s">
        <v>87</v>
      </c>
      <c r="C43" s="240"/>
      <c r="D43" s="240"/>
      <c r="E43" s="240"/>
      <c r="F43" s="260">
        <f>SUM(F20,F41)</f>
        <v>581.07142857142856</v>
      </c>
      <c r="G43" s="260">
        <f>SUM(G20,G41)</f>
        <v>3486.4285714285716</v>
      </c>
      <c r="H43" s="260">
        <f>SUM(H20,H41)</f>
        <v>38.738095238095241</v>
      </c>
    </row>
    <row r="46" spans="2:10" ht="19">
      <c r="B46" s="57"/>
    </row>
    <row r="95" spans="2:14" customFormat="1">
      <c r="N95" s="171"/>
    </row>
    <row r="96" spans="2:14" customFormat="1" ht="22" thickBot="1">
      <c r="B96" s="220"/>
      <c r="C96" s="221"/>
      <c r="D96" s="221"/>
      <c r="E96" s="222"/>
      <c r="F96" s="223"/>
      <c r="G96" s="224"/>
      <c r="H96" s="224"/>
      <c r="I96" s="224"/>
      <c r="J96" s="224"/>
      <c r="K96" s="224"/>
      <c r="L96" s="224"/>
      <c r="M96" s="225"/>
      <c r="N96" s="171"/>
    </row>
    <row r="97" spans="2:14" customFormat="1" ht="22" thickTop="1">
      <c r="B97" s="178"/>
      <c r="C97" s="192"/>
      <c r="D97" s="192"/>
      <c r="E97" s="197"/>
      <c r="F97" s="196"/>
      <c r="M97" s="171"/>
      <c r="N97" s="171"/>
    </row>
    <row r="98" spans="2:14" customFormat="1" ht="21">
      <c r="B98" s="178"/>
      <c r="C98" s="192"/>
      <c r="D98" s="192"/>
      <c r="E98" s="197"/>
      <c r="F98" s="196"/>
      <c r="M98" s="171"/>
      <c r="N98" s="171"/>
    </row>
    <row r="99" spans="2:14" customFormat="1" ht="21">
      <c r="B99" s="178"/>
      <c r="C99" s="192"/>
      <c r="D99" s="192"/>
      <c r="E99" s="197"/>
      <c r="F99" s="196"/>
      <c r="M99" s="171"/>
      <c r="N99" s="171"/>
    </row>
    <row r="100" spans="2:14" customFormat="1" ht="21">
      <c r="B100" s="178"/>
      <c r="C100" s="192"/>
      <c r="D100" s="192"/>
      <c r="E100" s="197"/>
      <c r="F100" s="196"/>
      <c r="M100" s="171"/>
      <c r="N100" s="171"/>
    </row>
    <row r="101" spans="2:14" customFormat="1" ht="21">
      <c r="B101" s="178"/>
      <c r="C101" s="192"/>
      <c r="D101" s="192"/>
      <c r="E101" s="197"/>
      <c r="F101" s="196"/>
      <c r="M101" s="171"/>
      <c r="N101" s="171"/>
    </row>
    <row r="102" spans="2:14" customFormat="1">
      <c r="M102" s="171"/>
      <c r="N102" s="171"/>
    </row>
    <row r="103" spans="2:14" customFormat="1">
      <c r="C103" s="173"/>
      <c r="M103" s="171"/>
      <c r="N103" s="171"/>
    </row>
    <row r="104" spans="2:14" customFormat="1">
      <c r="B104" s="171"/>
      <c r="C104" s="174"/>
      <c r="E104" s="175"/>
      <c r="M104" s="171"/>
      <c r="N104" s="171"/>
    </row>
    <row r="105" spans="2:14" customFormat="1" ht="33" customHeight="1">
      <c r="B105" s="328" t="s">
        <v>227</v>
      </c>
      <c r="C105" s="328"/>
      <c r="D105" s="328"/>
      <c r="E105" s="328"/>
      <c r="F105" s="328"/>
      <c r="M105" s="171"/>
      <c r="N105" s="171"/>
    </row>
    <row r="106" spans="2:14" customFormat="1">
      <c r="M106" s="171"/>
      <c r="N106" s="171"/>
    </row>
    <row r="107" spans="2:14" customFormat="1">
      <c r="M107" s="171"/>
      <c r="N107" s="171"/>
    </row>
    <row r="108" spans="2:14" customFormat="1" ht="21">
      <c r="C108" s="99"/>
      <c r="D108" s="99"/>
      <c r="F108" s="327" t="s">
        <v>229</v>
      </c>
      <c r="G108" s="327"/>
      <c r="H108" s="327"/>
      <c r="I108" s="327"/>
      <c r="J108" s="327"/>
      <c r="K108" s="327"/>
      <c r="L108" s="327"/>
      <c r="M108" s="171"/>
      <c r="N108" s="171"/>
    </row>
    <row r="109" spans="2:14" customFormat="1">
      <c r="D109" s="99"/>
      <c r="F109" s="209">
        <v>-0.3</v>
      </c>
      <c r="G109" s="209">
        <v>-0.2</v>
      </c>
      <c r="H109" s="209">
        <v>-0.1</v>
      </c>
      <c r="I109" s="209">
        <v>0</v>
      </c>
      <c r="J109" s="209">
        <v>0.1</v>
      </c>
      <c r="K109" s="209">
        <v>0.2</v>
      </c>
      <c r="L109" s="209">
        <v>0.3</v>
      </c>
      <c r="M109" s="171"/>
      <c r="N109" s="171"/>
    </row>
    <row r="110" spans="2:14" customFormat="1">
      <c r="D110" s="207"/>
      <c r="F110" s="210">
        <f>$H$20*(1+F109)</f>
        <v>27.116666666666667</v>
      </c>
      <c r="G110" s="210">
        <f t="shared" ref="G110:L110" si="1">$H$20*(1+G109)</f>
        <v>30.990476190476194</v>
      </c>
      <c r="H110" s="210">
        <f t="shared" si="1"/>
        <v>34.864285714285721</v>
      </c>
      <c r="I110" s="210">
        <f t="shared" si="1"/>
        <v>38.738095238095241</v>
      </c>
      <c r="J110" s="210">
        <f t="shared" si="1"/>
        <v>42.611904761904768</v>
      </c>
      <c r="K110" s="210">
        <f t="shared" si="1"/>
        <v>46.485714285714288</v>
      </c>
      <c r="L110" s="210">
        <f t="shared" si="1"/>
        <v>50.359523809523814</v>
      </c>
      <c r="M110" s="171"/>
      <c r="N110" s="171"/>
    </row>
    <row r="111" spans="2:14" customFormat="1">
      <c r="L111" s="171"/>
      <c r="M111" s="171"/>
      <c r="N111" s="171"/>
    </row>
    <row r="112" spans="2:14" customFormat="1" ht="19">
      <c r="D112" s="329"/>
      <c r="E112" s="211">
        <f>Análise!M23</f>
        <v>42.199219087609606</v>
      </c>
      <c r="F112" s="212">
        <v>113.49101523809523</v>
      </c>
      <c r="G112" s="212">
        <v>129.70401741496599</v>
      </c>
      <c r="H112" s="212">
        <v>145.91701959183675</v>
      </c>
      <c r="I112" s="212">
        <v>162.13002176870748</v>
      </c>
      <c r="J112" s="212">
        <v>178.34302394557824</v>
      </c>
      <c r="K112" s="212">
        <v>194.55602612244897</v>
      </c>
      <c r="L112" s="212">
        <v>210.76902829931973</v>
      </c>
      <c r="M112" s="171"/>
      <c r="N112" s="171"/>
    </row>
    <row r="113" spans="2:14" customFormat="1" ht="19">
      <c r="B113" s="208">
        <v>-0.3</v>
      </c>
      <c r="C113" s="228">
        <f>$H$41*(1+B113)</f>
        <v>0</v>
      </c>
      <c r="D113" s="329"/>
      <c r="E113" s="213">
        <v>32.405249999999995</v>
      </c>
      <c r="F113" s="214">
        <f t="dataTable" ref="F113:L119" dt2D="1" dtr="1" r1="H20" r2="H41" ca="1"/>
        <v>39.453568406480507</v>
      </c>
      <c r="G113" s="214">
        <v>39.038152200044053</v>
      </c>
      <c r="H113" s="214">
        <v>38.622735993607598</v>
      </c>
      <c r="I113" s="216">
        <v>38.207319787171144</v>
      </c>
      <c r="J113" s="214">
        <v>37.79190358073469</v>
      </c>
      <c r="K113" s="214">
        <v>37.376487374298236</v>
      </c>
      <c r="L113" s="215">
        <v>36.961071167861782</v>
      </c>
      <c r="M113" s="171"/>
      <c r="N113" s="171"/>
    </row>
    <row r="114" spans="2:14" customFormat="1" ht="19">
      <c r="B114" s="208">
        <v>-0.2</v>
      </c>
      <c r="C114" s="228">
        <f t="shared" ref="C114:C119" si="2">$H$41*(1+B114)</f>
        <v>0</v>
      </c>
      <c r="D114" s="329"/>
      <c r="E114" s="213">
        <v>37.034571428571432</v>
      </c>
      <c r="F114" s="214">
        <v>39.33495402986766</v>
      </c>
      <c r="G114" s="214">
        <v>38.919537823431213</v>
      </c>
      <c r="H114" s="214">
        <v>38.504121616994759</v>
      </c>
      <c r="I114" s="216">
        <v>38.088705410558298</v>
      </c>
      <c r="J114" s="214">
        <v>37.673289204121843</v>
      </c>
      <c r="K114" s="214">
        <v>37.257872997685396</v>
      </c>
      <c r="L114" s="215">
        <v>36.842456791248942</v>
      </c>
      <c r="M114" s="171"/>
      <c r="N114" s="171"/>
    </row>
    <row r="115" spans="2:14" customFormat="1" ht="19">
      <c r="B115" s="208">
        <v>-0.1</v>
      </c>
      <c r="C115" s="228">
        <f t="shared" si="2"/>
        <v>0</v>
      </c>
      <c r="D115" s="329"/>
      <c r="E115" s="213">
        <v>41.663892857142855</v>
      </c>
      <c r="F115" s="214">
        <v>39.216339653254821</v>
      </c>
      <c r="G115" s="214">
        <v>38.800923446818366</v>
      </c>
      <c r="H115" s="214">
        <v>38.385507240381919</v>
      </c>
      <c r="I115" s="216">
        <v>37.970091033945458</v>
      </c>
      <c r="J115" s="214">
        <v>37.554674827509004</v>
      </c>
      <c r="K115" s="214">
        <v>37.139258621072564</v>
      </c>
      <c r="L115" s="215">
        <v>36.72384241463611</v>
      </c>
      <c r="M115" s="171"/>
      <c r="N115" s="171"/>
    </row>
    <row r="116" spans="2:14" customFormat="1" ht="19">
      <c r="B116" s="208">
        <v>0</v>
      </c>
      <c r="C116" s="228">
        <f t="shared" si="2"/>
        <v>0</v>
      </c>
      <c r="D116" s="329"/>
      <c r="E116" s="213">
        <v>46.293214285714285</v>
      </c>
      <c r="F116" s="216">
        <v>39.097725276641995</v>
      </c>
      <c r="G116" s="216">
        <v>38.682309070205541</v>
      </c>
      <c r="H116" s="216">
        <v>38.266892863769087</v>
      </c>
      <c r="I116" s="216">
        <v>37.851476657332626</v>
      </c>
      <c r="J116" s="216">
        <v>37.436060450896171</v>
      </c>
      <c r="K116" s="216">
        <v>37.020644244459724</v>
      </c>
      <c r="L116" s="217">
        <v>36.60522803802327</v>
      </c>
      <c r="M116" s="171"/>
      <c r="N116" s="171"/>
    </row>
    <row r="117" spans="2:14" customFormat="1" ht="19">
      <c r="B117" s="208">
        <v>0.1</v>
      </c>
      <c r="C117" s="228">
        <f t="shared" si="2"/>
        <v>0</v>
      </c>
      <c r="D117" s="329"/>
      <c r="E117" s="213">
        <v>50.922535714285715</v>
      </c>
      <c r="F117" s="214">
        <v>38.979110900029148</v>
      </c>
      <c r="G117" s="214">
        <v>38.563694693592701</v>
      </c>
      <c r="H117" s="214">
        <v>38.14827848715624</v>
      </c>
      <c r="I117" s="216">
        <v>37.732862280719786</v>
      </c>
      <c r="J117" s="214">
        <v>37.317446074283332</v>
      </c>
      <c r="K117" s="214">
        <v>36.902029867846878</v>
      </c>
      <c r="L117" s="215">
        <v>36.486613661410424</v>
      </c>
      <c r="M117" s="171"/>
      <c r="N117" s="171"/>
    </row>
    <row r="118" spans="2:14" customFormat="1" ht="19">
      <c r="B118" s="208">
        <v>0.2</v>
      </c>
      <c r="C118" s="228">
        <f t="shared" si="2"/>
        <v>0</v>
      </c>
      <c r="D118" s="329"/>
      <c r="E118" s="213">
        <v>55.551857142857138</v>
      </c>
      <c r="F118" s="214">
        <v>38.860496523416309</v>
      </c>
      <c r="G118" s="214">
        <v>38.445080316979855</v>
      </c>
      <c r="H118" s="214">
        <v>38.029664110543401</v>
      </c>
      <c r="I118" s="216">
        <v>37.614247904106946</v>
      </c>
      <c r="J118" s="214">
        <v>37.198831697670492</v>
      </c>
      <c r="K118" s="214">
        <v>36.783415491234038</v>
      </c>
      <c r="L118" s="215">
        <v>36.367999284797584</v>
      </c>
      <c r="M118" s="171"/>
      <c r="N118" s="171"/>
    </row>
    <row r="119" spans="2:14" customFormat="1" ht="19">
      <c r="B119" s="208">
        <v>0.3</v>
      </c>
      <c r="C119" s="228">
        <f t="shared" si="2"/>
        <v>0</v>
      </c>
      <c r="D119" s="329"/>
      <c r="E119" s="213">
        <v>60.181178571428575</v>
      </c>
      <c r="F119" s="214">
        <v>38.741882146803469</v>
      </c>
      <c r="G119" s="214">
        <v>38.326465940367008</v>
      </c>
      <c r="H119" s="214">
        <v>37.911049733930554</v>
      </c>
      <c r="I119" s="216">
        <v>37.495633527494107</v>
      </c>
      <c r="J119" s="214">
        <v>37.080217321057653</v>
      </c>
      <c r="K119" s="214">
        <v>36.664801114621191</v>
      </c>
      <c r="L119" s="215">
        <v>36.249384908184737</v>
      </c>
      <c r="M119" s="171"/>
      <c r="N119" s="171"/>
    </row>
    <row r="120" spans="2:14" customFormat="1">
      <c r="M120" s="171"/>
      <c r="N120" s="171"/>
    </row>
    <row r="121" spans="2:14" customFormat="1">
      <c r="E121" s="39"/>
      <c r="F121" s="209">
        <v>-0.3</v>
      </c>
      <c r="G121" s="209">
        <v>-0.2</v>
      </c>
      <c r="H121" s="209">
        <v>-0.1</v>
      </c>
      <c r="I121" s="209">
        <v>0</v>
      </c>
      <c r="J121" s="209">
        <v>0.1</v>
      </c>
      <c r="K121" s="209">
        <v>0.2</v>
      </c>
      <c r="L121" s="209">
        <v>0.3</v>
      </c>
      <c r="M121" s="171"/>
      <c r="N121" s="171"/>
    </row>
    <row r="122" spans="2:14" customFormat="1" ht="19">
      <c r="E122" s="208">
        <v>-0.3</v>
      </c>
      <c r="F122" s="219">
        <f>((F113/$E$112)-1)*100</f>
        <v>-6.5064016360797279</v>
      </c>
      <c r="G122" s="219">
        <f t="shared" ref="F122:L128" si="3">((G113/$E$112)-1)*100</f>
        <v>-7.4908184461965455</v>
      </c>
      <c r="H122" s="219">
        <f t="shared" si="3"/>
        <v>-8.4752352563133631</v>
      </c>
      <c r="I122" s="219">
        <f t="shared" si="3"/>
        <v>-9.4596520664301806</v>
      </c>
      <c r="J122" s="219">
        <f t="shared" si="3"/>
        <v>-10.444068876546996</v>
      </c>
      <c r="K122" s="219">
        <f t="shared" si="3"/>
        <v>-11.428485686663814</v>
      </c>
      <c r="L122" s="219">
        <f t="shared" si="3"/>
        <v>-12.412902496780642</v>
      </c>
      <c r="M122" s="171"/>
      <c r="N122" s="171"/>
    </row>
    <row r="123" spans="2:14" customFormat="1" ht="19">
      <c r="E123" s="208">
        <v>-0.2</v>
      </c>
      <c r="F123" s="219">
        <f t="shared" si="3"/>
        <v>-6.7874835593413678</v>
      </c>
      <c r="G123" s="219">
        <f t="shared" si="3"/>
        <v>-7.771900369458173</v>
      </c>
      <c r="H123" s="219">
        <f t="shared" si="3"/>
        <v>-8.7563171795749906</v>
      </c>
      <c r="I123" s="219">
        <f t="shared" si="3"/>
        <v>-9.7407339896918188</v>
      </c>
      <c r="J123" s="219">
        <f t="shared" si="3"/>
        <v>-10.725150799808647</v>
      </c>
      <c r="K123" s="219">
        <f t="shared" si="3"/>
        <v>-11.709567609925442</v>
      </c>
      <c r="L123" s="219">
        <f t="shared" si="3"/>
        <v>-12.693984420042259</v>
      </c>
      <c r="M123" s="171"/>
      <c r="N123" s="171"/>
    </row>
    <row r="124" spans="2:14" customFormat="1" ht="19">
      <c r="E124" s="208">
        <v>-0.1</v>
      </c>
      <c r="F124" s="219">
        <f t="shared" si="3"/>
        <v>-7.0685654826029953</v>
      </c>
      <c r="G124" s="219">
        <f t="shared" si="3"/>
        <v>-8.0529822927198129</v>
      </c>
      <c r="H124" s="219">
        <f t="shared" si="3"/>
        <v>-9.0373991028366074</v>
      </c>
      <c r="I124" s="219">
        <f t="shared" si="3"/>
        <v>-10.021815912953446</v>
      </c>
      <c r="J124" s="219">
        <f t="shared" si="3"/>
        <v>-11.006232723070264</v>
      </c>
      <c r="K124" s="219">
        <f t="shared" si="3"/>
        <v>-11.990649533187048</v>
      </c>
      <c r="L124" s="219">
        <f t="shared" si="3"/>
        <v>-12.975066343303865</v>
      </c>
      <c r="M124" s="171"/>
      <c r="N124" s="171"/>
    </row>
    <row r="125" spans="2:14" customFormat="1" ht="19">
      <c r="E125" s="208">
        <v>0</v>
      </c>
      <c r="F125" s="219">
        <f t="shared" si="3"/>
        <v>-7.3496474058645784</v>
      </c>
      <c r="G125" s="219">
        <f t="shared" si="3"/>
        <v>-8.334064215981396</v>
      </c>
      <c r="H125" s="219">
        <f t="shared" si="3"/>
        <v>-9.3184810260982243</v>
      </c>
      <c r="I125" s="219">
        <f t="shared" si="3"/>
        <v>-10.302897836215053</v>
      </c>
      <c r="J125" s="219">
        <f t="shared" si="3"/>
        <v>-11.28731464633187</v>
      </c>
      <c r="K125" s="219">
        <f t="shared" si="3"/>
        <v>-12.271731456448675</v>
      </c>
      <c r="L125" s="219">
        <f t="shared" si="3"/>
        <v>-13.256148266565493</v>
      </c>
      <c r="M125" s="171"/>
      <c r="N125" s="171"/>
    </row>
    <row r="126" spans="2:14" customFormat="1" ht="19">
      <c r="E126" s="208">
        <v>0.1</v>
      </c>
      <c r="F126" s="219">
        <f t="shared" si="3"/>
        <v>-7.6307293291262184</v>
      </c>
      <c r="G126" s="219">
        <f t="shared" si="3"/>
        <v>-8.6151461392430235</v>
      </c>
      <c r="H126" s="219">
        <f t="shared" si="3"/>
        <v>-9.5995629493598642</v>
      </c>
      <c r="I126" s="219">
        <f t="shared" si="3"/>
        <v>-10.58397975947668</v>
      </c>
      <c r="J126" s="219">
        <f t="shared" si="3"/>
        <v>-11.568396569593498</v>
      </c>
      <c r="K126" s="219">
        <f t="shared" si="3"/>
        <v>-12.552813379710315</v>
      </c>
      <c r="L126" s="219">
        <f t="shared" si="3"/>
        <v>-13.537230189827131</v>
      </c>
      <c r="M126" s="171"/>
      <c r="N126" s="171"/>
    </row>
    <row r="127" spans="2:14" customFormat="1" ht="19">
      <c r="E127" s="208">
        <v>0.2</v>
      </c>
      <c r="F127" s="219">
        <f t="shared" si="3"/>
        <v>-7.9118112523878459</v>
      </c>
      <c r="G127" s="219">
        <f t="shared" si="3"/>
        <v>-8.8962280625046635</v>
      </c>
      <c r="H127" s="219">
        <f t="shared" si="3"/>
        <v>-9.8806448726214811</v>
      </c>
      <c r="I127" s="219">
        <f t="shared" si="3"/>
        <v>-10.865061682738308</v>
      </c>
      <c r="J127" s="219">
        <f t="shared" si="3"/>
        <v>-11.849478492855125</v>
      </c>
      <c r="K127" s="219">
        <f t="shared" si="3"/>
        <v>-12.833895302971943</v>
      </c>
      <c r="L127" s="219">
        <f t="shared" si="3"/>
        <v>-13.81831211308876</v>
      </c>
      <c r="M127" s="171"/>
      <c r="N127" s="171"/>
    </row>
    <row r="128" spans="2:14" customFormat="1" ht="19">
      <c r="E128" s="208">
        <v>0.3</v>
      </c>
      <c r="F128" s="219">
        <f t="shared" si="3"/>
        <v>-8.1928931756494734</v>
      </c>
      <c r="G128" s="219">
        <f t="shared" si="3"/>
        <v>-9.1773099857663016</v>
      </c>
      <c r="H128" s="219">
        <f t="shared" si="3"/>
        <v>-10.16172679588313</v>
      </c>
      <c r="I128" s="219">
        <f t="shared" si="3"/>
        <v>-11.146143605999924</v>
      </c>
      <c r="J128" s="219">
        <f t="shared" si="3"/>
        <v>-12.130560416116742</v>
      </c>
      <c r="K128" s="219">
        <f t="shared" si="3"/>
        <v>-13.114977226233581</v>
      </c>
      <c r="L128" s="219">
        <f t="shared" si="3"/>
        <v>-14.099394036350398</v>
      </c>
      <c r="M128" s="171"/>
      <c r="N128" s="171"/>
    </row>
    <row r="129" spans="1:14" customFormat="1" ht="19">
      <c r="E129" s="208"/>
      <c r="F129" s="219"/>
      <c r="G129" s="219"/>
      <c r="H129" s="219"/>
      <c r="I129" s="219"/>
      <c r="J129" s="219"/>
      <c r="K129" s="219"/>
      <c r="L129" s="219"/>
      <c r="M129" s="171"/>
      <c r="N129" s="171"/>
    </row>
    <row r="130" spans="1:14" customFormat="1" ht="19">
      <c r="E130" s="208"/>
      <c r="F130" s="219"/>
      <c r="G130" s="219"/>
      <c r="H130" s="219"/>
      <c r="I130" s="219"/>
      <c r="J130" s="219"/>
      <c r="K130" s="219"/>
      <c r="L130" s="219"/>
      <c r="M130" s="171"/>
      <c r="N130" s="171"/>
    </row>
    <row r="131" spans="1:14" customFormat="1" ht="19">
      <c r="E131" s="208"/>
      <c r="F131" s="219"/>
      <c r="G131" s="219"/>
      <c r="H131" s="219"/>
      <c r="I131" s="219"/>
      <c r="J131" s="219"/>
      <c r="K131" s="219"/>
      <c r="L131" s="219"/>
      <c r="M131" s="171"/>
      <c r="N131" s="171"/>
    </row>
    <row r="132" spans="1:14" customFormat="1" ht="19">
      <c r="E132" s="208"/>
      <c r="F132" s="219"/>
      <c r="G132" s="219"/>
      <c r="H132" s="219"/>
      <c r="I132" s="219"/>
      <c r="J132" s="219"/>
      <c r="K132" s="219"/>
      <c r="L132" s="219"/>
      <c r="M132" s="171"/>
      <c r="N132" s="171"/>
    </row>
    <row r="133" spans="1:14" customFormat="1" ht="20" thickBot="1">
      <c r="A133" s="224"/>
      <c r="B133" s="224"/>
      <c r="C133" s="224"/>
      <c r="D133" s="224"/>
      <c r="E133" s="226"/>
      <c r="F133" s="227"/>
      <c r="G133" s="227"/>
      <c r="H133" s="227"/>
      <c r="I133" s="227"/>
      <c r="J133" s="227"/>
      <c r="K133" s="227"/>
      <c r="L133" s="227"/>
      <c r="M133" s="225"/>
      <c r="N133" s="171"/>
    </row>
    <row r="134" spans="1:14" customFormat="1" ht="20" thickTop="1">
      <c r="E134" s="208"/>
      <c r="F134" s="219"/>
      <c r="G134" s="219"/>
      <c r="H134" s="219"/>
      <c r="I134" s="219"/>
      <c r="J134" s="219"/>
      <c r="K134" s="219"/>
      <c r="L134" s="219"/>
      <c r="M134" s="171"/>
      <c r="N134" s="171"/>
    </row>
    <row r="135" spans="1:14" customFormat="1" ht="19">
      <c r="E135" s="208"/>
      <c r="F135" s="219"/>
      <c r="G135" s="219"/>
      <c r="H135" s="219"/>
      <c r="I135" s="219"/>
      <c r="J135" s="219"/>
      <c r="K135" s="219"/>
      <c r="L135" s="219"/>
      <c r="M135" s="171"/>
      <c r="N135" s="171"/>
    </row>
    <row r="151" spans="1:14" customFormat="1" ht="22" thickBot="1">
      <c r="A151" s="220"/>
      <c r="B151" s="221"/>
      <c r="C151" s="221"/>
      <c r="D151" s="222"/>
      <c r="E151" s="223"/>
      <c r="F151" s="224"/>
      <c r="G151" s="224"/>
      <c r="H151" s="224"/>
      <c r="I151" s="224"/>
      <c r="J151" s="224"/>
      <c r="K151" s="224"/>
      <c r="L151" s="225"/>
      <c r="M151" s="171"/>
      <c r="N151" s="171"/>
    </row>
    <row r="152" spans="1:14" customFormat="1" ht="20" thickTop="1">
      <c r="E152" s="208"/>
      <c r="F152" s="219"/>
      <c r="G152" s="219"/>
      <c r="H152" s="219"/>
      <c r="I152" s="219"/>
      <c r="J152" s="219"/>
      <c r="K152" s="219"/>
      <c r="L152" s="219"/>
      <c r="M152" s="171"/>
      <c r="N152" s="171"/>
    </row>
    <row r="153" spans="1:14" customFormat="1" ht="19">
      <c r="E153" s="208"/>
      <c r="F153" s="219"/>
      <c r="G153" s="219"/>
      <c r="H153" s="219"/>
      <c r="I153" s="219"/>
      <c r="J153" s="219"/>
      <c r="K153" s="219"/>
      <c r="L153" s="219"/>
      <c r="M153" s="171"/>
      <c r="N153" s="171"/>
    </row>
    <row r="154" spans="1:14" customFormat="1" ht="19">
      <c r="E154" s="208"/>
      <c r="F154" s="219"/>
      <c r="G154" s="219"/>
      <c r="H154" s="219"/>
      <c r="I154" s="219"/>
      <c r="J154" s="219"/>
      <c r="K154" s="219"/>
      <c r="L154" s="219"/>
      <c r="M154" s="171"/>
      <c r="N154" s="171"/>
    </row>
    <row r="155" spans="1:14" customFormat="1" ht="19">
      <c r="E155" s="208"/>
      <c r="F155" s="219"/>
      <c r="G155" s="219"/>
      <c r="H155" s="219"/>
      <c r="I155" s="219"/>
      <c r="J155" s="219"/>
      <c r="K155" s="219"/>
      <c r="L155" s="219"/>
      <c r="M155" s="171"/>
      <c r="N155" s="171"/>
    </row>
    <row r="156" spans="1:14" customFormat="1" ht="19">
      <c r="E156" s="208"/>
      <c r="F156" s="219"/>
      <c r="G156" s="219"/>
      <c r="H156" s="219"/>
      <c r="I156" s="219"/>
      <c r="J156" s="219"/>
      <c r="K156" s="219"/>
      <c r="L156" s="219"/>
      <c r="M156" s="171"/>
      <c r="N156" s="171"/>
    </row>
    <row r="157" spans="1:14" customFormat="1" ht="19">
      <c r="E157" s="208"/>
      <c r="F157" s="219"/>
      <c r="G157" s="219"/>
      <c r="H157" s="219"/>
      <c r="I157" s="219"/>
      <c r="J157" s="219"/>
      <c r="K157" s="219"/>
      <c r="L157" s="219"/>
      <c r="M157" s="171"/>
      <c r="N157" s="171"/>
    </row>
    <row r="158" spans="1:14" customFormat="1" ht="19">
      <c r="E158" s="208"/>
      <c r="F158" s="219"/>
      <c r="G158" s="219"/>
      <c r="H158" s="219"/>
      <c r="I158" s="219"/>
      <c r="J158" s="219"/>
      <c r="K158" s="219"/>
      <c r="L158" s="219"/>
      <c r="M158" s="171"/>
      <c r="N158" s="171"/>
    </row>
    <row r="159" spans="1:14" customFormat="1" ht="19">
      <c r="E159" s="208"/>
      <c r="F159" s="219"/>
      <c r="G159" s="219"/>
      <c r="H159" s="219"/>
      <c r="I159" s="219"/>
      <c r="J159" s="219"/>
      <c r="K159" s="219"/>
      <c r="L159" s="219"/>
      <c r="M159" s="171"/>
      <c r="N159" s="171"/>
    </row>
    <row r="160" spans="1:14" customFormat="1" ht="32" customHeight="1">
      <c r="B160" s="328" t="s">
        <v>228</v>
      </c>
      <c r="C160" s="328"/>
      <c r="D160" s="328"/>
      <c r="E160" s="328"/>
      <c r="F160" s="328"/>
      <c r="M160" s="171"/>
      <c r="N160" s="171"/>
    </row>
    <row r="161" spans="2:14" customFormat="1">
      <c r="M161" s="171"/>
      <c r="N161" s="171"/>
    </row>
    <row r="162" spans="2:14" customFormat="1">
      <c r="M162" s="171"/>
      <c r="N162" s="171"/>
    </row>
    <row r="163" spans="2:14" customFormat="1" ht="21">
      <c r="F163" s="327" t="s">
        <v>229</v>
      </c>
      <c r="G163" s="327"/>
      <c r="H163" s="327"/>
      <c r="I163" s="327"/>
      <c r="J163" s="327"/>
      <c r="K163" s="327"/>
      <c r="L163" s="327"/>
      <c r="M163" s="171"/>
      <c r="N163" s="171"/>
    </row>
    <row r="164" spans="2:14" customFormat="1">
      <c r="F164" s="209">
        <v>-0.3</v>
      </c>
      <c r="G164" s="209">
        <v>-0.2</v>
      </c>
      <c r="H164" s="209">
        <v>-0.1</v>
      </c>
      <c r="I164" s="209">
        <v>0</v>
      </c>
      <c r="J164" s="209">
        <v>0.1</v>
      </c>
      <c r="K164" s="209">
        <v>0.2</v>
      </c>
      <c r="L164" s="209">
        <v>0.3</v>
      </c>
      <c r="M164" s="171"/>
      <c r="N164" s="171"/>
    </row>
    <row r="165" spans="2:14" customFormat="1">
      <c r="F165" s="210">
        <f t="shared" ref="F165:L165" si="4">$H$20*(1+F164)</f>
        <v>27.116666666666667</v>
      </c>
      <c r="G165" s="210">
        <f t="shared" si="4"/>
        <v>30.990476190476194</v>
      </c>
      <c r="H165" s="210">
        <f t="shared" si="4"/>
        <v>34.864285714285721</v>
      </c>
      <c r="I165" s="210">
        <f t="shared" si="4"/>
        <v>38.738095238095241</v>
      </c>
      <c r="J165" s="210">
        <f t="shared" si="4"/>
        <v>42.611904761904768</v>
      </c>
      <c r="K165" s="210">
        <f t="shared" si="4"/>
        <v>46.485714285714288</v>
      </c>
      <c r="L165" s="210">
        <f t="shared" si="4"/>
        <v>50.359523809523814</v>
      </c>
      <c r="M165" s="171"/>
      <c r="N165" s="171"/>
    </row>
    <row r="166" spans="2:14" customFormat="1">
      <c r="M166" s="171"/>
      <c r="N166" s="171"/>
    </row>
    <row r="167" spans="2:14" customFormat="1" ht="19">
      <c r="E167" s="211">
        <f>Análise!D45</f>
        <v>2179.5735561344964</v>
      </c>
      <c r="F167" s="212">
        <v>113.49101523809523</v>
      </c>
      <c r="G167" s="212">
        <v>129.70401741496599</v>
      </c>
      <c r="H167" s="212">
        <v>145.91701959183675</v>
      </c>
      <c r="I167" s="212">
        <v>162.13002176870748</v>
      </c>
      <c r="J167" s="212">
        <v>178.34302394557824</v>
      </c>
      <c r="K167" s="212">
        <v>194.55602612244897</v>
      </c>
      <c r="L167" s="212">
        <v>210.76902829931973</v>
      </c>
      <c r="M167" s="171"/>
      <c r="N167" s="171"/>
    </row>
    <row r="168" spans="2:14" customFormat="1" ht="19">
      <c r="B168" s="208">
        <v>-0.3</v>
      </c>
      <c r="C168" s="228">
        <f>$H$41*(1+B168)</f>
        <v>0</v>
      </c>
      <c r="E168" s="213">
        <v>32.405249999999995</v>
      </c>
      <c r="F168" s="214">
        <f t="dataTable" ref="F168:L174" dt2D="1" dtr="1" r1="H20" r2="H41" ca="1"/>
        <v>2072.4153861344962</v>
      </c>
      <c r="G168" s="214">
        <v>2056.2023839576254</v>
      </c>
      <c r="H168" s="214">
        <v>2039.9893817807547</v>
      </c>
      <c r="I168" s="216">
        <v>2023.7763796038839</v>
      </c>
      <c r="J168" s="214">
        <v>2007.5633774270132</v>
      </c>
      <c r="K168" s="214">
        <v>1991.3503752501424</v>
      </c>
      <c r="L168" s="215">
        <v>1975.1373730732716</v>
      </c>
      <c r="M168" s="171"/>
      <c r="N168" s="171"/>
    </row>
    <row r="169" spans="2:14" customFormat="1" ht="19">
      <c r="B169" s="208">
        <v>-0.2</v>
      </c>
      <c r="C169" s="228">
        <f t="shared" ref="C169:C174" si="5">$H$41*(1+B169)</f>
        <v>0</v>
      </c>
      <c r="E169" s="213">
        <v>37.034571428571432</v>
      </c>
      <c r="F169" s="214">
        <v>2067.7860647059247</v>
      </c>
      <c r="G169" s="214">
        <v>2051.5730625290539</v>
      </c>
      <c r="H169" s="214">
        <v>2035.3600603521832</v>
      </c>
      <c r="I169" s="216">
        <v>2019.1470581753124</v>
      </c>
      <c r="J169" s="214">
        <v>2002.9340559984416</v>
      </c>
      <c r="K169" s="214">
        <v>1986.7210538215709</v>
      </c>
      <c r="L169" s="215">
        <v>1970.5080516447001</v>
      </c>
      <c r="M169" s="171"/>
      <c r="N169" s="171"/>
    </row>
    <row r="170" spans="2:14" customFormat="1" ht="19">
      <c r="B170" s="208">
        <v>-0.1</v>
      </c>
      <c r="C170" s="228">
        <f t="shared" si="5"/>
        <v>0</v>
      </c>
      <c r="E170" s="213">
        <v>41.663892857142855</v>
      </c>
      <c r="F170" s="214">
        <v>2063.1567432773531</v>
      </c>
      <c r="G170" s="214">
        <v>2046.9437411004824</v>
      </c>
      <c r="H170" s="214">
        <v>2030.7307389236116</v>
      </c>
      <c r="I170" s="216">
        <v>2014.5177367467409</v>
      </c>
      <c r="J170" s="214">
        <v>1998.3047345698701</v>
      </c>
      <c r="K170" s="214">
        <v>1982.0917323929998</v>
      </c>
      <c r="L170" s="215">
        <v>1965.878730216129</v>
      </c>
      <c r="M170" s="171"/>
      <c r="N170" s="171"/>
    </row>
    <row r="171" spans="2:14" customFormat="1" ht="19">
      <c r="B171" s="208">
        <v>0</v>
      </c>
      <c r="C171" s="228">
        <f t="shared" si="5"/>
        <v>0</v>
      </c>
      <c r="E171" s="213">
        <v>46.293214285714285</v>
      </c>
      <c r="F171" s="216">
        <v>2058.5274218487821</v>
      </c>
      <c r="G171" s="216">
        <v>2042.3144196719113</v>
      </c>
      <c r="H171" s="216">
        <v>2026.1014174950406</v>
      </c>
      <c r="I171" s="216">
        <v>2009.8884153181698</v>
      </c>
      <c r="J171" s="216">
        <v>1993.675413141299</v>
      </c>
      <c r="K171" s="216">
        <v>1977.4624109644283</v>
      </c>
      <c r="L171" s="217">
        <v>1961.2494087875575</v>
      </c>
      <c r="M171" s="171"/>
      <c r="N171" s="171"/>
    </row>
    <row r="172" spans="2:14" customFormat="1" ht="19">
      <c r="B172" s="208">
        <v>0.1</v>
      </c>
      <c r="C172" s="228">
        <f t="shared" si="5"/>
        <v>0</v>
      </c>
      <c r="E172" s="213">
        <v>50.922535714285715</v>
      </c>
      <c r="F172" s="214">
        <v>2053.8981004202105</v>
      </c>
      <c r="G172" s="214">
        <v>2037.6850982433398</v>
      </c>
      <c r="H172" s="214">
        <v>2021.472096066469</v>
      </c>
      <c r="I172" s="216">
        <v>2005.2590938895983</v>
      </c>
      <c r="J172" s="214">
        <v>1989.0460917127275</v>
      </c>
      <c r="K172" s="214">
        <v>1972.8330895358567</v>
      </c>
      <c r="L172" s="215">
        <v>1956.620087358986</v>
      </c>
      <c r="M172" s="171"/>
      <c r="N172" s="171"/>
    </row>
    <row r="173" spans="2:14" customFormat="1" ht="19">
      <c r="B173" s="208">
        <v>0.2</v>
      </c>
      <c r="C173" s="228">
        <f t="shared" si="5"/>
        <v>0</v>
      </c>
      <c r="E173" s="213">
        <v>55.551857142857138</v>
      </c>
      <c r="F173" s="214">
        <v>2049.268778991639</v>
      </c>
      <c r="G173" s="214">
        <v>2033.0557768147683</v>
      </c>
      <c r="H173" s="214">
        <v>2016.8427746378975</v>
      </c>
      <c r="I173" s="216">
        <v>2000.6297724610267</v>
      </c>
      <c r="J173" s="214">
        <v>1984.416770284156</v>
      </c>
      <c r="K173" s="214">
        <v>1968.2037681072852</v>
      </c>
      <c r="L173" s="215">
        <v>1951.9907659304145</v>
      </c>
      <c r="M173" s="171"/>
      <c r="N173" s="171"/>
    </row>
    <row r="174" spans="2:14" customFormat="1" ht="19">
      <c r="B174" s="208">
        <v>0.3</v>
      </c>
      <c r="C174" s="228">
        <f t="shared" si="5"/>
        <v>0</v>
      </c>
      <c r="E174" s="213">
        <v>60.181178571428575</v>
      </c>
      <c r="F174" s="214">
        <v>2044.6394575630675</v>
      </c>
      <c r="G174" s="214">
        <v>2028.4264553861967</v>
      </c>
      <c r="H174" s="214">
        <v>2012.213453209326</v>
      </c>
      <c r="I174" s="216">
        <v>1996.0004510324552</v>
      </c>
      <c r="J174" s="214">
        <v>1979.7874488555844</v>
      </c>
      <c r="K174" s="214">
        <v>1963.5744466787137</v>
      </c>
      <c r="L174" s="215">
        <v>1947.3614445018429</v>
      </c>
      <c r="M174" s="171"/>
      <c r="N174" s="171"/>
    </row>
    <row r="175" spans="2:14" customFormat="1">
      <c r="M175" s="171"/>
      <c r="N175" s="171"/>
    </row>
    <row r="176" spans="2:14" customFormat="1">
      <c r="E176" s="39"/>
      <c r="F176" s="209">
        <v>-0.3</v>
      </c>
      <c r="G176" s="209">
        <v>-0.2</v>
      </c>
      <c r="H176" s="209">
        <v>-0.1</v>
      </c>
      <c r="I176" s="209">
        <v>0</v>
      </c>
      <c r="J176" s="209">
        <v>0.1</v>
      </c>
      <c r="K176" s="209">
        <v>0.2</v>
      </c>
      <c r="L176" s="209">
        <v>0.3</v>
      </c>
      <c r="M176" s="171"/>
      <c r="N176" s="171"/>
    </row>
    <row r="177" spans="2:14" customFormat="1" ht="19">
      <c r="E177" s="208">
        <v>-0.3</v>
      </c>
      <c r="F177" s="219">
        <f t="shared" ref="F177:L183" si="6">((F168/$E$167)-1)*100</f>
        <v>-4.9164741285468105</v>
      </c>
      <c r="G177" s="219">
        <f t="shared" si="6"/>
        <v>-5.6603353362238202</v>
      </c>
      <c r="H177" s="219">
        <f t="shared" si="6"/>
        <v>-6.4041965439008202</v>
      </c>
      <c r="I177" s="219">
        <f t="shared" si="6"/>
        <v>-7.1480577515778299</v>
      </c>
      <c r="J177" s="219">
        <f t="shared" si="6"/>
        <v>-7.8919189592548395</v>
      </c>
      <c r="K177" s="219">
        <f t="shared" si="6"/>
        <v>-8.6357801669318501</v>
      </c>
      <c r="L177" s="219">
        <f t="shared" si="6"/>
        <v>-9.3796413746088483</v>
      </c>
      <c r="M177" s="171"/>
      <c r="N177" s="171"/>
    </row>
    <row r="178" spans="2:14" customFormat="1" ht="19">
      <c r="E178" s="208">
        <v>-0.2</v>
      </c>
      <c r="F178" s="219">
        <f t="shared" si="6"/>
        <v>-5.1288698706194786</v>
      </c>
      <c r="G178" s="219">
        <f t="shared" si="6"/>
        <v>-5.8727310782964892</v>
      </c>
      <c r="H178" s="219">
        <f t="shared" si="6"/>
        <v>-6.6165922859734883</v>
      </c>
      <c r="I178" s="219">
        <f t="shared" si="6"/>
        <v>-7.3604534936504979</v>
      </c>
      <c r="J178" s="219">
        <f t="shared" si="6"/>
        <v>-8.1043147013275085</v>
      </c>
      <c r="K178" s="219">
        <f t="shared" si="6"/>
        <v>-8.8481759090045191</v>
      </c>
      <c r="L178" s="219">
        <f t="shared" si="6"/>
        <v>-9.5920371166815173</v>
      </c>
      <c r="M178" s="171"/>
      <c r="N178" s="171"/>
    </row>
    <row r="179" spans="2:14" customFormat="1" ht="19">
      <c r="E179" s="208">
        <v>-0.1</v>
      </c>
      <c r="F179" s="219">
        <f t="shared" si="6"/>
        <v>-5.3412656126921476</v>
      </c>
      <c r="G179" s="219">
        <f t="shared" si="6"/>
        <v>-6.0851268203691582</v>
      </c>
      <c r="H179" s="219">
        <f t="shared" si="6"/>
        <v>-6.8289880280461563</v>
      </c>
      <c r="I179" s="219">
        <f t="shared" si="6"/>
        <v>-7.5728492357231669</v>
      </c>
      <c r="J179" s="219">
        <f t="shared" si="6"/>
        <v>-8.3167104434001775</v>
      </c>
      <c r="K179" s="219">
        <f t="shared" si="6"/>
        <v>-9.060571651077165</v>
      </c>
      <c r="L179" s="219">
        <f t="shared" si="6"/>
        <v>-9.8044328587541649</v>
      </c>
      <c r="M179" s="171"/>
      <c r="N179" s="171"/>
    </row>
    <row r="180" spans="2:14" customFormat="1" ht="19">
      <c r="E180" s="208">
        <v>0</v>
      </c>
      <c r="F180" s="219">
        <f t="shared" si="6"/>
        <v>-5.5536613547647935</v>
      </c>
      <c r="G180" s="219">
        <f t="shared" si="6"/>
        <v>-6.2975225624418041</v>
      </c>
      <c r="H180" s="219">
        <f t="shared" si="6"/>
        <v>-7.0413837701188147</v>
      </c>
      <c r="I180" s="219">
        <f t="shared" si="6"/>
        <v>-7.7852449777958128</v>
      </c>
      <c r="J180" s="219">
        <f t="shared" si="6"/>
        <v>-8.5291061854728234</v>
      </c>
      <c r="K180" s="219">
        <f t="shared" si="6"/>
        <v>-9.272967393149834</v>
      </c>
      <c r="L180" s="219">
        <f t="shared" si="6"/>
        <v>-10.016828600826845</v>
      </c>
      <c r="M180" s="171"/>
      <c r="N180" s="171"/>
    </row>
    <row r="181" spans="2:14" customFormat="1" ht="19">
      <c r="E181" s="208">
        <v>0.1</v>
      </c>
      <c r="F181" s="219">
        <f t="shared" si="6"/>
        <v>-5.7660570968374625</v>
      </c>
      <c r="G181" s="219">
        <f t="shared" si="6"/>
        <v>-6.5099183045144731</v>
      </c>
      <c r="H181" s="219">
        <f t="shared" si="6"/>
        <v>-7.2537795121914828</v>
      </c>
      <c r="I181" s="219">
        <f t="shared" si="6"/>
        <v>-7.9976407198684818</v>
      </c>
      <c r="J181" s="219">
        <f t="shared" si="6"/>
        <v>-8.7415019275454924</v>
      </c>
      <c r="K181" s="219">
        <f t="shared" si="6"/>
        <v>-9.485363135222503</v>
      </c>
      <c r="L181" s="219">
        <f t="shared" si="6"/>
        <v>-10.229224342899512</v>
      </c>
      <c r="M181" s="171"/>
      <c r="N181" s="171"/>
    </row>
    <row r="182" spans="2:14" customFormat="1" ht="19">
      <c r="E182" s="208">
        <v>0.2</v>
      </c>
      <c r="F182" s="219">
        <f t="shared" si="6"/>
        <v>-5.9784528389101315</v>
      </c>
      <c r="G182" s="219">
        <f t="shared" si="6"/>
        <v>-6.7223140465871412</v>
      </c>
      <c r="H182" s="219">
        <f t="shared" si="6"/>
        <v>-7.4661752542641509</v>
      </c>
      <c r="I182" s="219">
        <f t="shared" si="6"/>
        <v>-8.2100364619411508</v>
      </c>
      <c r="J182" s="219">
        <f t="shared" si="6"/>
        <v>-8.9538976696181614</v>
      </c>
      <c r="K182" s="219">
        <f t="shared" si="6"/>
        <v>-9.6977588772951702</v>
      </c>
      <c r="L182" s="219">
        <f t="shared" si="6"/>
        <v>-10.441620084972181</v>
      </c>
      <c r="M182" s="171"/>
      <c r="N182" s="171"/>
    </row>
    <row r="183" spans="2:14" customFormat="1" ht="19">
      <c r="E183" s="208">
        <v>0.3</v>
      </c>
      <c r="F183" s="219">
        <f t="shared" si="6"/>
        <v>-6.1908485809827996</v>
      </c>
      <c r="G183" s="219">
        <f t="shared" si="6"/>
        <v>-6.9347097886598092</v>
      </c>
      <c r="H183" s="219">
        <f t="shared" si="6"/>
        <v>-7.6785709963368198</v>
      </c>
      <c r="I183" s="219">
        <f t="shared" si="6"/>
        <v>-8.4224322040138304</v>
      </c>
      <c r="J183" s="219">
        <f t="shared" si="6"/>
        <v>-9.1662934116908286</v>
      </c>
      <c r="K183" s="219">
        <f t="shared" si="6"/>
        <v>-9.9101546193678391</v>
      </c>
      <c r="L183" s="219">
        <f t="shared" si="6"/>
        <v>-10.65401582704485</v>
      </c>
      <c r="M183" s="171"/>
      <c r="N183" s="171"/>
    </row>
    <row r="184" spans="2:14" customFormat="1">
      <c r="M184" s="171"/>
      <c r="N184" s="171"/>
    </row>
    <row r="185" spans="2:14" customFormat="1">
      <c r="M185" s="171"/>
      <c r="N185" s="171"/>
    </row>
    <row r="186" spans="2:14" customFormat="1">
      <c r="M186" s="171"/>
      <c r="N186" s="171"/>
    </row>
    <row r="187" spans="2:14" customFormat="1">
      <c r="M187" s="171"/>
      <c r="N187" s="171"/>
    </row>
    <row r="188" spans="2:14" customFormat="1">
      <c r="M188" s="171"/>
      <c r="N188" s="171"/>
    </row>
    <row r="189" spans="2:14" customFormat="1">
      <c r="M189" s="171"/>
      <c r="N189" s="171"/>
    </row>
    <row r="190" spans="2:14" customFormat="1" ht="22" thickBot="1">
      <c r="B190" s="220"/>
      <c r="C190" s="221"/>
      <c r="D190" s="221"/>
      <c r="E190" s="222"/>
      <c r="F190" s="223"/>
      <c r="G190" s="224"/>
      <c r="H190" s="224"/>
      <c r="I190" s="224"/>
      <c r="J190" s="224"/>
      <c r="K190" s="224"/>
      <c r="L190" s="224"/>
      <c r="M190" s="225"/>
      <c r="N190" s="171"/>
    </row>
    <row r="191" spans="2:14" customFormat="1" ht="22" thickTop="1">
      <c r="B191" s="178"/>
      <c r="C191" s="192"/>
      <c r="D191" s="192"/>
      <c r="E191" s="197"/>
      <c r="F191" s="196"/>
      <c r="M191" s="171"/>
      <c r="N191" s="171"/>
    </row>
  </sheetData>
  <mergeCells count="5">
    <mergeCell ref="B105:F105"/>
    <mergeCell ref="F108:L108"/>
    <mergeCell ref="D112:D119"/>
    <mergeCell ref="B160:F160"/>
    <mergeCell ref="F163:L16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B2:H45"/>
  <sheetViews>
    <sheetView showGridLines="0" showRowColHeaders="0" zoomScale="127" zoomScaleNormal="89" workbookViewId="0"/>
  </sheetViews>
  <sheetFormatPr baseColWidth="10" defaultColWidth="9.1640625" defaultRowHeight="15"/>
  <cols>
    <col min="1" max="1" width="3.33203125" bestFit="1" customWidth="1"/>
    <col min="2" max="2" width="58.33203125" bestFit="1" customWidth="1"/>
    <col min="3" max="3" width="30.6640625" customWidth="1"/>
    <col min="4" max="4" width="35.1640625" customWidth="1"/>
    <col min="5" max="6" width="22.6640625" customWidth="1"/>
    <col min="15" max="15" width="10.6640625" bestFit="1" customWidth="1"/>
  </cols>
  <sheetData>
    <row r="2" spans="2:8" ht="34.25" customHeight="1"/>
    <row r="5" spans="2:8">
      <c r="B5" s="5"/>
      <c r="C5" s="6"/>
      <c r="D5" s="6"/>
      <c r="E5" s="2"/>
      <c r="F5" s="2"/>
    </row>
    <row r="6" spans="2:8">
      <c r="B6" s="6"/>
      <c r="C6" s="6"/>
      <c r="D6" s="6"/>
      <c r="E6" s="6"/>
    </row>
    <row r="7" spans="2:8" ht="30" customHeight="1">
      <c r="B7" s="53"/>
      <c r="C7" s="53" t="s">
        <v>98</v>
      </c>
      <c r="D7" s="53"/>
      <c r="E7" s="53"/>
      <c r="F7" s="53"/>
    </row>
    <row r="8" spans="2:8" ht="47" customHeight="1">
      <c r="B8" s="53"/>
      <c r="C8" s="53"/>
      <c r="D8" s="53"/>
      <c r="E8" s="53"/>
      <c r="F8" s="53"/>
    </row>
    <row r="9" spans="2:8" ht="23.25" customHeight="1">
      <c r="B9" s="261" t="s">
        <v>108</v>
      </c>
      <c r="C9" s="135"/>
      <c r="D9" s="135"/>
      <c r="E9" s="135"/>
      <c r="F9" s="135"/>
    </row>
    <row r="10" spans="2:8" ht="44.25" customHeight="1">
      <c r="B10" s="238" t="s">
        <v>44</v>
      </c>
      <c r="C10" s="238" t="s">
        <v>51</v>
      </c>
      <c r="D10" s="257" t="s">
        <v>255</v>
      </c>
      <c r="E10" s="238" t="s">
        <v>68</v>
      </c>
      <c r="F10" s="238" t="s">
        <v>250</v>
      </c>
    </row>
    <row r="11" spans="2:8" ht="16">
      <c r="B11" s="124" t="s">
        <v>324</v>
      </c>
      <c r="C11" s="126">
        <f>2*80</f>
        <v>160</v>
      </c>
      <c r="D11" s="143">
        <v>1</v>
      </c>
      <c r="E11" s="186">
        <f>IF(ISBLANK(B11), " ",IF(ISERROR(((C11*D11)/'Informações Gerais'!$E$16)),0,((C11*D11)/'Informações Gerais'!$E$16)))</f>
        <v>26.666666666666668</v>
      </c>
      <c r="F11" s="186">
        <f>IF(ISBLANK(B11), " ",IF(ISERROR((E11/'Informações Gerais'!$E$17)),0,((E11/'Informações Gerais'!$E$17))))</f>
        <v>1.7777777777777779</v>
      </c>
      <c r="H11" s="296"/>
    </row>
    <row r="12" spans="2:8" ht="16">
      <c r="B12" s="124" t="s">
        <v>325</v>
      </c>
      <c r="C12" s="126">
        <v>200</v>
      </c>
      <c r="D12" s="143">
        <v>1</v>
      </c>
      <c r="E12" s="186">
        <f>IF(ISBLANK(B12), " ",IF(ISERROR(((C12*D12)/'Informações Gerais'!$E$16)),0,((C12*D12)/'Informações Gerais'!$E$16)))</f>
        <v>33.333333333333336</v>
      </c>
      <c r="F12" s="186">
        <f>IF(ISBLANK(B12), " ",IF(ISERROR((E12/'Informações Gerais'!$E$17)),0,((E12/'Informações Gerais'!$E$17))))</f>
        <v>2.2222222222222223</v>
      </c>
      <c r="H12" s="296"/>
    </row>
    <row r="13" spans="2:8" ht="16">
      <c r="B13" s="124" t="s">
        <v>326</v>
      </c>
      <c r="C13" s="126">
        <f>12*20</f>
        <v>240</v>
      </c>
      <c r="D13" s="143">
        <v>1</v>
      </c>
      <c r="E13" s="186">
        <f>IF(ISBLANK(B13), " ",IF(ISERROR(((C13*D13)/'Informações Gerais'!$E$16)),0,((C13*D13)/'Informações Gerais'!$E$16)))</f>
        <v>40</v>
      </c>
      <c r="F13" s="186">
        <f>IF(ISBLANK(B13), " ",IF(ISERROR((E13/'Informações Gerais'!$E$17)),0,((E13/'Informações Gerais'!$E$17))))</f>
        <v>2.6666666666666665</v>
      </c>
      <c r="H13" s="296"/>
    </row>
    <row r="14" spans="2:8" ht="16">
      <c r="B14" s="124" t="s">
        <v>327</v>
      </c>
      <c r="C14" s="126">
        <f>(0.3*70)*12*6</f>
        <v>1512</v>
      </c>
      <c r="D14" s="143">
        <v>1</v>
      </c>
      <c r="E14" s="186">
        <f>IF(ISBLANK(B14), " ",IF(ISERROR(((C14*D14)/'Informações Gerais'!$E$16)),0,((C14*D14)/'Informações Gerais'!$E$16)))</f>
        <v>252</v>
      </c>
      <c r="F14" s="186">
        <f>IF(ISBLANK(B14), " ",IF(ISERROR((E14/'Informações Gerais'!$E$17)),0,((E14/'Informações Gerais'!$E$17))))</f>
        <v>16.8</v>
      </c>
    </row>
    <row r="15" spans="2:8" ht="16">
      <c r="B15" s="124" t="s">
        <v>329</v>
      </c>
      <c r="C15" s="126">
        <f>115*6</f>
        <v>690</v>
      </c>
      <c r="D15" s="143">
        <v>1</v>
      </c>
      <c r="E15" s="186">
        <f>IF(ISBLANK(B15), " ",IF(ISERROR(((C15*D15)/'Informações Gerais'!$E$16)),0,((C15*D15)/'Informações Gerais'!$E$16)))</f>
        <v>115</v>
      </c>
      <c r="F15" s="186">
        <f>IF(ISBLANK(B15), " ",IF(ISERROR((E15/'Informações Gerais'!$E$17)),0,((E15/'Informações Gerais'!$E$17))))</f>
        <v>7.666666666666667</v>
      </c>
    </row>
    <row r="16" spans="2:8" ht="16">
      <c r="B16" s="124" t="s">
        <v>330</v>
      </c>
      <c r="C16" s="126">
        <f>2*80</f>
        <v>160</v>
      </c>
      <c r="D16" s="143">
        <v>1</v>
      </c>
      <c r="E16" s="186">
        <f>IF(ISBLANK(B16), " ",IF(ISERROR(((C16*D16)/'Informações Gerais'!$E$16)),0,((C16*D16)/'Informações Gerais'!$E$16)))</f>
        <v>26.666666666666668</v>
      </c>
      <c r="F16" s="186">
        <f>IF(ISBLANK(B16), " ",IF(ISERROR((E16/'Informações Gerais'!$E$17)),0,((E16/'Informações Gerais'!$E$17))))</f>
        <v>1.7777777777777779</v>
      </c>
    </row>
    <row r="17" spans="2:6" ht="16">
      <c r="B17" s="124" t="s">
        <v>331</v>
      </c>
      <c r="C17" s="126">
        <f>12*120</f>
        <v>1440</v>
      </c>
      <c r="D17" s="143">
        <v>1</v>
      </c>
      <c r="E17" s="186">
        <f>IF(ISBLANK(B17), " ",IF(ISERROR(((C17*D17)/'Informações Gerais'!$E$16)),0,((C17*D17)/'Informações Gerais'!$E$16)))</f>
        <v>240</v>
      </c>
      <c r="F17" s="186">
        <f>IF(ISBLANK(B17), " ",IF(ISERROR((E17/'Informações Gerais'!$E$17)),0,((E17/'Informações Gerais'!$E$17))))</f>
        <v>16</v>
      </c>
    </row>
    <row r="18" spans="2:6" ht="16">
      <c r="B18" s="124" t="s">
        <v>332</v>
      </c>
      <c r="C18" s="126">
        <f>2.5%*112000</f>
        <v>2800</v>
      </c>
      <c r="D18" s="143">
        <v>0.33</v>
      </c>
      <c r="E18" s="186">
        <f>IF(ISBLANK(B18), " ",IF(ISERROR(((C18*D18)/'Informações Gerais'!$E$16)),0,((C18*D18)/'Informações Gerais'!$E$16)))</f>
        <v>154</v>
      </c>
      <c r="F18" s="186">
        <f>IF(ISBLANK(B18), " ",IF(ISERROR((E18/'Informações Gerais'!$E$17)),0,((E18/'Informações Gerais'!$E$17))))</f>
        <v>10.266666666666667</v>
      </c>
    </row>
    <row r="19" spans="2:6" ht="16">
      <c r="B19" s="124" t="s">
        <v>333</v>
      </c>
      <c r="C19" s="126">
        <f>150*12</f>
        <v>1800</v>
      </c>
      <c r="D19" s="143">
        <v>0.15</v>
      </c>
      <c r="E19" s="186">
        <f>IF(ISBLANK(B19), " ",IF(ISERROR(((C19*D19)/'Informações Gerais'!$E$16)),0,((C19*D19)/'Informações Gerais'!$E$16)))</f>
        <v>45</v>
      </c>
      <c r="F19" s="186">
        <f>IF(ISBLANK(B19), " ",IF(ISERROR((E19/'Informações Gerais'!$E$17)),0,((E19/'Informações Gerais'!$E$17))))</f>
        <v>3</v>
      </c>
    </row>
    <row r="20" spans="2:6" ht="16">
      <c r="B20" s="124" t="s">
        <v>334</v>
      </c>
      <c r="C20" s="126">
        <f>37*6</f>
        <v>222</v>
      </c>
      <c r="D20" s="143">
        <v>0.15</v>
      </c>
      <c r="E20" s="186">
        <f>IF(ISBLANK(B20), " ",IF(ISERROR(((C20*D20)/'Informações Gerais'!$E$16)),0,((C20*D20)/'Informações Gerais'!$E$16)))</f>
        <v>5.55</v>
      </c>
      <c r="F20" s="186">
        <f>IF(ISBLANK(B20), " ",IF(ISERROR((E20/'Informações Gerais'!$E$17)),0,((E20/'Informações Gerais'!$E$17))))</f>
        <v>0.37</v>
      </c>
    </row>
    <row r="21" spans="2:6" ht="16">
      <c r="B21" s="124" t="s">
        <v>335</v>
      </c>
      <c r="C21" s="126">
        <f>12*50</f>
        <v>600</v>
      </c>
      <c r="D21" s="143">
        <v>1</v>
      </c>
      <c r="E21" s="186">
        <f>IF(ISBLANK(B21), " ",IF(ISERROR(((C21*D21)/'Informações Gerais'!$E$16)),0,((C21*D21)/'Informações Gerais'!$E$16)))</f>
        <v>100</v>
      </c>
      <c r="F21" s="186">
        <f>IF(ISBLANK(B21), " ",IF(ISERROR((E21/'Informações Gerais'!$E$17)),0,((E21/'Informações Gerais'!$E$17))))</f>
        <v>6.666666666666667</v>
      </c>
    </row>
    <row r="22" spans="2:6" ht="16">
      <c r="B22" s="124" t="s">
        <v>328</v>
      </c>
      <c r="C22" s="126">
        <f>1%*11740*6</f>
        <v>704.40000000000009</v>
      </c>
      <c r="D22" s="143">
        <v>1</v>
      </c>
      <c r="E22" s="186">
        <f>IF(ISBLANK(B22), " ",IF(ISERROR(((C22*D22)/'Informações Gerais'!$E$16)),0,((C22*D22)/'Informações Gerais'!$E$16)))</f>
        <v>117.40000000000002</v>
      </c>
      <c r="F22" s="186">
        <f>IF(ISBLANK(B22), " ",IF(ISERROR((E22/'Informações Gerais'!$E$17)),0,((E22/'Informações Gerais'!$E$17))))</f>
        <v>7.826666666666668</v>
      </c>
    </row>
    <row r="23" spans="2:6" ht="16">
      <c r="B23" s="124" t="s">
        <v>337</v>
      </c>
      <c r="C23" s="126">
        <f>2%*11740*6</f>
        <v>1408.8000000000002</v>
      </c>
      <c r="D23" s="143">
        <v>1</v>
      </c>
      <c r="E23" s="186">
        <f>IF(ISBLANK(B23), " ",IF(ISERROR(((C23*D23)/'Informações Gerais'!$E$16)),0,((C23*D23)/'Informações Gerais'!$E$16)))</f>
        <v>234.80000000000004</v>
      </c>
      <c r="F23" s="186">
        <f>IF(ISBLANK(B23), " ",IF(ISERROR((E23/'Informações Gerais'!$E$17)),0,((E23/'Informações Gerais'!$E$17))))</f>
        <v>15.653333333333336</v>
      </c>
    </row>
    <row r="24" spans="2:6" ht="16">
      <c r="B24" s="124"/>
      <c r="C24" s="126"/>
      <c r="D24" s="143">
        <v>1</v>
      </c>
      <c r="E24" s="186" t="str">
        <f>IF(ISBLANK(B24), " ",IF(ISERROR(((C24*D24)/'Informações Gerais'!$E$16)),0,((C24*D24)/'Informações Gerais'!$E$16)))</f>
        <v xml:space="preserve"> </v>
      </c>
      <c r="F24" s="186" t="str">
        <f>IF(ISBLANK(B24), " ",IF(ISERROR((E24/'Informações Gerais'!$E$17)),0,((E24/'Informações Gerais'!$E$17))))</f>
        <v xml:space="preserve"> </v>
      </c>
    </row>
    <row r="25" spans="2:6" ht="16">
      <c r="B25" s="124"/>
      <c r="C25" s="126"/>
      <c r="D25" s="143">
        <v>1</v>
      </c>
      <c r="E25" s="186" t="str">
        <f>IF(ISBLANK(B25), " ",IF(ISERROR(((C25*D25)/'Informações Gerais'!$E$16)),0,((C25*D25)/'Informações Gerais'!$E$16)))</f>
        <v xml:space="preserve"> </v>
      </c>
      <c r="F25" s="186" t="str">
        <f>IF(ISBLANK(B25), " ",IF(ISERROR((E25/'Informações Gerais'!$E$17)),0,((E25/'Informações Gerais'!$E$17))))</f>
        <v xml:space="preserve"> </v>
      </c>
    </row>
    <row r="26" spans="2:6" ht="16">
      <c r="B26" s="124"/>
      <c r="C26" s="126"/>
      <c r="D26" s="143">
        <v>1</v>
      </c>
      <c r="E26" s="186" t="str">
        <f>IF(ISBLANK(B26), " ",IF(ISERROR(((C26*D26)/'Informações Gerais'!$E$16)),0,((C26*D26)/'Informações Gerais'!$E$16)))</f>
        <v xml:space="preserve"> </v>
      </c>
      <c r="F26" s="186" t="str">
        <f>IF(ISBLANK(B26), " ",IF(ISERROR((E26/'Informações Gerais'!$E$17)),0,((E26/'Informações Gerais'!$E$17))))</f>
        <v xml:space="preserve"> </v>
      </c>
    </row>
    <row r="27" spans="2:6" ht="16">
      <c r="B27" s="124"/>
      <c r="C27" s="126"/>
      <c r="D27" s="143">
        <v>1</v>
      </c>
      <c r="E27" s="186" t="str">
        <f>IF(ISBLANK(B27), " ",IF(ISERROR(((C27*D27)/'Informações Gerais'!$E$16)),0,((C27*D27)/'Informações Gerais'!$E$16)))</f>
        <v xml:space="preserve"> </v>
      </c>
      <c r="F27" s="186" t="str">
        <f>IF(ISBLANK(B27), " ",IF(ISERROR((E27/'Informações Gerais'!$E$17)),0,((E27/'Informações Gerais'!$E$17))))</f>
        <v xml:space="preserve"> </v>
      </c>
    </row>
    <row r="28" spans="2:6" ht="16">
      <c r="B28" s="124"/>
      <c r="C28" s="126"/>
      <c r="D28" s="143">
        <v>1</v>
      </c>
      <c r="E28" s="186" t="str">
        <f>IF(ISBLANK(B28), " ",IF(ISERROR(((C28*D28)/'Informações Gerais'!$E$16)),0,((C28*D28)/'Informações Gerais'!$E$16)))</f>
        <v xml:space="preserve"> </v>
      </c>
      <c r="F28" s="186" t="str">
        <f>IF(ISBLANK(B28), " ",IF(ISERROR((E28/'Informações Gerais'!$E$17)),0,((E28/'Informações Gerais'!$E$17))))</f>
        <v xml:space="preserve"> </v>
      </c>
    </row>
    <row r="29" spans="2:6" ht="16">
      <c r="B29" s="124"/>
      <c r="C29" s="126"/>
      <c r="D29" s="143">
        <v>1</v>
      </c>
      <c r="E29" s="186" t="str">
        <f>IF(ISBLANK(B29), " ",IF(ISERROR(((C29*D29)/'Informações Gerais'!$E$16)),0,((C29*D29)/'Informações Gerais'!$E$16)))</f>
        <v xml:space="preserve"> </v>
      </c>
      <c r="F29" s="186" t="str">
        <f>IF(ISBLANK(B29), " ",IF(ISERROR((E29/'Informações Gerais'!$E$17)),0,((E29/'Informações Gerais'!$E$17))))</f>
        <v xml:space="preserve"> </v>
      </c>
    </row>
    <row r="30" spans="2:6" ht="16">
      <c r="B30" s="124"/>
      <c r="C30" s="126"/>
      <c r="D30" s="143">
        <v>1</v>
      </c>
      <c r="E30" s="186" t="str">
        <f>IF(ISBLANK(B30), " ",IF(ISERROR(((C30*D30)/'Informações Gerais'!$E$16)),0,((C30*D30)/'Informações Gerais'!$E$16)))</f>
        <v xml:space="preserve"> </v>
      </c>
      <c r="F30" s="186" t="str">
        <f>IF(ISBLANK(B30), " ",IF(ISERROR((E30/'Informações Gerais'!$E$17)),0,((E30/'Informações Gerais'!$E$17))))</f>
        <v xml:space="preserve"> </v>
      </c>
    </row>
    <row r="31" spans="2:6" ht="16">
      <c r="B31" s="124"/>
      <c r="C31" s="126"/>
      <c r="D31" s="143">
        <v>1</v>
      </c>
      <c r="E31" s="186" t="str">
        <f>IF(ISBLANK(B31), " ",IF(ISERROR(((C31*D31)/'Informações Gerais'!$E$16)),0,((C31*D31)/'Informações Gerais'!$E$16)))</f>
        <v xml:space="preserve"> </v>
      </c>
      <c r="F31" s="186" t="str">
        <f>IF(ISBLANK(B31), " ",IF(ISERROR((E31/'Informações Gerais'!$E$17)),0,((E31/'Informações Gerais'!$E$17))))</f>
        <v xml:space="preserve"> </v>
      </c>
    </row>
    <row r="32" spans="2:6" ht="16">
      <c r="B32" s="124"/>
      <c r="C32" s="126"/>
      <c r="D32" s="143">
        <v>1</v>
      </c>
      <c r="E32" s="186" t="str">
        <f>IF(ISBLANK(B32), " ",IF(ISERROR(((C32*D32)/'Informações Gerais'!$E$16)),0,((C32*D32)/'Informações Gerais'!$E$16)))</f>
        <v xml:space="preserve"> </v>
      </c>
      <c r="F32" s="186" t="str">
        <f>IF(ISBLANK(B32), " ",IF(ISERROR((E32/'Informações Gerais'!$E$17)),0,((E32/'Informações Gerais'!$E$17))))</f>
        <v xml:space="preserve"> </v>
      </c>
    </row>
    <row r="33" spans="2:6" ht="16">
      <c r="B33" s="124"/>
      <c r="C33" s="126"/>
      <c r="D33" s="143">
        <v>1</v>
      </c>
      <c r="E33" s="186" t="str">
        <f>IF(ISBLANK(B33), " ",IF(ISERROR(((C33*D33)/'Informações Gerais'!$E$16)),0,((C33*D33)/'Informações Gerais'!$E$16)))</f>
        <v xml:space="preserve"> </v>
      </c>
      <c r="F33" s="186" t="str">
        <f>IF(ISBLANK(B33), " ",IF(ISERROR((E33/'Informações Gerais'!$E$17)),0,((E33/'Informações Gerais'!$E$17))))</f>
        <v xml:space="preserve"> </v>
      </c>
    </row>
    <row r="34" spans="2:6" ht="16">
      <c r="B34" s="124"/>
      <c r="C34" s="126"/>
      <c r="D34" s="143">
        <v>1</v>
      </c>
      <c r="E34" s="186" t="str">
        <f>IF(ISBLANK(B34), " ",IF(ISERROR(((C34*D34)/'Informações Gerais'!$E$16)),0,((C34*D34)/'Informações Gerais'!$E$16)))</f>
        <v xml:space="preserve"> </v>
      </c>
      <c r="F34" s="186" t="str">
        <f>IF(ISBLANK(B34), " ",IF(ISERROR((E34/'Informações Gerais'!$E$17)),0,((E34/'Informações Gerais'!$E$17))))</f>
        <v xml:space="preserve"> </v>
      </c>
    </row>
    <row r="35" spans="2:6" ht="16">
      <c r="B35" s="124"/>
      <c r="C35" s="126"/>
      <c r="D35" s="143">
        <v>1</v>
      </c>
      <c r="E35" s="186" t="str">
        <f>IF(ISBLANK(B35), " ",IF(ISERROR(((C35*D35)/'Informações Gerais'!$E$16)),0,((C35*D35)/'Informações Gerais'!$E$16)))</f>
        <v xml:space="preserve"> </v>
      </c>
      <c r="F35" s="186" t="str">
        <f>IF(ISBLANK(B35), " ",IF(ISERROR((E35/'Informações Gerais'!$E$17)),0,((E35/'Informações Gerais'!$E$17))))</f>
        <v xml:space="preserve"> </v>
      </c>
    </row>
    <row r="36" spans="2:6" ht="16">
      <c r="B36" s="124"/>
      <c r="C36" s="126"/>
      <c r="D36" s="143">
        <v>1</v>
      </c>
      <c r="E36" s="186" t="str">
        <f>IF(ISBLANK(B36), " ",IF(ISERROR(((C36*D36)/'Informações Gerais'!$E$16)),0,((C36*D36)/'Informações Gerais'!$E$16)))</f>
        <v xml:space="preserve"> </v>
      </c>
      <c r="F36" s="186" t="str">
        <f>IF(ISBLANK(B36), " ",IF(ISERROR((E36/'Informações Gerais'!$E$17)),0,((E36/'Informações Gerais'!$E$17))))</f>
        <v xml:space="preserve"> </v>
      </c>
    </row>
    <row r="37" spans="2:6" ht="16">
      <c r="B37" s="124"/>
      <c r="C37" s="126"/>
      <c r="D37" s="143">
        <v>1</v>
      </c>
      <c r="E37" s="186" t="str">
        <f>IF(ISBLANK(B37), " ",IF(ISERROR(((C37*D37)/'Informações Gerais'!$E$16)),0,((C37*D37)/'Informações Gerais'!$E$16)))</f>
        <v xml:space="preserve"> </v>
      </c>
      <c r="F37" s="186" t="str">
        <f>IF(ISBLANK(B37), " ",IF(ISERROR((E37/'Informações Gerais'!$E$17)),0,((E37/'Informações Gerais'!$E$17))))</f>
        <v xml:space="preserve"> </v>
      </c>
    </row>
    <row r="38" spans="2:6" ht="16">
      <c r="B38" s="124"/>
      <c r="C38" s="126"/>
      <c r="D38" s="143">
        <v>1</v>
      </c>
      <c r="E38" s="186" t="str">
        <f>IF(ISBLANK(B38), " ",IF(ISERROR(((C38*D38)/'Informações Gerais'!$E$16)),0,((C38*D38)/'Informações Gerais'!$E$16)))</f>
        <v xml:space="preserve"> </v>
      </c>
      <c r="F38" s="186" t="str">
        <f>IF(ISBLANK(B38), " ",IF(ISERROR((E38/'Informações Gerais'!$E$17)),0,((E38/'Informações Gerais'!$E$17))))</f>
        <v xml:space="preserve"> </v>
      </c>
    </row>
    <row r="39" spans="2:6" ht="16">
      <c r="B39" s="124"/>
      <c r="C39" s="126"/>
      <c r="D39" s="143"/>
      <c r="E39" s="186" t="str">
        <f>IF(ISBLANK(B39), " ",IF(ISERROR(((C39*D39)/'Informações Gerais'!$E$16)),0,((C39*D39)/'Informações Gerais'!$E$16)))</f>
        <v xml:space="preserve"> </v>
      </c>
      <c r="F39" s="186" t="str">
        <f>IF(ISBLANK(B39), " ",IF(ISERROR((E39/'Informações Gerais'!$E$17)),0,((E39/'Informações Gerais'!$E$17))))</f>
        <v xml:space="preserve"> </v>
      </c>
    </row>
    <row r="40" spans="2:6" ht="16">
      <c r="B40" s="124" t="s">
        <v>62</v>
      </c>
      <c r="C40" s="186">
        <f>(Inventário!E85)*0.02</f>
        <v>1052.7265229607776</v>
      </c>
      <c r="D40" s="126"/>
      <c r="E40" s="186">
        <f>IF(ISBLANK(B40), " ",IF(ISERROR((C40/'Informações Gerais'!$E$16)),0,((C40/'Informações Gerais'!$E$16))))</f>
        <v>175.45442049346295</v>
      </c>
      <c r="F40" s="186">
        <f>IF(ISBLANK(B40), " ",IF(ISERROR((E40/'Informações Gerais'!$E$17)),0,((E40/'Informações Gerais'!$E$17))))</f>
        <v>11.696961366230862</v>
      </c>
    </row>
    <row r="41" spans="2:6" ht="16">
      <c r="B41" s="124" t="s">
        <v>79</v>
      </c>
      <c r="C41" s="186">
        <f>SUM(Inventário!E50,Inventário!E101)*0.03</f>
        <v>7381.5</v>
      </c>
      <c r="D41" s="126"/>
      <c r="E41" s="186">
        <f>IF(ISBLANK(B40), " ",IF(ISERROR((C41/'Informações Gerais'!$E$16)),0,((C41/'Informações Gerais'!$E$16))))</f>
        <v>1230.25</v>
      </c>
      <c r="F41" s="186">
        <f>IF(ISBLANK(B40), " ",IF(ISERROR((E41/'Informações Gerais'!$E$17)),0,((E41/'Informações Gerais'!$E$17))))</f>
        <v>82.016666666666666</v>
      </c>
    </row>
    <row r="42" spans="2:6" ht="21">
      <c r="B42" s="238" t="s">
        <v>52</v>
      </c>
      <c r="C42" s="260">
        <f>SUM(C11:C41)</f>
        <v>20371.426522960777</v>
      </c>
      <c r="D42" s="241"/>
      <c r="E42" s="260">
        <f>(SUM(E11:E41))</f>
        <v>2796.1210871601297</v>
      </c>
      <c r="F42" s="260">
        <f>(SUM(F11:F41))</f>
        <v>186.40807247734199</v>
      </c>
    </row>
    <row r="44" spans="2:6">
      <c r="C44" s="10"/>
      <c r="D44" s="10"/>
    </row>
    <row r="45" spans="2:6" ht="19">
      <c r="B45" s="2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11:C21 C22:C23" unlockedFormula="1"/>
  </ignoredErrors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B1:H20"/>
  <sheetViews>
    <sheetView showGridLines="0" showRowColHeaders="0" zoomScale="130" zoomScaleNormal="100" workbookViewId="0"/>
  </sheetViews>
  <sheetFormatPr baseColWidth="10" defaultColWidth="9.1640625" defaultRowHeight="24"/>
  <cols>
    <col min="1" max="1" width="3.33203125" style="154" customWidth="1"/>
    <col min="2" max="2" width="45.6640625" style="154" customWidth="1"/>
    <col min="3" max="3" width="23.6640625" style="154" customWidth="1"/>
    <col min="4" max="4" width="18.6640625" style="154" bestFit="1" customWidth="1"/>
    <col min="5" max="5" width="27.1640625" style="154" customWidth="1"/>
    <col min="6" max="6" width="34.6640625" style="154" customWidth="1"/>
    <col min="7" max="7" width="9.1640625" style="154"/>
    <col min="8" max="8" width="11.6640625" style="154" bestFit="1" customWidth="1"/>
    <col min="9" max="14" width="9.1640625" style="154"/>
    <col min="15" max="15" width="10.6640625" style="154" bestFit="1" customWidth="1"/>
    <col min="16" max="16384" width="9.1640625" style="154"/>
  </cols>
  <sheetData>
    <row r="1" spans="2:8" ht="57.5" customHeight="1"/>
    <row r="4" spans="2:8" ht="80" customHeight="1"/>
    <row r="5" spans="2:8" ht="30" customHeight="1">
      <c r="B5" s="263" t="s">
        <v>147</v>
      </c>
      <c r="C5" s="263"/>
      <c r="D5" s="263"/>
      <c r="E5" s="263"/>
      <c r="F5" s="263"/>
    </row>
    <row r="6" spans="2:8">
      <c r="B6" s="144"/>
      <c r="C6" s="144"/>
      <c r="D6" s="144"/>
      <c r="E6" s="144"/>
      <c r="F6" s="144"/>
    </row>
    <row r="7" spans="2:8" ht="39" customHeight="1">
      <c r="B7" s="264" t="s">
        <v>140</v>
      </c>
      <c r="C7" s="267" t="s">
        <v>185</v>
      </c>
      <c r="D7" s="268" t="s">
        <v>186</v>
      </c>
      <c r="E7" s="269" t="s">
        <v>187</v>
      </c>
      <c r="F7" s="266" t="s">
        <v>177</v>
      </c>
    </row>
    <row r="8" spans="2:8">
      <c r="B8" s="147" t="s">
        <v>135</v>
      </c>
      <c r="C8" s="147"/>
      <c r="D8" s="148"/>
      <c r="E8" s="148"/>
      <c r="F8" s="149">
        <v>12000</v>
      </c>
      <c r="G8" s="155"/>
    </row>
    <row r="9" spans="2:8">
      <c r="B9" s="147" t="s">
        <v>168</v>
      </c>
      <c r="C9" s="147"/>
      <c r="D9" s="149"/>
      <c r="E9" s="148"/>
      <c r="F9" s="149">
        <v>30000</v>
      </c>
      <c r="H9" s="155"/>
    </row>
    <row r="10" spans="2:8">
      <c r="B10" s="147" t="s">
        <v>167</v>
      </c>
      <c r="C10" s="147"/>
      <c r="D10" s="147"/>
      <c r="E10" s="148"/>
      <c r="F10" s="149">
        <v>100000</v>
      </c>
    </row>
    <row r="11" spans="2:8">
      <c r="B11" s="146"/>
      <c r="C11" s="146"/>
      <c r="D11" s="146"/>
      <c r="E11" s="145"/>
      <c r="F11" s="146"/>
    </row>
    <row r="12" spans="2:8">
      <c r="B12" s="144"/>
      <c r="C12" s="295"/>
      <c r="D12" s="144"/>
      <c r="E12" s="144"/>
      <c r="F12" s="144"/>
    </row>
    <row r="13" spans="2:8" ht="39" customHeight="1">
      <c r="B13" s="264" t="s">
        <v>146</v>
      </c>
      <c r="C13" s="266" t="s">
        <v>143</v>
      </c>
      <c r="D13" s="265" t="s">
        <v>141</v>
      </c>
      <c r="E13" s="266" t="s">
        <v>165</v>
      </c>
      <c r="F13" s="265" t="s">
        <v>166</v>
      </c>
    </row>
    <row r="14" spans="2:8">
      <c r="B14" s="150" t="s">
        <v>336</v>
      </c>
      <c r="C14" s="148">
        <v>0.47</v>
      </c>
      <c r="D14" s="148">
        <v>5.5E-2</v>
      </c>
      <c r="E14" s="151">
        <f>IF(ISERROR(C14*$E$18),0,(C14*$E$18))</f>
        <v>11842.843914073015</v>
      </c>
      <c r="F14" s="151">
        <f>IF(ISERROR(E14*(D14)),0,(E14*(D14)))</f>
        <v>651.35641527401583</v>
      </c>
    </row>
    <row r="15" spans="2:8">
      <c r="B15" s="150"/>
      <c r="C15" s="148">
        <v>0</v>
      </c>
      <c r="D15" s="148">
        <v>0</v>
      </c>
      <c r="E15" s="151">
        <f t="shared" ref="E15:E17" si="0">IF(ISERROR(C15*$E$18),0,(C15*$E$18))</f>
        <v>0</v>
      </c>
      <c r="F15" s="151">
        <f t="shared" ref="F15:F17" si="1">IF(ISERROR(E15*(D15)),0,(E15*(D15)))</f>
        <v>0</v>
      </c>
    </row>
    <row r="16" spans="2:8">
      <c r="B16" s="150"/>
      <c r="C16" s="148">
        <v>0</v>
      </c>
      <c r="D16" s="148">
        <v>0</v>
      </c>
      <c r="E16" s="151">
        <f t="shared" si="0"/>
        <v>0</v>
      </c>
      <c r="F16" s="151">
        <f t="shared" si="1"/>
        <v>0</v>
      </c>
    </row>
    <row r="17" spans="2:6">
      <c r="B17" s="152"/>
      <c r="C17" s="148">
        <v>0</v>
      </c>
      <c r="D17" s="153">
        <v>0</v>
      </c>
      <c r="E17" s="151">
        <f t="shared" si="0"/>
        <v>0</v>
      </c>
      <c r="F17" s="151">
        <f t="shared" si="1"/>
        <v>0</v>
      </c>
    </row>
    <row r="18" spans="2:6">
      <c r="B18" s="264" t="s">
        <v>52</v>
      </c>
      <c r="C18" s="264"/>
      <c r="D18" s="270" t="s">
        <v>144</v>
      </c>
      <c r="E18" s="271">
        <f>IF(ISERROR(SUM('Atividades_Condução '!H102,Atividade_ColheitaePós!F43,'Gastos Gerais'!E42)),0,SUM('Atividades_Condução '!H102,Atividade_ColheitaePós!F43,'Gastos Gerais'!E42))</f>
        <v>25197.540242708543</v>
      </c>
      <c r="F18" s="271">
        <f>IF(ISERROR(SUM(F14:F17)),0,(SUM(F14:F17)))</f>
        <v>651.35641527401583</v>
      </c>
    </row>
    <row r="20" spans="2:6">
      <c r="B20" s="104"/>
      <c r="C20" s="156"/>
      <c r="D20" s="156"/>
      <c r="E20" s="15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Principal</vt:lpstr>
      <vt:lpstr>Indice</vt:lpstr>
      <vt:lpstr>Informações Gerais</vt:lpstr>
      <vt:lpstr>Pessoas MOB</vt:lpstr>
      <vt:lpstr>Custos_Mecanização</vt:lpstr>
      <vt:lpstr>Atividades_Condução </vt:lpstr>
      <vt:lpstr>Atividade_ColheitaePós</vt:lpstr>
      <vt:lpstr>Gastos Gerais</vt:lpstr>
      <vt:lpstr>Juros de Custeio_Uso da Terra</vt:lpstr>
      <vt:lpstr>Inventário</vt:lpstr>
      <vt:lpstr>Análise</vt:lpstr>
      <vt:lpstr>Análise2</vt:lpstr>
      <vt:lpstr>Gráfico COE</vt:lpstr>
      <vt:lpstr>Gráfico COT</vt:lpstr>
      <vt:lpstr>Gráfico Margens</vt:lpstr>
      <vt:lpstr>Gráfico RT</vt:lpstr>
      <vt:lpstr>Simulações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2024-10-09T19:51:22Z</dcterms:modified>
</cp:coreProperties>
</file>