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@work\@SourceTree\@github\obwebsys\"/>
    </mc:Choice>
  </mc:AlternateContent>
  <bookViews>
    <workbookView xWindow="59760" yWindow="0" windowWidth="16380" windowHeight="8190"/>
  </bookViews>
  <sheets>
    <sheet name="2022予測実績シート" sheetId="35" r:id="rId1"/>
  </sheets>
  <calcPr calcId="152511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35" l="1"/>
  <c r="B136" i="35"/>
  <c r="B143" i="35"/>
  <c r="B144" i="35"/>
  <c r="B173" i="35"/>
  <c r="B175" i="35"/>
  <c r="E39" i="35"/>
  <c r="E40" i="35"/>
  <c r="E41" i="35"/>
  <c r="E42" i="35"/>
  <c r="E44" i="35"/>
  <c r="B150" i="35"/>
  <c r="E48" i="35"/>
  <c r="E50" i="35"/>
  <c r="B151" i="35"/>
  <c r="C54" i="35"/>
  <c r="E54" i="35"/>
  <c r="E56" i="35"/>
  <c r="B152" i="35"/>
  <c r="B174" i="35"/>
  <c r="B176" i="35"/>
  <c r="B177" i="35"/>
  <c r="B161" i="35"/>
  <c r="C60" i="35"/>
  <c r="E60" i="35"/>
  <c r="E62" i="35"/>
  <c r="B153" i="35"/>
  <c r="B89" i="35"/>
  <c r="B88" i="35"/>
  <c r="B145" i="35"/>
  <c r="B154" i="35"/>
  <c r="B155" i="35"/>
  <c r="B170" i="35"/>
  <c r="B169" i="35"/>
  <c r="B168" i="35"/>
  <c r="B167" i="35"/>
  <c r="B166" i="35"/>
  <c r="B158" i="35"/>
  <c r="B162" i="35"/>
  <c r="B160" i="35"/>
  <c r="B159" i="35"/>
  <c r="B86" i="35"/>
  <c r="B87" i="35"/>
  <c r="B90" i="35"/>
  <c r="C5" i="35"/>
  <c r="C7" i="35"/>
  <c r="B79" i="35"/>
  <c r="D12" i="35"/>
  <c r="D15" i="35"/>
  <c r="D16" i="35"/>
  <c r="C18" i="35"/>
  <c r="D18" i="35"/>
  <c r="D21" i="35"/>
  <c r="D25" i="35"/>
  <c r="D26" i="35"/>
  <c r="D27" i="35"/>
  <c r="D28" i="35"/>
  <c r="D29" i="35"/>
  <c r="D30" i="35"/>
  <c r="C31" i="35"/>
  <c r="D31" i="35"/>
  <c r="C32" i="35"/>
  <c r="D32" i="35"/>
  <c r="C33" i="35"/>
  <c r="D33" i="35"/>
  <c r="D35" i="35"/>
  <c r="D44" i="35"/>
  <c r="D50" i="35"/>
  <c r="D56" i="35"/>
  <c r="D62" i="35"/>
  <c r="C66" i="35"/>
  <c r="D66" i="35"/>
  <c r="C67" i="35"/>
  <c r="D67" i="35"/>
  <c r="D68" i="35"/>
  <c r="D70" i="35"/>
  <c r="D73" i="35"/>
  <c r="D74" i="35"/>
  <c r="B80" i="35"/>
  <c r="B81" i="35"/>
  <c r="B91" i="35"/>
  <c r="B110" i="35"/>
  <c r="B117" i="35"/>
  <c r="B111" i="35"/>
  <c r="B112" i="35"/>
  <c r="B113" i="35"/>
  <c r="B114" i="35"/>
  <c r="B115" i="35"/>
  <c r="B116" i="35"/>
  <c r="B106" i="35"/>
  <c r="B105" i="35"/>
  <c r="B104" i="35"/>
  <c r="B102" i="35"/>
  <c r="B95" i="35"/>
  <c r="B103" i="35"/>
  <c r="B96" i="35"/>
  <c r="B94" i="35"/>
  <c r="E4" i="35"/>
  <c r="E5" i="35"/>
  <c r="E7" i="35"/>
  <c r="E8" i="35"/>
  <c r="B97" i="35"/>
  <c r="B98" i="35"/>
  <c r="E21" i="35"/>
  <c r="E35" i="35"/>
  <c r="E70" i="35"/>
  <c r="E73" i="35"/>
  <c r="C17" i="35"/>
  <c r="C19" i="35"/>
  <c r="C21" i="35"/>
  <c r="C35" i="35"/>
  <c r="C44" i="35"/>
  <c r="C50" i="35"/>
  <c r="C56" i="35"/>
  <c r="C62" i="35"/>
  <c r="C70" i="35"/>
  <c r="C73" i="35"/>
  <c r="F21" i="35"/>
  <c r="F35" i="35"/>
  <c r="F44" i="35"/>
  <c r="F50" i="35"/>
  <c r="F56" i="35"/>
  <c r="F62" i="35"/>
  <c r="F70" i="35"/>
  <c r="B138" i="35"/>
  <c r="E74" i="35"/>
  <c r="F73" i="35"/>
  <c r="D4" i="35"/>
  <c r="D5" i="35"/>
  <c r="D7" i="35"/>
  <c r="D8" i="35"/>
</calcChain>
</file>

<file path=xl/sharedStrings.xml><?xml version="1.0" encoding="utf-8"?>
<sst xmlns="http://schemas.openxmlformats.org/spreadsheetml/2006/main" count="283" uniqueCount="140">
  <si>
    <t>電気代</t>
  </si>
  <si>
    <t>ネット代</t>
  </si>
  <si>
    <t>11月</t>
  </si>
  <si>
    <t>健康保険</t>
  </si>
  <si>
    <t>水道代</t>
  </si>
  <si>
    <t>歯医者</t>
  </si>
  <si>
    <t>手取り残り</t>
  </si>
  <si>
    <t>現金</t>
    <rPh sb="0" eb="2">
      <t>ゲンキン</t>
    </rPh>
    <phoneticPr fontId="3"/>
  </si>
  <si>
    <t>項目</t>
    <rPh sb="0" eb="2">
      <t>コウモク</t>
    </rPh>
    <phoneticPr fontId="3"/>
  </si>
  <si>
    <t>基本</t>
    <rPh sb="0" eb="2">
      <t>キホン</t>
    </rPh>
    <phoneticPr fontId="3"/>
  </si>
  <si>
    <t>備考</t>
    <rPh sb="0" eb="2">
      <t>ビコウ</t>
    </rPh>
    <phoneticPr fontId="3"/>
  </si>
  <si>
    <t>入金口座</t>
    <rPh sb="0" eb="2">
      <t>ニュウキン</t>
    </rPh>
    <rPh sb="2" eb="4">
      <t>コウザ</t>
    </rPh>
    <phoneticPr fontId="3"/>
  </si>
  <si>
    <t>支払い方法</t>
    <rPh sb="0" eb="2">
      <t>シハラ</t>
    </rPh>
    <rPh sb="3" eb="5">
      <t>ホウホウ</t>
    </rPh>
    <phoneticPr fontId="3"/>
  </si>
  <si>
    <t>顧客別見込み</t>
    <rPh sb="0" eb="2">
      <t>コキャク</t>
    </rPh>
    <rPh sb="2" eb="3">
      <t>ベツ</t>
    </rPh>
    <rPh sb="3" eb="5">
      <t>ミコ</t>
    </rPh>
    <phoneticPr fontId="3"/>
  </si>
  <si>
    <t>入金小計</t>
    <rPh sb="0" eb="2">
      <t>ニュウキン</t>
    </rPh>
    <rPh sb="2" eb="4">
      <t>ショウケイ</t>
    </rPh>
    <phoneticPr fontId="3"/>
  </si>
  <si>
    <t>経費月計算</t>
    <rPh sb="0" eb="2">
      <t>ケイヒ</t>
    </rPh>
    <rPh sb="2" eb="3">
      <t>ツキ</t>
    </rPh>
    <rPh sb="3" eb="5">
      <t>ケイサン</t>
    </rPh>
    <phoneticPr fontId="3"/>
  </si>
  <si>
    <t>支払い口座</t>
    <rPh sb="0" eb="2">
      <t>シハラ</t>
    </rPh>
    <rPh sb="3" eb="5">
      <t>コウザ</t>
    </rPh>
    <phoneticPr fontId="3"/>
  </si>
  <si>
    <t>家賃・税金</t>
    <rPh sb="0" eb="2">
      <t>ヤチン</t>
    </rPh>
    <rPh sb="3" eb="5">
      <t>ゼイキン</t>
    </rPh>
    <phoneticPr fontId="3"/>
  </si>
  <si>
    <t>国民年金</t>
    <rPh sb="0" eb="2">
      <t>コクミン</t>
    </rPh>
    <phoneticPr fontId="3"/>
  </si>
  <si>
    <t>国民年金基金</t>
    <rPh sb="0" eb="2">
      <t>コクミン</t>
    </rPh>
    <rPh sb="4" eb="6">
      <t>キキン</t>
    </rPh>
    <phoneticPr fontId="3"/>
  </si>
  <si>
    <t>小計</t>
    <rPh sb="0" eb="2">
      <t>ショウケイ</t>
    </rPh>
    <phoneticPr fontId="3"/>
  </si>
  <si>
    <t>インフラ代</t>
    <rPh sb="4" eb="5">
      <t>ダイ</t>
    </rPh>
    <phoneticPr fontId="3"/>
  </si>
  <si>
    <t>携帯料金</t>
    <rPh sb="0" eb="4">
      <t>ケイタイリョウキン</t>
    </rPh>
    <phoneticPr fontId="3"/>
  </si>
  <si>
    <t>医療費</t>
    <rPh sb="0" eb="3">
      <t>イリョウヒ</t>
    </rPh>
    <phoneticPr fontId="3"/>
  </si>
  <si>
    <t>事業支出</t>
    <rPh sb="0" eb="2">
      <t>ジギョウ</t>
    </rPh>
    <rPh sb="2" eb="4">
      <t>シシュツ</t>
    </rPh>
    <phoneticPr fontId="3"/>
  </si>
  <si>
    <t>合計月支出</t>
    <rPh sb="0" eb="2">
      <t>ゴウケイ</t>
    </rPh>
    <rPh sb="2" eb="3">
      <t>ツキ</t>
    </rPh>
    <rPh sb="3" eb="5">
      <t>シシュツ</t>
    </rPh>
    <phoneticPr fontId="3"/>
  </si>
  <si>
    <t>基金・ideco合わせて6.8万まで</t>
    <rPh sb="0" eb="2">
      <t>キキン</t>
    </rPh>
    <rPh sb="8" eb="9">
      <t>ア</t>
    </rPh>
    <rPh sb="15" eb="16">
      <t>マン</t>
    </rPh>
    <phoneticPr fontId="3"/>
  </si>
  <si>
    <t>小規模企業共済</t>
    <rPh sb="0" eb="7">
      <t>ショウキボキギョウキョウサイ</t>
    </rPh>
    <phoneticPr fontId="3"/>
  </si>
  <si>
    <t>最大掛け金残り</t>
    <rPh sb="0" eb="2">
      <t>サイダイ</t>
    </rPh>
    <rPh sb="2" eb="3">
      <t>カ</t>
    </rPh>
    <rPh sb="4" eb="5">
      <t>キン</t>
    </rPh>
    <rPh sb="5" eb="6">
      <t>ノコ</t>
    </rPh>
    <phoneticPr fontId="3"/>
  </si>
  <si>
    <t>所得計算</t>
    <rPh sb="0" eb="2">
      <t>ショトク</t>
    </rPh>
    <rPh sb="2" eb="4">
      <t>ケイサン</t>
    </rPh>
    <phoneticPr fontId="3"/>
  </si>
  <si>
    <t>年間売上</t>
    <rPh sb="0" eb="4">
      <t>ネンカンウリアゲ</t>
    </rPh>
    <phoneticPr fontId="3"/>
  </si>
  <si>
    <t>年間経費</t>
    <rPh sb="0" eb="2">
      <t>ネンカン</t>
    </rPh>
    <rPh sb="2" eb="4">
      <t>ケイヒ</t>
    </rPh>
    <phoneticPr fontId="3"/>
  </si>
  <si>
    <t>個人年金保険</t>
    <rPh sb="0" eb="6">
      <t>コジンネンキンホケン</t>
    </rPh>
    <phoneticPr fontId="3"/>
  </si>
  <si>
    <t>控除前年間所得</t>
    <rPh sb="0" eb="2">
      <t>コウジョ</t>
    </rPh>
    <rPh sb="2" eb="3">
      <t>マエ</t>
    </rPh>
    <rPh sb="3" eb="5">
      <t>ネンカン</t>
    </rPh>
    <rPh sb="5" eb="7">
      <t>ショトク</t>
    </rPh>
    <phoneticPr fontId="3"/>
  </si>
  <si>
    <t>火災共済</t>
    <rPh sb="0" eb="2">
      <t>カサイ</t>
    </rPh>
    <rPh sb="2" eb="4">
      <t>キョウサイ</t>
    </rPh>
    <phoneticPr fontId="3"/>
  </si>
  <si>
    <t>控除系</t>
    <rPh sb="0" eb="2">
      <t>コウジョ</t>
    </rPh>
    <rPh sb="2" eb="3">
      <t>ケイ</t>
    </rPh>
    <phoneticPr fontId="3"/>
  </si>
  <si>
    <t>毎月1日</t>
    <rPh sb="0" eb="2">
      <t>マイツキ</t>
    </rPh>
    <rPh sb="3" eb="4">
      <t>ニチ</t>
    </rPh>
    <phoneticPr fontId="3"/>
  </si>
  <si>
    <t>定期積金</t>
    <rPh sb="0" eb="4">
      <t>テイキツミキン</t>
    </rPh>
    <phoneticPr fontId="3"/>
  </si>
  <si>
    <t>毎月5日</t>
    <rPh sb="0" eb="2">
      <t>マイツキ</t>
    </rPh>
    <rPh sb="3" eb="4">
      <t>ニチ</t>
    </rPh>
    <phoneticPr fontId="3"/>
  </si>
  <si>
    <t>ふるさと納税</t>
    <rPh sb="4" eb="6">
      <t>ノウゼイ</t>
    </rPh>
    <phoneticPr fontId="3"/>
  </si>
  <si>
    <t>消費税分</t>
    <rPh sb="0" eb="3">
      <t>ショウヒゼイ</t>
    </rPh>
    <rPh sb="3" eb="4">
      <t>ブン</t>
    </rPh>
    <phoneticPr fontId="3"/>
  </si>
  <si>
    <t>源泉徴収分</t>
    <rPh sb="0" eb="4">
      <t>ゲンセンチョウシュウ</t>
    </rPh>
    <rPh sb="4" eb="5">
      <t>ブン</t>
    </rPh>
    <phoneticPr fontId="3"/>
  </si>
  <si>
    <t>青色申告控除</t>
    <rPh sb="0" eb="4">
      <t>アオイロシンコク</t>
    </rPh>
    <phoneticPr fontId="3"/>
  </si>
  <si>
    <t>控除後結果</t>
    <rPh sb="0" eb="2">
      <t>コウジョ</t>
    </rPh>
    <rPh sb="2" eb="3">
      <t>ゴ</t>
    </rPh>
    <rPh sb="3" eb="5">
      <t>ケッカ</t>
    </rPh>
    <phoneticPr fontId="3"/>
  </si>
  <si>
    <t>課税所得額</t>
    <rPh sb="0" eb="2">
      <t>カゼイ</t>
    </rPh>
    <rPh sb="2" eb="4">
      <t>ショトク</t>
    </rPh>
    <rPh sb="4" eb="5">
      <t>ガク</t>
    </rPh>
    <phoneticPr fontId="3"/>
  </si>
  <si>
    <t>個人事業税</t>
    <rPh sb="0" eb="5">
      <t>コジンジギョウゼイ</t>
    </rPh>
    <phoneticPr fontId="3"/>
  </si>
  <si>
    <t>売上金額</t>
    <rPh sb="0" eb="2">
      <t>ウリアゲ</t>
    </rPh>
    <rPh sb="2" eb="4">
      <t>キンガク</t>
    </rPh>
    <phoneticPr fontId="3"/>
  </si>
  <si>
    <t>1月</t>
    <rPh sb="1" eb="2">
      <t>ツキ</t>
    </rPh>
    <phoneticPr fontId="3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</si>
  <si>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</si>
  <si>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</si>
  <si>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</si>
  <si>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</si>
  <si>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</si>
  <si>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</si>
  <si>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</si>
  <si>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</si>
  <si>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</si>
  <si>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12月</t>
  </si>
  <si>
    <t>雑収入</t>
    <rPh sb="0" eb="3">
      <t>ザツシュウニュウ</t>
    </rPh>
    <phoneticPr fontId="3"/>
  </si>
  <si>
    <t>経費</t>
    <rPh sb="0" eb="2">
      <t>ケイヒ</t>
    </rPh>
    <phoneticPr fontId="3"/>
  </si>
  <si>
    <t>月3.3万まで 掛け金所得控除なし</t>
    <rPh sb="0" eb="1">
      <t>ツキ</t>
    </rPh>
    <rPh sb="4" eb="5">
      <t>マン</t>
    </rPh>
    <phoneticPr fontId="3"/>
  </si>
  <si>
    <t>自動車税</t>
    <rPh sb="0" eb="3">
      <t>ジドウシャ</t>
    </rPh>
    <rPh sb="3" eb="4">
      <t>ゼイ</t>
    </rPh>
    <phoneticPr fontId="3"/>
  </si>
  <si>
    <t>ガソリン・灯油</t>
    <rPh sb="5" eb="7">
      <t>トウユ</t>
    </rPh>
    <phoneticPr fontId="3"/>
  </si>
  <si>
    <t>翌年9月の個人事業税</t>
    <rPh sb="0" eb="2">
      <t>ヨクネン</t>
    </rPh>
    <rPh sb="3" eb="4">
      <t>ガツ</t>
    </rPh>
    <rPh sb="5" eb="10">
      <t>コジンジギョウゼイ</t>
    </rPh>
    <phoneticPr fontId="3"/>
  </si>
  <si>
    <t>ふるさと納税住民税から控除額</t>
    <rPh sb="4" eb="6">
      <t>ノウゼイ</t>
    </rPh>
    <rPh sb="6" eb="9">
      <t>ジュウミンゼイ</t>
    </rPh>
    <rPh sb="11" eb="13">
      <t>コウジョ</t>
    </rPh>
    <rPh sb="13" eb="14">
      <t>ガク</t>
    </rPh>
    <phoneticPr fontId="3"/>
  </si>
  <si>
    <t>住民税からの控除（特例分）</t>
    <rPh sb="9" eb="11">
      <t>トクレイ</t>
    </rPh>
    <phoneticPr fontId="3"/>
  </si>
  <si>
    <t>住民税からの控除（特例分）上限</t>
    <rPh sb="9" eb="11">
      <t>トクレイ</t>
    </rPh>
    <rPh sb="13" eb="15">
      <t>ジョウゲン</t>
    </rPh>
    <phoneticPr fontId="3"/>
  </si>
  <si>
    <t>租税公課</t>
    <rPh sb="0" eb="4">
      <t>ソゼイコウカ</t>
    </rPh>
    <phoneticPr fontId="3"/>
  </si>
  <si>
    <t>租税公課にできない</t>
    <rPh sb="0" eb="4">
      <t>ソゼイコウカ</t>
    </rPh>
    <phoneticPr fontId="3"/>
  </si>
  <si>
    <t>※家事按分仕分け登録後</t>
    <rPh sb="1" eb="3">
      <t>カジ</t>
    </rPh>
    <rPh sb="3" eb="5">
      <t>アンブン</t>
    </rPh>
    <rPh sb="5" eb="7">
      <t>シワ</t>
    </rPh>
    <rPh sb="8" eb="10">
      <t>トウロク</t>
    </rPh>
    <rPh sb="10" eb="11">
      <t>ゴ</t>
    </rPh>
    <phoneticPr fontId="3"/>
  </si>
  <si>
    <t>A社</t>
    <rPh sb="1" eb="2">
      <t>シャ</t>
    </rPh>
    <phoneticPr fontId="3"/>
  </si>
  <si>
    <t>B社</t>
    <rPh sb="1" eb="2">
      <t>シャ</t>
    </rPh>
    <phoneticPr fontId="3"/>
  </si>
  <si>
    <t>C社</t>
    <rPh sb="1" eb="2">
      <t>シャ</t>
    </rPh>
    <phoneticPr fontId="3"/>
  </si>
  <si>
    <t>A銀行</t>
    <rPh sb="1" eb="3">
      <t>ギンコウ</t>
    </rPh>
    <phoneticPr fontId="3"/>
  </si>
  <si>
    <t>源泉徴収なし</t>
    <rPh sb="0" eb="4">
      <t>ゲンセンチョウシュウ</t>
    </rPh>
    <phoneticPr fontId="3"/>
  </si>
  <si>
    <t>iDeco</t>
    <phoneticPr fontId="3"/>
  </si>
  <si>
    <t>つみたてNISA</t>
    <phoneticPr fontId="3"/>
  </si>
  <si>
    <t>ガス代</t>
    <phoneticPr fontId="3"/>
  </si>
  <si>
    <t>AWS</t>
    <phoneticPr fontId="3"/>
  </si>
  <si>
    <t>Adobe CC</t>
    <phoneticPr fontId="3"/>
  </si>
  <si>
    <t>B銀行</t>
    <rPh sb="1" eb="3">
      <t>ギンコウ</t>
    </rPh>
    <phoneticPr fontId="3"/>
  </si>
  <si>
    <t>Yカード</t>
    <phoneticPr fontId="3"/>
  </si>
  <si>
    <t>家賃</t>
    <rPh sb="0" eb="2">
      <t>ヤチン</t>
    </rPh>
    <phoneticPr fontId="3"/>
  </si>
  <si>
    <t>市県民税</t>
    <phoneticPr fontId="3"/>
  </si>
  <si>
    <t>3か月毎</t>
    <rPh sb="2" eb="3">
      <t>ゲツ</t>
    </rPh>
    <rPh sb="3" eb="4">
      <t>ゴト</t>
    </rPh>
    <phoneticPr fontId="3"/>
  </si>
  <si>
    <t>A組合年会費</t>
    <rPh sb="1" eb="3">
      <t>クミアイ</t>
    </rPh>
    <rPh sb="3" eb="6">
      <t>ネンカイヒ</t>
    </rPh>
    <phoneticPr fontId="3"/>
  </si>
  <si>
    <t>税理士費用</t>
    <rPh sb="0" eb="3">
      <t>ゼイリシ</t>
    </rPh>
    <rPh sb="3" eb="5">
      <t>ヒヨウ</t>
    </rPh>
    <phoneticPr fontId="3"/>
  </si>
  <si>
    <t>医療保険</t>
    <rPh sb="0" eb="2">
      <t>イリョウ</t>
    </rPh>
    <rPh sb="2" eb="4">
      <t>ホケン</t>
    </rPh>
    <phoneticPr fontId="3"/>
  </si>
  <si>
    <t>(月額経費)</t>
    <rPh sb="1" eb="3">
      <t>ゲツガク</t>
    </rPh>
    <rPh sb="3" eb="5">
      <t>ケイヒ</t>
    </rPh>
    <phoneticPr fontId="3"/>
  </si>
  <si>
    <t>(月額控除)</t>
    <rPh sb="1" eb="3">
      <t>ゲツガク</t>
    </rPh>
    <rPh sb="3" eb="5">
      <t>コウジョ</t>
    </rPh>
    <phoneticPr fontId="3"/>
  </si>
  <si>
    <t>税控除月計算</t>
    <rPh sb="0" eb="1">
      <t>ゼイ</t>
    </rPh>
    <rPh sb="1" eb="3">
      <t>コウジョ</t>
    </rPh>
    <rPh sb="3" eb="4">
      <t>ツキ</t>
    </rPh>
    <rPh sb="4" eb="6">
      <t>ケイサン</t>
    </rPh>
    <phoneticPr fontId="3"/>
  </si>
  <si>
    <t>2か月に3回受注計算</t>
    <rPh sb="2" eb="3">
      <t>ゲツ</t>
    </rPh>
    <rPh sb="5" eb="6">
      <t>カイ</t>
    </rPh>
    <rPh sb="6" eb="8">
      <t>ジュチュウ</t>
    </rPh>
    <rPh sb="8" eb="10">
      <t>ケイサン</t>
    </rPh>
    <phoneticPr fontId="3"/>
  </si>
  <si>
    <t>自動車保険</t>
    <rPh sb="0" eb="3">
      <t>ジドウシャ</t>
    </rPh>
    <phoneticPr fontId="3"/>
  </si>
  <si>
    <t>車両整備</t>
    <rPh sb="0" eb="2">
      <t>シャリョウ</t>
    </rPh>
    <rPh sb="2" eb="4">
      <t>セイビ</t>
    </rPh>
    <phoneticPr fontId="3"/>
  </si>
  <si>
    <t>駐車場代</t>
    <rPh sb="0" eb="3">
      <t>チュウシャジョウ</t>
    </rPh>
    <phoneticPr fontId="3"/>
  </si>
  <si>
    <t>会計ソフト</t>
    <rPh sb="0" eb="2">
      <t>カイケイ</t>
    </rPh>
    <phoneticPr fontId="3"/>
  </si>
  <si>
    <t>月手取り余裕</t>
    <rPh sb="0" eb="1">
      <t>ツキ</t>
    </rPh>
    <rPh sb="1" eb="3">
      <t>テド</t>
    </rPh>
    <rPh sb="4" eb="6">
      <t>ヨユウ</t>
    </rPh>
    <phoneticPr fontId="3"/>
  </si>
  <si>
    <t>年額→</t>
    <rPh sb="0" eb="2">
      <t>ネンガク</t>
    </rPh>
    <phoneticPr fontId="3"/>
  </si>
  <si>
    <t># 月売上見込み</t>
    <rPh sb="2" eb="3">
      <t>ツキ</t>
    </rPh>
    <rPh sb="3" eb="5">
      <t>ウリアゲ</t>
    </rPh>
    <rPh sb="5" eb="7">
      <t>ミコ</t>
    </rPh>
    <phoneticPr fontId="3"/>
  </si>
  <si>
    <t># 月ごと固定支出見込み</t>
    <rPh sb="2" eb="3">
      <t>ツキ</t>
    </rPh>
    <rPh sb="5" eb="7">
      <t>コテイ</t>
    </rPh>
    <rPh sb="7" eb="9">
      <t>シシュツ</t>
    </rPh>
    <rPh sb="9" eb="11">
      <t>ミコ</t>
    </rPh>
    <phoneticPr fontId="3"/>
  </si>
  <si>
    <t>年実績</t>
    <rPh sb="0" eb="1">
      <t>ネン</t>
    </rPh>
    <rPh sb="1" eb="3">
      <t>ジッセキ</t>
    </rPh>
    <phoneticPr fontId="3"/>
  </si>
  <si>
    <t># 年間実績計算用（正確な値の参照用、手入力）</t>
    <rPh sb="2" eb="4">
      <t>ネンカン</t>
    </rPh>
    <rPh sb="4" eb="6">
      <t>ジッセキ</t>
    </rPh>
    <rPh sb="6" eb="8">
      <t>ケイサン</t>
    </rPh>
    <rPh sb="8" eb="9">
      <t>ヨウ</t>
    </rPh>
    <rPh sb="10" eb="12">
      <t>セイカク</t>
    </rPh>
    <rPh sb="13" eb="14">
      <t>アタイ</t>
    </rPh>
    <rPh sb="15" eb="18">
      <t>サンショウヨウ</t>
    </rPh>
    <rPh sb="19" eb="20">
      <t>テ</t>
    </rPh>
    <rPh sb="20" eb="22">
      <t>ニュウリョク</t>
    </rPh>
    <phoneticPr fontId="3"/>
  </si>
  <si>
    <t>※正確な実績を手入力</t>
    <rPh sb="1" eb="3">
      <t>セイカク</t>
    </rPh>
    <rPh sb="4" eb="6">
      <t>ジッセキ</t>
    </rPh>
    <rPh sb="7" eb="8">
      <t>テ</t>
    </rPh>
    <rPh sb="8" eb="10">
      <t>ニュウリョク</t>
    </rPh>
    <phoneticPr fontId="3"/>
  </si>
  <si>
    <t>基礎控除</t>
    <phoneticPr fontId="3"/>
  </si>
  <si>
    <t>社会保険料控除</t>
    <phoneticPr fontId="3"/>
  </si>
  <si>
    <t>小規模企業共済等掛金控除</t>
    <phoneticPr fontId="3"/>
  </si>
  <si>
    <t xml:space="preserve">生命保険料控除 </t>
    <phoneticPr fontId="3"/>
  </si>
  <si>
    <t>医療費控除</t>
    <phoneticPr fontId="3"/>
  </si>
  <si>
    <t xml:space="preserve">所得税からの控除 </t>
    <phoneticPr fontId="3"/>
  </si>
  <si>
    <t># 確定申告シミュレーション、税金等々</t>
    <rPh sb="2" eb="4">
      <t>カクテイ</t>
    </rPh>
    <rPh sb="4" eb="6">
      <t>シンコク</t>
    </rPh>
    <rPh sb="15" eb="17">
      <t>ゼイキン</t>
    </rPh>
    <rPh sb="17" eb="19">
      <t>トウトウ</t>
    </rPh>
    <phoneticPr fontId="3"/>
  </si>
  <si>
    <t>社会保険料対象</t>
    <rPh sb="0" eb="5">
      <t>シャカイホケンリョウ</t>
    </rPh>
    <rPh sb="5" eb="7">
      <t>タイショウ</t>
    </rPh>
    <phoneticPr fontId="3"/>
  </si>
  <si>
    <t>小規模企業共済等掛金対象</t>
    <rPh sb="10" eb="12">
      <t>タイショウ</t>
    </rPh>
    <phoneticPr fontId="3"/>
  </si>
  <si>
    <t>生命保険料対象</t>
    <rPh sb="5" eb="7">
      <t>タイショウ</t>
    </rPh>
    <phoneticPr fontId="3"/>
  </si>
  <si>
    <t>控除合計</t>
    <rPh sb="0" eb="2">
      <t>コウジョ</t>
    </rPh>
    <rPh sb="2" eb="4">
      <t>ゴウケイ</t>
    </rPh>
    <phoneticPr fontId="3"/>
  </si>
  <si>
    <r>
      <t>源泉徴収控除後（</t>
    </r>
    <r>
      <rPr>
        <b/>
        <sz val="11"/>
        <rFont val="MS UI Gothic"/>
        <family val="3"/>
        <charset val="128"/>
      </rPr>
      <t>還付金</t>
    </r>
    <r>
      <rPr>
        <sz val="11"/>
        <rFont val="MS UI Gothic"/>
        <family val="3"/>
        <charset val="128"/>
      </rPr>
      <t>）</t>
    </r>
    <rPh sb="0" eb="4">
      <t>ゲンセンチョウシュウ</t>
    </rPh>
    <rPh sb="4" eb="6">
      <t>コウジョ</t>
    </rPh>
    <rPh sb="6" eb="7">
      <t>ゴ</t>
    </rPh>
    <rPh sb="8" eb="11">
      <t>カンプキン</t>
    </rPh>
    <phoneticPr fontId="3"/>
  </si>
  <si>
    <t>翌年6月の住民税予測</t>
    <rPh sb="0" eb="2">
      <t>ヨクネン</t>
    </rPh>
    <rPh sb="3" eb="4">
      <t>ガツ</t>
    </rPh>
    <rPh sb="5" eb="8">
      <t>ジュウミンゼイ</t>
    </rPh>
    <rPh sb="8" eb="10">
      <t>ヨソク</t>
    </rPh>
    <phoneticPr fontId="3"/>
  </si>
  <si>
    <t>翌年2月の所得税予測</t>
    <rPh sb="0" eb="2">
      <t>ヨクネン</t>
    </rPh>
    <rPh sb="3" eb="4">
      <t>ガツ</t>
    </rPh>
    <rPh sb="5" eb="8">
      <t>ショトクゼイ</t>
    </rPh>
    <rPh sb="8" eb="10">
      <t>ヨソク</t>
    </rPh>
    <phoneticPr fontId="3"/>
  </si>
  <si>
    <t>住民税からの控除（基本分）</t>
    <phoneticPr fontId="3"/>
  </si>
  <si>
    <t>ふるさと納税シミュレーション</t>
    <rPh sb="4" eb="6">
      <t>ノウゼイ</t>
    </rPh>
    <phoneticPr fontId="3"/>
  </si>
  <si>
    <t>(最大効率は手動で求めて下さい)</t>
    <rPh sb="3" eb="5">
      <t>コウリツ</t>
    </rPh>
    <rPh sb="6" eb="8">
      <t>シュドウ</t>
    </rPh>
    <phoneticPr fontId="3"/>
  </si>
  <si>
    <t>控除系の最大掛け金と残計算</t>
    <rPh sb="0" eb="2">
      <t>コウジョ</t>
    </rPh>
    <rPh sb="2" eb="3">
      <t>ケイ</t>
    </rPh>
    <rPh sb="4" eb="6">
      <t>サイダイ</t>
    </rPh>
    <rPh sb="6" eb="7">
      <t>カ</t>
    </rPh>
    <rPh sb="8" eb="9">
      <t>キン</t>
    </rPh>
    <rPh sb="10" eb="11">
      <t>ノコ</t>
    </rPh>
    <rPh sb="11" eb="13">
      <t>ケイサン</t>
    </rPh>
    <phoneticPr fontId="3"/>
  </si>
  <si>
    <t>国民年金基金とideco合わせて上限有り</t>
    <rPh sb="0" eb="6">
      <t>コクミンネンキンキキン</t>
    </rPh>
    <rPh sb="12" eb="13">
      <t>ア</t>
    </rPh>
    <rPh sb="16" eb="18">
      <t>ジョウゲン</t>
    </rPh>
    <rPh sb="18" eb="19">
      <t>ア</t>
    </rPh>
    <phoneticPr fontId="3"/>
  </si>
  <si>
    <t>月70000まで</t>
    <rPh sb="0" eb="1">
      <t>ツキ</t>
    </rPh>
    <phoneticPr fontId="3"/>
  </si>
  <si>
    <t>月3333まで</t>
    <rPh sb="0" eb="1">
      <t>ツキ</t>
    </rPh>
    <phoneticPr fontId="3"/>
  </si>
  <si>
    <t>月4166まで</t>
    <rPh sb="0" eb="1">
      <t>ツキ</t>
    </rPh>
    <phoneticPr fontId="3"/>
  </si>
  <si>
    <t>最大掛け金適用後
課税所得額</t>
    <rPh sb="0" eb="2">
      <t>サイダイ</t>
    </rPh>
    <rPh sb="2" eb="3">
      <t>カ</t>
    </rPh>
    <rPh sb="4" eb="5">
      <t>キン</t>
    </rPh>
    <rPh sb="5" eb="7">
      <t>テキヨウ</t>
    </rPh>
    <rPh sb="7" eb="8">
      <t>ゴ</t>
    </rPh>
    <rPh sb="9" eb="11">
      <t>カゼイ</t>
    </rPh>
    <rPh sb="11" eb="13">
      <t>ショトク</t>
    </rPh>
    <rPh sb="13" eb="14">
      <t>ガク</t>
    </rPh>
    <phoneticPr fontId="3"/>
  </si>
  <si>
    <t>iDeco最大適用後
課税所得額</t>
    <rPh sb="5" eb="7">
      <t>サイダイ</t>
    </rPh>
    <rPh sb="7" eb="9">
      <t>テキヨウ</t>
    </rPh>
    <rPh sb="9" eb="10">
      <t>ゴ</t>
    </rPh>
    <rPh sb="11" eb="13">
      <t>カゼイ</t>
    </rPh>
    <rPh sb="13" eb="15">
      <t>ショトク</t>
    </rPh>
    <rPh sb="15" eb="16">
      <t>ガク</t>
    </rPh>
    <phoneticPr fontId="3"/>
  </si>
  <si>
    <t>毎月最大合計</t>
    <rPh sb="0" eb="2">
      <t>マイツキ</t>
    </rPh>
    <rPh sb="2" eb="4">
      <t>サイダイ</t>
    </rPh>
    <rPh sb="4" eb="6">
      <t>ゴウケイ</t>
    </rPh>
    <phoneticPr fontId="3"/>
  </si>
  <si>
    <t>理論上はここまで課税額下げられる値</t>
    <rPh sb="0" eb="2">
      <t>リロン</t>
    </rPh>
    <rPh sb="2" eb="3">
      <t>ジョウ</t>
    </rPh>
    <rPh sb="8" eb="11">
      <t>カゼイガク</t>
    </rPh>
    <rPh sb="11" eb="12">
      <t>サ</t>
    </rPh>
    <rPh sb="16" eb="17">
      <t>アタイ</t>
    </rPh>
    <phoneticPr fontId="3"/>
  </si>
  <si>
    <t>国民年金基金／ideco</t>
    <phoneticPr fontId="3"/>
  </si>
  <si>
    <t># 確定申告シミュレーション、税金等々　↑より正確な値参照バージョン</t>
    <rPh sb="2" eb="4">
      <t>カクテイ</t>
    </rPh>
    <rPh sb="4" eb="6">
      <t>シンコク</t>
    </rPh>
    <rPh sb="15" eb="17">
      <t>ゼイキン</t>
    </rPh>
    <rPh sb="17" eb="19">
      <t>トウトウ</t>
    </rPh>
    <rPh sb="23" eb="25">
      <t>セイカク</t>
    </rPh>
    <rPh sb="26" eb="27">
      <t>アタイ</t>
    </rPh>
    <rPh sb="27" eb="29">
      <t>サンショウ</t>
    </rPh>
    <phoneticPr fontId="3"/>
  </si>
  <si>
    <t>※手入力推奨</t>
    <rPh sb="1" eb="2">
      <t>テ</t>
    </rPh>
    <rPh sb="2" eb="4">
      <t>ニュウリョク</t>
    </rPh>
    <rPh sb="4" eb="6">
      <t>スイショウ</t>
    </rPh>
    <phoneticPr fontId="3"/>
  </si>
  <si>
    <t>※去年シートから参照推奨</t>
    <rPh sb="1" eb="3">
      <t>キョネン</t>
    </rPh>
    <rPh sb="8" eb="10">
      <t>サンショウ</t>
    </rPh>
    <rPh sb="10" eb="12">
      <t>スイショウ</t>
    </rPh>
    <phoneticPr fontId="3"/>
  </si>
  <si>
    <t>理論上は毎月ここまで追加経費かけられる値</t>
    <rPh sb="0" eb="2">
      <t>リロン</t>
    </rPh>
    <rPh sb="2" eb="3">
      <t>ジョウ</t>
    </rPh>
    <rPh sb="4" eb="6">
      <t>マイツキ</t>
    </rPh>
    <rPh sb="10" eb="12">
      <t>ツイカ</t>
    </rPh>
    <rPh sb="12" eb="14">
      <t>ケイヒ</t>
    </rPh>
    <rPh sb="19" eb="20">
      <t>アタイ</t>
    </rPh>
    <phoneticPr fontId="3"/>
  </si>
  <si>
    <t>実質年収</t>
    <rPh sb="0" eb="2">
      <t>ジッシツ</t>
    </rPh>
    <rPh sb="2" eb="4">
      <t>ネンシュウ</t>
    </rPh>
    <phoneticPr fontId="3"/>
  </si>
  <si>
    <t>社会保険年計</t>
    <rPh sb="0" eb="2">
      <t>シャカイ</t>
    </rPh>
    <rPh sb="2" eb="4">
      <t>ホケン</t>
    </rPh>
    <rPh sb="4" eb="5">
      <t>ネン</t>
    </rPh>
    <rPh sb="5" eb="6">
      <t>ケイ</t>
    </rPh>
    <phoneticPr fontId="3"/>
  </si>
  <si>
    <t>実質月収</t>
    <rPh sb="0" eb="2">
      <t>ジッシツ</t>
    </rPh>
    <rPh sb="2" eb="4">
      <t>ゲッシュウ</t>
    </rPh>
    <phoneticPr fontId="3"/>
  </si>
  <si>
    <t>実質月控除</t>
    <rPh sb="0" eb="2">
      <t>ジッシツ</t>
    </rPh>
    <rPh sb="2" eb="3">
      <t>ゲツ</t>
    </rPh>
    <rPh sb="3" eb="5">
      <t>コウジョ</t>
    </rPh>
    <phoneticPr fontId="3"/>
  </si>
  <si>
    <t>実質月手取り</t>
    <rPh sb="0" eb="2">
      <t>ジッシツ</t>
    </rPh>
    <rPh sb="2" eb="3">
      <t>ゲツ</t>
    </rPh>
    <rPh sb="3" eb="5">
      <t>テド</t>
    </rPh>
    <phoneticPr fontId="3"/>
  </si>
  <si>
    <t>実質年収と手取り把握</t>
    <rPh sb="0" eb="2">
      <t>ジッシツ</t>
    </rPh>
    <rPh sb="2" eb="4">
      <t>ネンシュウ</t>
    </rPh>
    <rPh sb="5" eb="7">
      <t>テド</t>
    </rPh>
    <rPh sb="8" eb="10">
      <t>ハアク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</si>
</sst>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\#,##0;&quot;\-&quot;#,##0"/>
  </numFmts>
  <fonts count="48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9"/>
      <color indexed="48"/>
      <name val="MS UI Gothic"/>
      <family val="3"/>
      <charset val="128"/>
    </font>
    <font>
      <sz val="6"/>
      <name val="ＭＳ Ｐゴシック"/>
      <family val="3"/>
      <charset val="128"/>
    </font>
    <font>
      <sz val="9"/>
      <color rgb="FFFF0000"/>
      <name val="MS UI Gothic"/>
      <family val="3"/>
      <charset val="128"/>
    </font>
    <font>
      <sz val="9"/>
      <color rgb="FFC00000"/>
      <name val="MS UI Gothic"/>
      <family val="3"/>
      <charset val="128"/>
    </font>
    <font>
      <sz val="9"/>
      <color theme="8"/>
      <name val="MS UI Gothic"/>
      <family val="3"/>
      <charset val="128"/>
    </font>
    <font>
      <b/>
      <sz val="9"/>
      <color theme="4"/>
      <name val="MS UI Gothic"/>
      <family val="3"/>
      <charset val="128"/>
    </font>
    <font>
      <sz val="9"/>
      <color theme="7" tint="-0.249977111117893"/>
      <name val="MS UI Gothic"/>
      <family val="3"/>
      <charset val="128"/>
    </font>
    <font>
      <sz val="9"/>
      <color theme="8" tint="0.59999389629810485"/>
      <name val="MS UI Gothic"/>
      <family val="3"/>
      <charset val="128"/>
    </font>
    <font>
      <sz val="9"/>
      <color theme="9"/>
      <name val="MS UI Gothic"/>
      <family val="3"/>
      <charset val="128"/>
    </font>
    <font>
      <sz val="9"/>
      <color theme="0"/>
      <name val="MS UI Gothic"/>
      <family val="3"/>
      <charset val="128"/>
    </font>
    <font>
      <b/>
      <sz val="9"/>
      <color rgb="FFFF0000"/>
      <name val="MS UI Gothic"/>
      <family val="3"/>
      <charset val="128"/>
    </font>
    <font>
      <b/>
      <sz val="9"/>
      <color rgb="FFFFC000"/>
      <name val="MS UI Gothic"/>
      <family val="3"/>
      <charset val="128"/>
    </font>
    <font>
      <b/>
      <sz val="9"/>
      <color theme="7" tint="-0.249977111117893"/>
      <name val="MS UI Gothic"/>
      <family val="3"/>
      <charset val="128"/>
    </font>
    <font>
      <sz val="9"/>
      <color theme="8" tint="0.39997558519241921"/>
      <name val="MS UI Gothic"/>
      <family val="3"/>
      <charset val="128"/>
    </font>
    <font>
      <sz val="9"/>
      <color theme="4"/>
      <name val="MS UI Gothic"/>
      <family val="3"/>
      <charset val="128"/>
    </font>
    <font>
      <b/>
      <sz val="9"/>
      <color indexed="48"/>
      <name val="MS UI Gothic"/>
      <family val="3"/>
      <charset val="128"/>
    </font>
    <font>
      <sz val="9"/>
      <color theme="9" tint="-0.499984740745262"/>
      <name val="MS UI Gothic"/>
      <family val="3"/>
      <charset val="128"/>
    </font>
    <font>
      <b/>
      <sz val="9"/>
      <color theme="4" tint="-0.249977111117893"/>
      <name val="MS UI Gothic"/>
      <family val="3"/>
      <charset val="128"/>
    </font>
    <font>
      <b/>
      <sz val="9"/>
      <name val="MS UI Gothic"/>
      <family val="3"/>
      <charset val="128"/>
    </font>
    <font>
      <sz val="11"/>
      <color theme="0"/>
      <name val="ＭＳ Ｐゴシック"/>
      <family val="3"/>
      <charset val="128"/>
    </font>
    <font>
      <b/>
      <u/>
      <sz val="9"/>
      <color theme="9"/>
      <name val="MS UI Gothic"/>
      <family val="3"/>
      <charset val="128"/>
    </font>
    <font>
      <b/>
      <u/>
      <sz val="8"/>
      <color theme="9"/>
      <name val="MS UI Gothic"/>
      <family val="3"/>
      <charset val="128"/>
    </font>
    <font>
      <b/>
      <u/>
      <sz val="8"/>
      <color theme="4"/>
      <name val="MS UI Gothic"/>
      <family val="3"/>
      <charset val="128"/>
    </font>
    <font>
      <b/>
      <u/>
      <sz val="8"/>
      <color theme="7" tint="-0.249977111117893"/>
      <name val="MS UI Gothic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MS UI Gothic"/>
      <family val="3"/>
      <charset val="128"/>
    </font>
    <font>
      <b/>
      <sz val="11"/>
      <name val="MS UI Gothic"/>
      <family val="3"/>
      <charset val="128"/>
    </font>
    <font>
      <b/>
      <sz val="11"/>
      <color theme="9"/>
      <name val="MS UI Gothic"/>
      <family val="3"/>
      <charset val="128"/>
    </font>
    <font>
      <sz val="11"/>
      <color theme="9" tint="-0.249977111117893"/>
      <name val="MS UI Gothic"/>
      <family val="3"/>
      <charset val="128"/>
    </font>
    <font>
      <u/>
      <sz val="11"/>
      <name val="MS UI Gothic"/>
      <family val="3"/>
      <charset val="128"/>
    </font>
    <font>
      <sz val="11"/>
      <color theme="7" tint="-0.249977111117893"/>
      <name val="MS UI Gothic"/>
      <family val="3"/>
      <charset val="128"/>
    </font>
    <font>
      <sz val="11"/>
      <color theme="4"/>
      <name val="MS UI Gothic"/>
      <family val="3"/>
      <charset val="128"/>
    </font>
    <font>
      <b/>
      <u/>
      <sz val="11"/>
      <color theme="7" tint="-0.249977111117893"/>
      <name val="MS UI Gothic"/>
      <family val="3"/>
      <charset val="128"/>
    </font>
    <font>
      <b/>
      <sz val="11"/>
      <color theme="4"/>
      <name val="MS UI Gothic"/>
      <family val="3"/>
      <charset val="128"/>
    </font>
    <font>
      <u/>
      <sz val="11"/>
      <color theme="4"/>
      <name val="MS UI Gothic"/>
      <family val="3"/>
      <charset val="128"/>
    </font>
    <font>
      <b/>
      <sz val="11"/>
      <color theme="7" tint="-0.249977111117893"/>
      <name val="MS UI Gothic"/>
      <family val="3"/>
      <charset val="128"/>
    </font>
    <font>
      <sz val="12"/>
      <color rgb="FFC00000"/>
      <name val="MS UI Gothic"/>
      <family val="3"/>
      <charset val="128"/>
    </font>
    <font>
      <sz val="12"/>
      <color theme="4"/>
      <name val="MS UI Gothic"/>
      <family val="3"/>
      <charset val="128"/>
    </font>
    <font>
      <b/>
      <sz val="12"/>
      <color theme="7" tint="-0.249977111117893"/>
      <name val="MS UI Gothic"/>
      <family val="3"/>
      <charset val="128"/>
    </font>
    <font>
      <b/>
      <sz val="12"/>
      <color rgb="FFC00000"/>
      <name val="MS UI Gothic"/>
      <family val="3"/>
      <charset val="128"/>
    </font>
    <font>
      <b/>
      <u/>
      <sz val="11"/>
      <color theme="9"/>
      <name val="MS UI Gothic"/>
      <family val="3"/>
      <charset val="128"/>
    </font>
    <font>
      <b/>
      <u/>
      <sz val="12"/>
      <color theme="4"/>
      <name val="MS UI Gothic"/>
      <family val="3"/>
      <charset val="128"/>
    </font>
    <font>
      <b/>
      <sz val="12"/>
      <color theme="4"/>
      <name val="MS UI Gothic"/>
      <family val="3"/>
      <charset val="128"/>
    </font>
    <font>
      <sz val="11"/>
      <color theme="9"/>
      <name val="MS UI Gothic"/>
      <family val="3"/>
      <charset val="128"/>
    </font>
    <font>
      <b/>
      <u/>
      <sz val="11"/>
      <color theme="5" tint="-0.249977111117893"/>
      <name val="MS UI 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 style="hair">
        <color indexed="8"/>
      </left>
      <right/>
      <top/>
      <bottom style="hair">
        <color indexed="8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176" fontId="16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5" xfId="0" applyNumberFormat="1" applyFont="1" applyBorder="1">
      <alignment vertical="center"/>
    </xf>
    <xf numFmtId="0" fontId="1" fillId="0" borderId="5" xfId="0" applyFont="1" applyBorder="1" applyAlignment="1">
      <alignment horizontal="right" vertical="center"/>
    </xf>
    <xf numFmtId="3" fontId="1" fillId="0" borderId="5" xfId="0" applyNumberFormat="1" applyFont="1" applyBorder="1">
      <alignment vertical="center"/>
    </xf>
    <xf numFmtId="176" fontId="12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3" fontId="16" fillId="0" borderId="5" xfId="0" applyNumberFormat="1" applyFont="1" applyBorder="1">
      <alignment vertical="center"/>
    </xf>
    <xf numFmtId="176" fontId="7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7" borderId="0" xfId="0" applyFont="1" applyFill="1">
      <alignment vertical="center"/>
    </xf>
    <xf numFmtId="0" fontId="21" fillId="7" borderId="0" xfId="0" applyFont="1" applyFill="1">
      <alignment vertical="center"/>
    </xf>
    <xf numFmtId="176" fontId="8" fillId="0" borderId="0" xfId="0" applyNumberFormat="1" applyFont="1" applyFill="1" applyAlignment="1">
      <alignment horizontal="center" vertical="center"/>
    </xf>
    <xf numFmtId="176" fontId="16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176" fontId="23" fillId="0" borderId="0" xfId="0" applyNumberFormat="1" applyFont="1" applyBorder="1" applyAlignment="1">
      <alignment horizontal="center" vertical="center"/>
    </xf>
    <xf numFmtId="176" fontId="24" fillId="0" borderId="0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176" fontId="28" fillId="0" borderId="0" xfId="0" applyNumberFormat="1" applyFont="1" applyAlignment="1">
      <alignment horizontal="right" vertical="center"/>
    </xf>
    <xf numFmtId="176" fontId="31" fillId="0" borderId="0" xfId="0" applyNumberFormat="1" applyFont="1">
      <alignment vertical="center"/>
    </xf>
    <xf numFmtId="0" fontId="29" fillId="0" borderId="0" xfId="0" applyFont="1" applyAlignment="1">
      <alignment horizontal="right" vertical="center"/>
    </xf>
    <xf numFmtId="176" fontId="38" fillId="0" borderId="0" xfId="0" applyNumberFormat="1" applyFont="1" applyAlignment="1">
      <alignment horizontal="right" vertical="center"/>
    </xf>
    <xf numFmtId="0" fontId="38" fillId="0" borderId="0" xfId="0" applyFont="1" applyAlignment="1">
      <alignment horizontal="right" vertical="center"/>
    </xf>
    <xf numFmtId="0" fontId="28" fillId="0" borderId="5" xfId="0" applyFont="1" applyBorder="1">
      <alignment vertical="center"/>
    </xf>
    <xf numFmtId="0" fontId="0" fillId="0" borderId="5" xfId="0" applyBorder="1">
      <alignment vertical="center"/>
    </xf>
    <xf numFmtId="176" fontId="22" fillId="0" borderId="0" xfId="0" applyNumberFormat="1" applyFont="1" applyBorder="1" applyAlignment="1">
      <alignment horizontal="right" vertical="center"/>
    </xf>
    <xf numFmtId="0" fontId="32" fillId="0" borderId="5" xfId="0" applyFont="1" applyBorder="1" applyAlignment="1">
      <alignment horizontal="right" vertical="center"/>
    </xf>
    <xf numFmtId="176" fontId="34" fillId="0" borderId="0" xfId="0" applyNumberFormat="1" applyFont="1" applyAlignment="1">
      <alignment horizontal="right" vertical="center"/>
    </xf>
    <xf numFmtId="176" fontId="34" fillId="4" borderId="0" xfId="0" applyNumberFormat="1" applyFont="1" applyFill="1" applyAlignment="1">
      <alignment horizontal="right" vertical="center"/>
    </xf>
    <xf numFmtId="176" fontId="30" fillId="0" borderId="3" xfId="0" applyNumberFormat="1" applyFont="1" applyBorder="1" applyAlignment="1">
      <alignment horizontal="right" vertical="center"/>
    </xf>
    <xf numFmtId="176" fontId="34" fillId="0" borderId="0" xfId="0" applyNumberFormat="1" applyFont="1" applyFill="1" applyAlignment="1">
      <alignment horizontal="right" vertical="center"/>
    </xf>
    <xf numFmtId="0" fontId="29" fillId="0" borderId="3" xfId="0" applyFont="1" applyBorder="1" applyAlignment="1">
      <alignment horizontal="right" vertical="center"/>
    </xf>
    <xf numFmtId="176" fontId="37" fillId="0" borderId="3" xfId="0" applyNumberFormat="1" applyFont="1" applyBorder="1" applyAlignment="1">
      <alignment horizontal="right" vertical="center"/>
    </xf>
    <xf numFmtId="0" fontId="0" fillId="0" borderId="3" xfId="0" applyBorder="1">
      <alignment vertical="center"/>
    </xf>
    <xf numFmtId="0" fontId="28" fillId="0" borderId="3" xfId="0" applyFont="1" applyBorder="1" applyAlignment="1">
      <alignment horizontal="right" vertical="center"/>
    </xf>
    <xf numFmtId="176" fontId="43" fillId="0" borderId="3" xfId="0" applyNumberFormat="1" applyFont="1" applyBorder="1" applyAlignment="1">
      <alignment horizontal="right" vertical="center"/>
    </xf>
    <xf numFmtId="176" fontId="35" fillId="0" borderId="0" xfId="0" applyNumberFormat="1" applyFont="1" applyAlignment="1">
      <alignment horizontal="right" vertical="center"/>
    </xf>
    <xf numFmtId="176" fontId="36" fillId="0" borderId="0" xfId="0" applyNumberFormat="1" applyFont="1" applyAlignment="1">
      <alignment horizontal="right" vertical="center"/>
    </xf>
    <xf numFmtId="176" fontId="41" fillId="0" borderId="0" xfId="0" applyNumberFormat="1" applyFont="1" applyAlignment="1">
      <alignment horizontal="right" vertical="center"/>
    </xf>
    <xf numFmtId="176" fontId="44" fillId="0" borderId="0" xfId="0" applyNumberFormat="1" applyFont="1" applyAlignment="1">
      <alignment horizontal="right" vertical="center"/>
    </xf>
    <xf numFmtId="176" fontId="42" fillId="0" borderId="0" xfId="0" applyNumberFormat="1" applyFont="1" applyAlignment="1">
      <alignment horizontal="right" vertical="center"/>
    </xf>
    <xf numFmtId="0" fontId="26" fillId="0" borderId="0" xfId="0" applyFont="1" applyBorder="1">
      <alignment vertical="center"/>
    </xf>
    <xf numFmtId="176" fontId="39" fillId="4" borderId="0" xfId="0" applyNumberFormat="1" applyFont="1" applyFill="1" applyAlignment="1">
      <alignment horizontal="right" vertical="center"/>
    </xf>
    <xf numFmtId="176" fontId="45" fillId="0" borderId="0" xfId="0" applyNumberFormat="1" applyFont="1" applyAlignment="1">
      <alignment horizontal="right" vertical="center"/>
    </xf>
    <xf numFmtId="176" fontId="40" fillId="0" borderId="0" xfId="0" applyNumberFormat="1" applyFont="1" applyAlignment="1">
      <alignment horizontal="right" vertical="center"/>
    </xf>
    <xf numFmtId="176" fontId="31" fillId="0" borderId="3" xfId="0" applyNumberFormat="1" applyFont="1" applyBorder="1">
      <alignment vertical="center"/>
    </xf>
    <xf numFmtId="0" fontId="28" fillId="0" borderId="3" xfId="0" applyFont="1" applyBorder="1">
      <alignment vertical="center"/>
    </xf>
    <xf numFmtId="176" fontId="35" fillId="0" borderId="3" xfId="0" applyNumberFormat="1" applyFont="1" applyBorder="1" applyAlignment="1">
      <alignment horizontal="right" vertical="center"/>
    </xf>
    <xf numFmtId="0" fontId="29" fillId="0" borderId="3" xfId="0" applyFont="1" applyBorder="1" applyAlignment="1">
      <alignment horizontal="right" vertical="center" wrapText="1"/>
    </xf>
    <xf numFmtId="176" fontId="41" fillId="4" borderId="0" xfId="0" applyNumberFormat="1" applyFont="1" applyFill="1" applyAlignment="1">
      <alignment horizontal="right" vertical="center"/>
    </xf>
    <xf numFmtId="0" fontId="11" fillId="6" borderId="0" xfId="0" applyFont="1" applyFill="1">
      <alignment vertical="center"/>
    </xf>
    <xf numFmtId="0" fontId="21" fillId="6" borderId="0" xfId="0" applyFont="1" applyFill="1">
      <alignment vertical="center"/>
    </xf>
    <xf numFmtId="0" fontId="28" fillId="0" borderId="2" xfId="0" applyFont="1" applyBorder="1" applyAlignment="1">
      <alignment horizontal="center" vertical="center"/>
    </xf>
    <xf numFmtId="176" fontId="28" fillId="0" borderId="2" xfId="0" applyNumberFormat="1" applyFont="1" applyBorder="1" applyAlignment="1">
      <alignment horizontal="center" vertical="center"/>
    </xf>
    <xf numFmtId="176" fontId="28" fillId="4" borderId="0" xfId="0" applyNumberFormat="1" applyFont="1" applyFill="1" applyAlignment="1">
      <alignment horizontal="right" vertical="center"/>
    </xf>
    <xf numFmtId="176" fontId="28" fillId="4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/>
    </xf>
    <xf numFmtId="0" fontId="32" fillId="8" borderId="5" xfId="0" applyFont="1" applyFill="1" applyBorder="1" applyAlignment="1">
      <alignment horizontal="right" vertical="center"/>
    </xf>
    <xf numFmtId="0" fontId="28" fillId="8" borderId="5" xfId="0" applyFont="1" applyFill="1" applyBorder="1">
      <alignment vertical="center"/>
    </xf>
    <xf numFmtId="0" fontId="0" fillId="8" borderId="5" xfId="0" applyFill="1" applyBorder="1">
      <alignment vertical="center"/>
    </xf>
    <xf numFmtId="0" fontId="33" fillId="0" borderId="0" xfId="0" applyFont="1" applyAlignment="1">
      <alignment horizontal="center" vertical="center"/>
    </xf>
    <xf numFmtId="176" fontId="46" fillId="0" borderId="0" xfId="0" applyNumberFormat="1" applyFont="1" applyAlignment="1">
      <alignment horizontal="right" vertical="center"/>
    </xf>
    <xf numFmtId="0" fontId="28" fillId="0" borderId="4" xfId="0" applyFont="1" applyBorder="1" applyAlignment="1">
      <alignment horizontal="center" vertical="center"/>
    </xf>
    <xf numFmtId="176" fontId="46" fillId="0" borderId="3" xfId="0" applyNumberFormat="1" applyFont="1" applyBorder="1" applyAlignment="1">
      <alignment horizontal="center" vertical="center"/>
    </xf>
    <xf numFmtId="176" fontId="34" fillId="0" borderId="3" xfId="0" applyNumberFormat="1" applyFont="1" applyBorder="1" applyAlignment="1">
      <alignment horizontal="center" vertical="center"/>
    </xf>
    <xf numFmtId="0" fontId="0" fillId="9" borderId="0" xfId="0" applyFill="1">
      <alignment vertical="center"/>
    </xf>
    <xf numFmtId="176" fontId="1" fillId="9" borderId="0" xfId="0" applyNumberFormat="1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76" fontId="47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DC2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93</xdr:row>
      <xdr:rowOff>0</xdr:rowOff>
    </xdr:from>
    <xdr:to>
      <xdr:col>7</xdr:col>
      <xdr:colOff>58882</xdr:colOff>
      <xdr:row>99</xdr:row>
      <xdr:rowOff>20602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16163925"/>
          <a:ext cx="3057525" cy="11064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10</xdr:col>
      <xdr:colOff>114300</xdr:colOff>
      <xdr:row>117</xdr:row>
      <xdr:rowOff>22124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8888075"/>
          <a:ext cx="3552825" cy="1917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157</xdr:row>
      <xdr:rowOff>0</xdr:rowOff>
    </xdr:from>
    <xdr:ext cx="3057525" cy="1106452"/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16163925"/>
          <a:ext cx="3057525" cy="110645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topLeftCell="A126" zoomScale="110" zoomScaleNormal="110" workbookViewId="0">
      <selection activeCell="C175" sqref="C175"/>
    </sheetView>
  </sheetViews>
  <sheetFormatPr defaultRowHeight="13.5" x14ac:dyDescent="0.15"/>
  <cols>
    <col min="1" max="1" width="23.125" customWidth="1"/>
    <col min="2" max="2" width="11.875" bestFit="1" customWidth="1"/>
    <col min="3" max="3" width="10.125" bestFit="1" customWidth="1"/>
    <col min="4" max="4" width="12" bestFit="1" customWidth="1"/>
    <col min="5" max="5" width="9.25" bestFit="1" customWidth="1"/>
    <col min="6" max="6" width="9.125" bestFit="1" customWidth="1"/>
  </cols>
  <sheetData>
    <row r="1" spans="1:9" s="46" customFormat="1" x14ac:dyDescent="0.15">
      <c r="A1" s="45" t="s">
        <v>98</v>
      </c>
      <c r="B1" s="45"/>
      <c r="C1" s="45"/>
      <c r="D1" s="45"/>
      <c r="E1" s="45"/>
      <c r="F1" s="45"/>
      <c r="G1" s="45"/>
      <c r="H1" s="45"/>
    </row>
    <row r="2" spans="1:9" ht="14.25" thickBot="1" x14ac:dyDescent="0.2">
      <c r="A2" s="21"/>
      <c r="B2" s="22" t="s">
        <v>8</v>
      </c>
      <c r="C2" s="22" t="s">
        <v>9</v>
      </c>
      <c r="D2" s="44" t="s">
        <v>40</v>
      </c>
      <c r="E2" s="39" t="s">
        <v>41</v>
      </c>
      <c r="F2" s="22" t="s">
        <v>10</v>
      </c>
      <c r="G2" s="22" t="s">
        <v>11</v>
      </c>
      <c r="H2" s="22" t="s">
        <v>12</v>
      </c>
      <c r="I2" s="50" t="s">
        <v>131</v>
      </c>
    </row>
    <row r="3" spans="1:9" ht="14.25" thickTop="1" x14ac:dyDescent="0.15">
      <c r="A3" s="1" t="s">
        <v>13</v>
      </c>
      <c r="B3" s="112"/>
      <c r="C3" s="112"/>
      <c r="D3" s="102"/>
      <c r="E3" s="102"/>
      <c r="F3" s="3"/>
      <c r="G3" s="3"/>
      <c r="H3" s="3"/>
    </row>
    <row r="4" spans="1:9" x14ac:dyDescent="0.15">
      <c r="A4" s="1"/>
      <c r="B4" s="56" t="s">
        <v>70</v>
      </c>
      <c r="C4" s="103">
        <v>300000</v>
      </c>
      <c r="D4" s="103">
        <f>C4*0.1</f>
        <v>30000</v>
      </c>
      <c r="E4" s="103">
        <f>C4*0.1021</f>
        <v>30630</v>
      </c>
      <c r="F4" s="1" t="s">
        <v>91</v>
      </c>
      <c r="G4" s="36" t="s">
        <v>73</v>
      </c>
      <c r="H4" s="1"/>
    </row>
    <row r="5" spans="1:9" x14ac:dyDescent="0.15">
      <c r="A5" s="1"/>
      <c r="B5" s="56" t="s">
        <v>71</v>
      </c>
      <c r="C5" s="103">
        <f>SUM(800000/4)</f>
        <v>200000</v>
      </c>
      <c r="D5" s="103">
        <f t="shared" ref="D5" si="0">C5*0.1</f>
        <v>20000</v>
      </c>
      <c r="E5" s="103">
        <f t="shared" ref="E5" si="1">C5*0.1021</f>
        <v>20420</v>
      </c>
      <c r="F5" s="1"/>
      <c r="G5" s="36" t="s">
        <v>73</v>
      </c>
      <c r="H5" s="1"/>
    </row>
    <row r="6" spans="1:9" x14ac:dyDescent="0.15">
      <c r="A6" s="1"/>
      <c r="B6" s="56" t="s">
        <v>72</v>
      </c>
      <c r="C6" s="103">
        <v>50000</v>
      </c>
      <c r="D6" s="103">
        <v>0</v>
      </c>
      <c r="E6" s="103">
        <v>0</v>
      </c>
      <c r="F6" s="1" t="s">
        <v>74</v>
      </c>
      <c r="G6" s="36" t="s">
        <v>73</v>
      </c>
      <c r="H6" s="1"/>
    </row>
    <row r="7" spans="1:9" x14ac:dyDescent="0.15">
      <c r="A7" s="13"/>
      <c r="B7" s="104" t="s">
        <v>14</v>
      </c>
      <c r="C7" s="71">
        <f>SUM(C4:C6)</f>
        <v>550000</v>
      </c>
      <c r="D7" s="105">
        <f>SUM(D4:D6)</f>
        <v>50000</v>
      </c>
      <c r="E7" s="106">
        <f>SUM(E4:E6)</f>
        <v>51050</v>
      </c>
      <c r="F7" s="16"/>
      <c r="G7" s="16"/>
      <c r="H7" s="13"/>
    </row>
    <row r="8" spans="1:9" x14ac:dyDescent="0.15">
      <c r="C8" s="54" t="s">
        <v>97</v>
      </c>
      <c r="D8" s="51">
        <f>D7*12*0.5</f>
        <v>300000</v>
      </c>
      <c r="E8" s="52">
        <f>E7*12</f>
        <v>612600</v>
      </c>
    </row>
    <row r="9" spans="1:9" s="46" customFormat="1" x14ac:dyDescent="0.15">
      <c r="A9" s="45" t="s">
        <v>99</v>
      </c>
      <c r="B9" s="45"/>
      <c r="C9" s="45"/>
      <c r="D9" s="45"/>
      <c r="E9" s="45"/>
      <c r="F9" s="45"/>
      <c r="G9" s="45"/>
      <c r="H9" s="45"/>
    </row>
    <row r="10" spans="1:9" ht="14.25" thickBot="1" x14ac:dyDescent="0.2">
      <c r="A10" s="21"/>
      <c r="B10" s="22" t="s">
        <v>8</v>
      </c>
      <c r="C10" s="22" t="s">
        <v>9</v>
      </c>
      <c r="D10" s="23" t="s">
        <v>15</v>
      </c>
      <c r="E10" s="39" t="s">
        <v>90</v>
      </c>
      <c r="F10" s="22" t="s">
        <v>10</v>
      </c>
      <c r="G10" s="22" t="s">
        <v>16</v>
      </c>
      <c r="H10" s="22" t="s">
        <v>12</v>
      </c>
      <c r="I10" s="50" t="s">
        <v>131</v>
      </c>
    </row>
    <row r="11" spans="1:9" ht="14.25" thickTop="1" x14ac:dyDescent="0.15">
      <c r="A11" s="1" t="s">
        <v>17</v>
      </c>
      <c r="B11" s="109"/>
      <c r="C11" s="109"/>
      <c r="D11" s="9"/>
      <c r="E11" s="41"/>
      <c r="F11" s="1"/>
      <c r="G11" s="1"/>
      <c r="H11" s="1"/>
      <c r="I11" s="107" t="s">
        <v>132</v>
      </c>
    </row>
    <row r="12" spans="1:9" x14ac:dyDescent="0.15">
      <c r="A12" s="1"/>
      <c r="B12" s="3" t="s">
        <v>82</v>
      </c>
      <c r="C12" s="20">
        <v>100000</v>
      </c>
      <c r="D12" s="10">
        <f>(C12*0.5)</f>
        <v>50000</v>
      </c>
      <c r="E12" s="27">
        <v>0</v>
      </c>
      <c r="F12" s="4" t="s">
        <v>36</v>
      </c>
      <c r="G12" s="36" t="s">
        <v>73</v>
      </c>
      <c r="H12" s="5"/>
    </row>
    <row r="13" spans="1:9" x14ac:dyDescent="0.15">
      <c r="A13" s="1"/>
      <c r="B13" s="3" t="s">
        <v>37</v>
      </c>
      <c r="C13" s="20">
        <v>50000</v>
      </c>
      <c r="D13" s="10">
        <v>0</v>
      </c>
      <c r="E13" s="27">
        <v>0</v>
      </c>
      <c r="F13" s="4" t="s">
        <v>38</v>
      </c>
      <c r="G13" s="36" t="s">
        <v>73</v>
      </c>
      <c r="H13" s="7"/>
    </row>
    <row r="14" spans="1:9" x14ac:dyDescent="0.15">
      <c r="A14" s="1"/>
      <c r="B14" s="20" t="s">
        <v>76</v>
      </c>
      <c r="C14" s="20">
        <v>30000</v>
      </c>
      <c r="D14" s="47">
        <v>0</v>
      </c>
      <c r="E14" s="48">
        <v>0</v>
      </c>
      <c r="F14" s="4" t="s">
        <v>60</v>
      </c>
      <c r="G14" s="28" t="s">
        <v>80</v>
      </c>
      <c r="H14" s="7"/>
    </row>
    <row r="15" spans="1:9" x14ac:dyDescent="0.15">
      <c r="A15" s="1"/>
      <c r="B15" s="20" t="s">
        <v>85</v>
      </c>
      <c r="C15" s="20">
        <v>2000</v>
      </c>
      <c r="D15" s="10">
        <f>(C15*1)</f>
        <v>2000</v>
      </c>
      <c r="E15" s="27">
        <v>0</v>
      </c>
      <c r="F15" s="4"/>
      <c r="G15" s="36" t="s">
        <v>73</v>
      </c>
      <c r="H15" s="7"/>
    </row>
    <row r="16" spans="1:9" x14ac:dyDescent="0.15">
      <c r="A16" s="1"/>
      <c r="B16" s="3" t="s">
        <v>86</v>
      </c>
      <c r="C16" s="20">
        <v>15000</v>
      </c>
      <c r="D16" s="47">
        <f t="shared" ref="D16" si="2">(C16*1)</f>
        <v>15000</v>
      </c>
      <c r="E16" s="48">
        <v>0</v>
      </c>
      <c r="F16" s="4"/>
      <c r="G16" s="36" t="s">
        <v>73</v>
      </c>
      <c r="H16" s="7"/>
    </row>
    <row r="17" spans="1:8" x14ac:dyDescent="0.15">
      <c r="A17" s="1"/>
      <c r="B17" s="49" t="s">
        <v>83</v>
      </c>
      <c r="C17" s="108">
        <f>SUM(300000/12)</f>
        <v>25000</v>
      </c>
      <c r="D17" s="10">
        <v>0</v>
      </c>
      <c r="E17" s="27">
        <v>0</v>
      </c>
      <c r="F17" s="7" t="s">
        <v>68</v>
      </c>
      <c r="G17" s="36" t="s">
        <v>73</v>
      </c>
      <c r="H17" s="7"/>
    </row>
    <row r="18" spans="1:8" x14ac:dyDescent="0.15">
      <c r="A18" s="1"/>
      <c r="B18" s="49" t="s">
        <v>45</v>
      </c>
      <c r="C18" s="108">
        <f>SUM(1500000/12)</f>
        <v>125000</v>
      </c>
      <c r="D18" s="47">
        <f t="shared" ref="D18" si="3">(C18*1)</f>
        <v>125000</v>
      </c>
      <c r="E18" s="48">
        <v>0</v>
      </c>
      <c r="F18" s="7" t="s">
        <v>67</v>
      </c>
      <c r="G18" s="36" t="s">
        <v>73</v>
      </c>
      <c r="H18" s="7"/>
    </row>
    <row r="19" spans="1:8" x14ac:dyDescent="0.15">
      <c r="A19" s="1"/>
      <c r="B19" s="49" t="s">
        <v>61</v>
      </c>
      <c r="C19" s="20">
        <f>30000/12</f>
        <v>2500</v>
      </c>
      <c r="D19" s="47">
        <v>0</v>
      </c>
      <c r="E19" s="48">
        <v>0</v>
      </c>
      <c r="F19" s="7" t="s">
        <v>67</v>
      </c>
      <c r="G19" s="36" t="s">
        <v>73</v>
      </c>
      <c r="H19" s="7"/>
    </row>
    <row r="20" spans="1:8" x14ac:dyDescent="0.15">
      <c r="A20" s="13"/>
      <c r="B20" s="16"/>
      <c r="C20" s="14" t="s">
        <v>20</v>
      </c>
      <c r="D20" s="15" t="s">
        <v>88</v>
      </c>
      <c r="E20" s="40" t="s">
        <v>89</v>
      </c>
      <c r="F20" s="16" t="s">
        <v>6</v>
      </c>
      <c r="G20" s="13"/>
      <c r="H20" s="13"/>
    </row>
    <row r="21" spans="1:8" x14ac:dyDescent="0.15">
      <c r="A21" s="1"/>
      <c r="B21" s="3"/>
      <c r="C21" s="11">
        <f>SUM(C12:C19)</f>
        <v>349500</v>
      </c>
      <c r="D21" s="10">
        <f>SUM(D12:D19)</f>
        <v>192000</v>
      </c>
      <c r="E21" s="27">
        <f>SUM(E12:E19)</f>
        <v>0</v>
      </c>
      <c r="F21" s="12">
        <f>C7-C21</f>
        <v>200500</v>
      </c>
      <c r="G21" s="1"/>
      <c r="H21" s="1"/>
    </row>
    <row r="22" spans="1:8" x14ac:dyDescent="0.15">
      <c r="A22" s="1"/>
      <c r="B22" s="3"/>
      <c r="C22" s="11"/>
      <c r="D22" s="10"/>
      <c r="E22" s="27"/>
      <c r="F22" s="12"/>
      <c r="G22" s="1"/>
      <c r="H22" s="1"/>
    </row>
    <row r="23" spans="1:8" ht="14.25" thickBot="1" x14ac:dyDescent="0.2">
      <c r="A23" s="21"/>
      <c r="B23" s="22" t="s">
        <v>8</v>
      </c>
      <c r="C23" s="22" t="s">
        <v>9</v>
      </c>
      <c r="D23" s="23" t="s">
        <v>15</v>
      </c>
      <c r="E23" s="39" t="s">
        <v>90</v>
      </c>
      <c r="F23" s="22" t="s">
        <v>10</v>
      </c>
      <c r="G23" s="22" t="s">
        <v>16</v>
      </c>
      <c r="H23" s="22" t="s">
        <v>12</v>
      </c>
    </row>
    <row r="24" spans="1:8" ht="14.25" thickTop="1" x14ac:dyDescent="0.15">
      <c r="A24" s="1" t="s">
        <v>21</v>
      </c>
      <c r="B24" s="110"/>
      <c r="C24" s="111"/>
      <c r="D24" s="24"/>
      <c r="E24" s="27"/>
      <c r="F24" s="12"/>
      <c r="G24" s="1"/>
      <c r="H24" s="1"/>
    </row>
    <row r="25" spans="1:8" x14ac:dyDescent="0.15">
      <c r="A25" s="1"/>
      <c r="B25" s="3" t="s">
        <v>1</v>
      </c>
      <c r="C25" s="20">
        <v>5000</v>
      </c>
      <c r="D25" s="10">
        <f t="shared" ref="D25:D31" si="4">(C25*0.5)</f>
        <v>2500</v>
      </c>
      <c r="E25" s="27">
        <v>0</v>
      </c>
      <c r="F25" s="4"/>
      <c r="G25" s="36" t="s">
        <v>73</v>
      </c>
      <c r="H25" s="37" t="s">
        <v>81</v>
      </c>
    </row>
    <row r="26" spans="1:8" x14ac:dyDescent="0.15">
      <c r="A26" s="1"/>
      <c r="B26" s="3" t="s">
        <v>22</v>
      </c>
      <c r="C26" s="20">
        <v>5000</v>
      </c>
      <c r="D26" s="10">
        <f t="shared" si="4"/>
        <v>2500</v>
      </c>
      <c r="E26" s="27">
        <v>0</v>
      </c>
      <c r="F26" s="4"/>
      <c r="G26" s="36" t="s">
        <v>73</v>
      </c>
      <c r="H26" s="37" t="s">
        <v>81</v>
      </c>
    </row>
    <row r="27" spans="1:8" x14ac:dyDescent="0.15">
      <c r="A27" s="1"/>
      <c r="B27" s="3" t="s">
        <v>0</v>
      </c>
      <c r="C27" s="20">
        <v>15000</v>
      </c>
      <c r="D27" s="10">
        <f t="shared" si="4"/>
        <v>7500</v>
      </c>
      <c r="E27" s="27">
        <v>0</v>
      </c>
      <c r="F27" s="4"/>
      <c r="G27" s="36" t="s">
        <v>73</v>
      </c>
      <c r="H27" s="8"/>
    </row>
    <row r="28" spans="1:8" x14ac:dyDescent="0.15">
      <c r="A28" s="1"/>
      <c r="B28" s="3" t="s">
        <v>77</v>
      </c>
      <c r="C28" s="20">
        <v>8000</v>
      </c>
      <c r="D28" s="10">
        <f t="shared" si="4"/>
        <v>4000</v>
      </c>
      <c r="E28" s="27">
        <v>0</v>
      </c>
      <c r="F28" s="4"/>
      <c r="G28" s="36" t="s">
        <v>73</v>
      </c>
      <c r="H28" s="8"/>
    </row>
    <row r="29" spans="1:8" x14ac:dyDescent="0.15">
      <c r="A29" s="1"/>
      <c r="B29" s="3" t="s">
        <v>4</v>
      </c>
      <c r="C29" s="20">
        <v>5000</v>
      </c>
      <c r="D29" s="10">
        <f t="shared" si="4"/>
        <v>2500</v>
      </c>
      <c r="E29" s="27">
        <v>0</v>
      </c>
      <c r="F29" s="4"/>
      <c r="G29" s="36" t="s">
        <v>73</v>
      </c>
      <c r="H29" s="8"/>
    </row>
    <row r="30" spans="1:8" x14ac:dyDescent="0.15">
      <c r="A30" s="1"/>
      <c r="B30" s="3" t="s">
        <v>94</v>
      </c>
      <c r="C30" s="20">
        <v>10000</v>
      </c>
      <c r="D30" s="10">
        <f t="shared" si="4"/>
        <v>5000</v>
      </c>
      <c r="E30" s="27">
        <v>0</v>
      </c>
      <c r="F30" s="4"/>
      <c r="G30" s="36" t="s">
        <v>73</v>
      </c>
      <c r="H30" s="8"/>
    </row>
    <row r="31" spans="1:8" x14ac:dyDescent="0.15">
      <c r="A31" s="1"/>
      <c r="B31" s="3" t="s">
        <v>92</v>
      </c>
      <c r="C31" s="20">
        <f>(40000/12)</f>
        <v>3333.3333333333335</v>
      </c>
      <c r="D31" s="10">
        <f t="shared" si="4"/>
        <v>1666.6666666666667</v>
      </c>
      <c r="E31" s="27">
        <v>0</v>
      </c>
      <c r="F31" s="4"/>
      <c r="G31" s="36" t="s">
        <v>73</v>
      </c>
      <c r="H31" s="37" t="s">
        <v>81</v>
      </c>
    </row>
    <row r="32" spans="1:8" x14ac:dyDescent="0.15">
      <c r="A32" s="1"/>
      <c r="B32" s="3" t="s">
        <v>62</v>
      </c>
      <c r="C32" s="20">
        <f>SUM(3000*2)</f>
        <v>6000</v>
      </c>
      <c r="D32" s="10">
        <f>SUM(C32*0.5)</f>
        <v>3000</v>
      </c>
      <c r="E32" s="27">
        <v>0</v>
      </c>
      <c r="F32" s="4"/>
      <c r="G32" s="36" t="s">
        <v>73</v>
      </c>
      <c r="H32" s="37" t="s">
        <v>81</v>
      </c>
    </row>
    <row r="33" spans="1:8" x14ac:dyDescent="0.15">
      <c r="A33" s="1"/>
      <c r="B33" s="3" t="s">
        <v>93</v>
      </c>
      <c r="C33" s="20">
        <f>(15000*2)/12</f>
        <v>2500</v>
      </c>
      <c r="D33" s="10">
        <f>SUM(C33*0.5)</f>
        <v>1250</v>
      </c>
      <c r="E33" s="27">
        <v>0</v>
      </c>
      <c r="F33" s="4"/>
      <c r="G33" s="36" t="s">
        <v>73</v>
      </c>
      <c r="H33" s="37" t="s">
        <v>81</v>
      </c>
    </row>
    <row r="34" spans="1:8" x14ac:dyDescent="0.15">
      <c r="A34" s="17"/>
      <c r="B34" s="16"/>
      <c r="C34" s="14" t="s">
        <v>20</v>
      </c>
      <c r="D34" s="15" t="s">
        <v>88</v>
      </c>
      <c r="E34" s="40" t="s">
        <v>89</v>
      </c>
      <c r="F34" s="16" t="s">
        <v>6</v>
      </c>
      <c r="G34" s="18"/>
      <c r="H34" s="13"/>
    </row>
    <row r="35" spans="1:8" x14ac:dyDescent="0.15">
      <c r="A35" s="4"/>
      <c r="B35" s="3"/>
      <c r="C35" s="11">
        <f>SUM(C25:C33)</f>
        <v>59833.333333333336</v>
      </c>
      <c r="D35" s="10">
        <f>SUM(D25:D33)</f>
        <v>29916.666666666668</v>
      </c>
      <c r="E35" s="27">
        <f>SUM(E25:E33)</f>
        <v>0</v>
      </c>
      <c r="F35" s="12">
        <f>F21-C35</f>
        <v>140666.66666666666</v>
      </c>
      <c r="G35" s="5"/>
      <c r="H35" s="1"/>
    </row>
    <row r="36" spans="1:8" x14ac:dyDescent="0.15">
      <c r="A36" s="4"/>
      <c r="B36" s="3"/>
      <c r="C36" s="11"/>
      <c r="D36" s="10"/>
      <c r="E36" s="27"/>
      <c r="F36" s="12"/>
      <c r="G36" s="5"/>
      <c r="H36" s="1"/>
    </row>
    <row r="37" spans="1:8" ht="14.25" thickBot="1" x14ac:dyDescent="0.2">
      <c r="A37" s="21"/>
      <c r="B37" s="22" t="s">
        <v>8</v>
      </c>
      <c r="C37" s="22" t="s">
        <v>9</v>
      </c>
      <c r="D37" s="23" t="s">
        <v>15</v>
      </c>
      <c r="E37" s="39" t="s">
        <v>90</v>
      </c>
      <c r="F37" s="22" t="s">
        <v>10</v>
      </c>
      <c r="G37" s="22" t="s">
        <v>16</v>
      </c>
      <c r="H37" s="22" t="s">
        <v>12</v>
      </c>
    </row>
    <row r="38" spans="1:8" ht="14.25" thickTop="1" x14ac:dyDescent="0.15">
      <c r="A38" s="1" t="s">
        <v>110</v>
      </c>
      <c r="B38" s="110"/>
      <c r="C38" s="111"/>
      <c r="D38" s="24"/>
      <c r="E38" s="27"/>
      <c r="F38" s="12"/>
      <c r="G38" s="1"/>
      <c r="H38" s="1"/>
    </row>
    <row r="39" spans="1:8" x14ac:dyDescent="0.15">
      <c r="A39" s="1"/>
      <c r="B39" s="20" t="s">
        <v>3</v>
      </c>
      <c r="C39" s="20">
        <v>25000</v>
      </c>
      <c r="D39" s="10">
        <v>0</v>
      </c>
      <c r="E39" s="27">
        <f>(C39*1)</f>
        <v>25000</v>
      </c>
      <c r="F39" s="4" t="s">
        <v>84</v>
      </c>
      <c r="G39" s="36" t="s">
        <v>73</v>
      </c>
      <c r="H39" s="6"/>
    </row>
    <row r="40" spans="1:8" x14ac:dyDescent="0.15">
      <c r="A40" s="1"/>
      <c r="B40" s="20" t="s">
        <v>18</v>
      </c>
      <c r="C40" s="20">
        <v>16560</v>
      </c>
      <c r="D40" s="10">
        <v>0</v>
      </c>
      <c r="E40" s="27">
        <f>(C40*1)</f>
        <v>16560</v>
      </c>
      <c r="F40" s="4"/>
      <c r="G40" s="36" t="s">
        <v>73</v>
      </c>
      <c r="H40" s="7"/>
    </row>
    <row r="41" spans="1:8" x14ac:dyDescent="0.15">
      <c r="A41" s="1"/>
      <c r="B41" s="20" t="s">
        <v>19</v>
      </c>
      <c r="C41" s="20">
        <v>15000</v>
      </c>
      <c r="D41" s="47">
        <v>0</v>
      </c>
      <c r="E41" s="48">
        <f>(C41*1)</f>
        <v>15000</v>
      </c>
      <c r="F41" s="4"/>
      <c r="G41" s="36" t="s">
        <v>73</v>
      </c>
      <c r="H41" s="7"/>
    </row>
    <row r="42" spans="1:8" x14ac:dyDescent="0.15">
      <c r="A42" s="1"/>
      <c r="B42" s="20" t="s">
        <v>75</v>
      </c>
      <c r="C42" s="20">
        <v>30000</v>
      </c>
      <c r="D42" s="47">
        <v>0</v>
      </c>
      <c r="E42" s="48">
        <f>(C42*1)</f>
        <v>30000</v>
      </c>
      <c r="F42" s="4" t="s">
        <v>26</v>
      </c>
      <c r="G42" s="36" t="s">
        <v>73</v>
      </c>
      <c r="H42" s="7"/>
    </row>
    <row r="43" spans="1:8" x14ac:dyDescent="0.15">
      <c r="A43" s="13"/>
      <c r="B43" s="16"/>
      <c r="C43" s="14" t="s">
        <v>20</v>
      </c>
      <c r="D43" s="15" t="s">
        <v>88</v>
      </c>
      <c r="E43" s="40" t="s">
        <v>89</v>
      </c>
      <c r="F43" s="16" t="s">
        <v>6</v>
      </c>
      <c r="G43" s="19"/>
      <c r="H43" s="18"/>
    </row>
    <row r="44" spans="1:8" x14ac:dyDescent="0.15">
      <c r="A44" s="1"/>
      <c r="B44" s="3"/>
      <c r="C44" s="11">
        <f>SUM(C39:C42)</f>
        <v>86560</v>
      </c>
      <c r="D44" s="10">
        <f>SUM(D39:D42)</f>
        <v>0</v>
      </c>
      <c r="E44" s="27">
        <f>SUM(E39:E42)</f>
        <v>86560</v>
      </c>
      <c r="F44" s="12">
        <f>F35-C44</f>
        <v>54106.666666666657</v>
      </c>
      <c r="G44" s="6"/>
      <c r="H44" s="1"/>
    </row>
    <row r="45" spans="1:8" x14ac:dyDescent="0.15">
      <c r="A45" s="1"/>
      <c r="B45" s="3"/>
      <c r="C45" s="11"/>
      <c r="D45" s="10"/>
      <c r="E45" s="27"/>
      <c r="F45" s="12"/>
      <c r="G45" s="1"/>
      <c r="H45" s="1"/>
    </row>
    <row r="46" spans="1:8" ht="14.25" thickBot="1" x14ac:dyDescent="0.2">
      <c r="A46" s="21"/>
      <c r="B46" s="22" t="s">
        <v>8</v>
      </c>
      <c r="C46" s="22" t="s">
        <v>9</v>
      </c>
      <c r="D46" s="23" t="s">
        <v>15</v>
      </c>
      <c r="E46" s="39" t="s">
        <v>90</v>
      </c>
      <c r="F46" s="22" t="s">
        <v>10</v>
      </c>
      <c r="G46" s="22" t="s">
        <v>16</v>
      </c>
      <c r="H46" s="22" t="s">
        <v>12</v>
      </c>
    </row>
    <row r="47" spans="1:8" ht="14.25" thickTop="1" x14ac:dyDescent="0.15">
      <c r="A47" s="1" t="s">
        <v>111</v>
      </c>
      <c r="B47" s="110"/>
      <c r="C47" s="111"/>
      <c r="D47" s="24"/>
      <c r="E47" s="27"/>
      <c r="F47" s="12"/>
      <c r="G47" s="1"/>
      <c r="H47" s="1"/>
    </row>
    <row r="48" spans="1:8" x14ac:dyDescent="0.15">
      <c r="A48" s="1"/>
      <c r="B48" s="3" t="s">
        <v>27</v>
      </c>
      <c r="C48" s="20">
        <v>30000</v>
      </c>
      <c r="D48" s="47">
        <v>0</v>
      </c>
      <c r="E48" s="48">
        <f>(C48*1)</f>
        <v>30000</v>
      </c>
      <c r="F48" s="4"/>
      <c r="G48" s="36" t="s">
        <v>73</v>
      </c>
      <c r="H48" s="7"/>
    </row>
    <row r="49" spans="1:8" x14ac:dyDescent="0.15">
      <c r="A49" s="13"/>
      <c r="B49" s="16"/>
      <c r="C49" s="14" t="s">
        <v>20</v>
      </c>
      <c r="D49" s="15" t="s">
        <v>88</v>
      </c>
      <c r="E49" s="40" t="s">
        <v>89</v>
      </c>
      <c r="F49" s="16" t="s">
        <v>6</v>
      </c>
      <c r="G49" s="19"/>
      <c r="H49" s="18"/>
    </row>
    <row r="50" spans="1:8" x14ac:dyDescent="0.15">
      <c r="A50" s="1"/>
      <c r="B50" s="3"/>
      <c r="C50" s="11">
        <f>SUM(C48)</f>
        <v>30000</v>
      </c>
      <c r="D50" s="10">
        <f>SUM(D48)</f>
        <v>0</v>
      </c>
      <c r="E50" s="27">
        <f>SUM(E48)</f>
        <v>30000</v>
      </c>
      <c r="F50" s="12">
        <f>F44-C50</f>
        <v>24106.666666666657</v>
      </c>
      <c r="G50" s="6"/>
      <c r="H50" s="1"/>
    </row>
    <row r="51" spans="1:8" x14ac:dyDescent="0.15">
      <c r="A51" s="1"/>
      <c r="B51" s="3"/>
      <c r="C51" s="11"/>
      <c r="D51" s="10"/>
      <c r="E51" s="27"/>
      <c r="F51" s="12"/>
      <c r="G51" s="6"/>
      <c r="H51" s="1"/>
    </row>
    <row r="52" spans="1:8" ht="14.25" thickBot="1" x14ac:dyDescent="0.2">
      <c r="A52" s="21"/>
      <c r="B52" s="22" t="s">
        <v>8</v>
      </c>
      <c r="C52" s="22" t="s">
        <v>9</v>
      </c>
      <c r="D52" s="23" t="s">
        <v>15</v>
      </c>
      <c r="E52" s="39" t="s">
        <v>90</v>
      </c>
      <c r="F52" s="22" t="s">
        <v>10</v>
      </c>
      <c r="G52" s="22" t="s">
        <v>16</v>
      </c>
      <c r="H52" s="22" t="s">
        <v>12</v>
      </c>
    </row>
    <row r="53" spans="1:8" ht="14.25" thickTop="1" x14ac:dyDescent="0.15">
      <c r="A53" s="1" t="s">
        <v>112</v>
      </c>
      <c r="B53" s="110"/>
      <c r="C53" s="111"/>
      <c r="D53" s="24"/>
      <c r="E53" s="27"/>
      <c r="F53" s="12"/>
      <c r="G53" s="1"/>
      <c r="H53" s="1"/>
    </row>
    <row r="54" spans="1:8" x14ac:dyDescent="0.15">
      <c r="A54" s="1"/>
      <c r="B54" s="3" t="s">
        <v>87</v>
      </c>
      <c r="C54" s="20">
        <f>36000/12</f>
        <v>3000</v>
      </c>
      <c r="D54" s="47">
        <v>0</v>
      </c>
      <c r="E54" s="48">
        <f>(C54*0.5)</f>
        <v>1500</v>
      </c>
      <c r="F54" s="4"/>
      <c r="G54" s="36" t="s">
        <v>73</v>
      </c>
      <c r="H54" s="7"/>
    </row>
    <row r="55" spans="1:8" x14ac:dyDescent="0.15">
      <c r="A55" s="13"/>
      <c r="B55" s="16"/>
      <c r="C55" s="14" t="s">
        <v>20</v>
      </c>
      <c r="D55" s="15" t="s">
        <v>88</v>
      </c>
      <c r="E55" s="40" t="s">
        <v>89</v>
      </c>
      <c r="F55" s="16" t="s">
        <v>6</v>
      </c>
      <c r="G55" s="19"/>
      <c r="H55" s="18"/>
    </row>
    <row r="56" spans="1:8" x14ac:dyDescent="0.15">
      <c r="A56" s="1"/>
      <c r="B56" s="3"/>
      <c r="C56" s="11">
        <f>SUM(C54)</f>
        <v>3000</v>
      </c>
      <c r="D56" s="10">
        <f>SUM(D54)</f>
        <v>0</v>
      </c>
      <c r="E56" s="27">
        <f>SUM(E54)</f>
        <v>1500</v>
      </c>
      <c r="F56" s="12">
        <f>F50-C56</f>
        <v>21106.666666666657</v>
      </c>
      <c r="G56" s="6"/>
      <c r="H56" s="1"/>
    </row>
    <row r="57" spans="1:8" x14ac:dyDescent="0.15">
      <c r="A57" s="1"/>
      <c r="B57" s="3"/>
      <c r="C57" s="11"/>
      <c r="D57" s="10"/>
      <c r="E57" s="27"/>
      <c r="F57" s="12"/>
      <c r="G57" s="6"/>
      <c r="H57" s="1"/>
    </row>
    <row r="58" spans="1:8" ht="14.25" thickBot="1" x14ac:dyDescent="0.2">
      <c r="A58" s="21"/>
      <c r="B58" s="22" t="s">
        <v>8</v>
      </c>
      <c r="C58" s="22" t="s">
        <v>9</v>
      </c>
      <c r="D58" s="23" t="s">
        <v>15</v>
      </c>
      <c r="E58" s="39" t="s">
        <v>90</v>
      </c>
      <c r="F58" s="22" t="s">
        <v>10</v>
      </c>
      <c r="G58" s="22" t="s">
        <v>16</v>
      </c>
      <c r="H58" s="22" t="s">
        <v>12</v>
      </c>
    </row>
    <row r="59" spans="1:8" ht="14.25" thickTop="1" x14ac:dyDescent="0.15">
      <c r="A59" s="1" t="s">
        <v>23</v>
      </c>
      <c r="B59" s="110"/>
      <c r="C59" s="111"/>
      <c r="D59" s="24"/>
      <c r="E59" s="27"/>
      <c r="F59" s="12"/>
      <c r="G59" s="1"/>
      <c r="H59" s="1"/>
    </row>
    <row r="60" spans="1:8" x14ac:dyDescent="0.15">
      <c r="A60" s="1"/>
      <c r="B60" s="3" t="s">
        <v>5</v>
      </c>
      <c r="C60" s="20">
        <f>(1000*4)</f>
        <v>4000</v>
      </c>
      <c r="D60" s="10">
        <v>0</v>
      </c>
      <c r="E60" s="27">
        <f>(C60*0.5)</f>
        <v>2000</v>
      </c>
      <c r="F60" s="4"/>
      <c r="G60" s="1"/>
      <c r="H60" s="38" t="s">
        <v>7</v>
      </c>
    </row>
    <row r="61" spans="1:8" x14ac:dyDescent="0.15">
      <c r="A61" s="13"/>
      <c r="B61" s="16"/>
      <c r="C61" s="14" t="s">
        <v>20</v>
      </c>
      <c r="D61" s="15" t="s">
        <v>88</v>
      </c>
      <c r="E61" s="40" t="s">
        <v>89</v>
      </c>
      <c r="F61" s="16" t="s">
        <v>6</v>
      </c>
      <c r="G61" s="19"/>
      <c r="H61" s="18"/>
    </row>
    <row r="62" spans="1:8" x14ac:dyDescent="0.15">
      <c r="A62" s="1"/>
      <c r="B62" s="3"/>
      <c r="C62" s="11">
        <f>SUM(C60:C60)</f>
        <v>4000</v>
      </c>
      <c r="D62" s="10">
        <f>SUM(D60:D60)</f>
        <v>0</v>
      </c>
      <c r="E62" s="27">
        <f>SUM(E60:E60)</f>
        <v>2000</v>
      </c>
      <c r="F62" s="12">
        <f>F56-C62</f>
        <v>17106.666666666657</v>
      </c>
      <c r="G62" s="6"/>
      <c r="H62" s="1"/>
    </row>
    <row r="63" spans="1:8" x14ac:dyDescent="0.15">
      <c r="A63" s="1"/>
      <c r="B63" s="3"/>
      <c r="C63" s="11"/>
      <c r="D63" s="10"/>
      <c r="E63" s="27"/>
      <c r="F63" s="12"/>
      <c r="G63" s="6"/>
      <c r="H63" s="1"/>
    </row>
    <row r="64" spans="1:8" ht="14.25" thickBot="1" x14ac:dyDescent="0.2">
      <c r="A64" s="21"/>
      <c r="B64" s="22" t="s">
        <v>8</v>
      </c>
      <c r="C64" s="22" t="s">
        <v>9</v>
      </c>
      <c r="D64" s="23" t="s">
        <v>15</v>
      </c>
      <c r="E64" s="39" t="s">
        <v>90</v>
      </c>
      <c r="F64" s="22" t="s">
        <v>10</v>
      </c>
      <c r="G64" s="22" t="s">
        <v>16</v>
      </c>
      <c r="H64" s="22" t="s">
        <v>12</v>
      </c>
    </row>
    <row r="65" spans="1:8" ht="14.25" thickTop="1" x14ac:dyDescent="0.15">
      <c r="A65" s="1" t="s">
        <v>24</v>
      </c>
      <c r="B65" s="110"/>
      <c r="C65" s="111"/>
      <c r="D65" s="24"/>
      <c r="E65" s="27"/>
      <c r="F65" s="12"/>
      <c r="G65" s="1"/>
      <c r="H65" s="1"/>
    </row>
    <row r="66" spans="1:8" x14ac:dyDescent="0.15">
      <c r="A66" s="1"/>
      <c r="B66" s="3" t="s">
        <v>78</v>
      </c>
      <c r="C66" s="20">
        <f>SUM(((1000*12) + 2000) / 12)</f>
        <v>1166.6666666666667</v>
      </c>
      <c r="D66" s="10">
        <f>(C66*1)</f>
        <v>1166.6666666666667</v>
      </c>
      <c r="E66" s="27">
        <v>0</v>
      </c>
      <c r="F66" s="4"/>
      <c r="G66" s="36" t="s">
        <v>73</v>
      </c>
      <c r="H66" s="37" t="s">
        <v>81</v>
      </c>
    </row>
    <row r="67" spans="1:8" x14ac:dyDescent="0.15">
      <c r="A67" s="1"/>
      <c r="B67" s="3" t="s">
        <v>79</v>
      </c>
      <c r="C67" s="20">
        <f>50000/12</f>
        <v>4166.666666666667</v>
      </c>
      <c r="D67" s="10">
        <f>(C67*1)</f>
        <v>4166.666666666667</v>
      </c>
      <c r="E67" s="27">
        <v>0</v>
      </c>
      <c r="F67" s="4"/>
      <c r="G67" s="36" t="s">
        <v>73</v>
      </c>
      <c r="H67" s="37" t="s">
        <v>81</v>
      </c>
    </row>
    <row r="68" spans="1:8" x14ac:dyDescent="0.15">
      <c r="A68" s="1"/>
      <c r="B68" s="3" t="s">
        <v>95</v>
      </c>
      <c r="C68" s="20">
        <v>1000</v>
      </c>
      <c r="D68" s="10">
        <f>(C68*1)</f>
        <v>1000</v>
      </c>
      <c r="E68" s="27">
        <v>0</v>
      </c>
      <c r="F68" s="4"/>
      <c r="G68" s="36" t="s">
        <v>73</v>
      </c>
      <c r="H68" s="37" t="s">
        <v>81</v>
      </c>
    </row>
    <row r="69" spans="1:8" x14ac:dyDescent="0.15">
      <c r="A69" s="13"/>
      <c r="B69" s="25"/>
      <c r="C69" s="14" t="s">
        <v>20</v>
      </c>
      <c r="D69" s="15" t="s">
        <v>88</v>
      </c>
      <c r="E69" s="40" t="s">
        <v>89</v>
      </c>
      <c r="F69" s="16" t="s">
        <v>6</v>
      </c>
      <c r="G69" s="18"/>
      <c r="H69" s="26"/>
    </row>
    <row r="70" spans="1:8" x14ac:dyDescent="0.15">
      <c r="A70" s="4"/>
      <c r="B70" s="20"/>
      <c r="C70" s="11">
        <f>SUM(C66:C68)</f>
        <v>6333.3333333333339</v>
      </c>
      <c r="D70" s="10">
        <f>SUM(D66:D68)</f>
        <v>6333.3333333333339</v>
      </c>
      <c r="E70" s="27">
        <f>SUM(E66:E68)</f>
        <v>0</v>
      </c>
      <c r="F70" s="12">
        <f>F62-C70</f>
        <v>10773.333333333323</v>
      </c>
      <c r="G70" s="1"/>
      <c r="H70" s="1"/>
    </row>
    <row r="71" spans="1:8" ht="14.25" thickBot="1" x14ac:dyDescent="0.2">
      <c r="A71" s="21"/>
      <c r="B71" s="30"/>
      <c r="C71" s="31"/>
      <c r="D71" s="32"/>
      <c r="E71" s="42"/>
      <c r="F71" s="21"/>
      <c r="G71" s="21"/>
      <c r="H71" s="21"/>
    </row>
    <row r="72" spans="1:8" ht="14.25" thickTop="1" x14ac:dyDescent="0.15">
      <c r="A72" s="1"/>
      <c r="B72" s="1"/>
      <c r="C72" s="29" t="s">
        <v>25</v>
      </c>
      <c r="D72" s="15" t="s">
        <v>88</v>
      </c>
      <c r="E72" s="40" t="s">
        <v>89</v>
      </c>
      <c r="F72" s="3" t="s">
        <v>96</v>
      </c>
      <c r="G72" s="1"/>
      <c r="H72" s="1"/>
    </row>
    <row r="73" spans="1:8" x14ac:dyDescent="0.15">
      <c r="A73" s="1"/>
      <c r="B73" s="3"/>
      <c r="C73" s="33">
        <f>SUM(C21,C35,C44,C50,C56,C62,C70)</f>
        <v>539226.66666666663</v>
      </c>
      <c r="D73" s="34">
        <f>SUM(D21,D35,D44,D50,D56,D62,D70)</f>
        <v>228250</v>
      </c>
      <c r="E73" s="43">
        <f>SUM(E21,E35,E44,E50,E56,E62,E70)</f>
        <v>120060</v>
      </c>
      <c r="F73" s="35">
        <f>C7-C73</f>
        <v>10773.333333333372</v>
      </c>
      <c r="G73" s="1"/>
      <c r="H73" s="1"/>
    </row>
    <row r="74" spans="1:8" x14ac:dyDescent="0.15">
      <c r="C74" s="54" t="s">
        <v>97</v>
      </c>
      <c r="D74" s="53">
        <f>D73*12</f>
        <v>2739000</v>
      </c>
      <c r="E74" s="52">
        <f>E73*12</f>
        <v>1440720</v>
      </c>
    </row>
    <row r="76" spans="1:8" s="46" customFormat="1" x14ac:dyDescent="0.15">
      <c r="A76" s="45" t="s">
        <v>109</v>
      </c>
      <c r="B76" s="45"/>
      <c r="C76" s="45"/>
      <c r="D76" s="45"/>
      <c r="E76" s="45"/>
      <c r="F76" s="45"/>
      <c r="G76" s="45"/>
      <c r="H76" s="45"/>
    </row>
    <row r="77" spans="1:8" x14ac:dyDescent="0.15">
      <c r="A77" s="59"/>
      <c r="D77" s="50" t="s">
        <v>131</v>
      </c>
    </row>
    <row r="78" spans="1:8" ht="14.25" thickBot="1" x14ac:dyDescent="0.2">
      <c r="A78" s="68" t="s">
        <v>29</v>
      </c>
      <c r="B78" s="65"/>
      <c r="C78" s="66"/>
    </row>
    <row r="79" spans="1:8" ht="14.25" thickTop="1" x14ac:dyDescent="0.15">
      <c r="A79" s="59" t="s">
        <v>30</v>
      </c>
      <c r="B79" s="71">
        <f>C7*12</f>
        <v>6600000</v>
      </c>
    </row>
    <row r="80" spans="1:8" x14ac:dyDescent="0.15">
      <c r="A80" s="59" t="s">
        <v>31</v>
      </c>
      <c r="B80" s="63">
        <f>D74</f>
        <v>2739000</v>
      </c>
    </row>
    <row r="81" spans="1:3" x14ac:dyDescent="0.15">
      <c r="A81" s="76" t="s">
        <v>33</v>
      </c>
      <c r="B81" s="77">
        <f>SUM(B79-B80)</f>
        <v>3861000</v>
      </c>
      <c r="C81" s="75"/>
    </row>
    <row r="82" spans="1:3" x14ac:dyDescent="0.15">
      <c r="A82" s="59"/>
      <c r="B82" s="67"/>
    </row>
    <row r="83" spans="1:3" ht="14.25" thickBot="1" x14ac:dyDescent="0.2">
      <c r="A83" s="68" t="s">
        <v>35</v>
      </c>
      <c r="B83" s="65"/>
      <c r="C83" s="66"/>
    </row>
    <row r="84" spans="1:3" ht="14.25" thickTop="1" x14ac:dyDescent="0.15">
      <c r="A84" s="59" t="s">
        <v>42</v>
      </c>
      <c r="B84" s="69">
        <v>650000</v>
      </c>
    </row>
    <row r="85" spans="1:3" x14ac:dyDescent="0.15">
      <c r="A85" s="59" t="s">
        <v>103</v>
      </c>
      <c r="B85" s="69">
        <v>480000</v>
      </c>
    </row>
    <row r="86" spans="1:3" x14ac:dyDescent="0.15">
      <c r="A86" s="59" t="s">
        <v>104</v>
      </c>
      <c r="B86" s="69">
        <f>SUM(E44)*12</f>
        <v>1038720</v>
      </c>
    </row>
    <row r="87" spans="1:3" x14ac:dyDescent="0.15">
      <c r="A87" s="59" t="s">
        <v>105</v>
      </c>
      <c r="B87" s="69">
        <f>SUM(E50)*12</f>
        <v>360000</v>
      </c>
    </row>
    <row r="88" spans="1:3" x14ac:dyDescent="0.15">
      <c r="A88" s="59" t="s">
        <v>106</v>
      </c>
      <c r="B88" s="69">
        <f>SUM(E56)*12</f>
        <v>18000</v>
      </c>
    </row>
    <row r="89" spans="1:3" x14ac:dyDescent="0.15">
      <c r="A89" s="59" t="s">
        <v>107</v>
      </c>
      <c r="B89" s="72">
        <f>SUM(E62)*12</f>
        <v>24000</v>
      </c>
    </row>
    <row r="90" spans="1:3" x14ac:dyDescent="0.15">
      <c r="A90" s="73" t="s">
        <v>113</v>
      </c>
      <c r="B90" s="74">
        <f>SUM(B84:B89)</f>
        <v>2570720</v>
      </c>
      <c r="C90" s="75"/>
    </row>
    <row r="91" spans="1:3" x14ac:dyDescent="0.15">
      <c r="A91" s="62" t="s">
        <v>44</v>
      </c>
      <c r="B91" s="78">
        <f>SUM(B81-B90)</f>
        <v>1290280</v>
      </c>
    </row>
    <row r="92" spans="1:3" x14ac:dyDescent="0.15">
      <c r="A92" s="59"/>
      <c r="B92" s="69"/>
    </row>
    <row r="93" spans="1:3" ht="14.25" thickBot="1" x14ac:dyDescent="0.2">
      <c r="A93" s="99" t="s">
        <v>43</v>
      </c>
      <c r="B93" s="100"/>
      <c r="C93" s="101"/>
    </row>
    <row r="94" spans="1:3" ht="15" thickTop="1" x14ac:dyDescent="0.15">
      <c r="A94" s="59" t="s">
        <v>116</v>
      </c>
      <c r="B94" s="82">
        <f>IF(B91&lt;=1950000,B91*0.05,B91*0.1-97500)</f>
        <v>64514</v>
      </c>
    </row>
    <row r="95" spans="1:3" ht="14.25" x14ac:dyDescent="0.15">
      <c r="A95" s="59" t="s">
        <v>115</v>
      </c>
      <c r="B95" s="82">
        <f>(((B81-B84)-430000-B86-(B88/2))*0.1)-B102</f>
        <v>144122.4</v>
      </c>
    </row>
    <row r="96" spans="1:3" ht="14.25" x14ac:dyDescent="0.15">
      <c r="A96" s="59" t="s">
        <v>63</v>
      </c>
      <c r="B96" s="82">
        <f>SUM((B81-2900000)*0.05)</f>
        <v>48050</v>
      </c>
    </row>
    <row r="97" spans="1:3" ht="14.25" x14ac:dyDescent="0.15">
      <c r="A97" s="59" t="s">
        <v>41</v>
      </c>
      <c r="B97" s="80">
        <f>E8</f>
        <v>612600</v>
      </c>
    </row>
    <row r="98" spans="1:3" ht="14.25" x14ac:dyDescent="0.15">
      <c r="A98" s="59" t="s">
        <v>114</v>
      </c>
      <c r="B98" s="81">
        <f>IF(B94&lt;=0,B97,B97-B94)</f>
        <v>548086</v>
      </c>
    </row>
    <row r="99" spans="1:3" x14ac:dyDescent="0.15">
      <c r="A99" s="64"/>
      <c r="B99" s="63"/>
    </row>
    <row r="100" spans="1:3" ht="14.25" thickBot="1" x14ac:dyDescent="0.2">
      <c r="A100" s="99" t="s">
        <v>118</v>
      </c>
      <c r="B100" s="100"/>
      <c r="C100" s="101"/>
    </row>
    <row r="101" spans="1:3" ht="15" thickTop="1" x14ac:dyDescent="0.15">
      <c r="A101" s="59" t="s">
        <v>39</v>
      </c>
      <c r="B101" s="84">
        <v>36000</v>
      </c>
      <c r="C101" s="83" t="s">
        <v>119</v>
      </c>
    </row>
    <row r="102" spans="1:3" ht="14.25" x14ac:dyDescent="0.15">
      <c r="A102" s="62" t="s">
        <v>64</v>
      </c>
      <c r="B102" s="85">
        <f>SUM(B104,IF(B106&lt;=B105,B106,B105))</f>
        <v>29205.600000000002</v>
      </c>
    </row>
    <row r="103" spans="1:3" ht="14.25" x14ac:dyDescent="0.15">
      <c r="A103" s="59" t="s">
        <v>108</v>
      </c>
      <c r="B103" s="86">
        <f>SUM((B101-2000)*0.05)</f>
        <v>1700</v>
      </c>
    </row>
    <row r="104" spans="1:3" ht="14.25" x14ac:dyDescent="0.15">
      <c r="A104" s="59" t="s">
        <v>117</v>
      </c>
      <c r="B104" s="86">
        <f>SUM((B101-2000)*0.1)</f>
        <v>3400</v>
      </c>
    </row>
    <row r="105" spans="1:3" ht="14.25" x14ac:dyDescent="0.15">
      <c r="A105" s="59" t="s">
        <v>65</v>
      </c>
      <c r="B105" s="86">
        <f>SUM((B101-2000)*(1-0.1-0.05))</f>
        <v>28900</v>
      </c>
    </row>
    <row r="106" spans="1:3" ht="14.25" x14ac:dyDescent="0.15">
      <c r="A106" s="59" t="s">
        <v>66</v>
      </c>
      <c r="B106" s="86">
        <f>SUM((B91*0.1)*0.2)</f>
        <v>25805.600000000002</v>
      </c>
    </row>
    <row r="107" spans="1:3" ht="14.25" x14ac:dyDescent="0.15">
      <c r="A107" s="59"/>
      <c r="B107" s="86"/>
    </row>
    <row r="108" spans="1:3" ht="14.25" thickBot="1" x14ac:dyDescent="0.2">
      <c r="A108" s="68" t="s">
        <v>120</v>
      </c>
      <c r="B108" s="65"/>
      <c r="C108" s="66"/>
    </row>
    <row r="109" spans="1:3" ht="14.25" thickTop="1" x14ac:dyDescent="0.15">
      <c r="A109" s="58"/>
      <c r="B109" s="57" t="s">
        <v>28</v>
      </c>
      <c r="C109" s="56"/>
    </row>
    <row r="110" spans="1:3" x14ac:dyDescent="0.15">
      <c r="A110" s="60" t="s">
        <v>129</v>
      </c>
      <c r="B110" s="61">
        <f>SUM(68000-E41-E42)</f>
        <v>23000</v>
      </c>
      <c r="C110" s="83" t="s">
        <v>121</v>
      </c>
    </row>
    <row r="111" spans="1:3" x14ac:dyDescent="0.15">
      <c r="A111" s="59" t="s">
        <v>27</v>
      </c>
      <c r="B111" s="61">
        <f>SUM(70000-E48)</f>
        <v>40000</v>
      </c>
      <c r="C111" s="83" t="s">
        <v>122</v>
      </c>
    </row>
    <row r="112" spans="1:3" x14ac:dyDescent="0.15">
      <c r="A112" s="59" t="s">
        <v>87</v>
      </c>
      <c r="B112" s="61">
        <f>SUM(3333-C54)</f>
        <v>333</v>
      </c>
      <c r="C112" s="83" t="s">
        <v>123</v>
      </c>
    </row>
    <row r="113" spans="1:8" x14ac:dyDescent="0.15">
      <c r="A113" s="59" t="s">
        <v>32</v>
      </c>
      <c r="B113" s="61">
        <f>SUM(3333)</f>
        <v>3333</v>
      </c>
      <c r="C113" s="83" t="s">
        <v>123</v>
      </c>
    </row>
    <row r="114" spans="1:8" x14ac:dyDescent="0.15">
      <c r="A114" s="59" t="s">
        <v>34</v>
      </c>
      <c r="B114" s="61">
        <f>SUM(4166)</f>
        <v>4166</v>
      </c>
      <c r="C114" s="83" t="s">
        <v>124</v>
      </c>
    </row>
    <row r="115" spans="1:8" x14ac:dyDescent="0.15">
      <c r="A115" s="73" t="s">
        <v>127</v>
      </c>
      <c r="B115" s="87">
        <f>SUM(B110:B114)</f>
        <v>70832</v>
      </c>
      <c r="C115" s="83" t="s">
        <v>133</v>
      </c>
    </row>
    <row r="116" spans="1:8" ht="27" x14ac:dyDescent="0.15">
      <c r="A116" s="90" t="s">
        <v>125</v>
      </c>
      <c r="B116" s="89">
        <f>SUM(B91-(B115)*12)</f>
        <v>440296</v>
      </c>
      <c r="C116" s="83" t="s">
        <v>128</v>
      </c>
    </row>
    <row r="117" spans="1:8" ht="27" x14ac:dyDescent="0.15">
      <c r="A117" s="90" t="s">
        <v>126</v>
      </c>
      <c r="B117" s="89">
        <f>SUM(B91-(B110)*12)</f>
        <v>1014280</v>
      </c>
      <c r="C117" s="83"/>
    </row>
    <row r="120" spans="1:8" s="93" customFormat="1" x14ac:dyDescent="0.15">
      <c r="A120" s="92" t="s">
        <v>101</v>
      </c>
      <c r="B120" s="92"/>
      <c r="C120" s="92"/>
      <c r="D120" s="92"/>
      <c r="E120" s="92"/>
      <c r="F120" s="92"/>
      <c r="G120" s="92"/>
      <c r="H120" s="92"/>
    </row>
    <row r="121" spans="1:8" ht="14.25" thickBot="1" x14ac:dyDescent="0.2">
      <c r="A121" s="94" t="s">
        <v>100</v>
      </c>
      <c r="B121" s="95" t="s">
        <v>46</v>
      </c>
      <c r="C121" s="2"/>
      <c r="D121" s="50" t="s">
        <v>102</v>
      </c>
    </row>
    <row r="122" spans="1:8" x14ac:dyDescent="0.15">
      <c r="A122" s="59" t="s">
        <v>47</v>
      </c>
      <c r="B122" s="96">
        <v>551110</v>
      </c>
      <c r="C122" s="2"/>
    </row>
    <row r="123" spans="1:8" x14ac:dyDescent="0.15">
      <c r="A123" s="59" t="s">
        <v>48</v>
      </c>
      <c r="B123" s="96">
        <v>551110</v>
      </c>
      <c r="C123" s="1"/>
    </row>
    <row r="124" spans="1:8" x14ac:dyDescent="0.15">
      <c r="A124" s="59" t="s">
        <v>49</v>
      </c>
      <c r="B124" s="96">
        <v>551110</v>
      </c>
      <c r="C124" s="1"/>
    </row>
    <row r="125" spans="1:8" x14ac:dyDescent="0.15">
      <c r="A125" s="59" t="s">
        <v>50</v>
      </c>
      <c r="B125" s="96">
        <v>551110</v>
      </c>
    </row>
    <row r="126" spans="1:8" x14ac:dyDescent="0.15">
      <c r="A126" s="59" t="s">
        <v>51</v>
      </c>
      <c r="B126" s="96">
        <v>551110</v>
      </c>
    </row>
    <row r="127" spans="1:8" x14ac:dyDescent="0.15">
      <c r="A127" s="59" t="s">
        <v>52</v>
      </c>
      <c r="B127" s="96">
        <v>551110</v>
      </c>
    </row>
    <row r="128" spans="1:8" x14ac:dyDescent="0.15">
      <c r="A128" s="59" t="s">
        <v>53</v>
      </c>
      <c r="B128" s="96">
        <v>551110</v>
      </c>
    </row>
    <row r="129" spans="1:8" x14ac:dyDescent="0.15">
      <c r="A129" s="59" t="s">
        <v>54</v>
      </c>
      <c r="B129" s="96">
        <v>551110</v>
      </c>
    </row>
    <row r="130" spans="1:8" x14ac:dyDescent="0.15">
      <c r="A130" s="59" t="s">
        <v>55</v>
      </c>
      <c r="B130" s="96">
        <v>551110</v>
      </c>
    </row>
    <row r="131" spans="1:8" x14ac:dyDescent="0.15">
      <c r="A131" s="59" t="s">
        <v>56</v>
      </c>
      <c r="B131" s="96">
        <v>551110</v>
      </c>
    </row>
    <row r="132" spans="1:8" x14ac:dyDescent="0.15">
      <c r="A132" s="59" t="s">
        <v>2</v>
      </c>
      <c r="B132" s="96">
        <v>551110</v>
      </c>
    </row>
    <row r="133" spans="1:8" x14ac:dyDescent="0.15">
      <c r="A133" s="59" t="s">
        <v>57</v>
      </c>
      <c r="B133" s="97">
        <v>551110</v>
      </c>
    </row>
    <row r="134" spans="1:8" x14ac:dyDescent="0.15">
      <c r="A134" s="88"/>
      <c r="B134" s="79">
        <f>SUM(B122:B133)</f>
        <v>6613320</v>
      </c>
    </row>
    <row r="135" spans="1:8" x14ac:dyDescent="0.15">
      <c r="A135" s="59" t="s">
        <v>58</v>
      </c>
      <c r="B135" s="97">
        <v>360000</v>
      </c>
    </row>
    <row r="136" spans="1:8" x14ac:dyDescent="0.15">
      <c r="A136" s="88"/>
      <c r="B136" s="79">
        <f>SUM(B134,B135)</f>
        <v>6973320</v>
      </c>
      <c r="C136" s="1"/>
    </row>
    <row r="137" spans="1:8" x14ac:dyDescent="0.15">
      <c r="A137" s="98" t="s">
        <v>59</v>
      </c>
      <c r="B137" s="97">
        <v>2800000</v>
      </c>
      <c r="C137" s="55" t="s">
        <v>69</v>
      </c>
    </row>
    <row r="138" spans="1:8" x14ac:dyDescent="0.15">
      <c r="A138" s="59" t="s">
        <v>33</v>
      </c>
      <c r="B138" s="79">
        <f>B136-B137</f>
        <v>4173320</v>
      </c>
    </row>
    <row r="140" spans="1:8" s="93" customFormat="1" x14ac:dyDescent="0.15">
      <c r="A140" s="92" t="s">
        <v>130</v>
      </c>
      <c r="B140" s="92"/>
      <c r="C140" s="92"/>
      <c r="D140" s="92"/>
      <c r="E140" s="92"/>
      <c r="F140" s="92"/>
      <c r="G140" s="92"/>
      <c r="H140" s="92"/>
    </row>
    <row r="141" spans="1:8" x14ac:dyDescent="0.15">
      <c r="A141" s="59"/>
      <c r="D141" s="50" t="s">
        <v>131</v>
      </c>
    </row>
    <row r="142" spans="1:8" ht="14.25" thickBot="1" x14ac:dyDescent="0.2">
      <c r="A142" s="68" t="s">
        <v>29</v>
      </c>
      <c r="B142" s="65"/>
      <c r="C142" s="66"/>
    </row>
    <row r="143" spans="1:8" ht="14.25" thickTop="1" x14ac:dyDescent="0.15">
      <c r="A143" s="59" t="s">
        <v>30</v>
      </c>
      <c r="B143" s="71">
        <f>B136</f>
        <v>6973320</v>
      </c>
    </row>
    <row r="144" spans="1:8" x14ac:dyDescent="0.15">
      <c r="A144" s="59" t="s">
        <v>31</v>
      </c>
      <c r="B144" s="63">
        <f>B137</f>
        <v>2800000</v>
      </c>
    </row>
    <row r="145" spans="1:3" x14ac:dyDescent="0.15">
      <c r="A145" s="76" t="s">
        <v>33</v>
      </c>
      <c r="B145" s="77">
        <f>SUM(B143-B144)</f>
        <v>4173320</v>
      </c>
      <c r="C145" s="75"/>
    </row>
    <row r="146" spans="1:3" x14ac:dyDescent="0.15">
      <c r="A146" s="59"/>
      <c r="B146" s="67"/>
    </row>
    <row r="147" spans="1:3" ht="14.25" thickBot="1" x14ac:dyDescent="0.2">
      <c r="A147" s="68" t="s">
        <v>35</v>
      </c>
      <c r="B147" s="65"/>
      <c r="C147" s="66"/>
    </row>
    <row r="148" spans="1:3" ht="14.25" thickTop="1" x14ac:dyDescent="0.15">
      <c r="A148" s="59" t="s">
        <v>42</v>
      </c>
      <c r="B148" s="69">
        <v>650000</v>
      </c>
    </row>
    <row r="149" spans="1:3" x14ac:dyDescent="0.15">
      <c r="A149" s="59" t="s">
        <v>103</v>
      </c>
      <c r="B149" s="69">
        <v>480000</v>
      </c>
    </row>
    <row r="150" spans="1:3" x14ac:dyDescent="0.15">
      <c r="A150" s="59" t="s">
        <v>104</v>
      </c>
      <c r="B150" s="70">
        <f>SUM(E44)*12</f>
        <v>1038720</v>
      </c>
    </row>
    <row r="151" spans="1:3" x14ac:dyDescent="0.15">
      <c r="A151" s="59" t="s">
        <v>105</v>
      </c>
      <c r="B151" s="70">
        <f>SUM(E50)*12</f>
        <v>360000</v>
      </c>
    </row>
    <row r="152" spans="1:3" x14ac:dyDescent="0.15">
      <c r="A152" s="59" t="s">
        <v>106</v>
      </c>
      <c r="B152" s="70">
        <f>SUM(E56)*12</f>
        <v>18000</v>
      </c>
    </row>
    <row r="153" spans="1:3" x14ac:dyDescent="0.15">
      <c r="A153" s="59" t="s">
        <v>107</v>
      </c>
      <c r="B153" s="70">
        <f>SUM(E62)*12</f>
        <v>24000</v>
      </c>
    </row>
    <row r="154" spans="1:3" x14ac:dyDescent="0.15">
      <c r="A154" s="73" t="s">
        <v>113</v>
      </c>
      <c r="B154" s="74">
        <f>SUM(B148:B153)</f>
        <v>2570720</v>
      </c>
      <c r="C154" s="75"/>
    </row>
    <row r="155" spans="1:3" x14ac:dyDescent="0.15">
      <c r="A155" s="62" t="s">
        <v>44</v>
      </c>
      <c r="B155" s="78">
        <f>SUM(B145-B154)</f>
        <v>1602600</v>
      </c>
    </row>
    <row r="156" spans="1:3" x14ac:dyDescent="0.15">
      <c r="A156" s="59"/>
      <c r="B156" s="69"/>
    </row>
    <row r="157" spans="1:3" ht="14.25" thickBot="1" x14ac:dyDescent="0.2">
      <c r="A157" s="99" t="s">
        <v>43</v>
      </c>
      <c r="B157" s="100"/>
      <c r="C157" s="101"/>
    </row>
    <row r="158" spans="1:3" ht="15" thickTop="1" x14ac:dyDescent="0.15">
      <c r="A158" s="59" t="s">
        <v>116</v>
      </c>
      <c r="B158" s="82">
        <f>IF(B155&lt;=1950000,B155*0.05,B155*0.1-97500)</f>
        <v>80130</v>
      </c>
    </row>
    <row r="159" spans="1:3" ht="14.25" x14ac:dyDescent="0.15">
      <c r="A159" s="59" t="s">
        <v>115</v>
      </c>
      <c r="B159" s="82">
        <f>(((B145-B148)-430000-B150-(B152/2))*0.1)-B166</f>
        <v>168708</v>
      </c>
    </row>
    <row r="160" spans="1:3" ht="14.25" x14ac:dyDescent="0.15">
      <c r="A160" s="59" t="s">
        <v>63</v>
      </c>
      <c r="B160" s="82">
        <f>SUM((B145-2900000)*0.05)</f>
        <v>63666</v>
      </c>
    </row>
    <row r="161" spans="1:3" ht="14.25" x14ac:dyDescent="0.15">
      <c r="A161" s="59" t="s">
        <v>41</v>
      </c>
      <c r="B161" s="91">
        <f>B143*0.121</f>
        <v>843771.72</v>
      </c>
    </row>
    <row r="162" spans="1:3" ht="14.25" x14ac:dyDescent="0.15">
      <c r="A162" s="59" t="s">
        <v>114</v>
      </c>
      <c r="B162" s="81">
        <f>IF(B158&lt;=0,B161,B161-B158)</f>
        <v>763641.72</v>
      </c>
    </row>
    <row r="163" spans="1:3" x14ac:dyDescent="0.15">
      <c r="A163" s="64"/>
      <c r="B163" s="63"/>
    </row>
    <row r="164" spans="1:3" ht="14.25" thickBot="1" x14ac:dyDescent="0.2">
      <c r="A164" s="99" t="s">
        <v>118</v>
      </c>
      <c r="B164" s="100"/>
      <c r="C164" s="101"/>
    </row>
    <row r="165" spans="1:3" ht="15" thickTop="1" x14ac:dyDescent="0.15">
      <c r="A165" s="59" t="s">
        <v>39</v>
      </c>
      <c r="B165" s="84">
        <v>40000</v>
      </c>
      <c r="C165" s="83" t="s">
        <v>119</v>
      </c>
    </row>
    <row r="166" spans="1:3" ht="14.25" x14ac:dyDescent="0.15">
      <c r="A166" s="62" t="s">
        <v>64</v>
      </c>
      <c r="B166" s="85">
        <f>SUM(B168,IF(B170&lt;=B169,B170,B169))</f>
        <v>35852</v>
      </c>
    </row>
    <row r="167" spans="1:3" ht="14.25" x14ac:dyDescent="0.15">
      <c r="A167" s="59" t="s">
        <v>108</v>
      </c>
      <c r="B167" s="86">
        <f>SUM((B165-2000)*0.05)</f>
        <v>1900</v>
      </c>
    </row>
    <row r="168" spans="1:3" ht="14.25" x14ac:dyDescent="0.15">
      <c r="A168" s="59" t="s">
        <v>117</v>
      </c>
      <c r="B168" s="86">
        <f>SUM((B165-2000)*0.1)</f>
        <v>3800</v>
      </c>
    </row>
    <row r="169" spans="1:3" ht="14.25" x14ac:dyDescent="0.15">
      <c r="A169" s="59" t="s">
        <v>65</v>
      </c>
      <c r="B169" s="86">
        <f>SUM((B165-2000)*(1-0.1-0.05))</f>
        <v>32300</v>
      </c>
    </row>
    <row r="170" spans="1:3" ht="14.25" x14ac:dyDescent="0.15">
      <c r="A170" s="59" t="s">
        <v>66</v>
      </c>
      <c r="B170" s="86">
        <f>SUM((B155*0.1)*0.2)</f>
        <v>32052</v>
      </c>
    </row>
    <row r="171" spans="1:3" ht="14.25" x14ac:dyDescent="0.15">
      <c r="A171" s="59"/>
      <c r="B171" s="86"/>
    </row>
    <row r="172" spans="1:3" ht="14.25" thickBot="1" x14ac:dyDescent="0.2">
      <c r="A172" s="99" t="s">
        <v>139</v>
      </c>
      <c r="B172" s="100"/>
      <c r="C172" s="101"/>
    </row>
    <row r="173" spans="1:3" ht="14.25" thickTop="1" x14ac:dyDescent="0.15">
      <c r="A173" s="59" t="s">
        <v>134</v>
      </c>
      <c r="B173" s="69">
        <f>SUM(B143-B144)</f>
        <v>4173320</v>
      </c>
    </row>
    <row r="174" spans="1:3" x14ac:dyDescent="0.15">
      <c r="A174" s="59" t="s">
        <v>135</v>
      </c>
      <c r="B174" s="69">
        <f>SUM(B150:B152)</f>
        <v>1416720</v>
      </c>
    </row>
    <row r="175" spans="1:3" x14ac:dyDescent="0.15">
      <c r="A175" s="59" t="s">
        <v>136</v>
      </c>
      <c r="B175" s="69">
        <f>SUM(B173)/12</f>
        <v>347776.66666666669</v>
      </c>
    </row>
    <row r="176" spans="1:3" x14ac:dyDescent="0.15">
      <c r="A176" s="59" t="s">
        <v>137</v>
      </c>
      <c r="B176" s="69">
        <f>B174/12</f>
        <v>118060</v>
      </c>
    </row>
    <row r="177" spans="1:2" x14ac:dyDescent="0.15">
      <c r="A177" s="59" t="s">
        <v>138</v>
      </c>
      <c r="B177" s="113">
        <f>B175-B176</f>
        <v>229716.66666666669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2022予測実績シート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rozen_000</dc:creator>
  <cp:keywords/>
  <dc:description/>
  <cp:lastModifiedBy>t o</cp:lastModifiedBy>
  <cp:revision/>
  <dcterms:created xsi:type="dcterms:W3CDTF">2015-02-21T06:52:50Z</dcterms:created>
  <dcterms:modified xsi:type="dcterms:W3CDTF">2022-12-28T04:29:17Z</dcterms:modified>
  <cp:category/>
  <cp:contentStatus/>
</cp:coreProperties>
</file>