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t" sheetId="1" r:id="rId4"/>
    <sheet state="visible" name="probit testing" sheetId="2" r:id="rId5"/>
    <sheet state="visible" name="probit 10 ตัวแปร" sheetId="3" r:id="rId6"/>
    <sheet state="visible" name="2021" sheetId="4" r:id="rId7"/>
    <sheet state="visible" name="2020" sheetId="5" r:id="rId8"/>
    <sheet state="visible" name="2019" sheetId="6" r:id="rId9"/>
  </sheets>
  <definedNames>
    <definedName name="twozero">'2020'!$A$2:$AG$176</definedName>
    <definedName name="onenine">'2019'!$A$2:$AG$170</definedName>
  </definedNames>
  <calcPr/>
</workbook>
</file>

<file path=xl/sharedStrings.xml><?xml version="1.0" encoding="utf-8"?>
<sst xmlns="http://schemas.openxmlformats.org/spreadsheetml/2006/main" count="1498" uniqueCount="342">
  <si>
    <t>Total Asset</t>
  </si>
  <si>
    <t>Total Liabilities</t>
  </si>
  <si>
    <t>Paid-up Cap</t>
  </si>
  <si>
    <t>Equity</t>
  </si>
  <si>
    <t>Revenue</t>
  </si>
  <si>
    <t>Expenses</t>
  </si>
  <si>
    <t>EBITDA</t>
  </si>
  <si>
    <t>EBIT</t>
  </si>
  <si>
    <t>NetProfit</t>
  </si>
  <si>
    <t>result</t>
  </si>
  <si>
    <t>EPS</t>
  </si>
  <si>
    <t>OperatingCashFlow</t>
  </si>
  <si>
    <t>InvestingCashFlow</t>
  </si>
  <si>
    <t>FinancingCashFlow</t>
  </si>
  <si>
    <t>NetCashFlow</t>
  </si>
  <si>
    <t>ReturnonEquity</t>
  </si>
  <si>
    <t>ReturnOnAsset</t>
  </si>
  <si>
    <t>GrossProfitMargin</t>
  </si>
  <si>
    <t>NetProfitMargin</t>
  </si>
  <si>
    <t>EBITMargin</t>
  </si>
  <si>
    <t>DE</t>
  </si>
  <si>
    <t>Int.Coverage</t>
  </si>
  <si>
    <t>CurrentRatio</t>
  </si>
  <si>
    <t>QuickRatio</t>
  </si>
  <si>
    <t>FixedAssetTurnover</t>
  </si>
  <si>
    <t>TotalAssetTurnover</t>
  </si>
  <si>
    <t>InventoryTurnover</t>
  </si>
  <si>
    <t>AverageSalePeriod</t>
  </si>
  <si>
    <t>AccountsReceivableTurnover+</t>
  </si>
  <si>
    <t>AverageCollectionPeriod+</t>
  </si>
  <si>
    <t>AccountPayableTurnover+</t>
  </si>
  <si>
    <t>AveragePaymentPeriod+</t>
  </si>
  <si>
    <t>CashCycle+</t>
  </si>
  <si>
    <t>formula2</t>
  </si>
  <si>
    <t>logisticความแปรปรวน/ค่าเฉลี่ยแตกต่าง</t>
  </si>
  <si>
    <t>cutpoint</t>
  </si>
  <si>
    <t>ตรงบ่</t>
  </si>
  <si>
    <t>0,0</t>
  </si>
  <si>
    <t>0,1</t>
  </si>
  <si>
    <t>1,0</t>
  </si>
  <si>
    <t>1,1</t>
  </si>
  <si>
    <t>24CS</t>
  </si>
  <si>
    <t xml:space="preserve">A5 </t>
  </si>
  <si>
    <t xml:space="preserve">ABM </t>
  </si>
  <si>
    <t>classification table</t>
  </si>
  <si>
    <t xml:space="preserve">ACAP </t>
  </si>
  <si>
    <t>-</t>
  </si>
  <si>
    <t>N/A</t>
  </si>
  <si>
    <t xml:space="preserve">ADB </t>
  </si>
  <si>
    <t xml:space="preserve">ADD </t>
  </si>
  <si>
    <t>AF</t>
  </si>
  <si>
    <t xml:space="preserve">AIRA </t>
  </si>
  <si>
    <t>AKP</t>
  </si>
  <si>
    <t xml:space="preserve">ALL </t>
  </si>
  <si>
    <t xml:space="preserve">ALPHAX </t>
  </si>
  <si>
    <t xml:space="preserve">AMA </t>
  </si>
  <si>
    <t>AMARC</t>
  </si>
  <si>
    <t xml:space="preserve">APP </t>
  </si>
  <si>
    <t>ARIN</t>
  </si>
  <si>
    <t>ARIP</t>
  </si>
  <si>
    <t xml:space="preserve">ARROW </t>
  </si>
  <si>
    <t xml:space="preserve">ASN </t>
  </si>
  <si>
    <t>ATP30</t>
  </si>
  <si>
    <t xml:space="preserve">AU </t>
  </si>
  <si>
    <t>AUCT</t>
  </si>
  <si>
    <t xml:space="preserve">BBIK </t>
  </si>
  <si>
    <t xml:space="preserve">BC </t>
  </si>
  <si>
    <t xml:space="preserve">BE8 </t>
  </si>
  <si>
    <t>BGT</t>
  </si>
  <si>
    <t xml:space="preserve">BIS </t>
  </si>
  <si>
    <t xml:space="preserve">BLESS </t>
  </si>
  <si>
    <t xml:space="preserve">BM </t>
  </si>
  <si>
    <t xml:space="preserve">BOL </t>
  </si>
  <si>
    <t xml:space="preserve">BROOK </t>
  </si>
  <si>
    <t xml:space="preserve">BSM </t>
  </si>
  <si>
    <t xml:space="preserve">BTW </t>
  </si>
  <si>
    <t xml:space="preserve">CAZ </t>
  </si>
  <si>
    <t xml:space="preserve">CEYE </t>
  </si>
  <si>
    <t xml:space="preserve">CHEWA </t>
  </si>
  <si>
    <t xml:space="preserve">CHIC </t>
  </si>
  <si>
    <t xml:space="preserve">CHO </t>
  </si>
  <si>
    <t xml:space="preserve">CHOW </t>
  </si>
  <si>
    <t xml:space="preserve">CIG </t>
  </si>
  <si>
    <t xml:space="preserve">CMO </t>
  </si>
  <si>
    <t xml:space="preserve">COLOR </t>
  </si>
  <si>
    <t xml:space="preserve">COMAN </t>
  </si>
  <si>
    <t>CPANEL</t>
  </si>
  <si>
    <t xml:space="preserve">CPR </t>
  </si>
  <si>
    <t xml:space="preserve">CRD </t>
  </si>
  <si>
    <t xml:space="preserve">D </t>
  </si>
  <si>
    <t xml:space="preserve">DHOUSE </t>
  </si>
  <si>
    <t xml:space="preserve">DIMET </t>
  </si>
  <si>
    <t xml:space="preserve">DITTO </t>
  </si>
  <si>
    <t xml:space="preserve">DOD </t>
  </si>
  <si>
    <t xml:space="preserve">DPAINT </t>
  </si>
  <si>
    <t xml:space="preserve">DV8 </t>
  </si>
  <si>
    <t xml:space="preserve">ECF </t>
  </si>
  <si>
    <t xml:space="preserve">EFORL </t>
  </si>
  <si>
    <t xml:space="preserve">ETE </t>
  </si>
  <si>
    <t xml:space="preserve">FLOYD </t>
  </si>
  <si>
    <t xml:space="preserve">FPI </t>
  </si>
  <si>
    <t xml:space="preserve">FSMART </t>
  </si>
  <si>
    <t xml:space="preserve">FVC </t>
  </si>
  <si>
    <t>GCAP</t>
  </si>
  <si>
    <t xml:space="preserve">GLORY </t>
  </si>
  <si>
    <t xml:space="preserve">GSC </t>
  </si>
  <si>
    <t xml:space="preserve">GTB </t>
  </si>
  <si>
    <t xml:space="preserve">GTV </t>
  </si>
  <si>
    <t xml:space="preserve">HARN </t>
  </si>
  <si>
    <t xml:space="preserve">HEALTH </t>
  </si>
  <si>
    <t xml:space="preserve">HL </t>
  </si>
  <si>
    <t xml:space="preserve">HPT </t>
  </si>
  <si>
    <t xml:space="preserve">HYDRO </t>
  </si>
  <si>
    <t xml:space="preserve">ICN </t>
  </si>
  <si>
    <t xml:space="preserve">IIG </t>
  </si>
  <si>
    <t xml:space="preserve">IMH </t>
  </si>
  <si>
    <t>IND</t>
  </si>
  <si>
    <t xml:space="preserve">IP </t>
  </si>
  <si>
    <t xml:space="preserve">IRCP </t>
  </si>
  <si>
    <t>ITNS</t>
  </si>
  <si>
    <t>JAK</t>
  </si>
  <si>
    <t xml:space="preserve">JCKH </t>
  </si>
  <si>
    <t xml:space="preserve">JSP </t>
  </si>
  <si>
    <t>JUBILE</t>
  </si>
  <si>
    <t xml:space="preserve">K </t>
  </si>
  <si>
    <t xml:space="preserve">KASET </t>
  </si>
  <si>
    <t>KCC</t>
  </si>
  <si>
    <t xml:space="preserve">KCM </t>
  </si>
  <si>
    <t xml:space="preserve">KGEN </t>
  </si>
  <si>
    <t>KJL</t>
  </si>
  <si>
    <t>KK</t>
  </si>
  <si>
    <t>KLINIQ</t>
  </si>
  <si>
    <t xml:space="preserve">KOOL </t>
  </si>
  <si>
    <t xml:space="preserve">KTMS </t>
  </si>
  <si>
    <t xml:space="preserve">KUMWEL </t>
  </si>
  <si>
    <t xml:space="preserve">KUN </t>
  </si>
  <si>
    <t xml:space="preserve">KWM </t>
  </si>
  <si>
    <t>LDC</t>
  </si>
  <si>
    <t xml:space="preserve">LEO </t>
  </si>
  <si>
    <t xml:space="preserve">LIT </t>
  </si>
  <si>
    <t>MBAX</t>
  </si>
  <si>
    <t xml:space="preserve">META </t>
  </si>
  <si>
    <t xml:space="preserve">MGT </t>
  </si>
  <si>
    <t xml:space="preserve">MITSIB </t>
  </si>
  <si>
    <t>MOONG</t>
  </si>
  <si>
    <t xml:space="preserve">MORE </t>
  </si>
  <si>
    <t xml:space="preserve">MTW </t>
  </si>
  <si>
    <t xml:space="preserve">MUD </t>
  </si>
  <si>
    <t xml:space="preserve">MVP </t>
  </si>
  <si>
    <t xml:space="preserve">NCL </t>
  </si>
  <si>
    <t xml:space="preserve">NDR </t>
  </si>
  <si>
    <t xml:space="preserve">NETBAY </t>
  </si>
  <si>
    <t xml:space="preserve">NEWS </t>
  </si>
  <si>
    <t xml:space="preserve">NPK </t>
  </si>
  <si>
    <t xml:space="preserve">OTO </t>
  </si>
  <si>
    <t>PACO</t>
  </si>
  <si>
    <t>PDG</t>
  </si>
  <si>
    <t xml:space="preserve">PHOL </t>
  </si>
  <si>
    <t xml:space="preserve">PICO </t>
  </si>
  <si>
    <t>PIMO</t>
  </si>
  <si>
    <t xml:space="preserve">PJW </t>
  </si>
  <si>
    <t xml:space="preserve">PLANET </t>
  </si>
  <si>
    <t xml:space="preserve">PPM </t>
  </si>
  <si>
    <t xml:space="preserve">PPS </t>
  </si>
  <si>
    <t xml:space="preserve">PRAPAT </t>
  </si>
  <si>
    <t xml:space="preserve">PRI </t>
  </si>
  <si>
    <t xml:space="preserve">PROEN </t>
  </si>
  <si>
    <t xml:space="preserve">PROS </t>
  </si>
  <si>
    <t xml:space="preserve">PROUD </t>
  </si>
  <si>
    <t xml:space="preserve">PSG </t>
  </si>
  <si>
    <t xml:space="preserve">PSTC </t>
  </si>
  <si>
    <t>PTC</t>
  </si>
  <si>
    <t xml:space="preserve">QLT </t>
  </si>
  <si>
    <t xml:space="preserve">RP </t>
  </si>
  <si>
    <t>RWI</t>
  </si>
  <si>
    <t xml:space="preserve">SAAM </t>
  </si>
  <si>
    <t xml:space="preserve">SALEE </t>
  </si>
  <si>
    <t>SANKO</t>
  </si>
  <si>
    <t xml:space="preserve">SE </t>
  </si>
  <si>
    <t xml:space="preserve">SEAOIL </t>
  </si>
  <si>
    <t>SECURE</t>
  </si>
  <si>
    <t xml:space="preserve">SELIC </t>
  </si>
  <si>
    <t xml:space="preserve">SENX </t>
  </si>
  <si>
    <t>SFT</t>
  </si>
  <si>
    <t xml:space="preserve">SGF </t>
  </si>
  <si>
    <t>SICT</t>
  </si>
  <si>
    <t xml:space="preserve">SIMAT </t>
  </si>
  <si>
    <t xml:space="preserve">SK </t>
  </si>
  <si>
    <t xml:space="preserve">SLM </t>
  </si>
  <si>
    <t>SMART</t>
  </si>
  <si>
    <t>SMD</t>
  </si>
  <si>
    <t xml:space="preserve">SONIC </t>
  </si>
  <si>
    <t xml:space="preserve">SPA </t>
  </si>
  <si>
    <t>SPVI</t>
  </si>
  <si>
    <t xml:space="preserve">SR </t>
  </si>
  <si>
    <t xml:space="preserve">SSS </t>
  </si>
  <si>
    <t>STC</t>
  </si>
  <si>
    <t xml:space="preserve">STOWER </t>
  </si>
  <si>
    <t>STP</t>
  </si>
  <si>
    <t xml:space="preserve">SWC </t>
  </si>
  <si>
    <t>TACC</t>
  </si>
  <si>
    <t xml:space="preserve">TAKUNI </t>
  </si>
  <si>
    <t xml:space="preserve">TAPAC </t>
  </si>
  <si>
    <t xml:space="preserve">THANA </t>
  </si>
  <si>
    <t xml:space="preserve">THMUI </t>
  </si>
  <si>
    <t xml:space="preserve">TIGER </t>
  </si>
  <si>
    <t>TITLE</t>
  </si>
  <si>
    <t xml:space="preserve">TM </t>
  </si>
  <si>
    <t>TMC</t>
  </si>
  <si>
    <t xml:space="preserve">TMI </t>
  </si>
  <si>
    <t>TMILL</t>
  </si>
  <si>
    <t>TMW</t>
  </si>
  <si>
    <t xml:space="preserve">TNDT </t>
  </si>
  <si>
    <t xml:space="preserve">TNH </t>
  </si>
  <si>
    <t xml:space="preserve">TNP </t>
  </si>
  <si>
    <t xml:space="preserve">TPCH </t>
  </si>
  <si>
    <t>TPLAS</t>
  </si>
  <si>
    <t xml:space="preserve">TPS </t>
  </si>
  <si>
    <t xml:space="preserve">TQR </t>
  </si>
  <si>
    <t xml:space="preserve">TRT </t>
  </si>
  <si>
    <t xml:space="preserve">TRV </t>
  </si>
  <si>
    <t xml:space="preserve">TURTLE </t>
  </si>
  <si>
    <t xml:space="preserve">TVDH </t>
  </si>
  <si>
    <t xml:space="preserve">TVT </t>
  </si>
  <si>
    <t>UBA</t>
  </si>
  <si>
    <t xml:space="preserve">UBIS </t>
  </si>
  <si>
    <t xml:space="preserve">UEC </t>
  </si>
  <si>
    <t xml:space="preserve">UKEM </t>
  </si>
  <si>
    <t xml:space="preserve">UMS </t>
  </si>
  <si>
    <t xml:space="preserve">UREKA </t>
  </si>
  <si>
    <t xml:space="preserve">VCOM </t>
  </si>
  <si>
    <t>VL</t>
  </si>
  <si>
    <t xml:space="preserve">WARRIX </t>
  </si>
  <si>
    <t xml:space="preserve">WINMED </t>
  </si>
  <si>
    <t xml:space="preserve">WINNER </t>
  </si>
  <si>
    <t>XO</t>
  </si>
  <si>
    <t xml:space="preserve">YGG </t>
  </si>
  <si>
    <t xml:space="preserve">YONG </t>
  </si>
  <si>
    <t xml:space="preserve">YUASA </t>
  </si>
  <si>
    <t xml:space="preserve">ZIGA </t>
  </si>
  <si>
    <t>count</t>
  </si>
  <si>
    <t>sum</t>
  </si>
  <si>
    <t>percent</t>
  </si>
  <si>
    <t>formula</t>
  </si>
  <si>
    <t>prediction</t>
  </si>
  <si>
    <t>phi</t>
  </si>
  <si>
    <t>check</t>
  </si>
  <si>
    <t>z</t>
  </si>
  <si>
    <t>prob</t>
  </si>
  <si>
    <t>y ทำนาย</t>
  </si>
  <si>
    <t>y 2022</t>
  </si>
  <si>
    <t>new z</t>
  </si>
  <si>
    <t>prob mai</t>
  </si>
  <si>
    <t>y mai</t>
  </si>
  <si>
    <t>z  0,1</t>
  </si>
  <si>
    <t>prediz 0.5</t>
  </si>
  <si>
    <t>AE= y 2022</t>
  </si>
  <si>
    <t>sqrtvar</t>
  </si>
  <si>
    <t>1.5519626,-0.0000017073983,0.0000013113498,0.1451093,0.0246584,-0.790069,-0.0024787,0.4651953,-0.002701</t>
  </si>
  <si>
    <t>b0</t>
  </si>
  <si>
    <t>สมการ</t>
  </si>
  <si>
    <t>ta</t>
  </si>
  <si>
    <t>puc</t>
  </si>
  <si>
    <t>ex</t>
  </si>
  <si>
    <t>poa</t>
  </si>
  <si>
    <t>de</t>
  </si>
  <si>
    <t>intC</t>
  </si>
  <si>
    <t>qr</t>
  </si>
  <si>
    <t>acp</t>
  </si>
  <si>
    <t>apt</t>
  </si>
  <si>
    <t>app</t>
  </si>
  <si>
    <t>bx</t>
  </si>
  <si>
    <t>พิดิก ปกติมาตราฐาน</t>
  </si>
  <si>
    <t>พิดิก ปกติมาตรฐานผกผัน</t>
  </si>
  <si>
    <t>y ที่ได้ ใช้ 0.5</t>
  </si>
  <si>
    <t>if yi = y2022</t>
  </si>
  <si>
    <t>จำนวน บ.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</si>
  <si>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</si>
  <si>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</si>
  <si>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</si>
  <si>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</si>
  <si>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</si>
  <si>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</si>
  <si>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</si>
  <si>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</si>
  <si>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</si>
  <si>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</si>
  <si>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Net2021</t>
  </si>
  <si>
    <t>net2020</t>
  </si>
  <si>
    <t>net2019</t>
  </si>
  <si>
    <t>NetProfitMargin2021</t>
  </si>
  <si>
    <t>การส่งกำลังบำรุง2ทาง</t>
  </si>
  <si>
    <t>cutpoint0.5</t>
  </si>
  <si>
    <t>การส่งกำลังบำรุง2ทางv.แปรปรวนค่าเฉลี่ยdiff</t>
  </si>
  <si>
    <t>ตรงบ่2</t>
  </si>
  <si>
    <t xml:space="preserve">ABICO </t>
  </si>
  <si>
    <t>overall correct</t>
  </si>
  <si>
    <t>observed</t>
  </si>
  <si>
    <t>Type I error</t>
  </si>
  <si>
    <t>Type II error</t>
  </si>
  <si>
    <t>total</t>
  </si>
  <si>
    <t xml:space="preserve">BIZ </t>
  </si>
  <si>
    <t>FLOYD</t>
  </si>
  <si>
    <t>GLORY</t>
  </si>
  <si>
    <t>INSET</t>
  </si>
  <si>
    <t>JSP</t>
  </si>
  <si>
    <t xml:space="preserve">PIMO </t>
  </si>
  <si>
    <t>PSG</t>
  </si>
  <si>
    <t xml:space="preserve">SMD </t>
  </si>
  <si>
    <t xml:space="preserve">STI </t>
  </si>
  <si>
    <t>TNH</t>
  </si>
  <si>
    <t>TRV</t>
  </si>
  <si>
    <t>YGG</t>
  </si>
  <si>
    <t>1=</t>
  </si>
  <si>
    <t>0=</t>
  </si>
  <si>
    <t>ตัดoutlineก่อนหรือหลังหาร?</t>
  </si>
  <si>
    <t xml:space="preserve">2S </t>
  </si>
  <si>
    <t xml:space="preserve">AIE </t>
  </si>
  <si>
    <t xml:space="preserve">CMC </t>
  </si>
  <si>
    <t>CRD</t>
  </si>
  <si>
    <t>DHOUSE</t>
  </si>
  <si>
    <t>GSC</t>
  </si>
  <si>
    <t>ITEL</t>
  </si>
  <si>
    <t>JCKH</t>
  </si>
  <si>
    <t xml:space="preserve">KIAT </t>
  </si>
  <si>
    <t xml:space="preserve">QTC </t>
  </si>
  <si>
    <t xml:space="preserve">SABUY </t>
  </si>
  <si>
    <t>SE</t>
  </si>
  <si>
    <t xml:space="preserve">SKY </t>
  </si>
  <si>
    <t xml:space="preserve">SUN </t>
  </si>
  <si>
    <t xml:space="preserve">TPAC </t>
  </si>
  <si>
    <t xml:space="preserve">TSF </t>
  </si>
  <si>
    <t>ZIGA</t>
  </si>
  <si>
    <t xml:space="preserve">ACG </t>
  </si>
  <si>
    <t xml:space="preserve">AGE </t>
  </si>
  <si>
    <t>BM</t>
  </si>
  <si>
    <t xml:space="preserve">CHAYO </t>
  </si>
  <si>
    <t>FPI</t>
  </si>
  <si>
    <t xml:space="preserve">JKN </t>
  </si>
  <si>
    <t>TM</t>
  </si>
  <si>
    <t>TPS</t>
  </si>
  <si>
    <t xml:space="preserve">UAC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</si>
</sst>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7">
    <font>
      <sz val="10.0"/>
      <color rgb="FF000000"/>
      <name val="Arial"/>
      <scheme val="minor"/>
    </font>
    <font>
      <color rgb="FF000000"/>
      <name val="Calibri"/>
    </font>
    <font>
      <sz val="11.0"/>
      <color rgb="FF1F1F1F"/>
      <name val="&quot;Google Sans&quot;"/>
    </font>
    <font>
      <sz val="9.0"/>
      <color rgb="FF000000"/>
      <name val="&quot;Google Sans Mono&quot;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7">
    <border/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horizontal="center" readingOrder="0" vertical="top"/>
    </xf>
    <xf borderId="0" fillId="3" fontId="3" numFmtId="0" xfId="0" applyFill="1" applyFont="1"/>
    <xf borderId="0" fillId="0" fontId="3" numFmtId="0" xfId="0" applyFont="1"/>
    <xf borderId="3" fillId="0" fontId="1" numFmtId="0" xfId="0" applyAlignment="1" applyBorder="1" applyFont="1">
      <alignment horizontal="left" readingOrder="0" vertical="bottom"/>
    </xf>
    <xf borderId="4" fillId="0" fontId="1" numFmtId="4" xfId="0" applyAlignment="1" applyBorder="1" applyFont="1" applyNumberFormat="1">
      <alignment horizontal="right" readingOrder="0" vertical="bottom"/>
    </xf>
    <xf borderId="0" fillId="4" fontId="3" numFmtId="4" xfId="0" applyFill="1" applyFont="1" applyNumberFormat="1"/>
    <xf borderId="0" fillId="4" fontId="3" numFmtId="4" xfId="0" applyAlignment="1" applyFont="1" applyNumberFormat="1">
      <alignment readingOrder="0"/>
    </xf>
    <xf borderId="4" fillId="0" fontId="1" numFmtId="0" xfId="0" applyAlignment="1" applyBorder="1" applyFont="1">
      <alignment horizontal="right" readingOrder="0" vertical="bottom"/>
    </xf>
    <xf borderId="0" fillId="4" fontId="3" numFmtId="0" xfId="0" applyFont="1"/>
    <xf borderId="0" fillId="4" fontId="3" numFmtId="0" xfId="0" applyFont="1"/>
    <xf borderId="0" fillId="0" fontId="4" numFmtId="0" xfId="0" applyFont="1"/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4" numFmtId="10" xfId="0" applyFont="1" applyNumberFormat="1"/>
    <xf borderId="0" fillId="0" fontId="4" numFmtId="11" xfId="0" applyFont="1" applyNumberFormat="1"/>
    <xf borderId="0" fillId="0" fontId="5" numFmtId="11" xfId="0" applyAlignment="1" applyFont="1" applyNumberFormat="1">
      <alignment horizontal="right" readingOrder="0" shrinkToFit="0" vertical="bottom" wrapText="0"/>
    </xf>
    <xf borderId="0" fillId="0" fontId="4" numFmtId="164" xfId="0" applyFont="1" applyNumberFormat="1"/>
    <xf borderId="0" fillId="0" fontId="4" numFmtId="4" xfId="0" applyFont="1" applyNumberForma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1" xfId="0" applyAlignment="1" applyFont="1" applyNumberFormat="1">
      <alignment readingOrder="0"/>
    </xf>
    <xf borderId="0" fillId="7" fontId="4" numFmtId="0" xfId="0" applyAlignment="1" applyFill="1" applyFont="1">
      <alignment readingOrder="0"/>
    </xf>
    <xf borderId="3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top"/>
    </xf>
    <xf borderId="0" fillId="2" fontId="3" numFmtId="0" xfId="0" applyAlignment="1" applyFont="1">
      <alignment readingOrder="0"/>
    </xf>
    <xf borderId="0" fillId="2" fontId="3" numFmtId="10" xfId="0" applyFont="1" applyNumberFormat="1"/>
    <xf borderId="4" fillId="0" fontId="1" numFmtId="4" xfId="0" applyAlignment="1" applyBorder="1" applyFont="1" applyNumberForma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6" fontId="4" numFmtId="0" xfId="0" applyFont="1"/>
    <xf borderId="0" fillId="6" fontId="4" numFmtId="0" xfId="0" applyAlignment="1" applyFont="1">
      <alignment readingOrder="0"/>
    </xf>
    <xf borderId="0" fillId="4" fontId="6" numFmtId="10" xfId="0" applyFont="1" applyNumberFormat="1"/>
    <xf borderId="0" fillId="6" fontId="4" numFmtId="0" xfId="0" applyAlignment="1" applyFont="1">
      <alignment horizontal="center" readingOrder="0" vertical="center"/>
    </xf>
    <xf borderId="0" fillId="0" fontId="4" numFmtId="10" xfId="0" applyAlignment="1" applyFont="1" applyNumberFormat="1">
      <alignment readingOrder="0"/>
    </xf>
    <xf borderId="5" fillId="0" fontId="1" numFmtId="0" xfId="0" applyAlignment="1" applyBorder="1" applyFont="1">
      <alignment horizontal="left" readingOrder="0" vertical="bottom"/>
    </xf>
    <xf borderId="6" fillId="0" fontId="1" numFmtId="4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26</xdr:row>
      <xdr:rowOff>76200</xdr:rowOff>
    </xdr:from>
    <xdr:ext cx="5657850" cy="2724150"/>
    <xdr:pic>
      <xdr:nvPicPr>
        <xdr:cNvPr id="0" name="image1.pn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676275</xdr:colOff>
      <xdr:row>22</xdr:row>
      <xdr:rowOff>85725</xdr:rowOff>
    </xdr:from>
    <xdr:ext cx="1209675" cy="733425"/>
    <xdr:pic>
      <xdr:nvPicPr>
        <xdr:cNvPr id="0" name="image2.png" title="รูปภาพ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2" max="42" width="22.75"/>
    <col customWidth="1" min="43" max="43" width="30.63"/>
    <col customWidth="1" min="44" max="45" width="22.75"/>
    <col customWidth="1" hidden="1" min="46" max="49" width="22.75"/>
    <col customWidth="1" min="50" max="52" width="22.7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2021.0</v>
      </c>
      <c r="L1" s="2">
        <v>2020.0</v>
      </c>
      <c r="M1" s="2">
        <v>2019.0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>
        <v>2021.0</v>
      </c>
      <c r="Y1" s="2">
        <v>2020.0</v>
      </c>
      <c r="Z1" s="2">
        <v>2019.0</v>
      </c>
      <c r="AA1" s="2" t="s">
        <v>9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3" t="s">
        <v>33</v>
      </c>
      <c r="AQ1" s="4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6">
        <f>AS202/AR202%</f>
        <v>87.59689922</v>
      </c>
      <c r="AY1" s="7"/>
      <c r="AZ1" s="7"/>
    </row>
    <row r="2">
      <c r="A2" s="8" t="s">
        <v>41</v>
      </c>
      <c r="B2" s="9">
        <v>1018862.54</v>
      </c>
      <c r="C2" s="9">
        <v>409792.6</v>
      </c>
      <c r="D2" s="9">
        <v>215000.0</v>
      </c>
      <c r="E2" s="9">
        <v>609069.93</v>
      </c>
      <c r="F2" s="9">
        <v>982263.52</v>
      </c>
      <c r="G2" s="9">
        <v>945659.45</v>
      </c>
      <c r="H2" s="9">
        <v>44330.42</v>
      </c>
      <c r="I2" s="9">
        <v>36604.06</v>
      </c>
      <c r="J2" s="9">
        <v>24494.23</v>
      </c>
      <c r="K2" s="9" t="str">
        <f t="array" ref="K2:K197">VLOOKUP(A2:A197,'2021'!A2:M183,11,false)</f>
        <v>#N/A</v>
      </c>
      <c r="L2" s="10" t="str">
        <f t="array" ref="L2:L197">VLOOKUP(A2:A197,'2021'!A2:M183,12,false)</f>
        <v>#N/A</v>
      </c>
      <c r="M2" s="10" t="str">
        <f t="array" ref="M2:M197">VLOOKUP(A2:A197,'2021'!A2:M183,13,false)</f>
        <v>#N/A</v>
      </c>
      <c r="N2" s="11" t="str">
        <f t="shared" ref="N2:N197" si="1">IF(AND(J2&lt;0,K2&lt;0,L2&lt;0,M2&lt;0),1,0)</f>
        <v>#N/A</v>
      </c>
      <c r="O2" s="12">
        <v>0.08</v>
      </c>
      <c r="P2" s="9">
        <v>-195061.83</v>
      </c>
      <c r="Q2" s="9">
        <v>-7469.19</v>
      </c>
      <c r="R2" s="9">
        <v>364337.09</v>
      </c>
      <c r="S2" s="9">
        <v>161806.07</v>
      </c>
      <c r="T2" s="12">
        <v>6.57</v>
      </c>
      <c r="U2" s="12">
        <v>5.12</v>
      </c>
      <c r="V2" s="12">
        <v>11.09</v>
      </c>
      <c r="W2" s="12">
        <v>2.49</v>
      </c>
      <c r="X2" s="12" t="str">
        <f t="array" ref="X2:X197">VLOOKUP(A2:A197,'2021'!A2:Y183,23,FALSE)</f>
        <v>#N/A</v>
      </c>
      <c r="Y2" s="13" t="str">
        <f t="array" ref="Y2:Y197">VLOOKUP(A2:A197,'2021'!A2:Y183,24,FALSE)</f>
        <v>#N/A</v>
      </c>
      <c r="Z2" s="13" t="str">
        <f t="array" ref="Z2:Z197">VLOOKUP(A2:A197,'2021'!A2:Y183,25,FALSE)</f>
        <v>#N/A</v>
      </c>
      <c r="AA2" s="12" t="str">
        <f t="shared" ref="AA2:AA197" si="2">IF(and(W2&lt;0,X2&lt;0,Y2&lt;0,Z2&lt;0),1,0)</f>
        <v>#N/A</v>
      </c>
      <c r="AB2" s="12">
        <v>3.73</v>
      </c>
      <c r="AC2" s="12">
        <v>0.67</v>
      </c>
      <c r="AD2" s="12">
        <v>7.22</v>
      </c>
      <c r="AE2" s="12">
        <v>2.46</v>
      </c>
      <c r="AF2" s="12">
        <v>1.16</v>
      </c>
      <c r="AG2" s="12">
        <v>46.24</v>
      </c>
      <c r="AH2" s="12">
        <v>1.37</v>
      </c>
      <c r="AI2" s="12">
        <v>18.5</v>
      </c>
      <c r="AJ2" s="12">
        <v>19.73</v>
      </c>
      <c r="AK2" s="12">
        <v>5.49</v>
      </c>
      <c r="AL2" s="12">
        <v>66.47</v>
      </c>
      <c r="AM2" s="12">
        <v>3.86</v>
      </c>
      <c r="AN2" s="12">
        <v>94.6</v>
      </c>
      <c r="AO2" s="12">
        <v>-8.4</v>
      </c>
      <c r="AP2" s="13">
        <f t="shared" ref="AP2:AP197" si="3">-2.56+(D2*0)+(G2*0)-(U2*0.254)+(W2*0.044)+(AC2*1.367)+(AD2*0)-(AF2*0.84)+(AN2*0.005)</f>
        <v>-3.33643</v>
      </c>
      <c r="AQ2" s="14">
        <f t="array" ref="AQ2:AQ197">EXP(AP2:AP197)/(1+EXP(AP2:AP197))</f>
        <v>0.03434235283</v>
      </c>
      <c r="AR2" s="13">
        <f t="shared" ref="AR2:AR197" si="4">IF(AQ2&lt;AQ$202,0,1)</f>
        <v>0</v>
      </c>
      <c r="AS2" s="13"/>
      <c r="AT2" s="13"/>
      <c r="AU2" s="13"/>
      <c r="AV2" s="13" t="str">
        <f t="shared" ref="AV2:AV4" si="5">IFERROR(IFS(AND(AR2=1,AS2=0),1,AS2="",""),0)</f>
        <v/>
      </c>
      <c r="AW2" s="13" t="str">
        <f t="shared" ref="AW2:AW4" si="6">IFERROR(IFS(AND(AR2=1,AS2=1),1,AS2="",""),0)</f>
        <v/>
      </c>
      <c r="AX2" s="13"/>
      <c r="AY2" s="13"/>
      <c r="AZ2" s="13"/>
    </row>
    <row r="3">
      <c r="A3" s="8" t="s">
        <v>42</v>
      </c>
      <c r="B3" s="9">
        <v>2491673.39</v>
      </c>
      <c r="C3" s="9">
        <v>1596290.68</v>
      </c>
      <c r="D3" s="9">
        <v>604692.31</v>
      </c>
      <c r="E3" s="9">
        <v>895382.71</v>
      </c>
      <c r="F3" s="9">
        <v>664434.46</v>
      </c>
      <c r="G3" s="9">
        <v>559564.64</v>
      </c>
      <c r="H3" s="9">
        <v>109969.94</v>
      </c>
      <c r="I3" s="9">
        <v>106408.26</v>
      </c>
      <c r="J3" s="9">
        <v>97787.46</v>
      </c>
      <c r="K3" s="9">
        <v>130692.77</v>
      </c>
      <c r="L3" s="9">
        <v>57239.21</v>
      </c>
      <c r="M3" s="9">
        <v>43411.97</v>
      </c>
      <c r="N3" s="11">
        <f t="shared" si="1"/>
        <v>0</v>
      </c>
      <c r="O3" s="12">
        <v>0.08</v>
      </c>
      <c r="P3" s="9">
        <v>-941078.77</v>
      </c>
      <c r="Q3" s="12">
        <v>-9.92</v>
      </c>
      <c r="R3" s="9">
        <v>1115416.44</v>
      </c>
      <c r="S3" s="9">
        <v>174327.75</v>
      </c>
      <c r="T3" s="12">
        <v>11.47</v>
      </c>
      <c r="U3" s="12">
        <v>5.91</v>
      </c>
      <c r="V3" s="12">
        <v>33.65</v>
      </c>
      <c r="W3" s="12">
        <v>15.26</v>
      </c>
      <c r="X3" s="12">
        <v>15.85</v>
      </c>
      <c r="Y3" s="12">
        <v>7.15</v>
      </c>
      <c r="Z3" s="12">
        <v>8.75</v>
      </c>
      <c r="AA3" s="12">
        <f t="shared" si="2"/>
        <v>0</v>
      </c>
      <c r="AB3" s="12">
        <v>16.01</v>
      </c>
      <c r="AC3" s="12">
        <v>1.78</v>
      </c>
      <c r="AD3" s="12">
        <v>7.7</v>
      </c>
      <c r="AE3" s="12">
        <v>3.59</v>
      </c>
      <c r="AF3" s="12">
        <v>0.63</v>
      </c>
      <c r="AG3" s="12">
        <v>100.42</v>
      </c>
      <c r="AH3" s="12">
        <v>0.37</v>
      </c>
      <c r="AI3" s="12">
        <v>0.45</v>
      </c>
      <c r="AJ3" s="12">
        <v>807.89</v>
      </c>
      <c r="AK3" s="12">
        <v>15.8</v>
      </c>
      <c r="AL3" s="12">
        <v>23.1</v>
      </c>
      <c r="AM3" s="12">
        <v>5.68</v>
      </c>
      <c r="AN3" s="12">
        <v>64.27</v>
      </c>
      <c r="AO3" s="12">
        <v>766.73</v>
      </c>
      <c r="AP3" s="13">
        <f t="shared" si="3"/>
        <v>-1.16429</v>
      </c>
      <c r="AQ3" s="15">
        <v>0.23788864393931233</v>
      </c>
      <c r="AR3" s="13">
        <f t="shared" si="4"/>
        <v>0</v>
      </c>
      <c r="AS3" s="13">
        <f t="shared" ref="AS3:AS4" si="7">IF(AR3=N3,1,0)</f>
        <v>1</v>
      </c>
      <c r="AT3" s="13">
        <f t="shared" ref="AT3:AT4" si="8">IF(AND(AR3=0,AS3=1),1,0)</f>
        <v>1</v>
      </c>
      <c r="AU3" s="13">
        <f t="shared" ref="AU3:AU4" si="9">IF(AND(AR3=0,AS3=0),1,0)</f>
        <v>0</v>
      </c>
      <c r="AV3" s="13">
        <f t="shared" si="5"/>
        <v>0</v>
      </c>
      <c r="AW3" s="13">
        <f t="shared" si="6"/>
        <v>0</v>
      </c>
      <c r="AX3" s="13"/>
      <c r="AY3" s="13"/>
      <c r="AZ3" s="13"/>
    </row>
    <row r="4">
      <c r="A4" s="8" t="s">
        <v>43</v>
      </c>
      <c r="B4" s="9">
        <v>1276244.68</v>
      </c>
      <c r="C4" s="9">
        <v>702685.51</v>
      </c>
      <c r="D4" s="9">
        <v>200000.0</v>
      </c>
      <c r="E4" s="9">
        <v>591341.46</v>
      </c>
      <c r="F4" s="9">
        <v>2715690.8</v>
      </c>
      <c r="G4" s="9">
        <v>2648817.29</v>
      </c>
      <c r="H4" s="9">
        <v>90465.13</v>
      </c>
      <c r="I4" s="9">
        <v>66842.71</v>
      </c>
      <c r="J4" s="9">
        <v>35886.38</v>
      </c>
      <c r="K4" s="9">
        <v>26796.22</v>
      </c>
      <c r="L4" s="9">
        <v>18616.74</v>
      </c>
      <c r="M4" s="9">
        <v>-15656.35</v>
      </c>
      <c r="N4" s="11">
        <f t="shared" si="1"/>
        <v>0</v>
      </c>
      <c r="O4" s="12">
        <v>0.11</v>
      </c>
      <c r="P4" s="9">
        <v>-104256.72</v>
      </c>
      <c r="Q4" s="9">
        <v>-60251.84</v>
      </c>
      <c r="R4" s="9">
        <v>169376.19</v>
      </c>
      <c r="S4" s="9">
        <v>4867.63</v>
      </c>
      <c r="T4" s="12">
        <v>7.44</v>
      </c>
      <c r="U4" s="12">
        <v>5.79</v>
      </c>
      <c r="V4" s="12">
        <v>13.88</v>
      </c>
      <c r="W4" s="12">
        <v>1.29</v>
      </c>
      <c r="X4" s="12">
        <v>1.15</v>
      </c>
      <c r="Y4" s="12">
        <v>1.09</v>
      </c>
      <c r="Z4" s="12">
        <v>-1.68</v>
      </c>
      <c r="AA4" s="12">
        <f t="shared" si="2"/>
        <v>0</v>
      </c>
      <c r="AB4" s="12">
        <v>2.46</v>
      </c>
      <c r="AC4" s="12">
        <v>1.23</v>
      </c>
      <c r="AD4" s="12">
        <v>3.35</v>
      </c>
      <c r="AE4" s="12">
        <v>1.2</v>
      </c>
      <c r="AF4" s="12">
        <v>0.68</v>
      </c>
      <c r="AG4" s="12">
        <v>5.67</v>
      </c>
      <c r="AH4" s="12">
        <v>2.35</v>
      </c>
      <c r="AI4" s="12">
        <v>8.78</v>
      </c>
      <c r="AJ4" s="12">
        <v>41.56</v>
      </c>
      <c r="AK4" s="12">
        <v>9.06</v>
      </c>
      <c r="AL4" s="12">
        <v>40.29</v>
      </c>
      <c r="AM4" s="12">
        <v>45.28</v>
      </c>
      <c r="AN4" s="12">
        <v>8.06</v>
      </c>
      <c r="AO4" s="12">
        <v>73.79</v>
      </c>
      <c r="AP4" s="13">
        <f t="shared" si="3"/>
        <v>-2.82339</v>
      </c>
      <c r="AQ4" s="15">
        <v>0.05607323391380056</v>
      </c>
      <c r="AR4" s="13">
        <f t="shared" si="4"/>
        <v>0</v>
      </c>
      <c r="AS4" s="13">
        <f t="shared" si="7"/>
        <v>1</v>
      </c>
      <c r="AT4" s="13">
        <f t="shared" si="8"/>
        <v>1</v>
      </c>
      <c r="AU4" s="13">
        <f t="shared" si="9"/>
        <v>0</v>
      </c>
      <c r="AV4" s="13">
        <f t="shared" si="5"/>
        <v>0</v>
      </c>
      <c r="AW4" s="13">
        <f t="shared" si="6"/>
        <v>0</v>
      </c>
      <c r="AX4" s="13"/>
      <c r="AY4" s="16" t="s">
        <v>44</v>
      </c>
      <c r="AZ4" s="13"/>
    </row>
    <row r="5">
      <c r="A5" s="8" t="s">
        <v>45</v>
      </c>
      <c r="B5" s="9">
        <v>3228735.26</v>
      </c>
      <c r="C5" s="9">
        <v>3210371.72</v>
      </c>
      <c r="D5" s="9">
        <v>158205.58</v>
      </c>
      <c r="E5" s="9">
        <v>18363.53</v>
      </c>
      <c r="F5" s="9">
        <v>9400.04</v>
      </c>
      <c r="G5" s="9">
        <v>-1195.28</v>
      </c>
      <c r="H5" s="9">
        <v>515345.94</v>
      </c>
      <c r="I5" s="9">
        <v>492048.7</v>
      </c>
      <c r="J5" s="9">
        <v>-97426.31</v>
      </c>
      <c r="K5" s="9">
        <v>-226252.78</v>
      </c>
      <c r="L5" s="9">
        <v>-355322.49</v>
      </c>
      <c r="M5" s="9">
        <v>-190530.2</v>
      </c>
      <c r="N5" s="11">
        <f t="shared" si="1"/>
        <v>1</v>
      </c>
      <c r="O5" s="12">
        <v>-0.31</v>
      </c>
      <c r="P5" s="9">
        <v>-44542.63</v>
      </c>
      <c r="Q5" s="9">
        <v>202169.87</v>
      </c>
      <c r="R5" s="9">
        <v>-156993.86</v>
      </c>
      <c r="S5" s="12">
        <v>633.38</v>
      </c>
      <c r="T5" s="12">
        <v>-146.93</v>
      </c>
      <c r="U5" s="12">
        <v>14.51</v>
      </c>
      <c r="V5" s="9">
        <v>-50829.2</v>
      </c>
      <c r="W5" s="9">
        <v>-1036.45</v>
      </c>
      <c r="X5" s="9">
        <v>-869.74</v>
      </c>
      <c r="Y5" s="9">
        <v>-982.38</v>
      </c>
      <c r="Z5" s="9">
        <v>-54.6</v>
      </c>
      <c r="AA5" s="12">
        <f t="shared" si="2"/>
        <v>1</v>
      </c>
      <c r="AB5" s="9">
        <v>5234.54</v>
      </c>
      <c r="AC5" s="12">
        <v>174.82</v>
      </c>
      <c r="AD5" s="12">
        <v>0.83</v>
      </c>
      <c r="AE5" s="12">
        <v>0.12</v>
      </c>
      <c r="AF5" s="12">
        <v>0.0</v>
      </c>
      <c r="AG5" s="12" t="s">
        <v>46</v>
      </c>
      <c r="AH5" s="12">
        <v>0.0</v>
      </c>
      <c r="AI5" s="12" t="s">
        <v>47</v>
      </c>
      <c r="AJ5" s="12" t="s">
        <v>46</v>
      </c>
      <c r="AK5" s="12" t="s">
        <v>47</v>
      </c>
      <c r="AL5" s="12" t="s">
        <v>46</v>
      </c>
      <c r="AM5" s="12" t="s">
        <v>47</v>
      </c>
      <c r="AN5" s="12" t="s">
        <v>46</v>
      </c>
      <c r="AO5" s="12" t="s">
        <v>46</v>
      </c>
      <c r="AP5" s="13" t="str">
        <f t="shared" si="3"/>
        <v>#VALUE!</v>
      </c>
      <c r="AQ5" s="15" t="e">
        <v>#VALUE!</v>
      </c>
      <c r="AR5" s="13" t="str">
        <f t="shared" si="4"/>
        <v>#VALUE!</v>
      </c>
      <c r="AS5" s="13"/>
      <c r="AT5" s="13"/>
      <c r="AU5" s="13"/>
      <c r="AV5" s="13"/>
      <c r="AW5" s="13"/>
      <c r="AX5" s="13"/>
      <c r="AY5" s="17">
        <v>0.0</v>
      </c>
      <c r="AZ5" s="17">
        <v>1.0</v>
      </c>
    </row>
    <row r="6">
      <c r="A6" s="8" t="s">
        <v>48</v>
      </c>
      <c r="B6" s="9">
        <v>1626388.23</v>
      </c>
      <c r="C6" s="9">
        <v>982657.01</v>
      </c>
      <c r="D6" s="9">
        <v>362999.96</v>
      </c>
      <c r="E6" s="9">
        <v>643731.22</v>
      </c>
      <c r="F6" s="9">
        <v>2166512.61</v>
      </c>
      <c r="G6" s="9">
        <v>2155787.02</v>
      </c>
      <c r="H6" s="9">
        <v>60896.32</v>
      </c>
      <c r="I6" s="9">
        <v>7701.11</v>
      </c>
      <c r="J6" s="9">
        <v>-6934.29</v>
      </c>
      <c r="K6" s="9">
        <v>75683.57</v>
      </c>
      <c r="L6" s="9">
        <v>69660.73</v>
      </c>
      <c r="M6" s="9">
        <v>3263.14</v>
      </c>
      <c r="N6" s="11">
        <f t="shared" si="1"/>
        <v>0</v>
      </c>
      <c r="O6" s="12">
        <v>-0.01</v>
      </c>
      <c r="P6" s="9">
        <v>-116346.48</v>
      </c>
      <c r="Q6" s="9">
        <v>-39185.9</v>
      </c>
      <c r="R6" s="9">
        <v>195831.42</v>
      </c>
      <c r="S6" s="9">
        <v>40299.04</v>
      </c>
      <c r="T6" s="12">
        <v>-1.04</v>
      </c>
      <c r="U6" s="12">
        <v>0.5</v>
      </c>
      <c r="V6" s="12">
        <v>9.31</v>
      </c>
      <c r="W6" s="12">
        <v>-0.32</v>
      </c>
      <c r="X6" s="12">
        <v>4.48</v>
      </c>
      <c r="Y6" s="12">
        <v>5.06</v>
      </c>
      <c r="Z6" s="12">
        <v>0.24</v>
      </c>
      <c r="AA6" s="12">
        <f t="shared" si="2"/>
        <v>0</v>
      </c>
      <c r="AB6" s="12">
        <v>0.36</v>
      </c>
      <c r="AC6" s="12">
        <v>1.53</v>
      </c>
      <c r="AD6" s="12">
        <v>0.56</v>
      </c>
      <c r="AE6" s="12">
        <v>1.2</v>
      </c>
      <c r="AF6" s="12">
        <v>0.59</v>
      </c>
      <c r="AG6" s="12">
        <v>4.26</v>
      </c>
      <c r="AH6" s="12">
        <v>1.41</v>
      </c>
      <c r="AI6" s="12">
        <v>4.05</v>
      </c>
      <c r="AJ6" s="12">
        <v>90.21</v>
      </c>
      <c r="AK6" s="12">
        <v>5.18</v>
      </c>
      <c r="AL6" s="12">
        <v>70.51</v>
      </c>
      <c r="AM6" s="12">
        <v>7.91</v>
      </c>
      <c r="AN6" s="12">
        <v>46.16</v>
      </c>
      <c r="AO6" s="12">
        <v>114.55</v>
      </c>
      <c r="AP6" s="13">
        <f t="shared" si="3"/>
        <v>-0.87437</v>
      </c>
      <c r="AQ6" s="15">
        <v>0.29434581021016376</v>
      </c>
      <c r="AR6" s="13">
        <f t="shared" si="4"/>
        <v>0</v>
      </c>
      <c r="AS6" s="13">
        <f>IF(AR6=N6,1,0)</f>
        <v>1</v>
      </c>
      <c r="AT6" s="13">
        <f>IF(AND(AR6=0,AS6=1),1,0)</f>
        <v>1</v>
      </c>
      <c r="AU6" s="13">
        <f>IF(AND(AR6=0,AS6=0),1,0)</f>
        <v>0</v>
      </c>
      <c r="AV6" s="13">
        <f t="shared" ref="AV6:AV7" si="11">IFERROR(IFS(AND(AR6=1,AS6=0),1,AS6="",""),0)</f>
        <v>0</v>
      </c>
      <c r="AW6" s="13">
        <f t="shared" ref="AW6:AW7" si="12">IFERROR(IFS(AND(AR6=1,AS6=1),1,AS6="",""),0)</f>
        <v>0</v>
      </c>
      <c r="AX6" s="18">
        <v>0.0</v>
      </c>
      <c r="AY6" s="13">
        <f t="shared" ref="AY6:AZ6" si="10">SUM(AT2:AT197)</f>
        <v>107</v>
      </c>
      <c r="AZ6" s="13">
        <f t="shared" si="10"/>
        <v>7</v>
      </c>
    </row>
    <row r="7">
      <c r="A7" s="8" t="s">
        <v>49</v>
      </c>
      <c r="B7" s="9">
        <v>606121.87</v>
      </c>
      <c r="C7" s="9">
        <v>73566.1</v>
      </c>
      <c r="D7" s="9">
        <v>80000.0</v>
      </c>
      <c r="E7" s="9">
        <v>528938.19</v>
      </c>
      <c r="F7" s="9">
        <v>334084.89</v>
      </c>
      <c r="G7" s="9">
        <v>280977.4</v>
      </c>
      <c r="H7" s="9">
        <v>57176.38</v>
      </c>
      <c r="I7" s="9">
        <v>53813.66</v>
      </c>
      <c r="J7" s="9">
        <v>45716.14</v>
      </c>
      <c r="K7" s="9">
        <v>98746.68</v>
      </c>
      <c r="L7" s="9" t="e">
        <v>#N/A</v>
      </c>
      <c r="M7" s="9" t="e">
        <v>#N/A</v>
      </c>
      <c r="N7" s="11" t="str">
        <f t="shared" si="1"/>
        <v>#N/A</v>
      </c>
      <c r="O7" s="12">
        <v>0.29</v>
      </c>
      <c r="P7" s="9">
        <v>60069.28</v>
      </c>
      <c r="Q7" s="9">
        <v>-137578.98</v>
      </c>
      <c r="R7" s="9">
        <v>-71184.37</v>
      </c>
      <c r="S7" s="9">
        <v>-148694.07</v>
      </c>
      <c r="T7" s="12">
        <v>8.48</v>
      </c>
      <c r="U7" s="12">
        <v>8.57</v>
      </c>
      <c r="V7" s="12">
        <v>27.9</v>
      </c>
      <c r="W7" s="12">
        <v>13.47</v>
      </c>
      <c r="X7" s="12">
        <v>19.15</v>
      </c>
      <c r="Y7" s="12" t="e">
        <v>#N/A</v>
      </c>
      <c r="Z7" s="12" t="e">
        <v>#N/A</v>
      </c>
      <c r="AA7" s="12" t="str">
        <f t="shared" si="2"/>
        <v>#N/A</v>
      </c>
      <c r="AB7" s="12">
        <v>16.11</v>
      </c>
      <c r="AC7" s="12">
        <v>0.14</v>
      </c>
      <c r="AD7" s="12">
        <v>235.47</v>
      </c>
      <c r="AE7" s="12">
        <v>7.09</v>
      </c>
      <c r="AF7" s="12">
        <v>6.99</v>
      </c>
      <c r="AG7" s="12">
        <v>40.69</v>
      </c>
      <c r="AH7" s="12">
        <v>0.53</v>
      </c>
      <c r="AI7" s="12" t="s">
        <v>47</v>
      </c>
      <c r="AJ7" s="12" t="s">
        <v>46</v>
      </c>
      <c r="AK7" s="12">
        <v>3.45</v>
      </c>
      <c r="AL7" s="12">
        <v>105.91</v>
      </c>
      <c r="AM7" s="12">
        <v>3.42</v>
      </c>
      <c r="AN7" s="12">
        <v>106.78</v>
      </c>
      <c r="AO7" s="12">
        <v>-0.86</v>
      </c>
      <c r="AP7" s="13">
        <f t="shared" si="3"/>
        <v>-9.29042</v>
      </c>
      <c r="AQ7" s="15">
        <v>9.229576504373088E-5</v>
      </c>
      <c r="AR7" s="13">
        <f t="shared" si="4"/>
        <v>0</v>
      </c>
      <c r="AS7" s="13"/>
      <c r="AT7" s="13"/>
      <c r="AU7" s="13"/>
      <c r="AV7" s="13" t="str">
        <f t="shared" si="11"/>
        <v/>
      </c>
      <c r="AW7" s="13" t="str">
        <f t="shared" si="12"/>
        <v/>
      </c>
      <c r="AX7" s="18">
        <v>1.0</v>
      </c>
      <c r="AY7" s="13">
        <f t="shared" ref="AY7:AZ7" si="13">SUM(AV2:AV197)</f>
        <v>9</v>
      </c>
      <c r="AZ7" s="13">
        <f t="shared" si="13"/>
        <v>6</v>
      </c>
    </row>
    <row r="8">
      <c r="A8" s="8" t="s">
        <v>50</v>
      </c>
      <c r="B8" s="9">
        <v>2384298.25</v>
      </c>
      <c r="C8" s="9">
        <v>1858674.46</v>
      </c>
      <c r="D8" s="9">
        <v>400000.0</v>
      </c>
      <c r="E8" s="9">
        <v>525623.79</v>
      </c>
      <c r="F8" s="9">
        <v>226489.38</v>
      </c>
      <c r="G8" s="9">
        <v>127155.26</v>
      </c>
      <c r="H8" s="9">
        <v>107915.06</v>
      </c>
      <c r="I8" s="9">
        <v>99334.13</v>
      </c>
      <c r="J8" s="9">
        <v>45260.72</v>
      </c>
      <c r="K8" s="9">
        <v>49516.43</v>
      </c>
      <c r="L8" s="9">
        <v>42713.22</v>
      </c>
      <c r="M8" s="9">
        <v>42158.88</v>
      </c>
      <c r="N8" s="11">
        <f t="shared" si="1"/>
        <v>0</v>
      </c>
      <c r="O8" s="12">
        <v>0.03</v>
      </c>
      <c r="P8" s="9">
        <v>-54144.88</v>
      </c>
      <c r="Q8" s="9">
        <v>-1036.56</v>
      </c>
      <c r="R8" s="9">
        <v>24344.69</v>
      </c>
      <c r="S8" s="9">
        <v>-30836.74</v>
      </c>
      <c r="T8" s="12">
        <v>8.57</v>
      </c>
      <c r="U8" s="12">
        <v>4.23</v>
      </c>
      <c r="V8" s="12">
        <v>81.11</v>
      </c>
      <c r="W8" s="12">
        <v>19.98</v>
      </c>
      <c r="X8" s="12">
        <v>25.03</v>
      </c>
      <c r="Y8" s="12">
        <v>20.35</v>
      </c>
      <c r="Z8" s="12">
        <v>18.28</v>
      </c>
      <c r="AA8" s="12">
        <f t="shared" si="2"/>
        <v>0</v>
      </c>
      <c r="AB8" s="12">
        <v>43.86</v>
      </c>
      <c r="AC8" s="12">
        <v>3.54</v>
      </c>
      <c r="AD8" s="12">
        <v>2.33</v>
      </c>
      <c r="AE8" s="12">
        <v>1.25</v>
      </c>
      <c r="AF8" s="12">
        <v>0.04</v>
      </c>
      <c r="AG8" s="12" t="s">
        <v>46</v>
      </c>
      <c r="AH8" s="12">
        <v>0.1</v>
      </c>
      <c r="AI8" s="12" t="s">
        <v>47</v>
      </c>
      <c r="AJ8" s="12" t="s">
        <v>46</v>
      </c>
      <c r="AK8" s="12" t="s">
        <v>47</v>
      </c>
      <c r="AL8" s="12" t="s">
        <v>46</v>
      </c>
      <c r="AM8" s="12" t="s">
        <v>47</v>
      </c>
      <c r="AN8" s="12" t="s">
        <v>46</v>
      </c>
      <c r="AO8" s="12" t="s">
        <v>46</v>
      </c>
      <c r="AP8" s="13" t="str">
        <f t="shared" si="3"/>
        <v>#VALUE!</v>
      </c>
      <c r="AQ8" s="15" t="e">
        <v>#VALUE!</v>
      </c>
      <c r="AR8" s="13" t="str">
        <f t="shared" si="4"/>
        <v>#VALUE!</v>
      </c>
      <c r="AS8" s="13"/>
      <c r="AT8" s="13"/>
      <c r="AU8" s="13"/>
      <c r="AV8" s="13"/>
      <c r="AW8" s="13"/>
      <c r="AX8" s="13"/>
      <c r="AY8" s="13"/>
      <c r="AZ8" s="13">
        <f>SUM(AY6:AZ7)</f>
        <v>129</v>
      </c>
    </row>
    <row r="9">
      <c r="A9" s="8" t="s">
        <v>51</v>
      </c>
      <c r="B9" s="9">
        <v>9644386.18</v>
      </c>
      <c r="C9" s="9">
        <v>5084460.34</v>
      </c>
      <c r="D9" s="9">
        <v>1578719.63</v>
      </c>
      <c r="E9" s="9">
        <v>3673990.62</v>
      </c>
      <c r="F9" s="9">
        <v>962400.29</v>
      </c>
      <c r="G9" s="9">
        <v>847564.88</v>
      </c>
      <c r="H9" s="9">
        <v>320332.17</v>
      </c>
      <c r="I9" s="9">
        <v>167470.94</v>
      </c>
      <c r="J9" s="9">
        <v>-14793.81</v>
      </c>
      <c r="K9" s="9">
        <v>126394.4</v>
      </c>
      <c r="L9" s="9">
        <v>-37956.83</v>
      </c>
      <c r="M9" s="9">
        <v>-164960.13</v>
      </c>
      <c r="N9" s="11">
        <f t="shared" si="1"/>
        <v>0</v>
      </c>
      <c r="O9" s="12" t="s">
        <v>46</v>
      </c>
      <c r="P9" s="9">
        <v>426815.91</v>
      </c>
      <c r="Q9" s="9">
        <v>-38849.45</v>
      </c>
      <c r="R9" s="9">
        <v>-461046.32</v>
      </c>
      <c r="S9" s="9">
        <v>-73079.86</v>
      </c>
      <c r="T9" s="12">
        <v>-0.4</v>
      </c>
      <c r="U9" s="12">
        <v>1.69</v>
      </c>
      <c r="V9" s="12">
        <v>69.09</v>
      </c>
      <c r="W9" s="12">
        <v>0.24</v>
      </c>
      <c r="X9" s="12">
        <v>10.67</v>
      </c>
      <c r="Y9" s="12">
        <v>-7.72</v>
      </c>
      <c r="Z9" s="12">
        <v>-22.34</v>
      </c>
      <c r="AA9" s="12">
        <f t="shared" si="2"/>
        <v>0</v>
      </c>
      <c r="AB9" s="12">
        <v>17.4</v>
      </c>
      <c r="AC9" s="12">
        <v>1.12</v>
      </c>
      <c r="AD9" s="12">
        <v>0.99</v>
      </c>
      <c r="AE9" s="12">
        <v>1.48</v>
      </c>
      <c r="AF9" s="12">
        <v>0.17</v>
      </c>
      <c r="AG9" s="12" t="s">
        <v>46</v>
      </c>
      <c r="AH9" s="12">
        <v>0.1</v>
      </c>
      <c r="AI9" s="12" t="s">
        <v>47</v>
      </c>
      <c r="AJ9" s="12" t="s">
        <v>46</v>
      </c>
      <c r="AK9" s="12" t="s">
        <v>47</v>
      </c>
      <c r="AL9" s="12" t="s">
        <v>46</v>
      </c>
      <c r="AM9" s="12" t="s">
        <v>47</v>
      </c>
      <c r="AN9" s="12" t="s">
        <v>46</v>
      </c>
      <c r="AO9" s="12" t="s">
        <v>46</v>
      </c>
      <c r="AP9" s="13" t="str">
        <f t="shared" si="3"/>
        <v>#VALUE!</v>
      </c>
      <c r="AQ9" s="15" t="e">
        <v>#VALUE!</v>
      </c>
      <c r="AR9" s="13" t="str">
        <f t="shared" si="4"/>
        <v>#VALUE!</v>
      </c>
      <c r="AS9" s="13"/>
      <c r="AT9" s="13"/>
      <c r="AU9" s="13"/>
      <c r="AV9" s="13"/>
      <c r="AW9" s="13"/>
      <c r="AX9" s="13"/>
      <c r="AZ9" s="13"/>
    </row>
    <row r="10">
      <c r="A10" s="8" t="s">
        <v>52</v>
      </c>
      <c r="B10" s="9">
        <v>727530.88</v>
      </c>
      <c r="C10" s="9">
        <v>124203.72</v>
      </c>
      <c r="D10" s="9">
        <v>202000.0</v>
      </c>
      <c r="E10" s="9">
        <v>603327.16</v>
      </c>
      <c r="F10" s="9">
        <v>384193.29</v>
      </c>
      <c r="G10" s="9">
        <v>354038.97</v>
      </c>
      <c r="H10" s="9">
        <v>72699.29</v>
      </c>
      <c r="I10" s="9">
        <v>39512.47</v>
      </c>
      <c r="J10" s="9">
        <v>29286.21</v>
      </c>
      <c r="K10" s="9">
        <v>46841.33</v>
      </c>
      <c r="L10" s="9">
        <v>34652.0</v>
      </c>
      <c r="M10" s="9">
        <v>31298.61</v>
      </c>
      <c r="N10" s="11">
        <f t="shared" si="1"/>
        <v>0</v>
      </c>
      <c r="O10" s="12">
        <v>0.07</v>
      </c>
      <c r="P10" s="9">
        <v>45525.74</v>
      </c>
      <c r="Q10" s="9">
        <v>-118468.68</v>
      </c>
      <c r="R10" s="9">
        <v>-31519.27</v>
      </c>
      <c r="S10" s="9">
        <v>-104462.21</v>
      </c>
      <c r="T10" s="12">
        <v>4.9</v>
      </c>
      <c r="U10" s="12">
        <v>5.44</v>
      </c>
      <c r="V10" s="12">
        <v>21.78</v>
      </c>
      <c r="W10" s="12">
        <v>7.62</v>
      </c>
      <c r="X10" s="12">
        <v>11.97</v>
      </c>
      <c r="Y10" s="12">
        <v>9.74</v>
      </c>
      <c r="Z10" s="12">
        <v>7.23</v>
      </c>
      <c r="AA10" s="12">
        <f t="shared" si="2"/>
        <v>0</v>
      </c>
      <c r="AB10" s="12">
        <v>10.28</v>
      </c>
      <c r="AC10" s="12">
        <v>0.21</v>
      </c>
      <c r="AD10" s="12">
        <v>8.44</v>
      </c>
      <c r="AE10" s="12">
        <v>4.71</v>
      </c>
      <c r="AF10" s="12">
        <v>3.09</v>
      </c>
      <c r="AG10" s="12">
        <v>2.77</v>
      </c>
      <c r="AH10" s="12">
        <v>0.53</v>
      </c>
      <c r="AI10" s="12" t="s">
        <v>47</v>
      </c>
      <c r="AJ10" s="12" t="s">
        <v>46</v>
      </c>
      <c r="AK10" s="12">
        <v>3.85</v>
      </c>
      <c r="AL10" s="12">
        <v>94.93</v>
      </c>
      <c r="AM10" s="12">
        <v>5.55</v>
      </c>
      <c r="AN10" s="12">
        <v>65.82</v>
      </c>
      <c r="AO10" s="12">
        <v>29.1</v>
      </c>
      <c r="AP10" s="13">
        <f t="shared" si="3"/>
        <v>-5.58591</v>
      </c>
      <c r="AQ10" s="15">
        <v>0.003736322946992549</v>
      </c>
      <c r="AR10" s="13">
        <f t="shared" si="4"/>
        <v>0</v>
      </c>
      <c r="AS10" s="13">
        <f t="shared" ref="AS10:AS13" si="14">IF(AR10=N10,1,0)</f>
        <v>1</v>
      </c>
      <c r="AT10" s="13">
        <f t="shared" ref="AT10:AT13" si="15">IF(AND(AR10=0,AS10=1),1,0)</f>
        <v>1</v>
      </c>
      <c r="AU10" s="13">
        <f t="shared" ref="AU10:AU13" si="16">IF(AND(AR10=0,AS10=0),1,0)</f>
        <v>0</v>
      </c>
      <c r="AV10" s="13">
        <f t="shared" ref="AV10:AV18" si="17">IFERROR(IFS(AND(AR10=1,AS10=0),1,AS10="",""),0)</f>
        <v>0</v>
      </c>
      <c r="AW10" s="13">
        <f t="shared" ref="AW10:AW18" si="18">IFERROR(IFS(AND(AR10=1,AS10=1),1,AS10="",""),0)</f>
        <v>0</v>
      </c>
      <c r="AX10" s="13"/>
      <c r="AY10" s="13"/>
      <c r="AZ10" s="13"/>
    </row>
    <row r="11">
      <c r="A11" s="8" t="s">
        <v>53</v>
      </c>
      <c r="B11" s="9">
        <v>6705059.98</v>
      </c>
      <c r="C11" s="9">
        <v>5832834.36</v>
      </c>
      <c r="D11" s="9">
        <v>859262.34</v>
      </c>
      <c r="E11" s="9">
        <v>872219.72</v>
      </c>
      <c r="F11" s="9">
        <v>647834.89</v>
      </c>
      <c r="G11" s="9">
        <v>1397928.06</v>
      </c>
      <c r="H11" s="9">
        <v>-957240.78</v>
      </c>
      <c r="I11" s="9">
        <v>-979916.84</v>
      </c>
      <c r="J11" s="9">
        <v>-1494794.31</v>
      </c>
      <c r="K11" s="9">
        <v>-347204.46</v>
      </c>
      <c r="L11" s="9">
        <v>241923.56</v>
      </c>
      <c r="M11" s="9">
        <v>501091.31</v>
      </c>
      <c r="N11" s="11">
        <f t="shared" si="1"/>
        <v>0</v>
      </c>
      <c r="O11" s="12">
        <v>-1.01</v>
      </c>
      <c r="P11" s="9">
        <v>-188430.1</v>
      </c>
      <c r="Q11" s="9">
        <v>-24995.06</v>
      </c>
      <c r="R11" s="9">
        <v>192761.66</v>
      </c>
      <c r="S11" s="9">
        <v>-20663.5</v>
      </c>
      <c r="T11" s="12">
        <v>-103.79</v>
      </c>
      <c r="U11" s="12">
        <v>-13.42</v>
      </c>
      <c r="V11" s="12">
        <v>15.26</v>
      </c>
      <c r="W11" s="12">
        <v>-230.74</v>
      </c>
      <c r="X11" s="12">
        <v>-26.91</v>
      </c>
      <c r="Y11" s="12">
        <v>10.89</v>
      </c>
      <c r="Z11" s="12">
        <v>17.17</v>
      </c>
      <c r="AA11" s="12">
        <f t="shared" si="2"/>
        <v>0</v>
      </c>
      <c r="AB11" s="12">
        <v>-151.26</v>
      </c>
      <c r="AC11" s="12">
        <v>6.69</v>
      </c>
      <c r="AD11" s="12">
        <v>-2.29</v>
      </c>
      <c r="AE11" s="12">
        <v>0.84</v>
      </c>
      <c r="AF11" s="12">
        <v>0.03</v>
      </c>
      <c r="AG11" s="12">
        <v>3.12</v>
      </c>
      <c r="AH11" s="12">
        <v>0.09</v>
      </c>
      <c r="AI11" s="12">
        <v>0.14</v>
      </c>
      <c r="AJ11" s="9">
        <v>2640.76</v>
      </c>
      <c r="AK11" s="12">
        <v>3.79</v>
      </c>
      <c r="AL11" s="12">
        <v>96.36</v>
      </c>
      <c r="AM11" s="12">
        <v>0.78</v>
      </c>
      <c r="AN11" s="12">
        <v>465.12</v>
      </c>
      <c r="AO11" s="9">
        <v>2272.0</v>
      </c>
      <c r="AP11" s="13">
        <f t="shared" si="3"/>
        <v>2.14175</v>
      </c>
      <c r="AQ11" s="15">
        <v>0.894895325208064</v>
      </c>
      <c r="AR11" s="13">
        <f t="shared" si="4"/>
        <v>1</v>
      </c>
      <c r="AS11" s="13">
        <f t="shared" si="14"/>
        <v>0</v>
      </c>
      <c r="AT11" s="13">
        <f t="shared" si="15"/>
        <v>0</v>
      </c>
      <c r="AU11" s="13">
        <f t="shared" si="16"/>
        <v>0</v>
      </c>
      <c r="AV11" s="13">
        <f t="shared" si="17"/>
        <v>1</v>
      </c>
      <c r="AW11" s="13">
        <f t="shared" si="18"/>
        <v>0</v>
      </c>
      <c r="AX11" s="13"/>
      <c r="AY11" s="13"/>
      <c r="AZ11" s="13"/>
    </row>
    <row r="12">
      <c r="A12" s="8" t="s">
        <v>54</v>
      </c>
      <c r="B12" s="9">
        <v>1807424.12</v>
      </c>
      <c r="C12" s="9">
        <v>259805.37</v>
      </c>
      <c r="D12" s="9">
        <v>478495.94</v>
      </c>
      <c r="E12" s="9">
        <v>1358730.18</v>
      </c>
      <c r="F12" s="9">
        <v>355364.71</v>
      </c>
      <c r="G12" s="9">
        <v>273301.83</v>
      </c>
      <c r="H12" s="9">
        <v>69080.18</v>
      </c>
      <c r="I12" s="9">
        <v>58896.85</v>
      </c>
      <c r="J12" s="9">
        <v>36677.72</v>
      </c>
      <c r="K12" s="9">
        <v>-1628.69</v>
      </c>
      <c r="L12" s="9">
        <v>58427.32</v>
      </c>
      <c r="M12" s="9">
        <v>-30.06</v>
      </c>
      <c r="N12" s="11">
        <f t="shared" si="1"/>
        <v>0</v>
      </c>
      <c r="O12" s="12">
        <v>0.02</v>
      </c>
      <c r="P12" s="9">
        <v>-293723.52</v>
      </c>
      <c r="Q12" s="9">
        <v>-6638.35</v>
      </c>
      <c r="R12" s="9">
        <v>575877.48</v>
      </c>
      <c r="S12" s="9">
        <v>275515.61</v>
      </c>
      <c r="T12" s="12">
        <v>3.89</v>
      </c>
      <c r="U12" s="12">
        <v>4.29</v>
      </c>
      <c r="V12" s="12">
        <v>53.01</v>
      </c>
      <c r="W12" s="12">
        <v>10.4</v>
      </c>
      <c r="X12" s="12">
        <v>5.12</v>
      </c>
      <c r="Y12" s="12">
        <v>14.25</v>
      </c>
      <c r="Z12" s="12">
        <v>-0.29</v>
      </c>
      <c r="AA12" s="12">
        <f t="shared" si="2"/>
        <v>0</v>
      </c>
      <c r="AB12" s="12">
        <v>16.57</v>
      </c>
      <c r="AC12" s="12">
        <v>0.17</v>
      </c>
      <c r="AD12" s="12">
        <v>20.98</v>
      </c>
      <c r="AE12" s="12">
        <v>8.85</v>
      </c>
      <c r="AF12" s="12">
        <v>2.32</v>
      </c>
      <c r="AG12" s="12">
        <v>11.31</v>
      </c>
      <c r="AH12" s="12">
        <v>0.26</v>
      </c>
      <c r="AI12" s="12">
        <v>0.44</v>
      </c>
      <c r="AJ12" s="12">
        <v>822.48</v>
      </c>
      <c r="AK12" s="12">
        <v>708.86</v>
      </c>
      <c r="AL12" s="12">
        <v>0.51</v>
      </c>
      <c r="AM12" s="12">
        <v>2.29</v>
      </c>
      <c r="AN12" s="12">
        <v>159.22</v>
      </c>
      <c r="AO12" s="12">
        <v>663.78</v>
      </c>
      <c r="AP12" s="13">
        <f t="shared" si="3"/>
        <v>-4.11237</v>
      </c>
      <c r="AQ12" s="15">
        <v>0.01610530742802824</v>
      </c>
      <c r="AR12" s="13">
        <f t="shared" si="4"/>
        <v>0</v>
      </c>
      <c r="AS12" s="13">
        <f t="shared" si="14"/>
        <v>1</v>
      </c>
      <c r="AT12" s="13">
        <f t="shared" si="15"/>
        <v>1</v>
      </c>
      <c r="AU12" s="13">
        <f t="shared" si="16"/>
        <v>0</v>
      </c>
      <c r="AV12" s="13">
        <f t="shared" si="17"/>
        <v>0</v>
      </c>
      <c r="AW12" s="13">
        <f t="shared" si="18"/>
        <v>0</v>
      </c>
      <c r="AX12" s="13"/>
      <c r="AY12" s="13"/>
      <c r="AZ12" s="13"/>
    </row>
    <row r="13">
      <c r="A13" s="8" t="s">
        <v>55</v>
      </c>
      <c r="B13" s="9">
        <v>4464932.95</v>
      </c>
      <c r="C13" s="9">
        <v>1585707.24</v>
      </c>
      <c r="D13" s="9">
        <v>258958.39</v>
      </c>
      <c r="E13" s="9">
        <v>2800647.16</v>
      </c>
      <c r="F13" s="9">
        <v>3238312.13</v>
      </c>
      <c r="G13" s="9">
        <v>2728747.08</v>
      </c>
      <c r="H13" s="9">
        <v>871175.59</v>
      </c>
      <c r="I13" s="9">
        <v>538674.42</v>
      </c>
      <c r="J13" s="9">
        <v>462429.16</v>
      </c>
      <c r="K13" s="9">
        <v>153507.49</v>
      </c>
      <c r="L13" s="9">
        <v>170336.77</v>
      </c>
      <c r="M13" s="9">
        <v>180519.63</v>
      </c>
      <c r="N13" s="11">
        <f t="shared" si="1"/>
        <v>0</v>
      </c>
      <c r="O13" s="12">
        <v>0.89</v>
      </c>
      <c r="P13" s="9">
        <v>812932.0</v>
      </c>
      <c r="Q13" s="9">
        <v>-90008.9</v>
      </c>
      <c r="R13" s="9">
        <v>-427609.05</v>
      </c>
      <c r="S13" s="9">
        <v>295314.05</v>
      </c>
      <c r="T13" s="12">
        <v>17.94</v>
      </c>
      <c r="U13" s="12">
        <v>12.55</v>
      </c>
      <c r="V13" s="12">
        <v>21.89</v>
      </c>
      <c r="W13" s="12">
        <v>14.38</v>
      </c>
      <c r="X13" s="12">
        <v>7.42</v>
      </c>
      <c r="Y13" s="12">
        <v>9.38</v>
      </c>
      <c r="Z13" s="12">
        <v>9.45</v>
      </c>
      <c r="AA13" s="12">
        <f t="shared" si="2"/>
        <v>0</v>
      </c>
      <c r="AB13" s="12">
        <v>16.63</v>
      </c>
      <c r="AC13" s="12">
        <v>0.55</v>
      </c>
      <c r="AD13" s="12">
        <v>11.02</v>
      </c>
      <c r="AE13" s="12">
        <v>1.05</v>
      </c>
      <c r="AF13" s="12">
        <v>0.92</v>
      </c>
      <c r="AG13" s="12">
        <v>0.9</v>
      </c>
      <c r="AH13" s="12">
        <v>0.75</v>
      </c>
      <c r="AI13" s="12">
        <v>29.89</v>
      </c>
      <c r="AJ13" s="12">
        <v>12.21</v>
      </c>
      <c r="AK13" s="12">
        <v>13.6</v>
      </c>
      <c r="AL13" s="12">
        <v>26.83</v>
      </c>
      <c r="AM13" s="12">
        <v>15.51</v>
      </c>
      <c r="AN13" s="12">
        <v>23.53</v>
      </c>
      <c r="AO13" s="12">
        <v>15.51</v>
      </c>
      <c r="AP13" s="13">
        <f t="shared" si="3"/>
        <v>-5.01828</v>
      </c>
      <c r="AQ13" s="15">
        <v>0.006572413861918514</v>
      </c>
      <c r="AR13" s="13">
        <f t="shared" si="4"/>
        <v>0</v>
      </c>
      <c r="AS13" s="13">
        <f t="shared" si="14"/>
        <v>1</v>
      </c>
      <c r="AT13" s="13">
        <f t="shared" si="15"/>
        <v>1</v>
      </c>
      <c r="AU13" s="13">
        <f t="shared" si="16"/>
        <v>0</v>
      </c>
      <c r="AV13" s="13">
        <f t="shared" si="17"/>
        <v>0</v>
      </c>
      <c r="AW13" s="13">
        <f t="shared" si="18"/>
        <v>0</v>
      </c>
      <c r="AX13" s="13"/>
      <c r="AY13" s="13"/>
      <c r="AZ13" s="13"/>
    </row>
    <row r="14">
      <c r="A14" s="8" t="s">
        <v>56</v>
      </c>
      <c r="B14" s="9">
        <v>699346.26</v>
      </c>
      <c r="C14" s="9">
        <v>151451.18</v>
      </c>
      <c r="D14" s="9">
        <v>210000.0</v>
      </c>
      <c r="E14" s="9">
        <v>547895.08</v>
      </c>
      <c r="F14" s="9">
        <v>264260.58</v>
      </c>
      <c r="G14" s="9">
        <v>240144.11</v>
      </c>
      <c r="H14" s="9">
        <v>57620.51</v>
      </c>
      <c r="I14" s="9">
        <v>24116.47</v>
      </c>
      <c r="J14" s="9">
        <v>14516.0</v>
      </c>
      <c r="K14" s="9" t="e">
        <v>#N/A</v>
      </c>
      <c r="L14" s="9" t="e">
        <v>#N/A</v>
      </c>
      <c r="M14" s="9" t="e">
        <v>#N/A</v>
      </c>
      <c r="N14" s="11" t="str">
        <f t="shared" si="1"/>
        <v>#N/A</v>
      </c>
      <c r="O14" s="12">
        <v>0.04</v>
      </c>
      <c r="P14" s="9">
        <v>53519.53</v>
      </c>
      <c r="Q14" s="9">
        <v>-201588.98</v>
      </c>
      <c r="R14" s="9">
        <v>192376.62</v>
      </c>
      <c r="S14" s="9">
        <v>44307.18</v>
      </c>
      <c r="T14" s="12">
        <v>3.82</v>
      </c>
      <c r="U14" s="12">
        <v>4.2</v>
      </c>
      <c r="V14" s="12">
        <v>39.91</v>
      </c>
      <c r="W14" s="12">
        <v>5.49</v>
      </c>
      <c r="X14" s="12" t="e">
        <v>#N/A</v>
      </c>
      <c r="Y14" s="12" t="e">
        <v>#N/A</v>
      </c>
      <c r="Z14" s="12" t="e">
        <v>#N/A</v>
      </c>
      <c r="AA14" s="12" t="str">
        <f t="shared" si="2"/>
        <v>#N/A</v>
      </c>
      <c r="AB14" s="12">
        <v>9.13</v>
      </c>
      <c r="AC14" s="12">
        <v>0.28</v>
      </c>
      <c r="AD14" s="12">
        <v>3.91</v>
      </c>
      <c r="AE14" s="12">
        <v>4.38</v>
      </c>
      <c r="AF14" s="12">
        <v>1.35</v>
      </c>
      <c r="AG14" s="12">
        <v>0.75</v>
      </c>
      <c r="AH14" s="12">
        <v>0.46</v>
      </c>
      <c r="AI14" s="12">
        <v>16.06</v>
      </c>
      <c r="AJ14" s="12">
        <v>22.73</v>
      </c>
      <c r="AK14" s="12">
        <v>5.6</v>
      </c>
      <c r="AL14" s="12">
        <v>65.17</v>
      </c>
      <c r="AM14" s="12">
        <v>5.98</v>
      </c>
      <c r="AN14" s="12">
        <v>61.08</v>
      </c>
      <c r="AO14" s="12">
        <v>26.81</v>
      </c>
      <c r="AP14" s="13">
        <f t="shared" si="3"/>
        <v>-3.83108</v>
      </c>
      <c r="AQ14" s="15">
        <v>0.02122587374246295</v>
      </c>
      <c r="AR14" s="13">
        <f t="shared" si="4"/>
        <v>0</v>
      </c>
      <c r="AS14" s="13"/>
      <c r="AT14" s="13"/>
      <c r="AU14" s="13"/>
      <c r="AV14" s="13" t="str">
        <f t="shared" si="17"/>
        <v/>
      </c>
      <c r="AW14" s="13" t="str">
        <f t="shared" si="18"/>
        <v/>
      </c>
      <c r="AX14" s="13"/>
      <c r="AY14" s="13"/>
      <c r="AZ14" s="13"/>
    </row>
    <row r="15">
      <c r="A15" s="8" t="s">
        <v>57</v>
      </c>
      <c r="B15" s="9">
        <v>772437.72</v>
      </c>
      <c r="C15" s="9">
        <v>426737.78</v>
      </c>
      <c r="D15" s="9">
        <v>140000.0</v>
      </c>
      <c r="E15" s="9">
        <v>345926.23</v>
      </c>
      <c r="F15" s="9">
        <v>888337.94</v>
      </c>
      <c r="G15" s="9">
        <v>829514.91</v>
      </c>
      <c r="H15" s="9">
        <v>84174.86</v>
      </c>
      <c r="I15" s="9">
        <v>58823.03</v>
      </c>
      <c r="J15" s="9">
        <v>46473.74</v>
      </c>
      <c r="K15" s="9">
        <v>58459.21</v>
      </c>
      <c r="L15" s="9">
        <v>44996.94</v>
      </c>
      <c r="M15" s="9">
        <v>57482.1</v>
      </c>
      <c r="N15" s="11">
        <f t="shared" si="1"/>
        <v>0</v>
      </c>
      <c r="O15" s="12">
        <v>0.17</v>
      </c>
      <c r="P15" s="9">
        <v>33301.67</v>
      </c>
      <c r="Q15" s="9">
        <v>-172606.07</v>
      </c>
      <c r="R15" s="9">
        <v>-61661.94</v>
      </c>
      <c r="S15" s="9">
        <v>-200966.33</v>
      </c>
      <c r="T15" s="12">
        <v>13.21</v>
      </c>
      <c r="U15" s="12">
        <v>7.82</v>
      </c>
      <c r="V15" s="12">
        <v>40.55</v>
      </c>
      <c r="W15" s="12">
        <v>5.23</v>
      </c>
      <c r="X15" s="12">
        <v>7.35</v>
      </c>
      <c r="Y15" s="12">
        <v>6.83</v>
      </c>
      <c r="Z15" s="12">
        <v>7.84</v>
      </c>
      <c r="AA15" s="12">
        <f t="shared" si="2"/>
        <v>0</v>
      </c>
      <c r="AB15" s="12">
        <v>6.62</v>
      </c>
      <c r="AC15" s="12">
        <v>1.23</v>
      </c>
      <c r="AD15" s="12">
        <v>87.85</v>
      </c>
      <c r="AE15" s="12">
        <v>1.81</v>
      </c>
      <c r="AF15" s="12">
        <v>0.81</v>
      </c>
      <c r="AG15" s="12">
        <v>7.95</v>
      </c>
      <c r="AH15" s="12">
        <v>1.18</v>
      </c>
      <c r="AI15" s="12">
        <v>9.3</v>
      </c>
      <c r="AJ15" s="12">
        <v>39.23</v>
      </c>
      <c r="AK15" s="12">
        <v>9.35</v>
      </c>
      <c r="AL15" s="12">
        <v>39.05</v>
      </c>
      <c r="AM15" s="12">
        <v>4.22</v>
      </c>
      <c r="AN15" s="12">
        <v>86.57</v>
      </c>
      <c r="AO15" s="12">
        <v>-8.3</v>
      </c>
      <c r="AP15" s="13">
        <f t="shared" si="3"/>
        <v>-2.8823</v>
      </c>
      <c r="AQ15" s="15">
        <v>0.053035505275075744</v>
      </c>
      <c r="AR15" s="13">
        <f t="shared" si="4"/>
        <v>0</v>
      </c>
      <c r="AS15" s="13">
        <f t="shared" ref="AS15:AS18" si="19">IF(AR15=N15,1,0)</f>
        <v>1</v>
      </c>
      <c r="AT15" s="13">
        <f t="shared" ref="AT15:AT18" si="20">IF(AND(AR15=0,AS15=1),1,0)</f>
        <v>1</v>
      </c>
      <c r="AU15" s="13">
        <f t="shared" ref="AU15:AU18" si="21">IF(AND(AR15=0,AS15=0),1,0)</f>
        <v>0</v>
      </c>
      <c r="AV15" s="13">
        <f t="shared" si="17"/>
        <v>0</v>
      </c>
      <c r="AW15" s="13">
        <f t="shared" si="18"/>
        <v>0</v>
      </c>
      <c r="AX15" s="13"/>
      <c r="AY15" s="13"/>
      <c r="AZ15" s="13"/>
    </row>
    <row r="16">
      <c r="A16" s="8" t="s">
        <v>58</v>
      </c>
      <c r="B16" s="9">
        <v>808551.77</v>
      </c>
      <c r="C16" s="9">
        <v>446882.93</v>
      </c>
      <c r="D16" s="9">
        <v>300000.0</v>
      </c>
      <c r="E16" s="9">
        <v>361668.84</v>
      </c>
      <c r="F16" s="9">
        <v>274931.44</v>
      </c>
      <c r="G16" s="9">
        <v>277765.44</v>
      </c>
      <c r="H16" s="9">
        <v>4198.84</v>
      </c>
      <c r="I16" s="9">
        <v>-2834.0</v>
      </c>
      <c r="J16" s="9">
        <v>-29208.03</v>
      </c>
      <c r="K16" s="9">
        <v>-54663.25</v>
      </c>
      <c r="L16" s="9">
        <v>-37327.57</v>
      </c>
      <c r="M16" s="9">
        <v>-14120.83</v>
      </c>
      <c r="N16" s="11">
        <f t="shared" si="1"/>
        <v>1</v>
      </c>
      <c r="O16" s="12">
        <v>-0.05</v>
      </c>
      <c r="P16" s="9">
        <v>110410.76</v>
      </c>
      <c r="Q16" s="12">
        <v>-387.5</v>
      </c>
      <c r="R16" s="9">
        <v>-108906.02</v>
      </c>
      <c r="S16" s="9">
        <v>1117.24</v>
      </c>
      <c r="T16" s="12">
        <v>-7.76</v>
      </c>
      <c r="U16" s="12">
        <v>-0.32</v>
      </c>
      <c r="V16" s="12">
        <v>16.77</v>
      </c>
      <c r="W16" s="12">
        <v>-10.62</v>
      </c>
      <c r="X16" s="12">
        <v>-29.31</v>
      </c>
      <c r="Y16" s="12">
        <v>-50.5</v>
      </c>
      <c r="Z16" s="12">
        <v>-8.71</v>
      </c>
      <c r="AA16" s="12">
        <f t="shared" si="2"/>
        <v>1</v>
      </c>
      <c r="AB16" s="12">
        <v>-1.03</v>
      </c>
      <c r="AC16" s="12">
        <v>1.24</v>
      </c>
      <c r="AD16" s="12">
        <v>-0.15</v>
      </c>
      <c r="AE16" s="12">
        <v>1.43</v>
      </c>
      <c r="AF16" s="12">
        <v>0.01</v>
      </c>
      <c r="AG16" s="12">
        <v>18.04</v>
      </c>
      <c r="AH16" s="12">
        <v>0.31</v>
      </c>
      <c r="AI16" s="12">
        <v>0.34</v>
      </c>
      <c r="AJ16" s="9">
        <v>1088.47</v>
      </c>
      <c r="AK16" s="12">
        <v>73.74</v>
      </c>
      <c r="AL16" s="12">
        <v>4.95</v>
      </c>
      <c r="AM16" s="12">
        <v>3.2</v>
      </c>
      <c r="AN16" s="12">
        <v>113.99</v>
      </c>
      <c r="AO16" s="12">
        <v>979.43</v>
      </c>
      <c r="AP16" s="13">
        <f t="shared" si="3"/>
        <v>-0.68937</v>
      </c>
      <c r="AQ16" s="15">
        <v>0.33417323453560244</v>
      </c>
      <c r="AR16" s="13">
        <f t="shared" si="4"/>
        <v>0</v>
      </c>
      <c r="AS16" s="13">
        <f t="shared" si="19"/>
        <v>0</v>
      </c>
      <c r="AT16" s="13">
        <f t="shared" si="20"/>
        <v>0</v>
      </c>
      <c r="AU16" s="13">
        <f t="shared" si="21"/>
        <v>1</v>
      </c>
      <c r="AV16" s="13">
        <f t="shared" si="17"/>
        <v>0</v>
      </c>
      <c r="AW16" s="13">
        <f t="shared" si="18"/>
        <v>0</v>
      </c>
      <c r="AX16" s="13"/>
      <c r="AY16" s="13"/>
      <c r="AZ16" s="13"/>
    </row>
    <row r="17">
      <c r="A17" s="8" t="s">
        <v>59</v>
      </c>
      <c r="B17" s="9">
        <v>269338.01</v>
      </c>
      <c r="C17" s="9">
        <v>43831.23</v>
      </c>
      <c r="D17" s="9">
        <v>116500.0</v>
      </c>
      <c r="E17" s="9">
        <v>225506.78</v>
      </c>
      <c r="F17" s="9">
        <v>226544.96</v>
      </c>
      <c r="G17" s="9">
        <v>212206.13</v>
      </c>
      <c r="H17" s="9">
        <v>22752.5</v>
      </c>
      <c r="I17" s="9">
        <v>14338.83</v>
      </c>
      <c r="J17" s="9">
        <v>12103.13</v>
      </c>
      <c r="K17" s="9">
        <v>5201.65</v>
      </c>
      <c r="L17" s="9">
        <v>3562.64</v>
      </c>
      <c r="M17" s="9">
        <v>1328.0</v>
      </c>
      <c r="N17" s="11">
        <f t="shared" si="1"/>
        <v>0</v>
      </c>
      <c r="O17" s="12">
        <v>0.03</v>
      </c>
      <c r="P17" s="9">
        <v>33492.86</v>
      </c>
      <c r="Q17" s="9">
        <v>-32873.13</v>
      </c>
      <c r="R17" s="12">
        <v>-427.98</v>
      </c>
      <c r="S17" s="12">
        <v>191.75</v>
      </c>
      <c r="T17" s="12">
        <v>5.52</v>
      </c>
      <c r="U17" s="12">
        <v>5.44</v>
      </c>
      <c r="V17" s="12">
        <v>26.35</v>
      </c>
      <c r="W17" s="12">
        <v>5.34</v>
      </c>
      <c r="X17" s="12">
        <v>3.07</v>
      </c>
      <c r="Y17" s="12">
        <v>1.58</v>
      </c>
      <c r="Z17" s="12">
        <v>0.8</v>
      </c>
      <c r="AA17" s="12">
        <f t="shared" si="2"/>
        <v>0</v>
      </c>
      <c r="AB17" s="12">
        <v>6.33</v>
      </c>
      <c r="AC17" s="12">
        <v>0.19</v>
      </c>
      <c r="AD17" s="12">
        <v>-19.79</v>
      </c>
      <c r="AE17" s="12">
        <v>5.23</v>
      </c>
      <c r="AF17" s="12">
        <v>3.03</v>
      </c>
      <c r="AG17" s="12">
        <v>4.87</v>
      </c>
      <c r="AH17" s="12">
        <v>0.86</v>
      </c>
      <c r="AI17" s="9">
        <v>2666.86</v>
      </c>
      <c r="AJ17" s="12">
        <v>0.14</v>
      </c>
      <c r="AK17" s="12">
        <v>3.58</v>
      </c>
      <c r="AL17" s="12">
        <v>102.08</v>
      </c>
      <c r="AM17" s="12">
        <v>5.91</v>
      </c>
      <c r="AN17" s="12">
        <v>61.76</v>
      </c>
      <c r="AO17" s="12">
        <v>40.46</v>
      </c>
      <c r="AP17" s="13">
        <f t="shared" si="3"/>
        <v>-5.68347</v>
      </c>
      <c r="AQ17" s="15">
        <v>0.003390201360032308</v>
      </c>
      <c r="AR17" s="13">
        <f t="shared" si="4"/>
        <v>0</v>
      </c>
      <c r="AS17" s="13">
        <f t="shared" si="19"/>
        <v>1</v>
      </c>
      <c r="AT17" s="13">
        <f t="shared" si="20"/>
        <v>1</v>
      </c>
      <c r="AU17" s="13">
        <f t="shared" si="21"/>
        <v>0</v>
      </c>
      <c r="AV17" s="13">
        <f t="shared" si="17"/>
        <v>0</v>
      </c>
      <c r="AW17" s="13">
        <f t="shared" si="18"/>
        <v>0</v>
      </c>
      <c r="AX17" s="13"/>
      <c r="AY17" s="13"/>
      <c r="AZ17" s="13"/>
    </row>
    <row r="18">
      <c r="A18" s="8" t="s">
        <v>60</v>
      </c>
      <c r="B18" s="9">
        <v>1718330.6</v>
      </c>
      <c r="C18" s="9">
        <v>502322.26</v>
      </c>
      <c r="D18" s="9">
        <v>256896.9</v>
      </c>
      <c r="E18" s="9">
        <v>1242418.4</v>
      </c>
      <c r="F18" s="9">
        <v>1375391.59</v>
      </c>
      <c r="G18" s="9">
        <v>1250618.13</v>
      </c>
      <c r="H18" s="9">
        <v>167451.94</v>
      </c>
      <c r="I18" s="9">
        <v>124773.46</v>
      </c>
      <c r="J18" s="9">
        <v>92626.04</v>
      </c>
      <c r="K18" s="9">
        <v>128737.87</v>
      </c>
      <c r="L18" s="9">
        <v>168983.77</v>
      </c>
      <c r="M18" s="9">
        <v>205469.92</v>
      </c>
      <c r="N18" s="11">
        <f t="shared" si="1"/>
        <v>0</v>
      </c>
      <c r="O18" s="12">
        <v>0.36</v>
      </c>
      <c r="P18" s="9">
        <v>61611.34</v>
      </c>
      <c r="Q18" s="9">
        <v>-35059.57</v>
      </c>
      <c r="R18" s="9">
        <v>-17692.95</v>
      </c>
      <c r="S18" s="9">
        <v>8858.81</v>
      </c>
      <c r="T18" s="12">
        <v>7.39</v>
      </c>
      <c r="U18" s="12">
        <v>7.53</v>
      </c>
      <c r="V18" s="12">
        <v>17.2</v>
      </c>
      <c r="W18" s="12">
        <v>6.73</v>
      </c>
      <c r="X18" s="12">
        <v>11.81</v>
      </c>
      <c r="Y18" s="12">
        <v>12.11</v>
      </c>
      <c r="Z18" s="12">
        <v>12.77</v>
      </c>
      <c r="AA18" s="12">
        <f t="shared" si="2"/>
        <v>0</v>
      </c>
      <c r="AB18" s="12">
        <v>9.07</v>
      </c>
      <c r="AC18" s="12">
        <v>0.41</v>
      </c>
      <c r="AD18" s="12">
        <v>13.36</v>
      </c>
      <c r="AE18" s="12">
        <v>2.7</v>
      </c>
      <c r="AF18" s="12">
        <v>0.98</v>
      </c>
      <c r="AG18" s="12">
        <v>2.71</v>
      </c>
      <c r="AH18" s="12">
        <v>0.83</v>
      </c>
      <c r="AI18" s="12">
        <v>1.61</v>
      </c>
      <c r="AJ18" s="12">
        <v>226.02</v>
      </c>
      <c r="AK18" s="12">
        <v>4.03</v>
      </c>
      <c r="AL18" s="12">
        <v>90.66</v>
      </c>
      <c r="AM18" s="12">
        <v>11.55</v>
      </c>
      <c r="AN18" s="12">
        <v>31.62</v>
      </c>
      <c r="AO18" s="12">
        <v>285.06</v>
      </c>
      <c r="AP18" s="13">
        <f t="shared" si="3"/>
        <v>-4.28113</v>
      </c>
      <c r="AQ18" s="15">
        <v>0.013638449480278954</v>
      </c>
      <c r="AR18" s="13">
        <f t="shared" si="4"/>
        <v>0</v>
      </c>
      <c r="AS18" s="13">
        <f t="shared" si="19"/>
        <v>1</v>
      </c>
      <c r="AT18" s="13">
        <f t="shared" si="20"/>
        <v>1</v>
      </c>
      <c r="AU18" s="13">
        <f t="shared" si="21"/>
        <v>0</v>
      </c>
      <c r="AV18" s="13">
        <f t="shared" si="17"/>
        <v>0</v>
      </c>
      <c r="AW18" s="13">
        <f t="shared" si="18"/>
        <v>0</v>
      </c>
      <c r="AX18" s="13"/>
      <c r="AY18" s="13"/>
      <c r="AZ18" s="13"/>
    </row>
    <row r="19">
      <c r="A19" s="8" t="s">
        <v>61</v>
      </c>
      <c r="B19" s="9">
        <v>568820.94</v>
      </c>
      <c r="C19" s="9">
        <v>271971.06</v>
      </c>
      <c r="D19" s="9">
        <v>93599.98</v>
      </c>
      <c r="E19" s="9">
        <v>296849.88</v>
      </c>
      <c r="F19" s="9">
        <v>151974.41</v>
      </c>
      <c r="G19" s="9">
        <v>133002.21</v>
      </c>
      <c r="H19" s="9">
        <v>28721.69</v>
      </c>
      <c r="I19" s="9">
        <v>18972.2</v>
      </c>
      <c r="J19" s="9">
        <v>5169.06</v>
      </c>
      <c r="K19" s="9">
        <v>14801.91</v>
      </c>
      <c r="L19" s="9">
        <v>14658.0</v>
      </c>
      <c r="M19" s="9">
        <v>30548.85</v>
      </c>
      <c r="N19" s="11">
        <f t="shared" si="1"/>
        <v>0</v>
      </c>
      <c r="O19" s="12">
        <v>0.03</v>
      </c>
      <c r="P19" s="9">
        <v>-80032.37</v>
      </c>
      <c r="Q19" s="9">
        <v>-9720.02</v>
      </c>
      <c r="R19" s="9">
        <v>-31375.43</v>
      </c>
      <c r="S19" s="9">
        <v>-121127.82</v>
      </c>
      <c r="T19" s="12">
        <v>1.72</v>
      </c>
      <c r="U19" s="12">
        <v>3.25</v>
      </c>
      <c r="V19" s="12">
        <v>32.42</v>
      </c>
      <c r="W19" s="12">
        <v>3.4</v>
      </c>
      <c r="X19" s="12">
        <v>9.88</v>
      </c>
      <c r="Y19" s="12">
        <v>10.06</v>
      </c>
      <c r="Z19" s="12">
        <v>19.14</v>
      </c>
      <c r="AA19" s="12">
        <f t="shared" si="2"/>
        <v>0</v>
      </c>
      <c r="AB19" s="12">
        <v>12.48</v>
      </c>
      <c r="AC19" s="12">
        <v>0.92</v>
      </c>
      <c r="AD19" s="12">
        <v>1.54</v>
      </c>
      <c r="AE19" s="12">
        <v>4.57</v>
      </c>
      <c r="AF19" s="12">
        <v>2.1</v>
      </c>
      <c r="AG19" s="12">
        <v>6.92</v>
      </c>
      <c r="AH19" s="12">
        <v>0.26</v>
      </c>
      <c r="AI19" s="12" t="s">
        <v>47</v>
      </c>
      <c r="AJ19" s="12" t="s">
        <v>46</v>
      </c>
      <c r="AK19" s="12">
        <v>2.06</v>
      </c>
      <c r="AL19" s="12">
        <v>177.18</v>
      </c>
      <c r="AM19" s="12" t="s">
        <v>47</v>
      </c>
      <c r="AN19" s="12" t="s">
        <v>46</v>
      </c>
      <c r="AO19" s="12">
        <v>177.18</v>
      </c>
      <c r="AP19" s="13" t="str">
        <f t="shared" si="3"/>
        <v>#VALUE!</v>
      </c>
      <c r="AQ19" s="15" t="e">
        <v>#VALUE!</v>
      </c>
      <c r="AR19" s="13" t="str">
        <f t="shared" si="4"/>
        <v>#VALUE!</v>
      </c>
      <c r="AS19" s="13"/>
      <c r="AT19" s="13"/>
      <c r="AU19" s="13"/>
      <c r="AV19" s="13"/>
      <c r="AW19" s="13"/>
      <c r="AX19" s="13"/>
      <c r="AY19" s="13"/>
      <c r="AZ19" s="13"/>
    </row>
    <row r="20">
      <c r="A20" s="8" t="s">
        <v>62</v>
      </c>
      <c r="B20" s="9">
        <v>1180676.69</v>
      </c>
      <c r="C20" s="9">
        <v>673841.54</v>
      </c>
      <c r="D20" s="9">
        <v>170577.51</v>
      </c>
      <c r="E20" s="9">
        <v>506835.15</v>
      </c>
      <c r="F20" s="9">
        <v>632454.04</v>
      </c>
      <c r="G20" s="9">
        <v>578314.31</v>
      </c>
      <c r="H20" s="9">
        <v>145519.39</v>
      </c>
      <c r="I20" s="9">
        <v>54139.73</v>
      </c>
      <c r="J20" s="9">
        <v>29174.92</v>
      </c>
      <c r="K20" s="9">
        <v>33118.14</v>
      </c>
      <c r="L20" s="9">
        <v>28750.08</v>
      </c>
      <c r="M20" s="9">
        <v>46820.89</v>
      </c>
      <c r="N20" s="11">
        <f t="shared" si="1"/>
        <v>0</v>
      </c>
      <c r="O20" s="12">
        <v>0.04</v>
      </c>
      <c r="P20" s="9">
        <v>134988.99</v>
      </c>
      <c r="Q20" s="9">
        <v>-8905.48</v>
      </c>
      <c r="R20" s="9">
        <v>-161359.9</v>
      </c>
      <c r="S20" s="9">
        <v>-35276.39</v>
      </c>
      <c r="T20" s="12">
        <v>5.81</v>
      </c>
      <c r="U20" s="12">
        <v>4.74</v>
      </c>
      <c r="V20" s="12">
        <v>17.38</v>
      </c>
      <c r="W20" s="12">
        <v>4.61</v>
      </c>
      <c r="X20" s="12">
        <v>6.68</v>
      </c>
      <c r="Y20" s="12">
        <v>7.34</v>
      </c>
      <c r="Z20" s="12">
        <v>10.2</v>
      </c>
      <c r="AA20" s="12">
        <f t="shared" si="2"/>
        <v>0</v>
      </c>
      <c r="AB20" s="12">
        <v>8.56</v>
      </c>
      <c r="AC20" s="12">
        <v>1.33</v>
      </c>
      <c r="AD20" s="12">
        <v>3.06</v>
      </c>
      <c r="AE20" s="12">
        <v>0.49</v>
      </c>
      <c r="AF20" s="12">
        <v>0.42</v>
      </c>
      <c r="AG20" s="12">
        <v>0.63</v>
      </c>
      <c r="AH20" s="12">
        <v>0.55</v>
      </c>
      <c r="AI20" s="12">
        <v>356.14</v>
      </c>
      <c r="AJ20" s="12">
        <v>1.02</v>
      </c>
      <c r="AK20" s="12">
        <v>7.81</v>
      </c>
      <c r="AL20" s="12">
        <v>46.72</v>
      </c>
      <c r="AM20" s="12">
        <v>11.51</v>
      </c>
      <c r="AN20" s="12">
        <v>31.71</v>
      </c>
      <c r="AO20" s="12">
        <v>16.04</v>
      </c>
      <c r="AP20" s="13">
        <f t="shared" si="3"/>
        <v>-1.93726</v>
      </c>
      <c r="AQ20" s="15">
        <v>0.12594918310011025</v>
      </c>
      <c r="AR20" s="13">
        <f t="shared" si="4"/>
        <v>0</v>
      </c>
      <c r="AS20" s="13">
        <f t="shared" ref="AS20:AS22" si="22">IF(AR20=N20,1,0)</f>
        <v>1</v>
      </c>
      <c r="AT20" s="13">
        <f t="shared" ref="AT20:AT22" si="23">IF(AND(AR20=0,AS20=1),1,0)</f>
        <v>1</v>
      </c>
      <c r="AU20" s="13">
        <f t="shared" ref="AU20:AU22" si="24">IF(AND(AR20=0,AS20=0),1,0)</f>
        <v>0</v>
      </c>
      <c r="AV20" s="13">
        <f t="shared" ref="AV20:AV24" si="25">IFERROR(IFS(AND(AR20=1,AS20=0),1,AS20="",""),0)</f>
        <v>0</v>
      </c>
      <c r="AW20" s="13">
        <f t="shared" ref="AW20:AW34" si="26">IFERROR(IFS(AND(AR20=1,AS20=1),1,AS20="",""),0)</f>
        <v>0</v>
      </c>
      <c r="AX20" s="13"/>
      <c r="AY20" s="13"/>
      <c r="AZ20" s="13"/>
    </row>
    <row r="21">
      <c r="A21" s="8" t="s">
        <v>63</v>
      </c>
      <c r="B21" s="9">
        <v>1250886.78</v>
      </c>
      <c r="C21" s="9">
        <v>323807.97</v>
      </c>
      <c r="D21" s="9">
        <v>81562.36</v>
      </c>
      <c r="E21" s="9">
        <v>926793.64</v>
      </c>
      <c r="F21" s="9">
        <v>954473.49</v>
      </c>
      <c r="G21" s="9">
        <v>799450.82</v>
      </c>
      <c r="H21" s="9">
        <v>308373.82</v>
      </c>
      <c r="I21" s="9">
        <v>155022.66</v>
      </c>
      <c r="J21" s="9">
        <v>118478.23</v>
      </c>
      <c r="K21" s="9">
        <v>4446.27</v>
      </c>
      <c r="L21" s="9">
        <v>55469.53</v>
      </c>
      <c r="M21" s="9">
        <v>237082.95</v>
      </c>
      <c r="N21" s="11">
        <f t="shared" si="1"/>
        <v>0</v>
      </c>
      <c r="O21" s="12">
        <v>0.15</v>
      </c>
      <c r="P21" s="9">
        <v>270578.09</v>
      </c>
      <c r="Q21" s="9">
        <v>-186142.61</v>
      </c>
      <c r="R21" s="9">
        <v>-71034.12</v>
      </c>
      <c r="S21" s="9">
        <v>13401.36</v>
      </c>
      <c r="T21" s="12">
        <v>13.67</v>
      </c>
      <c r="U21" s="12">
        <v>13.01</v>
      </c>
      <c r="V21" s="12">
        <v>63.15</v>
      </c>
      <c r="W21" s="12">
        <v>12.4</v>
      </c>
      <c r="X21" s="12">
        <v>0.7</v>
      </c>
      <c r="Y21" s="12">
        <v>7.16</v>
      </c>
      <c r="Z21" s="12">
        <v>19.67</v>
      </c>
      <c r="AA21" s="12">
        <f t="shared" si="2"/>
        <v>0</v>
      </c>
      <c r="AB21" s="12">
        <v>16.24</v>
      </c>
      <c r="AC21" s="12">
        <v>0.35</v>
      </c>
      <c r="AD21" s="12">
        <v>19.83</v>
      </c>
      <c r="AE21" s="12">
        <v>2.49</v>
      </c>
      <c r="AF21" s="12">
        <v>2.19</v>
      </c>
      <c r="AG21" s="12">
        <v>1.31</v>
      </c>
      <c r="AH21" s="12">
        <v>0.8</v>
      </c>
      <c r="AI21" s="12">
        <v>8.27</v>
      </c>
      <c r="AJ21" s="12">
        <v>44.14</v>
      </c>
      <c r="AK21" s="12">
        <v>45.62</v>
      </c>
      <c r="AL21" s="12">
        <v>8.0</v>
      </c>
      <c r="AM21" s="12">
        <v>4.89</v>
      </c>
      <c r="AN21" s="12">
        <v>74.67</v>
      </c>
      <c r="AO21" s="12">
        <v>-22.52</v>
      </c>
      <c r="AP21" s="13">
        <f t="shared" si="3"/>
        <v>-6.30674</v>
      </c>
      <c r="AQ21" s="15">
        <v>0.001820648890333593</v>
      </c>
      <c r="AR21" s="13">
        <f t="shared" si="4"/>
        <v>0</v>
      </c>
      <c r="AS21" s="13">
        <f t="shared" si="22"/>
        <v>1</v>
      </c>
      <c r="AT21" s="13">
        <f t="shared" si="23"/>
        <v>1</v>
      </c>
      <c r="AU21" s="13">
        <f t="shared" si="24"/>
        <v>0</v>
      </c>
      <c r="AV21" s="13">
        <f t="shared" si="25"/>
        <v>0</v>
      </c>
      <c r="AW21" s="13">
        <f t="shared" si="26"/>
        <v>0</v>
      </c>
      <c r="AX21" s="13"/>
      <c r="AY21" s="13"/>
      <c r="AZ21" s="13"/>
    </row>
    <row r="22">
      <c r="A22" s="8" t="s">
        <v>64</v>
      </c>
      <c r="B22" s="9">
        <v>1806484.29</v>
      </c>
      <c r="C22" s="9">
        <v>1252402.9</v>
      </c>
      <c r="D22" s="9">
        <v>137500.0</v>
      </c>
      <c r="E22" s="9">
        <v>554081.4</v>
      </c>
      <c r="F22" s="9">
        <v>953186.56</v>
      </c>
      <c r="G22" s="9">
        <v>611753.11</v>
      </c>
      <c r="H22" s="9">
        <v>474496.77</v>
      </c>
      <c r="I22" s="9">
        <v>341433.45</v>
      </c>
      <c r="J22" s="9">
        <v>251248.55</v>
      </c>
      <c r="K22" s="9">
        <v>256091.89</v>
      </c>
      <c r="L22" s="9">
        <v>227968.53</v>
      </c>
      <c r="M22" s="9">
        <v>234245.76</v>
      </c>
      <c r="N22" s="11">
        <f t="shared" si="1"/>
        <v>0</v>
      </c>
      <c r="O22" s="12">
        <v>0.46</v>
      </c>
      <c r="P22" s="9">
        <v>299983.31</v>
      </c>
      <c r="Q22" s="9">
        <v>-48148.98</v>
      </c>
      <c r="R22" s="9">
        <v>-320965.14</v>
      </c>
      <c r="S22" s="9">
        <v>-69130.81</v>
      </c>
      <c r="T22" s="12">
        <v>45.96</v>
      </c>
      <c r="U22" s="12">
        <v>18.8</v>
      </c>
      <c r="V22" s="12">
        <v>50.16</v>
      </c>
      <c r="W22" s="12">
        <v>26.36</v>
      </c>
      <c r="X22" s="12">
        <v>28.4</v>
      </c>
      <c r="Y22" s="12">
        <v>26.23</v>
      </c>
      <c r="Z22" s="12">
        <v>28.85</v>
      </c>
      <c r="AA22" s="12">
        <f t="shared" si="2"/>
        <v>0</v>
      </c>
      <c r="AB22" s="12">
        <v>35.82</v>
      </c>
      <c r="AC22" s="12">
        <v>2.26</v>
      </c>
      <c r="AD22" s="12">
        <v>13.93</v>
      </c>
      <c r="AE22" s="12">
        <v>1.66</v>
      </c>
      <c r="AF22" s="12">
        <v>1.65</v>
      </c>
      <c r="AG22" s="12">
        <v>0.87</v>
      </c>
      <c r="AH22" s="12">
        <v>0.52</v>
      </c>
      <c r="AI22" s="12" t="s">
        <v>47</v>
      </c>
      <c r="AJ22" s="12" t="s">
        <v>46</v>
      </c>
      <c r="AK22" s="12">
        <v>8.66</v>
      </c>
      <c r="AL22" s="12">
        <v>42.17</v>
      </c>
      <c r="AM22" s="12">
        <v>1.43</v>
      </c>
      <c r="AN22" s="12">
        <v>254.48</v>
      </c>
      <c r="AO22" s="12">
        <v>-212.31</v>
      </c>
      <c r="AP22" s="13">
        <f t="shared" si="3"/>
        <v>-3.19954</v>
      </c>
      <c r="AQ22" s="15">
        <v>0.03918303708052523</v>
      </c>
      <c r="AR22" s="13">
        <f t="shared" si="4"/>
        <v>0</v>
      </c>
      <c r="AS22" s="13">
        <f t="shared" si="22"/>
        <v>1</v>
      </c>
      <c r="AT22" s="13">
        <f t="shared" si="23"/>
        <v>1</v>
      </c>
      <c r="AU22" s="13">
        <f t="shared" si="24"/>
        <v>0</v>
      </c>
      <c r="AV22" s="13">
        <f t="shared" si="25"/>
        <v>0</v>
      </c>
      <c r="AW22" s="13">
        <f t="shared" si="26"/>
        <v>0</v>
      </c>
      <c r="AX22" s="13"/>
      <c r="AY22" s="13"/>
      <c r="AZ22" s="13"/>
    </row>
    <row r="23">
      <c r="A23" s="8" t="s">
        <v>65</v>
      </c>
      <c r="B23" s="9">
        <v>805853.77</v>
      </c>
      <c r="C23" s="9">
        <v>169691.15</v>
      </c>
      <c r="D23" s="9">
        <v>50000.0</v>
      </c>
      <c r="E23" s="9">
        <v>631518.82</v>
      </c>
      <c r="F23" s="9">
        <v>567527.97</v>
      </c>
      <c r="G23" s="9">
        <v>437165.5</v>
      </c>
      <c r="H23" s="9">
        <v>155785.67</v>
      </c>
      <c r="I23" s="9">
        <v>149903.14</v>
      </c>
      <c r="J23" s="9">
        <v>127089.76</v>
      </c>
      <c r="K23" s="9">
        <v>66494.07</v>
      </c>
      <c r="L23" s="9" t="e">
        <v>#N/A</v>
      </c>
      <c r="M23" s="9" t="e">
        <v>#N/A</v>
      </c>
      <c r="N23" s="11" t="str">
        <f t="shared" si="1"/>
        <v>#N/A</v>
      </c>
      <c r="O23" s="12">
        <v>1.27</v>
      </c>
      <c r="P23" s="9">
        <v>48646.4</v>
      </c>
      <c r="Q23" s="9">
        <v>161339.43</v>
      </c>
      <c r="R23" s="9">
        <v>-35511.54</v>
      </c>
      <c r="S23" s="9">
        <v>174474.29</v>
      </c>
      <c r="T23" s="12">
        <v>21.62</v>
      </c>
      <c r="U23" s="12">
        <v>20.58</v>
      </c>
      <c r="V23" s="12">
        <v>52.78</v>
      </c>
      <c r="W23" s="12">
        <v>23.01</v>
      </c>
      <c r="X23" s="12">
        <v>21.71</v>
      </c>
      <c r="Y23" s="12" t="e">
        <v>#N/A</v>
      </c>
      <c r="Z23" s="12" t="e">
        <v>#N/A</v>
      </c>
      <c r="AA23" s="12" t="str">
        <f t="shared" si="2"/>
        <v>#N/A</v>
      </c>
      <c r="AB23" s="12">
        <v>26.41</v>
      </c>
      <c r="AC23" s="12">
        <v>0.27</v>
      </c>
      <c r="AD23" s="12">
        <v>197.67</v>
      </c>
      <c r="AE23" s="12">
        <v>4.51</v>
      </c>
      <c r="AF23" s="12">
        <v>3.55</v>
      </c>
      <c r="AG23" s="12">
        <v>25.85</v>
      </c>
      <c r="AH23" s="12">
        <v>0.78</v>
      </c>
      <c r="AI23" s="12">
        <v>14.74</v>
      </c>
      <c r="AJ23" s="12">
        <v>24.76</v>
      </c>
      <c r="AK23" s="12">
        <v>7.1</v>
      </c>
      <c r="AL23" s="12">
        <v>51.42</v>
      </c>
      <c r="AM23" s="12">
        <v>2.85</v>
      </c>
      <c r="AN23" s="12">
        <v>127.96</v>
      </c>
      <c r="AO23" s="12">
        <v>-51.77</v>
      </c>
      <c r="AP23" s="13">
        <f t="shared" si="3"/>
        <v>-8.74799</v>
      </c>
      <c r="AQ23" s="15">
        <v>1.5875494555911169E-4</v>
      </c>
      <c r="AR23" s="13">
        <f t="shared" si="4"/>
        <v>0</v>
      </c>
      <c r="AS23" s="13"/>
      <c r="AT23" s="13"/>
      <c r="AU23" s="13"/>
      <c r="AV23" s="13" t="str">
        <f t="shared" si="25"/>
        <v/>
      </c>
      <c r="AW23" s="13" t="str">
        <f t="shared" si="26"/>
        <v/>
      </c>
      <c r="AX23" s="13"/>
      <c r="AY23" s="13"/>
      <c r="AZ23" s="13"/>
    </row>
    <row r="24">
      <c r="A24" s="8" t="s">
        <v>66</v>
      </c>
      <c r="B24" s="9">
        <v>3864057.29</v>
      </c>
      <c r="C24" s="9">
        <v>3399689.95</v>
      </c>
      <c r="D24" s="9">
        <v>569123.18</v>
      </c>
      <c r="E24" s="9">
        <v>746257.99</v>
      </c>
      <c r="F24" s="9">
        <v>258485.21</v>
      </c>
      <c r="G24" s="9">
        <v>402690.62</v>
      </c>
      <c r="H24" s="9">
        <v>179207.64</v>
      </c>
      <c r="I24" s="9">
        <v>112984.78</v>
      </c>
      <c r="J24" s="9">
        <v>-50037.73</v>
      </c>
      <c r="K24" s="9">
        <v>-130536.02</v>
      </c>
      <c r="L24" s="9">
        <v>-167362.83</v>
      </c>
      <c r="M24" s="9">
        <v>-71595.01</v>
      </c>
      <c r="N24" s="11">
        <f t="shared" si="1"/>
        <v>1</v>
      </c>
      <c r="O24" s="12">
        <v>-0.09</v>
      </c>
      <c r="P24" s="9">
        <v>-64664.15</v>
      </c>
      <c r="Q24" s="9">
        <v>745279.91</v>
      </c>
      <c r="R24" s="9">
        <v>-306853.9</v>
      </c>
      <c r="S24" s="9">
        <v>373761.86</v>
      </c>
      <c r="T24" s="12">
        <v>-7.02</v>
      </c>
      <c r="U24" s="12">
        <v>2.87</v>
      </c>
      <c r="V24" s="12">
        <v>61.05</v>
      </c>
      <c r="W24" s="12">
        <v>-19.87</v>
      </c>
      <c r="X24" s="12">
        <v>-173.92</v>
      </c>
      <c r="Y24" s="12">
        <v>-219.73</v>
      </c>
      <c r="Z24" s="12">
        <v>54.97</v>
      </c>
      <c r="AA24" s="12">
        <f t="shared" si="2"/>
        <v>0</v>
      </c>
      <c r="AB24" s="12">
        <v>43.71</v>
      </c>
      <c r="AC24" s="12">
        <v>7.32</v>
      </c>
      <c r="AD24" s="12">
        <v>0.8</v>
      </c>
      <c r="AE24" s="12">
        <v>1.2</v>
      </c>
      <c r="AF24" s="12">
        <v>1.07</v>
      </c>
      <c r="AG24" s="12">
        <v>0.09</v>
      </c>
      <c r="AH24" s="12">
        <v>0.07</v>
      </c>
      <c r="AI24" s="12">
        <v>101.92</v>
      </c>
      <c r="AJ24" s="12">
        <v>3.58</v>
      </c>
      <c r="AK24" s="12">
        <v>18.71</v>
      </c>
      <c r="AL24" s="12">
        <v>19.51</v>
      </c>
      <c r="AM24" s="12">
        <v>0.64</v>
      </c>
      <c r="AN24" s="12">
        <v>574.6</v>
      </c>
      <c r="AO24" s="12">
        <v>-551.51</v>
      </c>
      <c r="AP24" s="13">
        <f t="shared" si="3"/>
        <v>7.81738</v>
      </c>
      <c r="AQ24" s="15">
        <v>0.9995974867708769</v>
      </c>
      <c r="AR24" s="13">
        <f t="shared" si="4"/>
        <v>1</v>
      </c>
      <c r="AS24" s="13">
        <f>IF(AR24=N24,1,0)</f>
        <v>1</v>
      </c>
      <c r="AT24" s="13">
        <f>IF(AND(AR24=0,AS24=1),1,0)</f>
        <v>0</v>
      </c>
      <c r="AU24" s="13">
        <f>IF(AND(AR24=0,AS24=0),1,0)</f>
        <v>0</v>
      </c>
      <c r="AV24" s="13">
        <f t="shared" si="25"/>
        <v>0</v>
      </c>
      <c r="AW24" s="13">
        <f t="shared" si="26"/>
        <v>1</v>
      </c>
      <c r="AX24" s="13"/>
      <c r="AY24" s="13"/>
      <c r="AZ24" s="13"/>
    </row>
    <row r="25">
      <c r="A25" s="8" t="s">
        <v>67</v>
      </c>
      <c r="B25" s="9">
        <v>3889195.1</v>
      </c>
      <c r="C25" s="9">
        <v>1336139.82</v>
      </c>
      <c r="D25" s="9">
        <v>120322.4</v>
      </c>
      <c r="E25" s="9">
        <v>2553055.27</v>
      </c>
      <c r="F25" s="9">
        <v>810978.21</v>
      </c>
      <c r="G25" s="9">
        <v>662022.69</v>
      </c>
      <c r="H25" s="9">
        <v>163309.41</v>
      </c>
      <c r="I25" s="9">
        <v>148955.52</v>
      </c>
      <c r="J25" s="9">
        <v>138623.46</v>
      </c>
      <c r="K25" s="9">
        <v>82139.08</v>
      </c>
      <c r="L25" s="9" t="e">
        <v>#N/A</v>
      </c>
      <c r="M25" s="9" t="e">
        <v>#N/A</v>
      </c>
      <c r="N25" s="11" t="str">
        <f t="shared" si="1"/>
        <v>#N/A</v>
      </c>
      <c r="O25" s="12">
        <v>0.68</v>
      </c>
      <c r="P25" s="9">
        <v>36933.6</v>
      </c>
      <c r="Q25" s="9">
        <v>-151081.27</v>
      </c>
      <c r="R25" s="9">
        <v>-64377.29</v>
      </c>
      <c r="S25" s="9">
        <v>-178524.96</v>
      </c>
      <c r="T25" s="12">
        <v>8.74</v>
      </c>
      <c r="U25" s="12">
        <v>6.41</v>
      </c>
      <c r="V25" s="12">
        <v>38.56</v>
      </c>
      <c r="W25" s="12">
        <v>17.09</v>
      </c>
      <c r="X25" s="12">
        <v>21.67</v>
      </c>
      <c r="Y25" s="12" t="e">
        <v>#N/A</v>
      </c>
      <c r="Z25" s="12" t="e">
        <v>#N/A</v>
      </c>
      <c r="AA25" s="12" t="str">
        <f t="shared" si="2"/>
        <v>#N/A</v>
      </c>
      <c r="AB25" s="12">
        <v>18.37</v>
      </c>
      <c r="AC25" s="12">
        <v>0.52</v>
      </c>
      <c r="AD25" s="12">
        <v>33.82</v>
      </c>
      <c r="AE25" s="12">
        <v>1.66</v>
      </c>
      <c r="AF25" s="12">
        <v>0.59</v>
      </c>
      <c r="AG25" s="12">
        <v>9.04</v>
      </c>
      <c r="AH25" s="12">
        <v>0.35</v>
      </c>
      <c r="AI25" s="12">
        <v>52.01</v>
      </c>
      <c r="AJ25" s="12">
        <v>7.02</v>
      </c>
      <c r="AK25" s="12">
        <v>3.68</v>
      </c>
      <c r="AL25" s="12">
        <v>99.26</v>
      </c>
      <c r="AM25" s="12">
        <v>2.57</v>
      </c>
      <c r="AN25" s="12">
        <v>142.09</v>
      </c>
      <c r="AO25" s="12">
        <v>-35.81</v>
      </c>
      <c r="AP25" s="13">
        <f t="shared" si="3"/>
        <v>-2.51049</v>
      </c>
      <c r="AQ25" s="15">
        <v>0.07512605614870485</v>
      </c>
      <c r="AR25" s="13">
        <f t="shared" si="4"/>
        <v>0</v>
      </c>
      <c r="AS25" s="13"/>
      <c r="AT25" s="13"/>
      <c r="AU25" s="13"/>
      <c r="AV25" s="13"/>
      <c r="AW25" s="13" t="str">
        <f t="shared" si="26"/>
        <v/>
      </c>
      <c r="AX25" s="13"/>
      <c r="AY25" s="13"/>
      <c r="AZ25" s="13"/>
    </row>
    <row r="26">
      <c r="A26" s="8" t="s">
        <v>68</v>
      </c>
      <c r="B26" s="9">
        <v>825342.47</v>
      </c>
      <c r="C26" s="9">
        <v>439565.45</v>
      </c>
      <c r="D26" s="9">
        <v>181759.95</v>
      </c>
      <c r="E26" s="9">
        <v>385777.02</v>
      </c>
      <c r="F26" s="9">
        <v>524303.7</v>
      </c>
      <c r="G26" s="9">
        <v>513325.91</v>
      </c>
      <c r="H26" s="9">
        <v>84277.98</v>
      </c>
      <c r="I26" s="9">
        <v>10977.79</v>
      </c>
      <c r="J26" s="9">
        <v>-11573.13</v>
      </c>
      <c r="K26" s="9">
        <v>-17367.62</v>
      </c>
      <c r="L26" s="9">
        <v>-35805.0</v>
      </c>
      <c r="M26" s="9">
        <v>-42029.0</v>
      </c>
      <c r="N26" s="11">
        <f t="shared" si="1"/>
        <v>1</v>
      </c>
      <c r="O26" s="12">
        <v>-0.03</v>
      </c>
      <c r="P26" s="9">
        <v>96718.74</v>
      </c>
      <c r="Q26" s="9">
        <v>-10635.4</v>
      </c>
      <c r="R26" s="9">
        <v>-89399.97</v>
      </c>
      <c r="S26" s="9">
        <v>-3316.63</v>
      </c>
      <c r="T26" s="12">
        <v>-2.96</v>
      </c>
      <c r="U26" s="12">
        <v>1.19</v>
      </c>
      <c r="V26" s="12">
        <v>57.37</v>
      </c>
      <c r="W26" s="12">
        <v>-2.21</v>
      </c>
      <c r="X26" s="12">
        <v>-4.92</v>
      </c>
      <c r="Y26" s="12">
        <v>-8.53</v>
      </c>
      <c r="Z26" s="12">
        <v>-7.17</v>
      </c>
      <c r="AA26" s="12">
        <f t="shared" si="2"/>
        <v>1</v>
      </c>
      <c r="AB26" s="12">
        <v>2.09</v>
      </c>
      <c r="AC26" s="12">
        <v>1.14</v>
      </c>
      <c r="AD26" s="12">
        <v>0.54</v>
      </c>
      <c r="AE26" s="12">
        <v>3.37</v>
      </c>
      <c r="AF26" s="12">
        <v>1.2</v>
      </c>
      <c r="AG26" s="12">
        <v>0.94</v>
      </c>
      <c r="AH26" s="12">
        <v>0.57</v>
      </c>
      <c r="AI26" s="12">
        <v>1.19</v>
      </c>
      <c r="AJ26" s="12">
        <v>306.51</v>
      </c>
      <c r="AK26" s="12">
        <v>20.02</v>
      </c>
      <c r="AL26" s="12">
        <v>18.23</v>
      </c>
      <c r="AM26" s="12">
        <v>9.6</v>
      </c>
      <c r="AN26" s="12">
        <v>38.04</v>
      </c>
      <c r="AO26" s="12">
        <v>286.71</v>
      </c>
      <c r="AP26" s="13">
        <f t="shared" si="3"/>
        <v>-2.21892</v>
      </c>
      <c r="AQ26" s="15">
        <v>0.09806428633706886</v>
      </c>
      <c r="AR26" s="13">
        <f t="shared" si="4"/>
        <v>0</v>
      </c>
      <c r="AS26" s="13">
        <f>IF(AR26=N26,1,0)</f>
        <v>0</v>
      </c>
      <c r="AT26" s="13">
        <f>IF(AND(AR26=0,AS26=1),1,0)</f>
        <v>0</v>
      </c>
      <c r="AU26" s="13">
        <f>IF(AND(AR26=0,AS26=0),1,0)</f>
        <v>1</v>
      </c>
      <c r="AV26" s="13">
        <f t="shared" ref="AV26:AV34" si="27">IFERROR(IFS(AND(AR26=1,AS26=0),1,AS26="",""),0)</f>
        <v>0</v>
      </c>
      <c r="AW26" s="13">
        <f t="shared" si="26"/>
        <v>0</v>
      </c>
      <c r="AX26" s="13"/>
      <c r="AY26" s="13"/>
      <c r="AZ26" s="13"/>
    </row>
    <row r="27">
      <c r="A27" s="8" t="s">
        <v>69</v>
      </c>
      <c r="B27" s="9">
        <v>1085140.0</v>
      </c>
      <c r="C27" s="9">
        <v>316591.0</v>
      </c>
      <c r="D27" s="9">
        <v>157000.0</v>
      </c>
      <c r="E27" s="9">
        <v>760997.0</v>
      </c>
      <c r="F27" s="9">
        <v>2219680.0</v>
      </c>
      <c r="G27" s="9">
        <v>2137647.0</v>
      </c>
      <c r="H27" s="9">
        <v>97751.0</v>
      </c>
      <c r="I27" s="9">
        <v>82033.0</v>
      </c>
      <c r="J27" s="9">
        <v>55915.0</v>
      </c>
      <c r="K27" s="9" t="e">
        <v>#N/A</v>
      </c>
      <c r="L27" s="9" t="e">
        <v>#N/A</v>
      </c>
      <c r="M27" s="9" t="e">
        <v>#N/A</v>
      </c>
      <c r="N27" s="11" t="str">
        <f t="shared" si="1"/>
        <v>#N/A</v>
      </c>
      <c r="O27" s="12">
        <v>0.2</v>
      </c>
      <c r="P27" s="9">
        <v>-32740.0</v>
      </c>
      <c r="Q27" s="9">
        <v>-142583.0</v>
      </c>
      <c r="R27" s="9">
        <v>125300.0</v>
      </c>
      <c r="S27" s="9">
        <v>-50023.0</v>
      </c>
      <c r="T27" s="12">
        <v>10.89</v>
      </c>
      <c r="U27" s="12">
        <v>8.19</v>
      </c>
      <c r="V27" s="12">
        <v>14.44</v>
      </c>
      <c r="W27" s="12">
        <v>2.69</v>
      </c>
      <c r="X27" s="12" t="e">
        <v>#N/A</v>
      </c>
      <c r="Y27" s="12" t="e">
        <v>#N/A</v>
      </c>
      <c r="Z27" s="12" t="e">
        <v>#N/A</v>
      </c>
      <c r="AA27" s="12" t="str">
        <f t="shared" si="2"/>
        <v>#N/A</v>
      </c>
      <c r="AB27" s="12">
        <v>3.7</v>
      </c>
      <c r="AC27" s="12">
        <v>0.41</v>
      </c>
      <c r="AD27" s="12">
        <v>13.09</v>
      </c>
      <c r="AE27" s="12">
        <v>2.79</v>
      </c>
      <c r="AF27" s="12">
        <v>1.79</v>
      </c>
      <c r="AG27" s="12">
        <v>17.98</v>
      </c>
      <c r="AH27" s="12">
        <v>2.21</v>
      </c>
      <c r="AI27" s="12">
        <v>7.43</v>
      </c>
      <c r="AJ27" s="12">
        <v>49.14</v>
      </c>
      <c r="AK27" s="12">
        <v>5.46</v>
      </c>
      <c r="AL27" s="12">
        <v>66.87</v>
      </c>
      <c r="AM27" s="12">
        <v>6.47</v>
      </c>
      <c r="AN27" s="12">
        <v>56.4</v>
      </c>
      <c r="AO27" s="12">
        <v>59.62</v>
      </c>
      <c r="AP27" s="13">
        <f t="shared" si="3"/>
        <v>-5.18303</v>
      </c>
      <c r="AQ27" s="15">
        <v>0.005579671939864449</v>
      </c>
      <c r="AR27" s="13">
        <f t="shared" si="4"/>
        <v>0</v>
      </c>
      <c r="AS27" s="13"/>
      <c r="AT27" s="13"/>
      <c r="AU27" s="13"/>
      <c r="AV27" s="13" t="str">
        <f t="shared" si="27"/>
        <v/>
      </c>
      <c r="AW27" s="13" t="str">
        <f t="shared" si="26"/>
        <v/>
      </c>
      <c r="AX27" s="13"/>
      <c r="AY27" s="13"/>
      <c r="AZ27" s="13"/>
    </row>
    <row r="28">
      <c r="A28" s="8" t="s">
        <v>70</v>
      </c>
      <c r="B28" s="9">
        <v>2149104.82</v>
      </c>
      <c r="C28" s="9">
        <v>992942.43</v>
      </c>
      <c r="D28" s="9">
        <v>400000.0</v>
      </c>
      <c r="E28" s="9">
        <v>1156162.39</v>
      </c>
      <c r="F28" s="9">
        <v>662913.79</v>
      </c>
      <c r="G28" s="9">
        <v>609145.9</v>
      </c>
      <c r="H28" s="9">
        <v>57458.36</v>
      </c>
      <c r="I28" s="9">
        <v>53767.89</v>
      </c>
      <c r="J28" s="9">
        <v>42395.75</v>
      </c>
      <c r="K28" s="9" t="e">
        <v>#N/A</v>
      </c>
      <c r="L28" s="9" t="e">
        <v>#N/A</v>
      </c>
      <c r="M28" s="9" t="e">
        <v>#N/A</v>
      </c>
      <c r="N28" s="11" t="str">
        <f t="shared" si="1"/>
        <v>#N/A</v>
      </c>
      <c r="O28" s="12">
        <v>0.06</v>
      </c>
      <c r="P28" s="9">
        <v>71966.23</v>
      </c>
      <c r="Q28" s="9">
        <v>12893.26</v>
      </c>
      <c r="R28" s="9">
        <v>-95691.96</v>
      </c>
      <c r="S28" s="9">
        <v>-10832.47</v>
      </c>
      <c r="T28" s="12">
        <v>4.16</v>
      </c>
      <c r="U28" s="12">
        <v>2.47</v>
      </c>
      <c r="V28" s="12">
        <v>29.86</v>
      </c>
      <c r="W28" s="12">
        <v>6.4</v>
      </c>
      <c r="X28" s="12" t="e">
        <v>#N/A</v>
      </c>
      <c r="Y28" s="12" t="e">
        <v>#N/A</v>
      </c>
      <c r="Z28" s="12" t="e">
        <v>#N/A</v>
      </c>
      <c r="AA28" s="12" t="str">
        <f t="shared" si="2"/>
        <v>#N/A</v>
      </c>
      <c r="AB28" s="12">
        <v>8.11</v>
      </c>
      <c r="AC28" s="12">
        <v>0.86</v>
      </c>
      <c r="AD28" s="12">
        <v>18.03</v>
      </c>
      <c r="AE28" s="12">
        <v>2.2</v>
      </c>
      <c r="AF28" s="12">
        <v>0.09</v>
      </c>
      <c r="AG28" s="12">
        <v>13.72</v>
      </c>
      <c r="AH28" s="12">
        <v>0.3</v>
      </c>
      <c r="AI28" s="12">
        <v>0.3</v>
      </c>
      <c r="AJ28" s="9">
        <v>1202.07</v>
      </c>
      <c r="AK28" s="12">
        <v>76.53</v>
      </c>
      <c r="AL28" s="12">
        <v>4.77</v>
      </c>
      <c r="AM28" s="12">
        <v>3.79</v>
      </c>
      <c r="AN28" s="12">
        <v>96.29</v>
      </c>
      <c r="AO28" s="9">
        <v>1110.55</v>
      </c>
      <c r="AP28" s="13">
        <f t="shared" si="3"/>
        <v>-1.32431</v>
      </c>
      <c r="AQ28" s="15">
        <v>0.2101021155273264</v>
      </c>
      <c r="AR28" s="13">
        <f t="shared" si="4"/>
        <v>0</v>
      </c>
      <c r="AS28" s="13"/>
      <c r="AT28" s="13"/>
      <c r="AU28" s="13"/>
      <c r="AV28" s="13" t="str">
        <f t="shared" si="27"/>
        <v/>
      </c>
      <c r="AW28" s="13" t="str">
        <f t="shared" si="26"/>
        <v/>
      </c>
      <c r="AX28" s="13"/>
      <c r="AY28" s="13"/>
      <c r="AZ28" s="13"/>
    </row>
    <row r="29">
      <c r="A29" s="8" t="s">
        <v>71</v>
      </c>
      <c r="B29" s="9">
        <v>1424880.63</v>
      </c>
      <c r="C29" s="9">
        <v>556926.33</v>
      </c>
      <c r="D29" s="9">
        <v>259229.38</v>
      </c>
      <c r="E29" s="9">
        <v>867604.48</v>
      </c>
      <c r="F29" s="9">
        <v>1305219.94</v>
      </c>
      <c r="G29" s="9">
        <v>1223201.34</v>
      </c>
      <c r="H29" s="9">
        <v>125520.49</v>
      </c>
      <c r="I29" s="9">
        <v>71723.4</v>
      </c>
      <c r="J29" s="9">
        <v>55054.81</v>
      </c>
      <c r="K29" s="9">
        <v>74010.59</v>
      </c>
      <c r="L29" s="9">
        <v>56168.62</v>
      </c>
      <c r="M29" s="9" t="e">
        <v>#N/A</v>
      </c>
      <c r="N29" s="11" t="str">
        <f t="shared" si="1"/>
        <v>#N/A</v>
      </c>
      <c r="O29" s="12">
        <v>0.12</v>
      </c>
      <c r="P29" s="9">
        <v>160928.6</v>
      </c>
      <c r="Q29" s="9">
        <v>-122812.56</v>
      </c>
      <c r="R29" s="9">
        <v>-28160.69</v>
      </c>
      <c r="S29" s="9">
        <v>9955.35</v>
      </c>
      <c r="T29" s="12">
        <v>6.67</v>
      </c>
      <c r="U29" s="12">
        <v>5.18</v>
      </c>
      <c r="V29" s="12">
        <v>15.09</v>
      </c>
      <c r="W29" s="12">
        <v>4.22</v>
      </c>
      <c r="X29" s="12">
        <v>6.52</v>
      </c>
      <c r="Y29" s="12">
        <v>5.62</v>
      </c>
      <c r="Z29" s="12" t="e">
        <v>#N/A</v>
      </c>
      <c r="AA29" s="12" t="str">
        <f t="shared" si="2"/>
        <v>#N/A</v>
      </c>
      <c r="AB29" s="12">
        <v>5.5</v>
      </c>
      <c r="AC29" s="12">
        <v>0.64</v>
      </c>
      <c r="AD29" s="12">
        <v>9.23</v>
      </c>
      <c r="AE29" s="12">
        <v>1.38</v>
      </c>
      <c r="AF29" s="12">
        <v>0.68</v>
      </c>
      <c r="AG29" s="12">
        <v>1.6</v>
      </c>
      <c r="AH29" s="12">
        <v>0.94</v>
      </c>
      <c r="AI29" s="12">
        <v>5.29</v>
      </c>
      <c r="AJ29" s="12">
        <v>69.06</v>
      </c>
      <c r="AK29" s="12">
        <v>6.1</v>
      </c>
      <c r="AL29" s="12">
        <v>59.84</v>
      </c>
      <c r="AM29" s="12">
        <v>5.09</v>
      </c>
      <c r="AN29" s="12">
        <v>71.75</v>
      </c>
      <c r="AO29" s="12">
        <v>57.15</v>
      </c>
      <c r="AP29" s="13">
        <f t="shared" si="3"/>
        <v>-3.02761</v>
      </c>
      <c r="AQ29" s="15">
        <v>0.04619401660834559</v>
      </c>
      <c r="AR29" s="13">
        <f t="shared" si="4"/>
        <v>0</v>
      </c>
      <c r="AS29" s="13"/>
      <c r="AT29" s="13"/>
      <c r="AU29" s="13"/>
      <c r="AV29" s="13" t="str">
        <f t="shared" si="27"/>
        <v/>
      </c>
      <c r="AW29" s="13" t="str">
        <f t="shared" si="26"/>
        <v/>
      </c>
      <c r="AX29" s="13"/>
      <c r="AY29" s="13"/>
      <c r="AZ29" s="13"/>
    </row>
    <row r="30">
      <c r="A30" s="8" t="s">
        <v>72</v>
      </c>
      <c r="B30" s="9">
        <v>1208167.06</v>
      </c>
      <c r="C30" s="9">
        <v>326238.88</v>
      </c>
      <c r="D30" s="9">
        <v>82050.55</v>
      </c>
      <c r="E30" s="9">
        <v>881928.18</v>
      </c>
      <c r="F30" s="9">
        <v>699168.38</v>
      </c>
      <c r="G30" s="9">
        <v>381137.17</v>
      </c>
      <c r="H30" s="9">
        <v>344583.53</v>
      </c>
      <c r="I30" s="9">
        <v>315871.09</v>
      </c>
      <c r="J30" s="9">
        <v>270693.41</v>
      </c>
      <c r="K30" s="9">
        <v>233210.66</v>
      </c>
      <c r="L30" s="9">
        <v>178496.94</v>
      </c>
      <c r="M30" s="9">
        <v>143911.63</v>
      </c>
      <c r="N30" s="11">
        <f t="shared" si="1"/>
        <v>0</v>
      </c>
      <c r="O30" s="12">
        <v>0.33</v>
      </c>
      <c r="P30" s="9">
        <v>272789.09</v>
      </c>
      <c r="Q30" s="9">
        <v>103353.15</v>
      </c>
      <c r="R30" s="9">
        <v>-230243.46</v>
      </c>
      <c r="S30" s="9">
        <v>145898.78</v>
      </c>
      <c r="T30" s="12">
        <v>33.01</v>
      </c>
      <c r="U30" s="12">
        <v>28.03</v>
      </c>
      <c r="V30" s="12">
        <v>67.05</v>
      </c>
      <c r="W30" s="12">
        <v>38.72</v>
      </c>
      <c r="X30" s="12">
        <v>35.85</v>
      </c>
      <c r="Y30" s="12">
        <v>28.5</v>
      </c>
      <c r="Z30" s="12">
        <v>26.74</v>
      </c>
      <c r="AA30" s="12">
        <f t="shared" si="2"/>
        <v>0</v>
      </c>
      <c r="AB30" s="12">
        <v>45.18</v>
      </c>
      <c r="AC30" s="12">
        <v>0.37</v>
      </c>
      <c r="AD30" s="12">
        <v>184.55</v>
      </c>
      <c r="AE30" s="12">
        <v>2.46</v>
      </c>
      <c r="AF30" s="12">
        <v>1.69</v>
      </c>
      <c r="AG30" s="12">
        <v>13.22</v>
      </c>
      <c r="AH30" s="12">
        <v>0.62</v>
      </c>
      <c r="AI30" s="12" t="s">
        <v>47</v>
      </c>
      <c r="AJ30" s="12" t="s">
        <v>46</v>
      </c>
      <c r="AK30" s="12">
        <v>6.26</v>
      </c>
      <c r="AL30" s="12">
        <v>58.28</v>
      </c>
      <c r="AM30" s="12">
        <v>1.42</v>
      </c>
      <c r="AN30" s="12">
        <v>256.44</v>
      </c>
      <c r="AO30" s="12">
        <v>-198.16</v>
      </c>
      <c r="AP30" s="13">
        <f t="shared" si="3"/>
        <v>-7.60755</v>
      </c>
      <c r="AQ30" s="15">
        <v>4.964406770247105E-4</v>
      </c>
      <c r="AR30" s="13">
        <f t="shared" si="4"/>
        <v>0</v>
      </c>
      <c r="AS30" s="13">
        <f t="shared" ref="AS30:AS34" si="28">IF(AR30=N30,1,0)</f>
        <v>1</v>
      </c>
      <c r="AT30" s="13">
        <f t="shared" ref="AT30:AT34" si="29">IF(AND(AR30=0,AS30=1),1,0)</f>
        <v>1</v>
      </c>
      <c r="AU30" s="13">
        <f t="shared" ref="AU30:AU34" si="30">IF(AND(AR30=0,AS30=0),1,0)</f>
        <v>0</v>
      </c>
      <c r="AV30" s="13">
        <f t="shared" si="27"/>
        <v>0</v>
      </c>
      <c r="AW30" s="13">
        <f t="shared" si="26"/>
        <v>0</v>
      </c>
      <c r="AX30" s="13"/>
      <c r="AY30" s="13"/>
      <c r="AZ30" s="13"/>
    </row>
    <row r="31">
      <c r="A31" s="8" t="s">
        <v>73</v>
      </c>
      <c r="B31" s="9">
        <v>3117268.56</v>
      </c>
      <c r="C31" s="9">
        <v>442129.02</v>
      </c>
      <c r="D31" s="9">
        <v>1164401.07</v>
      </c>
      <c r="E31" s="9">
        <v>2612283.68</v>
      </c>
      <c r="F31" s="9">
        <v>311891.07</v>
      </c>
      <c r="G31" s="9">
        <v>670968.98</v>
      </c>
      <c r="H31" s="9">
        <v>-476966.35</v>
      </c>
      <c r="I31" s="9">
        <v>-497999.97</v>
      </c>
      <c r="J31" s="9">
        <v>-521286.14</v>
      </c>
      <c r="K31" s="9">
        <v>346776.84</v>
      </c>
      <c r="L31" s="9">
        <v>63223.0</v>
      </c>
      <c r="M31" s="9">
        <v>736478.72</v>
      </c>
      <c r="N31" s="11">
        <f t="shared" si="1"/>
        <v>0</v>
      </c>
      <c r="O31" s="12">
        <v>-0.06</v>
      </c>
      <c r="P31" s="9">
        <v>36284.26</v>
      </c>
      <c r="Q31" s="9">
        <v>9058.63</v>
      </c>
      <c r="R31" s="9">
        <v>-219452.07</v>
      </c>
      <c r="S31" s="9">
        <v>-174109.17</v>
      </c>
      <c r="T31" s="12">
        <v>-18.0</v>
      </c>
      <c r="U31" s="12">
        <v>-14.19</v>
      </c>
      <c r="V31" s="12">
        <v>55.88</v>
      </c>
      <c r="W31" s="12">
        <v>-167.17</v>
      </c>
      <c r="X31" s="12">
        <v>48.2</v>
      </c>
      <c r="Y31" s="12">
        <v>50.86</v>
      </c>
      <c r="Z31" s="12">
        <v>65.46</v>
      </c>
      <c r="AA31" s="12">
        <f t="shared" si="2"/>
        <v>0</v>
      </c>
      <c r="AB31" s="12">
        <v>-159.67</v>
      </c>
      <c r="AC31" s="12">
        <v>0.17</v>
      </c>
      <c r="AD31" s="12">
        <v>-46.03</v>
      </c>
      <c r="AE31" s="12">
        <v>5.76</v>
      </c>
      <c r="AF31" s="12">
        <v>0.79</v>
      </c>
      <c r="AG31" s="12">
        <v>5.13</v>
      </c>
      <c r="AH31" s="12">
        <v>0.09</v>
      </c>
      <c r="AI31" s="12">
        <v>0.12</v>
      </c>
      <c r="AJ31" s="9">
        <v>3100.28</v>
      </c>
      <c r="AK31" s="12">
        <v>0.75</v>
      </c>
      <c r="AL31" s="12">
        <v>485.76</v>
      </c>
      <c r="AM31" s="12">
        <v>154.09</v>
      </c>
      <c r="AN31" s="12">
        <v>2.37</v>
      </c>
      <c r="AO31" s="9">
        <v>3583.67</v>
      </c>
      <c r="AP31" s="13">
        <f t="shared" si="3"/>
        <v>-6.73058</v>
      </c>
      <c r="AQ31" s="15">
        <v>0.0011924167746713995</v>
      </c>
      <c r="AR31" s="13">
        <f t="shared" si="4"/>
        <v>0</v>
      </c>
      <c r="AS31" s="13">
        <f t="shared" si="28"/>
        <v>1</v>
      </c>
      <c r="AT31" s="13">
        <f t="shared" si="29"/>
        <v>1</v>
      </c>
      <c r="AU31" s="13">
        <f t="shared" si="30"/>
        <v>0</v>
      </c>
      <c r="AV31" s="13">
        <f t="shared" si="27"/>
        <v>0</v>
      </c>
      <c r="AW31" s="13">
        <f t="shared" si="26"/>
        <v>0</v>
      </c>
      <c r="AX31" s="13"/>
      <c r="AY31" s="13"/>
      <c r="AZ31" s="13"/>
    </row>
    <row r="32">
      <c r="A32" s="8" t="s">
        <v>74</v>
      </c>
      <c r="B32" s="9">
        <v>1338045.12</v>
      </c>
      <c r="C32" s="9">
        <v>889233.35</v>
      </c>
      <c r="D32" s="9">
        <v>213050.62</v>
      </c>
      <c r="E32" s="9">
        <v>448811.77</v>
      </c>
      <c r="F32" s="9">
        <v>740682.38</v>
      </c>
      <c r="G32" s="9">
        <v>742054.82</v>
      </c>
      <c r="H32" s="9">
        <v>36896.96</v>
      </c>
      <c r="I32" s="12">
        <v>878.92</v>
      </c>
      <c r="J32" s="9">
        <v>-31172.54</v>
      </c>
      <c r="K32" s="9">
        <v>-83748.62</v>
      </c>
      <c r="L32" s="9">
        <v>-88051.03</v>
      </c>
      <c r="M32" s="9">
        <v>24928.84</v>
      </c>
      <c r="N32" s="11">
        <f t="shared" si="1"/>
        <v>0</v>
      </c>
      <c r="O32" s="12">
        <v>-0.02</v>
      </c>
      <c r="P32" s="9">
        <v>260011.98</v>
      </c>
      <c r="Q32" s="9">
        <v>-17618.05</v>
      </c>
      <c r="R32" s="9">
        <v>-247834.67</v>
      </c>
      <c r="S32" s="9">
        <v>-5440.74</v>
      </c>
      <c r="T32" s="12">
        <v>-6.71</v>
      </c>
      <c r="U32" s="12">
        <v>0.06</v>
      </c>
      <c r="V32" s="12">
        <v>20.62</v>
      </c>
      <c r="W32" s="12">
        <v>-4.21</v>
      </c>
      <c r="X32" s="12">
        <v>-13.68</v>
      </c>
      <c r="Y32" s="12">
        <v>-11.97</v>
      </c>
      <c r="Z32" s="12">
        <v>2.92</v>
      </c>
      <c r="AA32" s="12">
        <f t="shared" si="2"/>
        <v>0</v>
      </c>
      <c r="AB32" s="12">
        <v>0.12</v>
      </c>
      <c r="AC32" s="12">
        <v>1.98</v>
      </c>
      <c r="AD32" s="12">
        <v>0.03</v>
      </c>
      <c r="AE32" s="12">
        <v>1.22</v>
      </c>
      <c r="AF32" s="12">
        <v>0.16</v>
      </c>
      <c r="AG32" s="12">
        <v>2.78</v>
      </c>
      <c r="AH32" s="12">
        <v>0.51</v>
      </c>
      <c r="AI32" s="12">
        <v>0.97</v>
      </c>
      <c r="AJ32" s="12">
        <v>374.78</v>
      </c>
      <c r="AK32" s="12">
        <v>9.87</v>
      </c>
      <c r="AL32" s="12">
        <v>36.98</v>
      </c>
      <c r="AM32" s="12">
        <v>4.39</v>
      </c>
      <c r="AN32" s="12">
        <v>83.14</v>
      </c>
      <c r="AO32" s="12">
        <v>328.63</v>
      </c>
      <c r="AP32" s="13">
        <f t="shared" si="3"/>
        <v>0.22748</v>
      </c>
      <c r="AQ32" s="15">
        <v>0.5566260240579756</v>
      </c>
      <c r="AR32" s="13">
        <f t="shared" si="4"/>
        <v>1</v>
      </c>
      <c r="AS32" s="13">
        <f t="shared" si="28"/>
        <v>0</v>
      </c>
      <c r="AT32" s="13">
        <f t="shared" si="29"/>
        <v>0</v>
      </c>
      <c r="AU32" s="13">
        <f t="shared" si="30"/>
        <v>0</v>
      </c>
      <c r="AV32" s="13">
        <f t="shared" si="27"/>
        <v>1</v>
      </c>
      <c r="AW32" s="13">
        <f t="shared" si="26"/>
        <v>0</v>
      </c>
      <c r="AX32" s="13"/>
      <c r="AY32" s="13"/>
      <c r="AZ32" s="13"/>
    </row>
    <row r="33">
      <c r="A33" s="8" t="s">
        <v>75</v>
      </c>
      <c r="B33" s="9">
        <v>1902869.92</v>
      </c>
      <c r="C33" s="9">
        <v>858176.15</v>
      </c>
      <c r="D33" s="9">
        <v>378000.0</v>
      </c>
      <c r="E33" s="9">
        <v>1044262.33</v>
      </c>
      <c r="F33" s="9">
        <v>2259809.54</v>
      </c>
      <c r="G33" s="9">
        <v>2204196.03</v>
      </c>
      <c r="H33" s="9">
        <v>137638.72</v>
      </c>
      <c r="I33" s="9">
        <v>55613.51</v>
      </c>
      <c r="J33" s="9">
        <v>34491.0</v>
      </c>
      <c r="K33" s="9">
        <v>-142467.37</v>
      </c>
      <c r="L33" s="9">
        <v>42795.88</v>
      </c>
      <c r="M33" s="9">
        <v>-197720.4</v>
      </c>
      <c r="N33" s="11">
        <f t="shared" si="1"/>
        <v>0</v>
      </c>
      <c r="O33" s="12">
        <v>0.05</v>
      </c>
      <c r="P33" s="12">
        <v>-70.97</v>
      </c>
      <c r="Q33" s="9">
        <v>-20774.47</v>
      </c>
      <c r="R33" s="9">
        <v>66648.4</v>
      </c>
      <c r="S33" s="9">
        <v>45802.97</v>
      </c>
      <c r="T33" s="12">
        <v>3.37</v>
      </c>
      <c r="U33" s="12">
        <v>3.13</v>
      </c>
      <c r="V33" s="12">
        <v>6.96</v>
      </c>
      <c r="W33" s="12">
        <v>1.53</v>
      </c>
      <c r="X33" s="12">
        <v>-11.26</v>
      </c>
      <c r="Y33" s="12">
        <v>2.91</v>
      </c>
      <c r="Z33" s="12">
        <v>-13.8</v>
      </c>
      <c r="AA33" s="12">
        <f t="shared" si="2"/>
        <v>0</v>
      </c>
      <c r="AB33" s="12">
        <v>2.46</v>
      </c>
      <c r="AC33" s="12">
        <v>0.82</v>
      </c>
      <c r="AD33" s="12">
        <v>3.26</v>
      </c>
      <c r="AE33" s="12">
        <v>1.58</v>
      </c>
      <c r="AF33" s="12">
        <v>0.54</v>
      </c>
      <c r="AG33" s="12">
        <v>3.83</v>
      </c>
      <c r="AH33" s="12">
        <v>1.27</v>
      </c>
      <c r="AI33" s="12">
        <v>9.29</v>
      </c>
      <c r="AJ33" s="12">
        <v>39.28</v>
      </c>
      <c r="AK33" s="12">
        <v>8.18</v>
      </c>
      <c r="AL33" s="12">
        <v>44.64</v>
      </c>
      <c r="AM33" s="12">
        <v>9.78</v>
      </c>
      <c r="AN33" s="12">
        <v>37.33</v>
      </c>
      <c r="AO33" s="12">
        <v>46.59</v>
      </c>
      <c r="AP33" s="13">
        <f t="shared" si="3"/>
        <v>-2.43371</v>
      </c>
      <c r="AQ33" s="15">
        <v>0.08063799620327952</v>
      </c>
      <c r="AR33" s="13">
        <f t="shared" si="4"/>
        <v>0</v>
      </c>
      <c r="AS33" s="13">
        <f t="shared" si="28"/>
        <v>1</v>
      </c>
      <c r="AT33" s="13">
        <f t="shared" si="29"/>
        <v>1</v>
      </c>
      <c r="AU33" s="13">
        <f t="shared" si="30"/>
        <v>0</v>
      </c>
      <c r="AV33" s="13">
        <f t="shared" si="27"/>
        <v>0</v>
      </c>
      <c r="AW33" s="13">
        <f t="shared" si="26"/>
        <v>0</v>
      </c>
      <c r="AX33" s="13"/>
      <c r="AY33" s="13"/>
      <c r="AZ33" s="13"/>
    </row>
    <row r="34">
      <c r="A34" s="8" t="s">
        <v>76</v>
      </c>
      <c r="B34" s="9">
        <v>2091359.75</v>
      </c>
      <c r="C34" s="9">
        <v>1270040.88</v>
      </c>
      <c r="D34" s="9">
        <v>146999.88</v>
      </c>
      <c r="E34" s="9">
        <v>810258.2</v>
      </c>
      <c r="F34" s="9">
        <v>3137811.22</v>
      </c>
      <c r="G34" s="9">
        <v>2867273.77</v>
      </c>
      <c r="H34" s="9">
        <v>345683.59</v>
      </c>
      <c r="I34" s="9">
        <v>270537.45</v>
      </c>
      <c r="J34" s="9">
        <v>201379.53</v>
      </c>
      <c r="K34" s="9">
        <v>136513.35</v>
      </c>
      <c r="L34" s="9">
        <v>61505.45</v>
      </c>
      <c r="M34" s="9">
        <v>75461.4</v>
      </c>
      <c r="N34" s="11">
        <f t="shared" si="1"/>
        <v>0</v>
      </c>
      <c r="O34" s="12">
        <v>0.68</v>
      </c>
      <c r="P34" s="9">
        <v>239614.9</v>
      </c>
      <c r="Q34" s="9">
        <v>-48291.25</v>
      </c>
      <c r="R34" s="9">
        <v>-337363.03</v>
      </c>
      <c r="S34" s="9">
        <v>-146039.39</v>
      </c>
      <c r="T34" s="12">
        <v>27.5</v>
      </c>
      <c r="U34" s="12">
        <v>13.31</v>
      </c>
      <c r="V34" s="12">
        <v>11.65</v>
      </c>
      <c r="W34" s="12">
        <v>6.53</v>
      </c>
      <c r="X34" s="12">
        <v>6.28</v>
      </c>
      <c r="Y34" s="12">
        <v>2.86</v>
      </c>
      <c r="Z34" s="12">
        <v>3.68</v>
      </c>
      <c r="AA34" s="12">
        <f t="shared" si="2"/>
        <v>0</v>
      </c>
      <c r="AB34" s="12">
        <v>8.62</v>
      </c>
      <c r="AC34" s="12">
        <v>1.55</v>
      </c>
      <c r="AD34" s="12">
        <v>18.04</v>
      </c>
      <c r="AE34" s="12">
        <v>1.03</v>
      </c>
      <c r="AF34" s="12">
        <v>0.47</v>
      </c>
      <c r="AG34" s="12">
        <v>5.73</v>
      </c>
      <c r="AH34" s="12">
        <v>1.54</v>
      </c>
      <c r="AI34" s="12">
        <v>63.1</v>
      </c>
      <c r="AJ34" s="12">
        <v>5.78</v>
      </c>
      <c r="AK34" s="12">
        <v>8.08</v>
      </c>
      <c r="AL34" s="12">
        <v>45.2</v>
      </c>
      <c r="AM34" s="12">
        <v>7.41</v>
      </c>
      <c r="AN34" s="12">
        <v>49.23</v>
      </c>
      <c r="AO34" s="12">
        <v>1.76</v>
      </c>
      <c r="AP34" s="13">
        <f t="shared" si="3"/>
        <v>-3.68322</v>
      </c>
      <c r="AQ34" s="15">
        <v>0.024525275753627482</v>
      </c>
      <c r="AR34" s="13">
        <f t="shared" si="4"/>
        <v>0</v>
      </c>
      <c r="AS34" s="13">
        <f t="shared" si="28"/>
        <v>1</v>
      </c>
      <c r="AT34" s="13">
        <f t="shared" si="29"/>
        <v>1</v>
      </c>
      <c r="AU34" s="13">
        <f t="shared" si="30"/>
        <v>0</v>
      </c>
      <c r="AV34" s="13">
        <f t="shared" si="27"/>
        <v>0</v>
      </c>
      <c r="AW34" s="13">
        <f t="shared" si="26"/>
        <v>0</v>
      </c>
      <c r="AX34" s="13"/>
      <c r="AY34" s="13"/>
      <c r="AZ34" s="13"/>
    </row>
    <row r="35">
      <c r="A35" s="8" t="s">
        <v>77</v>
      </c>
      <c r="B35" s="9">
        <v>635468.59</v>
      </c>
      <c r="C35" s="9">
        <v>115044.22</v>
      </c>
      <c r="D35" s="9">
        <v>135000.0</v>
      </c>
      <c r="E35" s="9">
        <v>520424.38</v>
      </c>
      <c r="F35" s="9">
        <v>365709.7</v>
      </c>
      <c r="G35" s="9">
        <v>297822.22</v>
      </c>
      <c r="H35" s="9">
        <v>84379.72</v>
      </c>
      <c r="I35" s="9">
        <v>67887.48</v>
      </c>
      <c r="J35" s="9">
        <v>52021.57</v>
      </c>
      <c r="K35" s="9" t="e">
        <v>#N/A</v>
      </c>
      <c r="L35" s="9" t="e">
        <v>#N/A</v>
      </c>
      <c r="M35" s="9" t="e">
        <v>#N/A</v>
      </c>
      <c r="N35" s="11" t="str">
        <f t="shared" si="1"/>
        <v>#N/A</v>
      </c>
      <c r="O35" s="12">
        <v>0.21</v>
      </c>
      <c r="P35" s="9">
        <v>89326.79</v>
      </c>
      <c r="Q35" s="9">
        <v>-196129.19</v>
      </c>
      <c r="R35" s="9">
        <v>130442.23</v>
      </c>
      <c r="S35" s="9">
        <v>23639.83</v>
      </c>
      <c r="T35" s="12">
        <v>12.55</v>
      </c>
      <c r="U35" s="12">
        <v>12.69</v>
      </c>
      <c r="V35" s="12">
        <v>30.07</v>
      </c>
      <c r="W35" s="12">
        <v>14.22</v>
      </c>
      <c r="X35" s="12" t="e">
        <v>#N/A</v>
      </c>
      <c r="Y35" s="12" t="e">
        <v>#N/A</v>
      </c>
      <c r="Z35" s="12" t="e">
        <v>#N/A</v>
      </c>
      <c r="AA35" s="12" t="str">
        <f t="shared" si="2"/>
        <v>#N/A</v>
      </c>
      <c r="AB35" s="12">
        <v>18.56</v>
      </c>
      <c r="AC35" s="12">
        <v>0.22</v>
      </c>
      <c r="AD35" s="12">
        <v>22.62</v>
      </c>
      <c r="AE35" s="12">
        <v>5.07</v>
      </c>
      <c r="AF35" s="12">
        <v>4.99</v>
      </c>
      <c r="AG35" s="12">
        <v>1.31</v>
      </c>
      <c r="AH35" s="12">
        <v>0.68</v>
      </c>
      <c r="AI35" s="12">
        <v>488.25</v>
      </c>
      <c r="AJ35" s="12">
        <v>0.75</v>
      </c>
      <c r="AK35" s="12">
        <v>3.38</v>
      </c>
      <c r="AL35" s="12">
        <v>108.08</v>
      </c>
      <c r="AM35" s="12">
        <v>8.55</v>
      </c>
      <c r="AN35" s="12">
        <v>42.71</v>
      </c>
      <c r="AO35" s="12">
        <v>66.12</v>
      </c>
      <c r="AP35" s="13">
        <f t="shared" si="3"/>
        <v>-8.83489</v>
      </c>
      <c r="AQ35" s="15">
        <v>1.4554349896248798E-4</v>
      </c>
      <c r="AR35" s="13">
        <f t="shared" si="4"/>
        <v>0</v>
      </c>
      <c r="AS35" s="13"/>
      <c r="AT35" s="13"/>
      <c r="AU35" s="13"/>
      <c r="AV35" s="13"/>
      <c r="AW35" s="13"/>
      <c r="AX35" s="13"/>
      <c r="AY35" s="13"/>
      <c r="AZ35" s="13"/>
    </row>
    <row r="36">
      <c r="A36" s="8" t="s">
        <v>78</v>
      </c>
      <c r="B36" s="9">
        <v>6312415.76</v>
      </c>
      <c r="C36" s="9">
        <v>4321549.25</v>
      </c>
      <c r="D36" s="9">
        <v>1275027.88</v>
      </c>
      <c r="E36" s="9">
        <v>1990866.5</v>
      </c>
      <c r="F36" s="9">
        <v>2148122.39</v>
      </c>
      <c r="G36" s="9">
        <v>1913032.07</v>
      </c>
      <c r="H36" s="9">
        <v>246874.31</v>
      </c>
      <c r="I36" s="9">
        <v>233527.32</v>
      </c>
      <c r="J36" s="9">
        <v>115426.2</v>
      </c>
      <c r="K36" s="9">
        <v>70133.67</v>
      </c>
      <c r="L36" s="9">
        <v>120438.98</v>
      </c>
      <c r="M36" s="9">
        <v>-55064.5</v>
      </c>
      <c r="N36" s="11">
        <f t="shared" si="1"/>
        <v>0</v>
      </c>
      <c r="O36" s="12">
        <v>0.09</v>
      </c>
      <c r="P36" s="9">
        <v>349915.72</v>
      </c>
      <c r="Q36" s="9">
        <v>-51499.31</v>
      </c>
      <c r="R36" s="9">
        <v>-705271.05</v>
      </c>
      <c r="S36" s="9">
        <v>-406854.64</v>
      </c>
      <c r="T36" s="12">
        <v>5.93</v>
      </c>
      <c r="U36" s="12">
        <v>3.57</v>
      </c>
      <c r="V36" s="12">
        <v>29.53</v>
      </c>
      <c r="W36" s="12">
        <v>5.37</v>
      </c>
      <c r="X36" s="12">
        <v>3.28</v>
      </c>
      <c r="Y36" s="12">
        <v>7.33</v>
      </c>
      <c r="Z36" s="12">
        <v>-4.77</v>
      </c>
      <c r="AA36" s="12">
        <f t="shared" si="2"/>
        <v>0</v>
      </c>
      <c r="AB36" s="12">
        <v>10.87</v>
      </c>
      <c r="AC36" s="12">
        <v>2.17</v>
      </c>
      <c r="AD36" s="12">
        <v>2.76</v>
      </c>
      <c r="AE36" s="12">
        <v>1.89</v>
      </c>
      <c r="AF36" s="12">
        <v>0.05</v>
      </c>
      <c r="AG36" s="12">
        <v>77.3</v>
      </c>
      <c r="AH36" s="12">
        <v>0.33</v>
      </c>
      <c r="AI36" s="12">
        <v>0.27</v>
      </c>
      <c r="AJ36" s="9">
        <v>1353.44</v>
      </c>
      <c r="AK36" s="12">
        <v>48.59</v>
      </c>
      <c r="AL36" s="12">
        <v>7.51</v>
      </c>
      <c r="AM36" s="12">
        <v>4.08</v>
      </c>
      <c r="AN36" s="12">
        <v>89.44</v>
      </c>
      <c r="AO36" s="9">
        <v>1271.51</v>
      </c>
      <c r="AP36" s="13">
        <f t="shared" si="3"/>
        <v>0.14109</v>
      </c>
      <c r="AQ36" s="15">
        <v>0.535214103903261</v>
      </c>
      <c r="AR36" s="13">
        <f t="shared" si="4"/>
        <v>1</v>
      </c>
      <c r="AS36" s="13">
        <f>IF(AR36=N36,1,0)</f>
        <v>0</v>
      </c>
      <c r="AT36" s="13">
        <f>IF(AND(AR36=0,AS36=1),1,0)</f>
        <v>0</v>
      </c>
      <c r="AU36" s="13">
        <f>IF(AND(AR36=0,AS36=0),1,0)</f>
        <v>0</v>
      </c>
      <c r="AV36" s="13">
        <f t="shared" ref="AV36:AV45" si="31">IFERROR(IFS(AND(AR36=1,AS36=0),1,AS36="",""),0)</f>
        <v>1</v>
      </c>
      <c r="AW36" s="13">
        <f t="shared" ref="AW36:AW45" si="32">IFERROR(IFS(AND(AR36=1,AS36=1),1,AS36="",""),0)</f>
        <v>0</v>
      </c>
      <c r="AX36" s="13"/>
      <c r="AY36" s="13"/>
      <c r="AZ36" s="13"/>
    </row>
    <row r="37">
      <c r="A37" s="8" t="s">
        <v>79</v>
      </c>
      <c r="B37" s="9">
        <v>1703415.96</v>
      </c>
      <c r="C37" s="9">
        <v>869493.35</v>
      </c>
      <c r="D37" s="9">
        <v>680000.0</v>
      </c>
      <c r="E37" s="9">
        <v>833922.61</v>
      </c>
      <c r="F37" s="9">
        <v>770495.07</v>
      </c>
      <c r="G37" s="9">
        <v>716236.29</v>
      </c>
      <c r="H37" s="9">
        <v>151271.42</v>
      </c>
      <c r="I37" s="9">
        <v>54258.79</v>
      </c>
      <c r="J37" s="9">
        <v>16581.75</v>
      </c>
      <c r="K37" s="9" t="e">
        <v>#N/A</v>
      </c>
      <c r="L37" s="9" t="e">
        <v>#N/A</v>
      </c>
      <c r="M37" s="9" t="e">
        <v>#N/A</v>
      </c>
      <c r="N37" s="11" t="str">
        <f t="shared" si="1"/>
        <v>#N/A</v>
      </c>
      <c r="O37" s="12">
        <v>0.01</v>
      </c>
      <c r="P37" s="9">
        <v>116698.07</v>
      </c>
      <c r="Q37" s="9">
        <v>-38171.23</v>
      </c>
      <c r="R37" s="9">
        <v>-25957.52</v>
      </c>
      <c r="S37" s="9">
        <v>52569.32</v>
      </c>
      <c r="T37" s="12">
        <v>2.31</v>
      </c>
      <c r="U37" s="12">
        <v>3.07</v>
      </c>
      <c r="V37" s="12">
        <v>49.06</v>
      </c>
      <c r="W37" s="12">
        <v>2.15</v>
      </c>
      <c r="X37" s="12" t="e">
        <v>#N/A</v>
      </c>
      <c r="Y37" s="12" t="e">
        <v>#N/A</v>
      </c>
      <c r="Z37" s="12" t="e">
        <v>#N/A</v>
      </c>
      <c r="AA37" s="12" t="str">
        <f t="shared" si="2"/>
        <v>#N/A</v>
      </c>
      <c r="AB37" s="12">
        <v>7.04</v>
      </c>
      <c r="AC37" s="12">
        <v>1.04</v>
      </c>
      <c r="AD37" s="12">
        <v>1.64</v>
      </c>
      <c r="AE37" s="12">
        <v>1.2</v>
      </c>
      <c r="AF37" s="12">
        <v>0.85</v>
      </c>
      <c r="AG37" s="12">
        <v>0.59</v>
      </c>
      <c r="AH37" s="12">
        <v>0.44</v>
      </c>
      <c r="AI37" s="12">
        <v>3.35</v>
      </c>
      <c r="AJ37" s="12">
        <v>108.82</v>
      </c>
      <c r="AK37" s="12">
        <v>5.41</v>
      </c>
      <c r="AL37" s="12">
        <v>67.41</v>
      </c>
      <c r="AM37" s="12">
        <v>2.34</v>
      </c>
      <c r="AN37" s="12">
        <v>156.3</v>
      </c>
      <c r="AO37" s="12">
        <v>19.93</v>
      </c>
      <c r="AP37" s="13">
        <f t="shared" si="3"/>
        <v>-1.756</v>
      </c>
      <c r="AQ37" s="15">
        <v>0.14729201966894773</v>
      </c>
      <c r="AR37" s="13">
        <f t="shared" si="4"/>
        <v>0</v>
      </c>
      <c r="AS37" s="13"/>
      <c r="AT37" s="13"/>
      <c r="AU37" s="13"/>
      <c r="AV37" s="13" t="str">
        <f t="shared" si="31"/>
        <v/>
      </c>
      <c r="AW37" s="13" t="str">
        <f t="shared" si="32"/>
        <v/>
      </c>
      <c r="AX37" s="13"/>
      <c r="AY37" s="13"/>
      <c r="AZ37" s="13"/>
    </row>
    <row r="38">
      <c r="A38" s="8" t="s">
        <v>80</v>
      </c>
      <c r="B38" s="9">
        <v>3052252.0</v>
      </c>
      <c r="C38" s="9">
        <v>2182391.0</v>
      </c>
      <c r="D38" s="9">
        <v>671153.0</v>
      </c>
      <c r="E38" s="9">
        <v>869860.0</v>
      </c>
      <c r="F38" s="9">
        <v>527533.0</v>
      </c>
      <c r="G38" s="9">
        <v>953887.0</v>
      </c>
      <c r="H38" s="9">
        <v>-368689.0</v>
      </c>
      <c r="I38" s="9">
        <v>-434166.0</v>
      </c>
      <c r="J38" s="9">
        <v>-642775.0</v>
      </c>
      <c r="K38" s="9">
        <v>-475317.0</v>
      </c>
      <c r="L38" s="9">
        <v>-238742.0</v>
      </c>
      <c r="M38" s="9">
        <v>65858.0</v>
      </c>
      <c r="N38" s="11">
        <f t="shared" si="1"/>
        <v>0</v>
      </c>
      <c r="O38" s="12">
        <v>-0.28</v>
      </c>
      <c r="P38" s="9">
        <v>181690.0</v>
      </c>
      <c r="Q38" s="9">
        <v>-224511.0</v>
      </c>
      <c r="R38" s="9">
        <v>47240.0</v>
      </c>
      <c r="S38" s="9">
        <v>4419.0</v>
      </c>
      <c r="T38" s="12">
        <v>-73.42</v>
      </c>
      <c r="U38" s="12">
        <v>-13.84</v>
      </c>
      <c r="V38" s="12">
        <v>-52.09</v>
      </c>
      <c r="W38" s="12">
        <v>-121.85</v>
      </c>
      <c r="X38" s="12">
        <v>-107.86</v>
      </c>
      <c r="Y38" s="12">
        <v>-36.85</v>
      </c>
      <c r="Z38" s="12">
        <v>4.09</v>
      </c>
      <c r="AA38" s="12">
        <f t="shared" si="2"/>
        <v>0</v>
      </c>
      <c r="AB38" s="12">
        <v>-82.3</v>
      </c>
      <c r="AC38" s="12">
        <v>2.51</v>
      </c>
      <c r="AD38" s="12">
        <v>-1.97</v>
      </c>
      <c r="AE38" s="12">
        <v>0.64</v>
      </c>
      <c r="AF38" s="12">
        <v>0.13</v>
      </c>
      <c r="AG38" s="12">
        <v>0.72</v>
      </c>
      <c r="AH38" s="12">
        <v>0.17</v>
      </c>
      <c r="AI38" s="12">
        <v>1.05</v>
      </c>
      <c r="AJ38" s="12">
        <v>347.13</v>
      </c>
      <c r="AK38" s="12">
        <v>2.53</v>
      </c>
      <c r="AL38" s="12">
        <v>144.28</v>
      </c>
      <c r="AM38" s="12">
        <v>2.21</v>
      </c>
      <c r="AN38" s="12">
        <v>164.89</v>
      </c>
      <c r="AO38" s="12">
        <v>326.52</v>
      </c>
      <c r="AP38" s="13">
        <f t="shared" si="3"/>
        <v>-0.25962</v>
      </c>
      <c r="AQ38" s="15">
        <v>0.4354571229071964</v>
      </c>
      <c r="AR38" s="13">
        <f t="shared" si="4"/>
        <v>0</v>
      </c>
      <c r="AS38" s="13">
        <f t="shared" ref="AS38:AS43" si="33">IF(AR38=N38,1,0)</f>
        <v>1</v>
      </c>
      <c r="AT38" s="13">
        <f t="shared" ref="AT38:AT43" si="34">IF(AND(AR38=0,AS38=1),1,0)</f>
        <v>1</v>
      </c>
      <c r="AU38" s="13">
        <f t="shared" ref="AU38:AU43" si="35">IF(AND(AR38=0,AS38=0),1,0)</f>
        <v>0</v>
      </c>
      <c r="AV38" s="13">
        <f t="shared" si="31"/>
        <v>0</v>
      </c>
      <c r="AW38" s="13">
        <f t="shared" si="32"/>
        <v>0</v>
      </c>
      <c r="AX38" s="13"/>
      <c r="AY38" s="13"/>
      <c r="AZ38" s="13"/>
    </row>
    <row r="39">
      <c r="A39" s="8" t="s">
        <v>81</v>
      </c>
      <c r="B39" s="9">
        <v>4702974.16</v>
      </c>
      <c r="C39" s="9">
        <v>2766896.27</v>
      </c>
      <c r="D39" s="9">
        <v>800000.0</v>
      </c>
      <c r="E39" s="9">
        <v>1694296.19</v>
      </c>
      <c r="F39" s="9">
        <v>2753972.18</v>
      </c>
      <c r="G39" s="9">
        <v>1478569.79</v>
      </c>
      <c r="H39" s="9">
        <v>1479377.33</v>
      </c>
      <c r="I39" s="9">
        <v>1336037.44</v>
      </c>
      <c r="J39" s="9">
        <v>1020854.76</v>
      </c>
      <c r="K39" s="9">
        <v>-104957.11</v>
      </c>
      <c r="L39" s="9">
        <v>-269724.73</v>
      </c>
      <c r="M39" s="9">
        <v>-198257.74</v>
      </c>
      <c r="N39" s="11">
        <f t="shared" si="1"/>
        <v>0</v>
      </c>
      <c r="O39" s="12">
        <v>1.28</v>
      </c>
      <c r="P39" s="9">
        <v>-431593.59</v>
      </c>
      <c r="Q39" s="9">
        <v>1878899.26</v>
      </c>
      <c r="R39" s="9">
        <v>-1426221.35</v>
      </c>
      <c r="S39" s="9">
        <v>21084.32</v>
      </c>
      <c r="T39" s="12">
        <v>84.69</v>
      </c>
      <c r="U39" s="12">
        <v>18.3</v>
      </c>
      <c r="V39" s="12">
        <v>12.7</v>
      </c>
      <c r="W39" s="12">
        <v>42.33</v>
      </c>
      <c r="X39" s="12">
        <v>-35.79</v>
      </c>
      <c r="Y39" s="12">
        <v>-52.88</v>
      </c>
      <c r="Z39" s="12">
        <v>-14.37</v>
      </c>
      <c r="AA39" s="12">
        <f t="shared" si="2"/>
        <v>0</v>
      </c>
      <c r="AB39" s="12">
        <v>48.51</v>
      </c>
      <c r="AC39" s="12">
        <v>1.43</v>
      </c>
      <c r="AD39" s="12">
        <v>13.08</v>
      </c>
      <c r="AE39" s="12">
        <v>0.94</v>
      </c>
      <c r="AF39" s="12">
        <v>0.17</v>
      </c>
      <c r="AG39" s="12">
        <v>1.35</v>
      </c>
      <c r="AH39" s="12">
        <v>0.38</v>
      </c>
      <c r="AI39" s="12">
        <v>12.13</v>
      </c>
      <c r="AJ39" s="12">
        <v>30.09</v>
      </c>
      <c r="AK39" s="12">
        <v>3.29</v>
      </c>
      <c r="AL39" s="12">
        <v>111.03</v>
      </c>
      <c r="AM39" s="12">
        <v>4.0</v>
      </c>
      <c r="AN39" s="12">
        <v>91.27</v>
      </c>
      <c r="AO39" s="12">
        <v>49.86</v>
      </c>
      <c r="AP39" s="13">
        <f t="shared" si="3"/>
        <v>-3.07732</v>
      </c>
      <c r="AQ39" s="15">
        <v>0.04405253751178917</v>
      </c>
      <c r="AR39" s="13">
        <f t="shared" si="4"/>
        <v>0</v>
      </c>
      <c r="AS39" s="13">
        <f t="shared" si="33"/>
        <v>1</v>
      </c>
      <c r="AT39" s="13">
        <f t="shared" si="34"/>
        <v>1</v>
      </c>
      <c r="AU39" s="13">
        <f t="shared" si="35"/>
        <v>0</v>
      </c>
      <c r="AV39" s="13">
        <f t="shared" si="31"/>
        <v>0</v>
      </c>
      <c r="AW39" s="13">
        <f t="shared" si="32"/>
        <v>0</v>
      </c>
      <c r="AX39" s="13"/>
      <c r="AY39" s="13"/>
      <c r="AZ39" s="13"/>
    </row>
    <row r="40">
      <c r="A40" s="8" t="s">
        <v>82</v>
      </c>
      <c r="B40" s="9">
        <v>778526.45</v>
      </c>
      <c r="C40" s="9">
        <v>667701.21</v>
      </c>
      <c r="D40" s="9">
        <v>432394.34</v>
      </c>
      <c r="E40" s="9">
        <v>112319.41</v>
      </c>
      <c r="F40" s="9">
        <v>1033144.73</v>
      </c>
      <c r="G40" s="9">
        <v>1113660.49</v>
      </c>
      <c r="H40" s="9">
        <v>-32617.28</v>
      </c>
      <c r="I40" s="9">
        <v>-80956.65</v>
      </c>
      <c r="J40" s="9">
        <v>-122535.42</v>
      </c>
      <c r="K40" s="9">
        <v>-141936.02</v>
      </c>
      <c r="L40" s="9">
        <v>-129950.52</v>
      </c>
      <c r="M40" s="9">
        <v>-198572.98</v>
      </c>
      <c r="N40" s="11">
        <f t="shared" si="1"/>
        <v>1</v>
      </c>
      <c r="O40" s="12">
        <v>-0.14</v>
      </c>
      <c r="P40" s="9">
        <v>-45979.9</v>
      </c>
      <c r="Q40" s="9">
        <v>-5648.18</v>
      </c>
      <c r="R40" s="9">
        <v>76021.15</v>
      </c>
      <c r="S40" s="9">
        <v>24393.07</v>
      </c>
      <c r="T40" s="12">
        <v>-70.59</v>
      </c>
      <c r="U40" s="12">
        <v>-9.86</v>
      </c>
      <c r="V40" s="12">
        <v>13.76</v>
      </c>
      <c r="W40" s="12">
        <v>-12.06</v>
      </c>
      <c r="X40" s="12">
        <v>-12.83</v>
      </c>
      <c r="Y40" s="12">
        <v>-13.3</v>
      </c>
      <c r="Z40" s="12">
        <v>-12.76</v>
      </c>
      <c r="AA40" s="12">
        <f t="shared" si="2"/>
        <v>1</v>
      </c>
      <c r="AB40" s="12">
        <v>-7.84</v>
      </c>
      <c r="AC40" s="12">
        <v>6.02</v>
      </c>
      <c r="AD40" s="12">
        <v>-2.32</v>
      </c>
      <c r="AE40" s="12">
        <v>0.63</v>
      </c>
      <c r="AF40" s="12">
        <v>0.38</v>
      </c>
      <c r="AG40" s="12">
        <v>3.25</v>
      </c>
      <c r="AH40" s="12">
        <v>1.26</v>
      </c>
      <c r="AI40" s="12">
        <v>6.9</v>
      </c>
      <c r="AJ40" s="12">
        <v>52.88</v>
      </c>
      <c r="AK40" s="12">
        <v>5.44</v>
      </c>
      <c r="AL40" s="12">
        <v>67.14</v>
      </c>
      <c r="AM40" s="12">
        <v>3.64</v>
      </c>
      <c r="AN40" s="12">
        <v>100.18</v>
      </c>
      <c r="AO40" s="12">
        <v>19.84</v>
      </c>
      <c r="AP40" s="13">
        <f t="shared" si="3"/>
        <v>7.82484</v>
      </c>
      <c r="AQ40" s="15">
        <v>0.9996004771519099</v>
      </c>
      <c r="AR40" s="13">
        <f t="shared" si="4"/>
        <v>1</v>
      </c>
      <c r="AS40" s="13">
        <f t="shared" si="33"/>
        <v>1</v>
      </c>
      <c r="AT40" s="13">
        <f t="shared" si="34"/>
        <v>0</v>
      </c>
      <c r="AU40" s="13">
        <f t="shared" si="35"/>
        <v>0</v>
      </c>
      <c r="AV40" s="13">
        <f t="shared" si="31"/>
        <v>0</v>
      </c>
      <c r="AW40" s="13">
        <f t="shared" si="32"/>
        <v>1</v>
      </c>
      <c r="AX40" s="13"/>
      <c r="AY40" s="13"/>
      <c r="AZ40" s="13"/>
    </row>
    <row r="41">
      <c r="A41" s="8" t="s">
        <v>83</v>
      </c>
      <c r="B41" s="9">
        <v>1216792.11</v>
      </c>
      <c r="C41" s="9">
        <v>694607.63</v>
      </c>
      <c r="D41" s="9">
        <v>280962.73</v>
      </c>
      <c r="E41" s="9">
        <v>504560.72</v>
      </c>
      <c r="F41" s="9">
        <v>1194951.03</v>
      </c>
      <c r="G41" s="9">
        <v>1198870.29</v>
      </c>
      <c r="H41" s="9">
        <v>53267.38</v>
      </c>
      <c r="I41" s="9">
        <v>-3919.26</v>
      </c>
      <c r="J41" s="9">
        <v>-31392.73</v>
      </c>
      <c r="K41" s="9">
        <v>-120513.04</v>
      </c>
      <c r="L41" s="9">
        <v>-129983.09</v>
      </c>
      <c r="M41" s="9">
        <v>98612.73</v>
      </c>
      <c r="N41" s="11">
        <f t="shared" si="1"/>
        <v>0</v>
      </c>
      <c r="O41" s="12">
        <v>-0.12</v>
      </c>
      <c r="P41" s="9">
        <v>-67851.23</v>
      </c>
      <c r="Q41" s="9">
        <v>-4882.96</v>
      </c>
      <c r="R41" s="9">
        <v>102864.15</v>
      </c>
      <c r="S41" s="9">
        <v>30129.97</v>
      </c>
      <c r="T41" s="12">
        <v>-7.1</v>
      </c>
      <c r="U41" s="12">
        <v>-0.35</v>
      </c>
      <c r="V41" s="12">
        <v>18.32</v>
      </c>
      <c r="W41" s="12">
        <v>-2.23</v>
      </c>
      <c r="X41" s="12">
        <v>-23.69</v>
      </c>
      <c r="Y41" s="12">
        <v>-18.31</v>
      </c>
      <c r="Z41" s="12">
        <v>8.01</v>
      </c>
      <c r="AA41" s="12">
        <f t="shared" si="2"/>
        <v>0</v>
      </c>
      <c r="AB41" s="12">
        <v>-0.33</v>
      </c>
      <c r="AC41" s="12">
        <v>1.33</v>
      </c>
      <c r="AD41" s="12">
        <v>-0.19</v>
      </c>
      <c r="AE41" s="12">
        <v>0.87</v>
      </c>
      <c r="AF41" s="12">
        <v>0.52</v>
      </c>
      <c r="AG41" s="12">
        <v>1.91</v>
      </c>
      <c r="AH41" s="12">
        <v>1.07</v>
      </c>
      <c r="AI41" s="12">
        <v>24.19</v>
      </c>
      <c r="AJ41" s="12">
        <v>15.09</v>
      </c>
      <c r="AK41" s="12">
        <v>6.32</v>
      </c>
      <c r="AL41" s="12">
        <v>57.71</v>
      </c>
      <c r="AM41" s="12">
        <v>6.19</v>
      </c>
      <c r="AN41" s="12">
        <v>58.93</v>
      </c>
      <c r="AO41" s="12">
        <v>13.86</v>
      </c>
      <c r="AP41" s="13">
        <f t="shared" si="3"/>
        <v>-0.89326</v>
      </c>
      <c r="AQ41" s="15">
        <v>0.2904375362871027</v>
      </c>
      <c r="AR41" s="13">
        <f t="shared" si="4"/>
        <v>0</v>
      </c>
      <c r="AS41" s="13">
        <f t="shared" si="33"/>
        <v>1</v>
      </c>
      <c r="AT41" s="13">
        <f t="shared" si="34"/>
        <v>1</v>
      </c>
      <c r="AU41" s="13">
        <f t="shared" si="35"/>
        <v>0</v>
      </c>
      <c r="AV41" s="13">
        <f t="shared" si="31"/>
        <v>0</v>
      </c>
      <c r="AW41" s="13">
        <f t="shared" si="32"/>
        <v>0</v>
      </c>
      <c r="AX41" s="13"/>
      <c r="AY41" s="13"/>
      <c r="AZ41" s="13"/>
    </row>
    <row r="42">
      <c r="A42" s="8" t="s">
        <v>84</v>
      </c>
      <c r="B42" s="9">
        <v>1414473.17</v>
      </c>
      <c r="C42" s="9">
        <v>583086.78</v>
      </c>
      <c r="D42" s="9">
        <v>588964.62</v>
      </c>
      <c r="E42" s="9">
        <v>830703.87</v>
      </c>
      <c r="F42" s="9">
        <v>1256220.35</v>
      </c>
      <c r="G42" s="9">
        <v>1183996.46</v>
      </c>
      <c r="H42" s="9">
        <v>146038.99</v>
      </c>
      <c r="I42" s="9">
        <v>72223.88</v>
      </c>
      <c r="J42" s="9">
        <v>59525.93</v>
      </c>
      <c r="K42" s="9">
        <v>57387.71</v>
      </c>
      <c r="L42" s="9">
        <v>55632.76</v>
      </c>
      <c r="M42" s="9">
        <v>27940.57</v>
      </c>
      <c r="N42" s="11">
        <f t="shared" si="1"/>
        <v>0</v>
      </c>
      <c r="O42" s="12">
        <v>0.1</v>
      </c>
      <c r="P42" s="9">
        <v>132984.92</v>
      </c>
      <c r="Q42" s="9">
        <v>-123887.19</v>
      </c>
      <c r="R42" s="9">
        <v>1314.09</v>
      </c>
      <c r="S42" s="9">
        <v>10411.82</v>
      </c>
      <c r="T42" s="12">
        <v>7.3</v>
      </c>
      <c r="U42" s="12">
        <v>5.17</v>
      </c>
      <c r="V42" s="12">
        <v>19.0</v>
      </c>
      <c r="W42" s="12">
        <v>4.7</v>
      </c>
      <c r="X42" s="12">
        <v>4.84</v>
      </c>
      <c r="Y42" s="12">
        <v>5.59</v>
      </c>
      <c r="Z42" s="12">
        <v>2.64</v>
      </c>
      <c r="AA42" s="12">
        <f t="shared" si="2"/>
        <v>0</v>
      </c>
      <c r="AB42" s="12">
        <v>5.75</v>
      </c>
      <c r="AC42" s="12">
        <v>0.7</v>
      </c>
      <c r="AD42" s="12">
        <v>8.75</v>
      </c>
      <c r="AE42" s="12">
        <v>1.29</v>
      </c>
      <c r="AF42" s="12">
        <v>0.56</v>
      </c>
      <c r="AG42" s="12">
        <v>1.68</v>
      </c>
      <c r="AH42" s="12">
        <v>0.9</v>
      </c>
      <c r="AI42" s="12">
        <v>3.05</v>
      </c>
      <c r="AJ42" s="12">
        <v>119.48</v>
      </c>
      <c r="AK42" s="12">
        <v>4.92</v>
      </c>
      <c r="AL42" s="12">
        <v>74.19</v>
      </c>
      <c r="AM42" s="12">
        <v>5.23</v>
      </c>
      <c r="AN42" s="12">
        <v>69.8</v>
      </c>
      <c r="AO42" s="12">
        <v>123.87</v>
      </c>
      <c r="AP42" s="13">
        <f t="shared" si="3"/>
        <v>-2.83088</v>
      </c>
      <c r="AQ42" s="15">
        <v>0.055678111141376246</v>
      </c>
      <c r="AR42" s="13">
        <f t="shared" si="4"/>
        <v>0</v>
      </c>
      <c r="AS42" s="13">
        <f t="shared" si="33"/>
        <v>1</v>
      </c>
      <c r="AT42" s="13">
        <f t="shared" si="34"/>
        <v>1</v>
      </c>
      <c r="AU42" s="13">
        <f t="shared" si="35"/>
        <v>0</v>
      </c>
      <c r="AV42" s="13">
        <f t="shared" si="31"/>
        <v>0</v>
      </c>
      <c r="AW42" s="13">
        <f t="shared" si="32"/>
        <v>0</v>
      </c>
      <c r="AX42" s="13"/>
      <c r="AY42" s="13"/>
      <c r="AZ42" s="13"/>
    </row>
    <row r="43">
      <c r="A43" s="8" t="s">
        <v>85</v>
      </c>
      <c r="B43" s="9">
        <v>390143.39</v>
      </c>
      <c r="C43" s="9">
        <v>43772.56</v>
      </c>
      <c r="D43" s="9">
        <v>67000.0</v>
      </c>
      <c r="E43" s="9">
        <v>340844.25</v>
      </c>
      <c r="F43" s="9">
        <v>86704.75</v>
      </c>
      <c r="G43" s="9">
        <v>90203.83</v>
      </c>
      <c r="H43" s="9">
        <v>-1535.79</v>
      </c>
      <c r="I43" s="9">
        <v>-26108.54</v>
      </c>
      <c r="J43" s="9">
        <v>-46276.21</v>
      </c>
      <c r="K43" s="9">
        <v>-24426.19</v>
      </c>
      <c r="L43" s="9">
        <v>-6331.84</v>
      </c>
      <c r="M43" s="9">
        <v>2315.28</v>
      </c>
      <c r="N43" s="11">
        <f t="shared" si="1"/>
        <v>0</v>
      </c>
      <c r="O43" s="12">
        <v>-0.35</v>
      </c>
      <c r="P43" s="9">
        <v>4908.57</v>
      </c>
      <c r="Q43" s="9">
        <v>-177590.58</v>
      </c>
      <c r="R43" s="9">
        <v>-17713.85</v>
      </c>
      <c r="S43" s="9">
        <v>-190395.86</v>
      </c>
      <c r="T43" s="12">
        <v>-12.54</v>
      </c>
      <c r="U43" s="12">
        <v>-5.94</v>
      </c>
      <c r="V43" s="12">
        <v>13.47</v>
      </c>
      <c r="W43" s="12">
        <v>-48.66</v>
      </c>
      <c r="X43" s="12">
        <v>-18.14</v>
      </c>
      <c r="Y43" s="12">
        <v>-0.34</v>
      </c>
      <c r="Z43" s="12">
        <v>5.57</v>
      </c>
      <c r="AA43" s="12">
        <f t="shared" si="2"/>
        <v>0</v>
      </c>
      <c r="AB43" s="12">
        <v>-30.11</v>
      </c>
      <c r="AC43" s="12">
        <v>0.13</v>
      </c>
      <c r="AD43" s="12">
        <v>-422.33</v>
      </c>
      <c r="AE43" s="12">
        <v>5.92</v>
      </c>
      <c r="AF43" s="12">
        <v>5.56</v>
      </c>
      <c r="AG43" s="12">
        <v>1.88</v>
      </c>
      <c r="AH43" s="12">
        <v>0.2</v>
      </c>
      <c r="AI43" s="12">
        <v>7.45</v>
      </c>
      <c r="AJ43" s="12">
        <v>48.96</v>
      </c>
      <c r="AK43" s="12">
        <v>7.21</v>
      </c>
      <c r="AL43" s="12">
        <v>50.65</v>
      </c>
      <c r="AM43" s="12">
        <v>1.8</v>
      </c>
      <c r="AN43" s="12">
        <v>202.61</v>
      </c>
      <c r="AO43" s="12">
        <v>-103.0</v>
      </c>
      <c r="AP43" s="13">
        <f t="shared" si="3"/>
        <v>-6.67192</v>
      </c>
      <c r="AQ43" s="15">
        <v>0.0012643651188714029</v>
      </c>
      <c r="AR43" s="13">
        <f t="shared" si="4"/>
        <v>0</v>
      </c>
      <c r="AS43" s="13">
        <f t="shared" si="33"/>
        <v>1</v>
      </c>
      <c r="AT43" s="13">
        <f t="shared" si="34"/>
        <v>1</v>
      </c>
      <c r="AU43" s="13">
        <f t="shared" si="35"/>
        <v>0</v>
      </c>
      <c r="AV43" s="13">
        <f t="shared" si="31"/>
        <v>0</v>
      </c>
      <c r="AW43" s="13">
        <f t="shared" si="32"/>
        <v>0</v>
      </c>
      <c r="AX43" s="13"/>
      <c r="AY43" s="13"/>
      <c r="AZ43" s="13"/>
    </row>
    <row r="44">
      <c r="A44" s="8" t="s">
        <v>86</v>
      </c>
      <c r="B44" s="9">
        <v>686715.56</v>
      </c>
      <c r="C44" s="9">
        <v>232815.77</v>
      </c>
      <c r="D44" s="9">
        <v>159994.57</v>
      </c>
      <c r="E44" s="9">
        <v>453899.79</v>
      </c>
      <c r="F44" s="9">
        <v>433977.91</v>
      </c>
      <c r="G44" s="9">
        <v>341373.23</v>
      </c>
      <c r="H44" s="9">
        <v>126516.38</v>
      </c>
      <c r="I44" s="9">
        <v>92604.68</v>
      </c>
      <c r="J44" s="9">
        <v>67938.6</v>
      </c>
      <c r="K44" s="9">
        <v>31795.3</v>
      </c>
      <c r="L44" s="9" t="e">
        <v>#N/A</v>
      </c>
      <c r="M44" s="9" t="e">
        <v>#N/A</v>
      </c>
      <c r="N44" s="11" t="str">
        <f t="shared" si="1"/>
        <v>#N/A</v>
      </c>
      <c r="O44" s="12">
        <v>0.42</v>
      </c>
      <c r="P44" s="9">
        <v>150698.87</v>
      </c>
      <c r="Q44" s="9">
        <v>-116546.26</v>
      </c>
      <c r="R44" s="9">
        <v>-52188.17</v>
      </c>
      <c r="S44" s="9">
        <v>-18035.56</v>
      </c>
      <c r="T44" s="12">
        <v>16.13</v>
      </c>
      <c r="U44" s="12">
        <v>14.3</v>
      </c>
      <c r="V44" s="12">
        <v>39.0</v>
      </c>
      <c r="W44" s="12">
        <v>15.65</v>
      </c>
      <c r="X44" s="12">
        <v>10.18</v>
      </c>
      <c r="Y44" s="12" t="e">
        <v>#N/A</v>
      </c>
      <c r="Z44" s="12" t="e">
        <v>#N/A</v>
      </c>
      <c r="AA44" s="12" t="str">
        <f t="shared" si="2"/>
        <v>#N/A</v>
      </c>
      <c r="AB44" s="12">
        <v>21.34</v>
      </c>
      <c r="AC44" s="12">
        <v>0.51</v>
      </c>
      <c r="AD44" s="12">
        <v>12.26</v>
      </c>
      <c r="AE44" s="12">
        <v>1.18</v>
      </c>
      <c r="AF44" s="12">
        <v>0.99</v>
      </c>
      <c r="AG44" s="12">
        <v>0.99</v>
      </c>
      <c r="AH44" s="12">
        <v>0.67</v>
      </c>
      <c r="AI44" s="12">
        <v>11.46</v>
      </c>
      <c r="AJ44" s="12">
        <v>31.86</v>
      </c>
      <c r="AK44" s="12">
        <v>10.64</v>
      </c>
      <c r="AL44" s="12">
        <v>34.31</v>
      </c>
      <c r="AM44" s="12">
        <v>7.31</v>
      </c>
      <c r="AN44" s="12">
        <v>49.9</v>
      </c>
      <c r="AO44" s="12">
        <v>16.27</v>
      </c>
      <c r="AP44" s="13">
        <f t="shared" si="3"/>
        <v>-5.38853</v>
      </c>
      <c r="AQ44" s="15">
        <v>0.004547906418975586</v>
      </c>
      <c r="AR44" s="13">
        <f t="shared" si="4"/>
        <v>0</v>
      </c>
      <c r="AS44" s="13"/>
      <c r="AT44" s="13"/>
      <c r="AU44" s="13"/>
      <c r="AV44" s="13" t="str">
        <f t="shared" si="31"/>
        <v/>
      </c>
      <c r="AW44" s="13" t="str">
        <f t="shared" si="32"/>
        <v/>
      </c>
      <c r="AX44" s="13"/>
      <c r="AY44" s="13"/>
      <c r="AZ44" s="13"/>
    </row>
    <row r="45">
      <c r="A45" s="8" t="s">
        <v>87</v>
      </c>
      <c r="B45" s="9">
        <v>708979.98</v>
      </c>
      <c r="C45" s="9">
        <v>77576.63</v>
      </c>
      <c r="D45" s="9">
        <v>199000.0</v>
      </c>
      <c r="E45" s="9">
        <v>625651.16</v>
      </c>
      <c r="F45" s="9">
        <v>448061.16</v>
      </c>
      <c r="G45" s="9">
        <v>387492.09</v>
      </c>
      <c r="H45" s="9">
        <v>88067.16</v>
      </c>
      <c r="I45" s="9">
        <v>64250.67</v>
      </c>
      <c r="J45" s="9">
        <v>52108.86</v>
      </c>
      <c r="K45" s="9">
        <v>68994.77</v>
      </c>
      <c r="L45" s="9">
        <v>26589.74</v>
      </c>
      <c r="M45" s="9">
        <v>72969.24</v>
      </c>
      <c r="N45" s="11">
        <f t="shared" si="1"/>
        <v>0</v>
      </c>
      <c r="O45" s="12">
        <v>0.26</v>
      </c>
      <c r="P45" s="9">
        <v>59087.74</v>
      </c>
      <c r="Q45" s="9">
        <v>-12442.58</v>
      </c>
      <c r="R45" s="9">
        <v>-22274.6</v>
      </c>
      <c r="S45" s="9">
        <v>24370.56</v>
      </c>
      <c r="T45" s="12">
        <v>8.55</v>
      </c>
      <c r="U45" s="12">
        <v>9.2</v>
      </c>
      <c r="V45" s="12">
        <v>19.24</v>
      </c>
      <c r="W45" s="12">
        <v>11.66</v>
      </c>
      <c r="X45" s="12">
        <v>14.43</v>
      </c>
      <c r="Y45" s="12">
        <v>6.84</v>
      </c>
      <c r="Z45" s="12">
        <v>12.68</v>
      </c>
      <c r="AA45" s="12">
        <f t="shared" si="2"/>
        <v>0</v>
      </c>
      <c r="AB45" s="12">
        <v>14.34</v>
      </c>
      <c r="AC45" s="12">
        <v>0.12</v>
      </c>
      <c r="AD45" s="12">
        <v>335.5</v>
      </c>
      <c r="AE45" s="12">
        <v>8.16</v>
      </c>
      <c r="AF45" s="12">
        <v>6.08</v>
      </c>
      <c r="AG45" s="12">
        <v>3.95</v>
      </c>
      <c r="AH45" s="12">
        <v>0.64</v>
      </c>
      <c r="AI45" s="12">
        <v>3.44</v>
      </c>
      <c r="AJ45" s="12">
        <v>106.0</v>
      </c>
      <c r="AK45" s="12">
        <v>5.78</v>
      </c>
      <c r="AL45" s="12">
        <v>63.17</v>
      </c>
      <c r="AM45" s="12">
        <v>9.6</v>
      </c>
      <c r="AN45" s="12">
        <v>38.01</v>
      </c>
      <c r="AO45" s="12">
        <v>131.16</v>
      </c>
      <c r="AP45" s="13">
        <f t="shared" si="3"/>
        <v>-9.13687</v>
      </c>
      <c r="AQ45" s="15">
        <v>1.0761208333664248E-4</v>
      </c>
      <c r="AR45" s="13">
        <f t="shared" si="4"/>
        <v>0</v>
      </c>
      <c r="AS45" s="13">
        <f>IF(AR45=N45,1,0)</f>
        <v>1</v>
      </c>
      <c r="AT45" s="13">
        <f>IF(AND(AR45=0,AS45=1),1,0)</f>
        <v>1</v>
      </c>
      <c r="AU45" s="13">
        <f>IF(AND(AR45=0,AS45=0),1,0)</f>
        <v>0</v>
      </c>
      <c r="AV45" s="13">
        <f t="shared" si="31"/>
        <v>0</v>
      </c>
      <c r="AW45" s="13">
        <f t="shared" si="32"/>
        <v>0</v>
      </c>
      <c r="AX45" s="13"/>
      <c r="AY45" s="13"/>
      <c r="AZ45" s="13"/>
    </row>
    <row r="46">
      <c r="A46" s="8" t="s">
        <v>88</v>
      </c>
      <c r="B46" s="9">
        <v>1188008.54</v>
      </c>
      <c r="C46" s="9">
        <v>831970.11</v>
      </c>
      <c r="D46" s="9">
        <v>250000.0</v>
      </c>
      <c r="E46" s="9">
        <v>342360.56</v>
      </c>
      <c r="F46" s="9">
        <v>1254857.36</v>
      </c>
      <c r="G46" s="9">
        <v>1253124.56</v>
      </c>
      <c r="H46" s="9">
        <v>47716.78</v>
      </c>
      <c r="I46" s="9">
        <v>2103.61</v>
      </c>
      <c r="J46" s="9">
        <v>-15349.79</v>
      </c>
      <c r="K46" s="9">
        <v>8099.6</v>
      </c>
      <c r="L46" s="9" t="e">
        <v>#N/A</v>
      </c>
      <c r="M46" s="9" t="e">
        <v>#N/A</v>
      </c>
      <c r="N46" s="11" t="str">
        <f t="shared" si="1"/>
        <v>#N/A</v>
      </c>
      <c r="O46" s="12">
        <v>-0.03</v>
      </c>
      <c r="P46" s="9">
        <v>-6015.74</v>
      </c>
      <c r="Q46" s="9">
        <v>-6119.14</v>
      </c>
      <c r="R46" s="9">
        <v>-2471.8</v>
      </c>
      <c r="S46" s="9">
        <v>-14606.68</v>
      </c>
      <c r="T46" s="12">
        <v>-4.4</v>
      </c>
      <c r="U46" s="12">
        <v>0.19</v>
      </c>
      <c r="V46" s="12">
        <v>3.79</v>
      </c>
      <c r="W46" s="12">
        <v>-1.13</v>
      </c>
      <c r="X46" s="12">
        <v>1.04</v>
      </c>
      <c r="Y46" s="12" t="e">
        <v>#N/A</v>
      </c>
      <c r="Z46" s="12" t="e">
        <v>#N/A</v>
      </c>
      <c r="AA46" s="12" t="str">
        <f t="shared" si="2"/>
        <v>#N/A</v>
      </c>
      <c r="AB46" s="12">
        <v>0.17</v>
      </c>
      <c r="AC46" s="12">
        <v>2.34</v>
      </c>
      <c r="AD46" s="12">
        <v>0.12</v>
      </c>
      <c r="AE46" s="12">
        <v>0.99</v>
      </c>
      <c r="AF46" s="12">
        <v>0.65</v>
      </c>
      <c r="AG46" s="12">
        <v>3.89</v>
      </c>
      <c r="AH46" s="12">
        <v>1.12</v>
      </c>
      <c r="AI46" s="12">
        <v>43.2</v>
      </c>
      <c r="AJ46" s="12">
        <v>8.45</v>
      </c>
      <c r="AK46" s="12">
        <v>3.24</v>
      </c>
      <c r="AL46" s="12">
        <v>112.65</v>
      </c>
      <c r="AM46" s="12">
        <v>5.21</v>
      </c>
      <c r="AN46" s="12">
        <v>70.02</v>
      </c>
      <c r="AO46" s="12">
        <v>51.08</v>
      </c>
      <c r="AP46" s="13">
        <f t="shared" si="3"/>
        <v>0.3449</v>
      </c>
      <c r="AQ46" s="15">
        <v>0.5853802983162442</v>
      </c>
      <c r="AR46" s="13">
        <f t="shared" si="4"/>
        <v>1</v>
      </c>
      <c r="AS46" s="13"/>
      <c r="AT46" s="13"/>
      <c r="AU46" s="13"/>
      <c r="AV46" s="13"/>
      <c r="AW46" s="13"/>
      <c r="AX46" s="13"/>
      <c r="AY46" s="13"/>
      <c r="AZ46" s="13"/>
    </row>
    <row r="47">
      <c r="A47" s="8" t="s">
        <v>89</v>
      </c>
      <c r="B47" s="9">
        <v>1132486.63</v>
      </c>
      <c r="C47" s="9">
        <v>595230.19</v>
      </c>
      <c r="D47" s="9">
        <v>150968.92</v>
      </c>
      <c r="E47" s="9">
        <v>537247.77</v>
      </c>
      <c r="F47" s="9">
        <v>829339.39</v>
      </c>
      <c r="G47" s="9">
        <v>745470.64</v>
      </c>
      <c r="H47" s="9">
        <v>121107.31</v>
      </c>
      <c r="I47" s="9">
        <v>83868.76</v>
      </c>
      <c r="J47" s="9">
        <v>57500.3</v>
      </c>
      <c r="K47" s="9">
        <v>-24234.35</v>
      </c>
      <c r="L47" s="9">
        <v>-7805.92</v>
      </c>
      <c r="M47" s="9">
        <v>-15587.39</v>
      </c>
      <c r="N47" s="11">
        <f t="shared" si="1"/>
        <v>0</v>
      </c>
      <c r="O47" s="12">
        <v>0.19</v>
      </c>
      <c r="P47" s="9">
        <v>103593.48</v>
      </c>
      <c r="Q47" s="9">
        <v>-12890.23</v>
      </c>
      <c r="R47" s="9">
        <v>-69547.81</v>
      </c>
      <c r="S47" s="9">
        <v>21155.44</v>
      </c>
      <c r="T47" s="12">
        <v>11.63</v>
      </c>
      <c r="U47" s="12">
        <v>7.49</v>
      </c>
      <c r="V47" s="12">
        <v>32.75</v>
      </c>
      <c r="W47" s="12">
        <v>6.93</v>
      </c>
      <c r="X47" s="12">
        <v>-4.53</v>
      </c>
      <c r="Y47" s="12">
        <v>-1.35</v>
      </c>
      <c r="Z47" s="12">
        <v>-1.99</v>
      </c>
      <c r="AA47" s="12">
        <f t="shared" si="2"/>
        <v>0</v>
      </c>
      <c r="AB47" s="12">
        <v>10.11</v>
      </c>
      <c r="AC47" s="12">
        <v>1.11</v>
      </c>
      <c r="AD47" s="12">
        <v>5.5</v>
      </c>
      <c r="AE47" s="12">
        <v>1.5</v>
      </c>
      <c r="AF47" s="12">
        <v>0.79</v>
      </c>
      <c r="AG47" s="12">
        <v>1.31</v>
      </c>
      <c r="AH47" s="12">
        <v>0.74</v>
      </c>
      <c r="AI47" s="12">
        <v>3.59</v>
      </c>
      <c r="AJ47" s="12">
        <v>101.65</v>
      </c>
      <c r="AK47" s="12">
        <v>6.84</v>
      </c>
      <c r="AL47" s="12">
        <v>53.4</v>
      </c>
      <c r="AM47" s="12">
        <v>5.58</v>
      </c>
      <c r="AN47" s="12">
        <v>65.41</v>
      </c>
      <c r="AO47" s="12">
        <v>89.63</v>
      </c>
      <c r="AP47" s="13">
        <f t="shared" si="3"/>
        <v>-2.97672</v>
      </c>
      <c r="AQ47" s="15">
        <v>0.04848873605856126</v>
      </c>
      <c r="AR47" s="13">
        <f t="shared" si="4"/>
        <v>0</v>
      </c>
      <c r="AS47" s="13">
        <f>IF(AR47=N47,1,0)</f>
        <v>1</v>
      </c>
      <c r="AT47" s="13">
        <f>IF(AND(AR47=0,AS47=1),1,0)</f>
        <v>1</v>
      </c>
      <c r="AU47" s="13">
        <f>IF(AND(AR47=0,AS47=0),1,0)</f>
        <v>0</v>
      </c>
      <c r="AV47" s="13">
        <f>IFERROR(IFS(AND(AR47=1,AS47=0),1,AS47="",""),0)</f>
        <v>0</v>
      </c>
      <c r="AW47" s="13">
        <f t="shared" ref="AW47:AW76" si="36">IFERROR(IFS(AND(AR47=1,AS47=1),1,AS47="",""),0)</f>
        <v>0</v>
      </c>
      <c r="AX47" s="13"/>
      <c r="AY47" s="13"/>
      <c r="AZ47" s="13"/>
    </row>
    <row r="48">
      <c r="A48" s="8" t="s">
        <v>90</v>
      </c>
      <c r="B48" s="9">
        <v>737652.33</v>
      </c>
      <c r="C48" s="9">
        <v>311380.13</v>
      </c>
      <c r="D48" s="9">
        <v>420000.0</v>
      </c>
      <c r="E48" s="9">
        <v>426272.2</v>
      </c>
      <c r="F48" s="9">
        <v>33320.35</v>
      </c>
      <c r="G48" s="9">
        <v>45488.22</v>
      </c>
      <c r="H48" s="9">
        <v>-9640.56</v>
      </c>
      <c r="I48" s="9">
        <v>-12167.87</v>
      </c>
      <c r="J48" s="9">
        <v>-23812.71</v>
      </c>
      <c r="K48" s="9">
        <v>-6827.36</v>
      </c>
      <c r="L48" s="9" t="e">
        <v>#N/A</v>
      </c>
      <c r="M48" s="9" t="e">
        <v>#N/A</v>
      </c>
      <c r="N48" s="11" t="str">
        <f t="shared" si="1"/>
        <v>#N/A</v>
      </c>
      <c r="O48" s="12">
        <v>-0.03</v>
      </c>
      <c r="P48" s="9">
        <v>-4756.04</v>
      </c>
      <c r="Q48" s="9">
        <v>-26642.61</v>
      </c>
      <c r="R48" s="9">
        <v>12480.01</v>
      </c>
      <c r="S48" s="9">
        <v>-18918.65</v>
      </c>
      <c r="T48" s="12">
        <v>-5.43</v>
      </c>
      <c r="U48" s="12">
        <v>-1.65</v>
      </c>
      <c r="V48" s="12">
        <v>31.65</v>
      </c>
      <c r="W48" s="12">
        <v>-71.47</v>
      </c>
      <c r="X48" s="12">
        <v>-11.01</v>
      </c>
      <c r="Y48" s="12" t="e">
        <v>#N/A</v>
      </c>
      <c r="Z48" s="12" t="e">
        <v>#N/A</v>
      </c>
      <c r="AA48" s="12" t="str">
        <f t="shared" si="2"/>
        <v>#N/A</v>
      </c>
      <c r="AB48" s="12">
        <v>-36.52</v>
      </c>
      <c r="AC48" s="12">
        <v>0.73</v>
      </c>
      <c r="AD48" s="12">
        <v>-1.47</v>
      </c>
      <c r="AE48" s="12">
        <v>0.95</v>
      </c>
      <c r="AF48" s="12">
        <v>0.11</v>
      </c>
      <c r="AG48" s="12">
        <v>0.39</v>
      </c>
      <c r="AH48" s="12">
        <v>0.05</v>
      </c>
      <c r="AI48" s="12">
        <v>0.16</v>
      </c>
      <c r="AJ48" s="9">
        <v>2306.21</v>
      </c>
      <c r="AK48" s="12" t="s">
        <v>47</v>
      </c>
      <c r="AL48" s="12" t="s">
        <v>46</v>
      </c>
      <c r="AM48" s="12">
        <v>8.84</v>
      </c>
      <c r="AN48" s="12">
        <v>41.27</v>
      </c>
      <c r="AO48" s="9">
        <v>2264.94</v>
      </c>
      <c r="AP48" s="13">
        <f t="shared" si="3"/>
        <v>-4.17372</v>
      </c>
      <c r="AQ48" s="15">
        <v>0.015161475339357345</v>
      </c>
      <c r="AR48" s="13">
        <f t="shared" si="4"/>
        <v>0</v>
      </c>
      <c r="AS48" s="13"/>
      <c r="AT48" s="13"/>
      <c r="AU48" s="13"/>
      <c r="AV48" s="13"/>
      <c r="AW48" s="13" t="str">
        <f t="shared" si="36"/>
        <v/>
      </c>
      <c r="AX48" s="13"/>
      <c r="AY48" s="13"/>
      <c r="AZ48" s="13"/>
    </row>
    <row r="49">
      <c r="A49" s="8" t="s">
        <v>91</v>
      </c>
      <c r="B49" s="9">
        <v>525072.02</v>
      </c>
      <c r="C49" s="9">
        <v>79006.28</v>
      </c>
      <c r="D49" s="9">
        <v>1219061.78</v>
      </c>
      <c r="E49" s="9">
        <v>446065.74</v>
      </c>
      <c r="F49" s="9">
        <v>212420.55</v>
      </c>
      <c r="G49" s="9">
        <v>328570.81</v>
      </c>
      <c r="H49" s="9">
        <v>-133987.26</v>
      </c>
      <c r="I49" s="9">
        <v>-139053.52</v>
      </c>
      <c r="J49" s="9">
        <v>-141961.69</v>
      </c>
      <c r="K49" s="9">
        <v>-89252.9</v>
      </c>
      <c r="L49" s="9">
        <v>-94299.24</v>
      </c>
      <c r="M49" s="9">
        <v>-115860.94</v>
      </c>
      <c r="N49" s="11">
        <f t="shared" si="1"/>
        <v>1</v>
      </c>
      <c r="O49" s="12">
        <v>-0.06</v>
      </c>
      <c r="P49" s="9">
        <v>-124445.77</v>
      </c>
      <c r="Q49" s="9">
        <v>-129553.95</v>
      </c>
      <c r="R49" s="9">
        <v>93546.07</v>
      </c>
      <c r="S49" s="9">
        <v>-160453.66</v>
      </c>
      <c r="T49" s="12">
        <v>-39.13</v>
      </c>
      <c r="U49" s="12">
        <v>-30.28</v>
      </c>
      <c r="V49" s="12">
        <v>28.51</v>
      </c>
      <c r="W49" s="12">
        <v>-66.83</v>
      </c>
      <c r="X49" s="12">
        <v>-61.32</v>
      </c>
      <c r="Y49" s="12">
        <v>-37.66</v>
      </c>
      <c r="Z49" s="12">
        <v>-35.49</v>
      </c>
      <c r="AA49" s="12">
        <f t="shared" si="2"/>
        <v>1</v>
      </c>
      <c r="AB49" s="12">
        <v>-65.46</v>
      </c>
      <c r="AC49" s="12">
        <v>0.18</v>
      </c>
      <c r="AD49" s="12">
        <v>-47.96</v>
      </c>
      <c r="AE49" s="12">
        <v>1.97</v>
      </c>
      <c r="AF49" s="12">
        <v>1.55</v>
      </c>
      <c r="AG49" s="12">
        <v>2.34</v>
      </c>
      <c r="AH49" s="12">
        <v>0.46</v>
      </c>
      <c r="AI49" s="12">
        <v>4.01</v>
      </c>
      <c r="AJ49" s="12">
        <v>90.95</v>
      </c>
      <c r="AK49" s="12">
        <v>2.35</v>
      </c>
      <c r="AL49" s="12">
        <v>155.34</v>
      </c>
      <c r="AM49" s="12">
        <v>2.63</v>
      </c>
      <c r="AN49" s="12">
        <v>138.68</v>
      </c>
      <c r="AO49" s="12">
        <v>107.61</v>
      </c>
      <c r="AP49" s="13">
        <f t="shared" si="3"/>
        <v>1.82806</v>
      </c>
      <c r="AQ49" s="15">
        <v>0.8615304553908157</v>
      </c>
      <c r="AR49" s="13">
        <f t="shared" si="4"/>
        <v>1</v>
      </c>
      <c r="AS49" s="13">
        <f>IF(AR49=N49,1,0)</f>
        <v>1</v>
      </c>
      <c r="AT49" s="13">
        <f>IF(AND(AR49=0,AS49=1),1,0)</f>
        <v>0</v>
      </c>
      <c r="AU49" s="13">
        <f>IF(AND(AR49=0,AS49=0),1,0)</f>
        <v>0</v>
      </c>
      <c r="AV49" s="13">
        <f>IFERROR(IFS(AND(AR49=1,AS49=0),1,AS49="",""),0)</f>
        <v>0</v>
      </c>
      <c r="AW49" s="13">
        <f t="shared" si="36"/>
        <v>1</v>
      </c>
      <c r="AX49" s="13"/>
      <c r="AY49" s="13"/>
      <c r="AZ49" s="13"/>
    </row>
    <row r="50">
      <c r="A50" s="8" t="s">
        <v>92</v>
      </c>
      <c r="B50" s="9">
        <v>1658311.45</v>
      </c>
      <c r="C50" s="9">
        <v>390395.96</v>
      </c>
      <c r="D50" s="9">
        <v>264027.97</v>
      </c>
      <c r="E50" s="9">
        <v>1267913.53</v>
      </c>
      <c r="F50" s="9">
        <v>1239900.65</v>
      </c>
      <c r="G50" s="9">
        <v>947406.1</v>
      </c>
      <c r="H50" s="9">
        <v>344993.11</v>
      </c>
      <c r="I50" s="9">
        <v>296005.82</v>
      </c>
      <c r="J50" s="9">
        <v>234748.31</v>
      </c>
      <c r="K50" s="9">
        <v>200682.75</v>
      </c>
      <c r="L50" s="9" t="e">
        <v>#N/A</v>
      </c>
      <c r="M50" s="9" t="e">
        <v>#N/A</v>
      </c>
      <c r="N50" s="11" t="str">
        <f t="shared" si="1"/>
        <v>#N/A</v>
      </c>
      <c r="O50" s="12">
        <v>0.47</v>
      </c>
      <c r="P50" s="9">
        <v>357829.94</v>
      </c>
      <c r="Q50" s="9">
        <v>-425858.11</v>
      </c>
      <c r="R50" s="9">
        <v>-101605.85</v>
      </c>
      <c r="S50" s="9">
        <v>-169634.02</v>
      </c>
      <c r="T50" s="12">
        <v>20.41</v>
      </c>
      <c r="U50" s="12">
        <v>19.73</v>
      </c>
      <c r="V50" s="12">
        <v>33.25</v>
      </c>
      <c r="W50" s="12">
        <v>18.93</v>
      </c>
      <c r="X50" s="12">
        <v>18.35</v>
      </c>
      <c r="Y50" s="12" t="e">
        <v>#N/A</v>
      </c>
      <c r="Z50" s="12" t="e">
        <v>#N/A</v>
      </c>
      <c r="AA50" s="12" t="str">
        <f t="shared" si="2"/>
        <v>#N/A</v>
      </c>
      <c r="AB50" s="12">
        <v>23.87</v>
      </c>
      <c r="AC50" s="12">
        <v>0.31</v>
      </c>
      <c r="AD50" s="12">
        <v>115.21</v>
      </c>
      <c r="AE50" s="12">
        <v>3.95</v>
      </c>
      <c r="AF50" s="12">
        <v>2.8</v>
      </c>
      <c r="AG50" s="12">
        <v>6.03</v>
      </c>
      <c r="AH50" s="12">
        <v>0.83</v>
      </c>
      <c r="AI50" s="12">
        <v>18.91</v>
      </c>
      <c r="AJ50" s="12">
        <v>19.3</v>
      </c>
      <c r="AK50" s="12">
        <v>5.1</v>
      </c>
      <c r="AL50" s="12">
        <v>71.52</v>
      </c>
      <c r="AM50" s="12">
        <v>5.97</v>
      </c>
      <c r="AN50" s="12">
        <v>61.12</v>
      </c>
      <c r="AO50" s="12">
        <v>29.71</v>
      </c>
      <c r="AP50" s="13">
        <f t="shared" si="3"/>
        <v>-8.36113</v>
      </c>
      <c r="AQ50" s="15">
        <v>2.3372537272065323E-4</v>
      </c>
      <c r="AR50" s="13">
        <f t="shared" si="4"/>
        <v>0</v>
      </c>
      <c r="AS50" s="13"/>
      <c r="AT50" s="13"/>
      <c r="AU50" s="13"/>
      <c r="AV50" s="13"/>
      <c r="AW50" s="13" t="str">
        <f t="shared" si="36"/>
        <v/>
      </c>
      <c r="AX50" s="13"/>
      <c r="AY50" s="13"/>
      <c r="AZ50" s="13"/>
    </row>
    <row r="51">
      <c r="A51" s="8" t="s">
        <v>93</v>
      </c>
      <c r="B51" s="9">
        <v>1290917.6</v>
      </c>
      <c r="C51" s="9">
        <v>397285.84</v>
      </c>
      <c r="D51" s="9">
        <v>205000.25</v>
      </c>
      <c r="E51" s="9">
        <v>887152.23</v>
      </c>
      <c r="F51" s="9">
        <v>548440.16</v>
      </c>
      <c r="G51" s="9">
        <v>965570.87</v>
      </c>
      <c r="H51" s="9">
        <v>-352628.6</v>
      </c>
      <c r="I51" s="9">
        <v>-417130.71</v>
      </c>
      <c r="J51" s="9">
        <v>-398334.04</v>
      </c>
      <c r="K51" s="9">
        <v>49789.54</v>
      </c>
      <c r="L51" s="9">
        <v>141247.73</v>
      </c>
      <c r="M51" s="9">
        <v>86706.95</v>
      </c>
      <c r="N51" s="11">
        <f t="shared" si="1"/>
        <v>0</v>
      </c>
      <c r="O51" s="12">
        <v>-0.97</v>
      </c>
      <c r="P51" s="9">
        <v>-130707.79</v>
      </c>
      <c r="Q51" s="9">
        <v>-62119.37</v>
      </c>
      <c r="R51" s="9">
        <v>61419.04</v>
      </c>
      <c r="S51" s="9">
        <v>-131408.12</v>
      </c>
      <c r="T51" s="12">
        <v>-36.75</v>
      </c>
      <c r="U51" s="12">
        <v>-28.59</v>
      </c>
      <c r="V51" s="12">
        <v>26.16</v>
      </c>
      <c r="W51" s="12">
        <v>-73.87</v>
      </c>
      <c r="X51" s="12">
        <v>1.9</v>
      </c>
      <c r="Y51" s="12">
        <v>8.22</v>
      </c>
      <c r="Z51" s="12">
        <v>9.22</v>
      </c>
      <c r="AA51" s="12">
        <f t="shared" si="2"/>
        <v>0</v>
      </c>
      <c r="AB51" s="12">
        <v>-76.06</v>
      </c>
      <c r="AC51" s="12">
        <v>0.44</v>
      </c>
      <c r="AD51" s="12">
        <v>-58.79</v>
      </c>
      <c r="AE51" s="12">
        <v>0.65</v>
      </c>
      <c r="AF51" s="12">
        <v>0.29</v>
      </c>
      <c r="AG51" s="12">
        <v>0.57</v>
      </c>
      <c r="AH51" s="12">
        <v>0.38</v>
      </c>
      <c r="AI51" s="12">
        <v>3.75</v>
      </c>
      <c r="AJ51" s="12">
        <v>97.31</v>
      </c>
      <c r="AK51" s="12">
        <v>2.72</v>
      </c>
      <c r="AL51" s="12">
        <v>134.21</v>
      </c>
      <c r="AM51" s="12">
        <v>3.44</v>
      </c>
      <c r="AN51" s="12">
        <v>106.2</v>
      </c>
      <c r="AO51" s="12">
        <v>125.32</v>
      </c>
      <c r="AP51" s="13">
        <f t="shared" si="3"/>
        <v>2.34046</v>
      </c>
      <c r="AQ51" s="15">
        <v>0.9121729443519475</v>
      </c>
      <c r="AR51" s="13">
        <f t="shared" si="4"/>
        <v>1</v>
      </c>
      <c r="AS51" s="13">
        <f>IF(AR51=N51,1,0)</f>
        <v>0</v>
      </c>
      <c r="AT51" s="13">
        <f>IF(AND(AR51=0,AS51=1),1,0)</f>
        <v>0</v>
      </c>
      <c r="AU51" s="13">
        <f>IF(AND(AR51=0,AS51=0),1,0)</f>
        <v>0</v>
      </c>
      <c r="AV51" s="13">
        <f t="shared" ref="AV51:AV76" si="37">IFERROR(IFS(AND(AR51=1,AS51=0),1,AS51="",""),0)</f>
        <v>1</v>
      </c>
      <c r="AW51" s="13">
        <f t="shared" si="36"/>
        <v>0</v>
      </c>
      <c r="AX51" s="13"/>
      <c r="AY51" s="13"/>
      <c r="AZ51" s="13"/>
    </row>
    <row r="52">
      <c r="A52" s="8" t="s">
        <v>94</v>
      </c>
      <c r="B52" s="9">
        <v>1085846.23</v>
      </c>
      <c r="C52" s="9">
        <v>432020.31</v>
      </c>
      <c r="D52" s="9">
        <v>230000.0</v>
      </c>
      <c r="E52" s="9">
        <v>655288.25</v>
      </c>
      <c r="F52" s="9">
        <v>909235.42</v>
      </c>
      <c r="G52" s="9">
        <v>832410.29</v>
      </c>
      <c r="H52" s="9">
        <v>93579.38</v>
      </c>
      <c r="I52" s="9">
        <v>76825.13</v>
      </c>
      <c r="J52" s="9">
        <v>55612.94</v>
      </c>
      <c r="K52" s="9">
        <v>52586.23</v>
      </c>
      <c r="L52" s="9" t="e">
        <v>#N/A</v>
      </c>
      <c r="M52" s="9" t="e">
        <v>#N/A</v>
      </c>
      <c r="N52" s="11" t="str">
        <f t="shared" si="1"/>
        <v>#N/A</v>
      </c>
      <c r="O52" s="12">
        <v>0.24</v>
      </c>
      <c r="P52" s="9">
        <v>-89281.71</v>
      </c>
      <c r="Q52" s="9">
        <v>-25308.39</v>
      </c>
      <c r="R52" s="9">
        <v>-37237.96</v>
      </c>
      <c r="S52" s="9">
        <v>-151828.05</v>
      </c>
      <c r="T52" s="12">
        <v>8.86</v>
      </c>
      <c r="U52" s="12">
        <v>7.4</v>
      </c>
      <c r="V52" s="12">
        <v>38.43</v>
      </c>
      <c r="W52" s="12">
        <v>6.03</v>
      </c>
      <c r="X52" s="12">
        <v>6.95</v>
      </c>
      <c r="Y52" s="12" t="e">
        <v>#N/A</v>
      </c>
      <c r="Z52" s="12" t="e">
        <v>#N/A</v>
      </c>
      <c r="AA52" s="12" t="str">
        <f t="shared" si="2"/>
        <v>#N/A</v>
      </c>
      <c r="AB52" s="12">
        <v>8.45</v>
      </c>
      <c r="AC52" s="12">
        <v>0.66</v>
      </c>
      <c r="AD52" s="12">
        <v>20.16</v>
      </c>
      <c r="AE52" s="12">
        <v>1.86</v>
      </c>
      <c r="AF52" s="12">
        <v>1.43</v>
      </c>
      <c r="AG52" s="12">
        <v>4.33</v>
      </c>
      <c r="AH52" s="12">
        <v>0.88</v>
      </c>
      <c r="AI52" s="12">
        <v>5.2</v>
      </c>
      <c r="AJ52" s="12">
        <v>70.19</v>
      </c>
      <c r="AK52" s="12">
        <v>2.47</v>
      </c>
      <c r="AL52" s="12">
        <v>148.02</v>
      </c>
      <c r="AM52" s="12">
        <v>1.88</v>
      </c>
      <c r="AN52" s="12">
        <v>194.31</v>
      </c>
      <c r="AO52" s="12">
        <v>23.9</v>
      </c>
      <c r="AP52" s="13">
        <f t="shared" si="3"/>
        <v>-3.50171</v>
      </c>
      <c r="AQ52" s="15">
        <v>0.029263615221845427</v>
      </c>
      <c r="AR52" s="13">
        <f t="shared" si="4"/>
        <v>0</v>
      </c>
      <c r="AS52" s="13"/>
      <c r="AT52" s="13"/>
      <c r="AU52" s="13"/>
      <c r="AV52" s="13" t="str">
        <f t="shared" si="37"/>
        <v/>
      </c>
      <c r="AW52" s="13" t="str">
        <f t="shared" si="36"/>
        <v/>
      </c>
      <c r="AX52" s="13"/>
      <c r="AY52" s="13"/>
      <c r="AZ52" s="13"/>
    </row>
    <row r="53">
      <c r="A53" s="8" t="s">
        <v>95</v>
      </c>
      <c r="B53" s="9">
        <v>517785.77</v>
      </c>
      <c r="C53" s="9">
        <v>74000.12</v>
      </c>
      <c r="D53" s="9">
        <v>1430416.19</v>
      </c>
      <c r="E53" s="9">
        <v>427816.85</v>
      </c>
      <c r="F53" s="9">
        <v>262297.41</v>
      </c>
      <c r="G53" s="9">
        <v>275695.61</v>
      </c>
      <c r="H53" s="9">
        <v>2266.24</v>
      </c>
      <c r="I53" s="9">
        <v>-10916.41</v>
      </c>
      <c r="J53" s="9">
        <v>-14315.14</v>
      </c>
      <c r="K53" s="9">
        <v>-47382.49</v>
      </c>
      <c r="L53" s="9">
        <v>1163.96</v>
      </c>
      <c r="M53" s="9">
        <v>-272971.03</v>
      </c>
      <c r="N53" s="11">
        <f t="shared" si="1"/>
        <v>0</v>
      </c>
      <c r="O53" s="12">
        <v>-0.01</v>
      </c>
      <c r="P53" s="9">
        <v>4030.27</v>
      </c>
      <c r="Q53" s="9">
        <v>52584.61</v>
      </c>
      <c r="R53" s="9">
        <v>-2306.71</v>
      </c>
      <c r="S53" s="9">
        <v>54308.16</v>
      </c>
      <c r="T53" s="12">
        <v>-3.29</v>
      </c>
      <c r="U53" s="12">
        <v>-2.07</v>
      </c>
      <c r="V53" s="12">
        <v>17.13</v>
      </c>
      <c r="W53" s="12">
        <v>-5.1</v>
      </c>
      <c r="X53" s="12">
        <v>-22.81</v>
      </c>
      <c r="Y53" s="12">
        <v>0.73</v>
      </c>
      <c r="Z53" s="12">
        <v>-495.85</v>
      </c>
      <c r="AA53" s="12">
        <f t="shared" si="2"/>
        <v>0</v>
      </c>
      <c r="AB53" s="12">
        <v>-4.16</v>
      </c>
      <c r="AC53" s="12">
        <v>0.17</v>
      </c>
      <c r="AD53" s="12">
        <v>-10.0</v>
      </c>
      <c r="AE53" s="12">
        <v>6.02</v>
      </c>
      <c r="AF53" s="12">
        <v>4.67</v>
      </c>
      <c r="AG53" s="12">
        <v>13.07</v>
      </c>
      <c r="AH53" s="12">
        <v>0.5</v>
      </c>
      <c r="AI53" s="12">
        <v>23.78</v>
      </c>
      <c r="AJ53" s="12">
        <v>15.35</v>
      </c>
      <c r="AK53" s="12">
        <v>2.34</v>
      </c>
      <c r="AL53" s="12">
        <v>156.21</v>
      </c>
      <c r="AM53" s="12">
        <v>5.44</v>
      </c>
      <c r="AN53" s="12">
        <v>67.11</v>
      </c>
      <c r="AO53" s="12">
        <v>104.46</v>
      </c>
      <c r="AP53" s="13">
        <f t="shared" si="3"/>
        <v>-5.61348</v>
      </c>
      <c r="AQ53" s="15">
        <v>0.0036350888990359575</v>
      </c>
      <c r="AR53" s="13">
        <f t="shared" si="4"/>
        <v>0</v>
      </c>
      <c r="AS53" s="13">
        <f t="shared" ref="AS53:AS56" si="38">IF(AR53=N53,1,0)</f>
        <v>1</v>
      </c>
      <c r="AT53" s="13">
        <f t="shared" ref="AT53:AT56" si="39">IF(AND(AR53=0,AS53=1),1,0)</f>
        <v>1</v>
      </c>
      <c r="AU53" s="13">
        <f t="shared" ref="AU53:AU56" si="40">IF(AND(AR53=0,AS53=0),1,0)</f>
        <v>0</v>
      </c>
      <c r="AV53" s="13">
        <f t="shared" si="37"/>
        <v>0</v>
      </c>
      <c r="AW53" s="13">
        <f t="shared" si="36"/>
        <v>0</v>
      </c>
      <c r="AX53" s="13"/>
      <c r="AY53" s="13"/>
      <c r="AZ53" s="13"/>
    </row>
    <row r="54">
      <c r="A54" s="8" t="s">
        <v>96</v>
      </c>
      <c r="B54" s="9">
        <v>3988103.05</v>
      </c>
      <c r="C54" s="9">
        <v>2621488.82</v>
      </c>
      <c r="D54" s="9">
        <v>239871.9</v>
      </c>
      <c r="E54" s="9">
        <v>1343504.87</v>
      </c>
      <c r="F54" s="9">
        <v>1463397.64</v>
      </c>
      <c r="G54" s="9">
        <v>1294009.71</v>
      </c>
      <c r="H54" s="9">
        <v>244779.05</v>
      </c>
      <c r="I54" s="9">
        <v>196779.59</v>
      </c>
      <c r="J54" s="9">
        <v>37458.93</v>
      </c>
      <c r="K54" s="9">
        <v>50850.34</v>
      </c>
      <c r="L54" s="9">
        <v>41160.42</v>
      </c>
      <c r="M54" s="9">
        <v>40285.62</v>
      </c>
      <c r="N54" s="11">
        <f t="shared" si="1"/>
        <v>0</v>
      </c>
      <c r="O54" s="12">
        <v>0.04</v>
      </c>
      <c r="P54" s="9">
        <v>77731.94</v>
      </c>
      <c r="Q54" s="9">
        <v>-150851.92</v>
      </c>
      <c r="R54" s="9">
        <v>65020.76</v>
      </c>
      <c r="S54" s="9">
        <v>-8099.22</v>
      </c>
      <c r="T54" s="12">
        <v>2.83</v>
      </c>
      <c r="U54" s="12">
        <v>5.08</v>
      </c>
      <c r="V54" s="12">
        <v>24.21</v>
      </c>
      <c r="W54" s="12">
        <v>2.54</v>
      </c>
      <c r="X54" s="12">
        <v>3.2</v>
      </c>
      <c r="Y54" s="12">
        <v>2.25</v>
      </c>
      <c r="Z54" s="12">
        <v>3.04</v>
      </c>
      <c r="AA54" s="12">
        <f t="shared" si="2"/>
        <v>0</v>
      </c>
      <c r="AB54" s="12">
        <v>13.45</v>
      </c>
      <c r="AC54" s="12">
        <v>1.92</v>
      </c>
      <c r="AD54" s="12">
        <v>1.24</v>
      </c>
      <c r="AE54" s="12">
        <v>1.14</v>
      </c>
      <c r="AF54" s="12">
        <v>0.33</v>
      </c>
      <c r="AG54" s="12">
        <v>2.18</v>
      </c>
      <c r="AH54" s="12">
        <v>0.38</v>
      </c>
      <c r="AI54" s="12">
        <v>0.83</v>
      </c>
      <c r="AJ54" s="12">
        <v>439.8</v>
      </c>
      <c r="AK54" s="12">
        <v>2.66</v>
      </c>
      <c r="AL54" s="12">
        <v>137.41</v>
      </c>
      <c r="AM54" s="12">
        <v>5.8</v>
      </c>
      <c r="AN54" s="12">
        <v>62.97</v>
      </c>
      <c r="AO54" s="12">
        <v>514.23</v>
      </c>
      <c r="AP54" s="13">
        <f t="shared" si="3"/>
        <v>-1.07627</v>
      </c>
      <c r="AQ54" s="15">
        <v>0.25421253330187776</v>
      </c>
      <c r="AR54" s="13">
        <f t="shared" si="4"/>
        <v>0</v>
      </c>
      <c r="AS54" s="13">
        <f t="shared" si="38"/>
        <v>1</v>
      </c>
      <c r="AT54" s="13">
        <f t="shared" si="39"/>
        <v>1</v>
      </c>
      <c r="AU54" s="13">
        <f t="shared" si="40"/>
        <v>0</v>
      </c>
      <c r="AV54" s="13">
        <f t="shared" si="37"/>
        <v>0</v>
      </c>
      <c r="AW54" s="13">
        <f t="shared" si="36"/>
        <v>0</v>
      </c>
      <c r="AX54" s="13"/>
      <c r="AY54" s="13"/>
      <c r="AZ54" s="13"/>
    </row>
    <row r="55">
      <c r="A55" s="8" t="s">
        <v>97</v>
      </c>
      <c r="B55" s="9">
        <v>1544110.0</v>
      </c>
      <c r="C55" s="9">
        <v>1037695.0</v>
      </c>
      <c r="D55" s="9">
        <v>2998399.0</v>
      </c>
      <c r="E55" s="9">
        <v>506415.0</v>
      </c>
      <c r="F55" s="9">
        <v>1510552.0</v>
      </c>
      <c r="G55" s="9">
        <v>1425320.0</v>
      </c>
      <c r="H55" s="9">
        <v>131938.0</v>
      </c>
      <c r="I55" s="9">
        <v>85232.0</v>
      </c>
      <c r="J55" s="9">
        <v>53037.0</v>
      </c>
      <c r="K55" s="9">
        <v>812030.0</v>
      </c>
      <c r="L55" s="9">
        <v>-299065.0</v>
      </c>
      <c r="M55" s="9">
        <v>-272672.0</v>
      </c>
      <c r="N55" s="11">
        <f t="shared" si="1"/>
        <v>0</v>
      </c>
      <c r="O55" s="12">
        <v>0.01</v>
      </c>
      <c r="P55" s="9">
        <v>223603.0</v>
      </c>
      <c r="Q55" s="9">
        <v>-58681.0</v>
      </c>
      <c r="R55" s="9">
        <v>-155007.0</v>
      </c>
      <c r="S55" s="9">
        <v>9915.0</v>
      </c>
      <c r="T55" s="12">
        <v>11.8</v>
      </c>
      <c r="U55" s="12">
        <v>5.29</v>
      </c>
      <c r="V55" s="12">
        <v>33.22</v>
      </c>
      <c r="W55" s="12">
        <v>3.51</v>
      </c>
      <c r="X55" s="12">
        <v>35.7</v>
      </c>
      <c r="Y55" s="12">
        <v>-37.7</v>
      </c>
      <c r="Z55" s="12">
        <v>-29.62</v>
      </c>
      <c r="AA55" s="12">
        <f t="shared" si="2"/>
        <v>0</v>
      </c>
      <c r="AB55" s="12">
        <v>5.64</v>
      </c>
      <c r="AC55" s="12">
        <v>2.05</v>
      </c>
      <c r="AD55" s="12">
        <v>2.89</v>
      </c>
      <c r="AE55" s="12">
        <v>1.51</v>
      </c>
      <c r="AF55" s="12">
        <v>0.7</v>
      </c>
      <c r="AG55" s="12">
        <v>4.32</v>
      </c>
      <c r="AH55" s="12">
        <v>0.94</v>
      </c>
      <c r="AI55" s="12">
        <v>1.99</v>
      </c>
      <c r="AJ55" s="12">
        <v>183.38</v>
      </c>
      <c r="AK55" s="12">
        <v>3.81</v>
      </c>
      <c r="AL55" s="12">
        <v>95.73</v>
      </c>
      <c r="AM55" s="12">
        <v>3.28</v>
      </c>
      <c r="AN55" s="12">
        <v>111.25</v>
      </c>
      <c r="AO55" s="12">
        <v>167.86</v>
      </c>
      <c r="AP55" s="13">
        <f t="shared" si="3"/>
        <v>-0.97862</v>
      </c>
      <c r="AQ55" s="15">
        <v>0.2731656916248527</v>
      </c>
      <c r="AR55" s="13">
        <f t="shared" si="4"/>
        <v>0</v>
      </c>
      <c r="AS55" s="13">
        <f t="shared" si="38"/>
        <v>1</v>
      </c>
      <c r="AT55" s="13">
        <f t="shared" si="39"/>
        <v>1</v>
      </c>
      <c r="AU55" s="13">
        <f t="shared" si="40"/>
        <v>0</v>
      </c>
      <c r="AV55" s="13">
        <f t="shared" si="37"/>
        <v>0</v>
      </c>
      <c r="AW55" s="13">
        <f t="shared" si="36"/>
        <v>0</v>
      </c>
      <c r="AX55" s="13"/>
      <c r="AY55" s="13"/>
      <c r="AZ55" s="13"/>
    </row>
    <row r="56">
      <c r="A56" s="8" t="s">
        <v>98</v>
      </c>
      <c r="B56" s="9">
        <v>2138417.4</v>
      </c>
      <c r="C56" s="9">
        <v>1231508.9</v>
      </c>
      <c r="D56" s="9">
        <v>280000.0</v>
      </c>
      <c r="E56" s="9">
        <v>904998.17</v>
      </c>
      <c r="F56" s="9">
        <v>1261307.45</v>
      </c>
      <c r="G56" s="9">
        <v>1214087.93</v>
      </c>
      <c r="H56" s="9">
        <v>97585.07</v>
      </c>
      <c r="I56" s="9">
        <v>46810.07</v>
      </c>
      <c r="J56" s="9">
        <v>23350.74</v>
      </c>
      <c r="K56" s="9">
        <v>26744.51</v>
      </c>
      <c r="L56" s="9">
        <v>52192.0</v>
      </c>
      <c r="M56" s="9">
        <v>28606.51</v>
      </c>
      <c r="N56" s="11">
        <f t="shared" si="1"/>
        <v>0</v>
      </c>
      <c r="O56" s="12">
        <v>0.04</v>
      </c>
      <c r="P56" s="9">
        <v>-34952.46</v>
      </c>
      <c r="Q56" s="9">
        <v>-113955.29</v>
      </c>
      <c r="R56" s="9">
        <v>143314.74</v>
      </c>
      <c r="S56" s="9">
        <v>-5593.01</v>
      </c>
      <c r="T56" s="12">
        <v>2.61</v>
      </c>
      <c r="U56" s="12">
        <v>2.34</v>
      </c>
      <c r="V56" s="12">
        <v>12.44</v>
      </c>
      <c r="W56" s="12">
        <v>1.88</v>
      </c>
      <c r="X56" s="12">
        <v>1.87</v>
      </c>
      <c r="Y56" s="12">
        <v>3.46</v>
      </c>
      <c r="Z56" s="12">
        <v>1.73</v>
      </c>
      <c r="AA56" s="12">
        <f t="shared" si="2"/>
        <v>0</v>
      </c>
      <c r="AB56" s="12">
        <v>3.71</v>
      </c>
      <c r="AC56" s="12">
        <v>1.36</v>
      </c>
      <c r="AD56" s="12">
        <v>1.8</v>
      </c>
      <c r="AE56" s="12">
        <v>1.03</v>
      </c>
      <c r="AF56" s="12">
        <v>0.43</v>
      </c>
      <c r="AG56" s="12">
        <v>1.17</v>
      </c>
      <c r="AH56" s="12">
        <v>0.63</v>
      </c>
      <c r="AI56" s="12">
        <v>12.61</v>
      </c>
      <c r="AJ56" s="12">
        <v>28.94</v>
      </c>
      <c r="AK56" s="12">
        <v>4.77</v>
      </c>
      <c r="AL56" s="12">
        <v>76.57</v>
      </c>
      <c r="AM56" s="12">
        <v>5.93</v>
      </c>
      <c r="AN56" s="12">
        <v>61.56</v>
      </c>
      <c r="AO56" s="12">
        <v>43.94</v>
      </c>
      <c r="AP56" s="13">
        <f t="shared" si="3"/>
        <v>-1.26592</v>
      </c>
      <c r="AQ56" s="15">
        <v>0.21995648075441981</v>
      </c>
      <c r="AR56" s="13">
        <f t="shared" si="4"/>
        <v>0</v>
      </c>
      <c r="AS56" s="13">
        <f t="shared" si="38"/>
        <v>1</v>
      </c>
      <c r="AT56" s="13">
        <f t="shared" si="39"/>
        <v>1</v>
      </c>
      <c r="AU56" s="13">
        <f t="shared" si="40"/>
        <v>0</v>
      </c>
      <c r="AV56" s="13">
        <f t="shared" si="37"/>
        <v>0</v>
      </c>
      <c r="AW56" s="13">
        <f t="shared" si="36"/>
        <v>0</v>
      </c>
      <c r="AX56" s="13"/>
      <c r="AY56" s="13"/>
      <c r="AZ56" s="13"/>
    </row>
    <row r="57">
      <c r="A57" s="8" t="s">
        <v>99</v>
      </c>
      <c r="B57" s="9">
        <v>543187.7</v>
      </c>
      <c r="C57" s="9">
        <v>103483.97</v>
      </c>
      <c r="D57" s="9">
        <v>180000.0</v>
      </c>
      <c r="E57" s="9">
        <v>439703.72</v>
      </c>
      <c r="F57" s="9">
        <v>312952.67</v>
      </c>
      <c r="G57" s="9">
        <v>275210.27</v>
      </c>
      <c r="H57" s="9">
        <v>37434.87</v>
      </c>
      <c r="I57" s="9">
        <v>29922.31</v>
      </c>
      <c r="J57" s="9">
        <v>24075.78</v>
      </c>
      <c r="K57" s="9" t="e">
        <v>#N/A</v>
      </c>
      <c r="L57" s="9" t="e">
        <v>#N/A</v>
      </c>
      <c r="M57" s="9" t="e">
        <v>#N/A</v>
      </c>
      <c r="N57" s="11" t="str">
        <f t="shared" si="1"/>
        <v>#N/A</v>
      </c>
      <c r="O57" s="12">
        <v>0.07</v>
      </c>
      <c r="P57" s="9">
        <v>69115.88</v>
      </c>
      <c r="Q57" s="9">
        <v>-2418.56</v>
      </c>
      <c r="R57" s="12">
        <v>-69.1</v>
      </c>
      <c r="S57" s="9">
        <v>66628.22</v>
      </c>
      <c r="T57" s="12">
        <v>5.65</v>
      </c>
      <c r="U57" s="12">
        <v>5.76</v>
      </c>
      <c r="V57" s="12">
        <v>29.24</v>
      </c>
      <c r="W57" s="12">
        <v>7.69</v>
      </c>
      <c r="X57" s="12" t="e">
        <v>#N/A</v>
      </c>
      <c r="Y57" s="12" t="e">
        <v>#N/A</v>
      </c>
      <c r="Z57" s="12" t="e">
        <v>#N/A</v>
      </c>
      <c r="AA57" s="12" t="str">
        <f t="shared" si="2"/>
        <v>#N/A</v>
      </c>
      <c r="AB57" s="12">
        <v>9.56</v>
      </c>
      <c r="AC57" s="12">
        <v>0.24</v>
      </c>
      <c r="AD57" s="12" t="s">
        <v>47</v>
      </c>
      <c r="AE57" s="12">
        <v>3.96</v>
      </c>
      <c r="AF57" s="12">
        <v>3.71</v>
      </c>
      <c r="AG57" s="12">
        <v>2.08</v>
      </c>
      <c r="AH57" s="12">
        <v>0.6</v>
      </c>
      <c r="AI57" s="12">
        <v>18.06</v>
      </c>
      <c r="AJ57" s="12">
        <v>20.21</v>
      </c>
      <c r="AK57" s="12">
        <v>2.38</v>
      </c>
      <c r="AL57" s="12">
        <v>153.16</v>
      </c>
      <c r="AM57" s="12">
        <v>3.38</v>
      </c>
      <c r="AN57" s="12">
        <v>107.99</v>
      </c>
      <c r="AO57" s="12">
        <v>65.38</v>
      </c>
      <c r="AP57" s="13" t="str">
        <f t="shared" si="3"/>
        <v>#VALUE!</v>
      </c>
      <c r="AQ57" s="15" t="e">
        <v>#VALUE!</v>
      </c>
      <c r="AR57" s="13" t="str">
        <f t="shared" si="4"/>
        <v>#VALUE!</v>
      </c>
      <c r="AS57" s="13"/>
      <c r="AT57" s="13"/>
      <c r="AU57" s="13"/>
      <c r="AV57" s="13">
        <f t="shared" si="37"/>
        <v>0</v>
      </c>
      <c r="AW57" s="13">
        <f t="shared" si="36"/>
        <v>0</v>
      </c>
      <c r="AX57" s="13"/>
      <c r="AY57" s="13"/>
      <c r="AZ57" s="13"/>
    </row>
    <row r="58">
      <c r="A58" s="8" t="s">
        <v>100</v>
      </c>
      <c r="B58" s="9">
        <v>3719200.0</v>
      </c>
      <c r="C58" s="9">
        <v>1600236.0</v>
      </c>
      <c r="D58" s="9">
        <v>378257.0</v>
      </c>
      <c r="E58" s="9">
        <v>2118964.0</v>
      </c>
      <c r="F58" s="9">
        <v>2680336.0</v>
      </c>
      <c r="G58" s="9">
        <v>2100069.0</v>
      </c>
      <c r="H58" s="9">
        <v>731161.0</v>
      </c>
      <c r="I58" s="9">
        <v>531402.0</v>
      </c>
      <c r="J58" s="9">
        <v>408562.0</v>
      </c>
      <c r="K58" s="9">
        <v>328979.0</v>
      </c>
      <c r="L58" s="9">
        <v>18747.63</v>
      </c>
      <c r="M58" s="9" t="e">
        <v>#N/A</v>
      </c>
      <c r="N58" s="11" t="str">
        <f t="shared" si="1"/>
        <v>#N/A</v>
      </c>
      <c r="O58" s="12">
        <v>0.27</v>
      </c>
      <c r="P58" s="9">
        <v>298980.0</v>
      </c>
      <c r="Q58" s="9">
        <v>-129265.0</v>
      </c>
      <c r="R58" s="9">
        <v>99274.0</v>
      </c>
      <c r="S58" s="9">
        <v>268989.0</v>
      </c>
      <c r="T58" s="12">
        <v>20.8</v>
      </c>
      <c r="U58" s="12">
        <v>15.51</v>
      </c>
      <c r="V58" s="12">
        <v>29.19</v>
      </c>
      <c r="W58" s="12">
        <v>15.24</v>
      </c>
      <c r="X58" s="12">
        <v>15.4</v>
      </c>
      <c r="Y58" s="12">
        <v>1.01</v>
      </c>
      <c r="Z58" s="12" t="e">
        <v>#N/A</v>
      </c>
      <c r="AA58" s="12" t="str">
        <f t="shared" si="2"/>
        <v>#N/A</v>
      </c>
      <c r="AB58" s="12">
        <v>19.83</v>
      </c>
      <c r="AC58" s="12">
        <v>0.76</v>
      </c>
      <c r="AD58" s="12">
        <v>28.28</v>
      </c>
      <c r="AE58" s="12">
        <v>1.63</v>
      </c>
      <c r="AF58" s="12">
        <v>1.14</v>
      </c>
      <c r="AG58" s="12">
        <v>2.23</v>
      </c>
      <c r="AH58" s="12">
        <v>0.78</v>
      </c>
      <c r="AI58" s="12">
        <v>3.17</v>
      </c>
      <c r="AJ58" s="12">
        <v>115.15</v>
      </c>
      <c r="AK58" s="12">
        <v>2.27</v>
      </c>
      <c r="AL58" s="12">
        <v>161.14</v>
      </c>
      <c r="AM58" s="12">
        <v>5.06</v>
      </c>
      <c r="AN58" s="12">
        <v>72.12</v>
      </c>
      <c r="AO58" s="12">
        <v>204.17</v>
      </c>
      <c r="AP58" s="13">
        <f t="shared" si="3"/>
        <v>-5.38706</v>
      </c>
      <c r="AQ58" s="15">
        <v>0.0045545662860148415</v>
      </c>
      <c r="AR58" s="13">
        <f t="shared" si="4"/>
        <v>0</v>
      </c>
      <c r="AS58" s="13"/>
      <c r="AT58" s="13"/>
      <c r="AU58" s="13"/>
      <c r="AV58" s="13" t="str">
        <f t="shared" si="37"/>
        <v/>
      </c>
      <c r="AW58" s="13" t="str">
        <f t="shared" si="36"/>
        <v/>
      </c>
      <c r="AX58" s="13"/>
      <c r="AY58" s="13"/>
      <c r="AZ58" s="13"/>
    </row>
    <row r="59">
      <c r="A59" s="8" t="s">
        <v>101</v>
      </c>
      <c r="B59" s="9">
        <v>2834783.12</v>
      </c>
      <c r="C59" s="9">
        <v>1706834.31</v>
      </c>
      <c r="D59" s="9">
        <v>390000.0</v>
      </c>
      <c r="E59" s="9">
        <v>1127881.25</v>
      </c>
      <c r="F59" s="9">
        <v>2473725.1</v>
      </c>
      <c r="G59" s="9">
        <v>2130534.41</v>
      </c>
      <c r="H59" s="9">
        <v>867686.48</v>
      </c>
      <c r="I59" s="9">
        <v>387392.8</v>
      </c>
      <c r="J59" s="9">
        <v>301885.41</v>
      </c>
      <c r="K59" s="9">
        <v>400058.14</v>
      </c>
      <c r="L59" s="9">
        <v>464063.18</v>
      </c>
      <c r="M59" s="9">
        <v>584226.39</v>
      </c>
      <c r="N59" s="11">
        <f t="shared" si="1"/>
        <v>0</v>
      </c>
      <c r="O59" s="12">
        <v>0.4</v>
      </c>
      <c r="P59" s="9">
        <v>601247.2</v>
      </c>
      <c r="Q59" s="9">
        <v>-346546.61</v>
      </c>
      <c r="R59" s="9">
        <v>-323015.38</v>
      </c>
      <c r="S59" s="9">
        <v>-68314.79</v>
      </c>
      <c r="T59" s="12">
        <v>26.77</v>
      </c>
      <c r="U59" s="12">
        <v>13.42</v>
      </c>
      <c r="V59" s="12">
        <v>17.0</v>
      </c>
      <c r="W59" s="12">
        <v>12.2</v>
      </c>
      <c r="X59" s="12">
        <v>13.67</v>
      </c>
      <c r="Y59" s="12">
        <v>14.84</v>
      </c>
      <c r="Z59" s="12">
        <v>17.06</v>
      </c>
      <c r="AA59" s="12">
        <f t="shared" si="2"/>
        <v>0</v>
      </c>
      <c r="AB59" s="12">
        <v>15.66</v>
      </c>
      <c r="AC59" s="12">
        <v>1.51</v>
      </c>
      <c r="AD59" s="12">
        <v>23.42</v>
      </c>
      <c r="AE59" s="12">
        <v>0.84</v>
      </c>
      <c r="AF59" s="12">
        <v>0.19</v>
      </c>
      <c r="AG59" s="12">
        <v>2.21</v>
      </c>
      <c r="AH59" s="12">
        <v>0.86</v>
      </c>
      <c r="AI59" s="12">
        <v>46.71</v>
      </c>
      <c r="AJ59" s="12">
        <v>7.81</v>
      </c>
      <c r="AK59" s="12" t="s">
        <v>47</v>
      </c>
      <c r="AL59" s="12" t="s">
        <v>46</v>
      </c>
      <c r="AM59" s="12">
        <v>3.11</v>
      </c>
      <c r="AN59" s="12">
        <v>117.41</v>
      </c>
      <c r="AO59" s="12">
        <v>-109.6</v>
      </c>
      <c r="AP59" s="13">
        <f t="shared" si="3"/>
        <v>-2.94026</v>
      </c>
      <c r="AQ59" s="15">
        <v>0.05019887521389751</v>
      </c>
      <c r="AR59" s="13">
        <f t="shared" si="4"/>
        <v>0</v>
      </c>
      <c r="AS59" s="13">
        <f t="shared" ref="AS59:AS60" si="41">IF(AR59=N59,1,0)</f>
        <v>1</v>
      </c>
      <c r="AT59" s="13">
        <f t="shared" ref="AT59:AT60" si="42">IF(AND(AR59=0,AS59=1),1,0)</f>
        <v>1</v>
      </c>
      <c r="AU59" s="13">
        <f t="shared" ref="AU59:AU60" si="43">IF(AND(AR59=0,AS59=0),1,0)</f>
        <v>0</v>
      </c>
      <c r="AV59" s="13">
        <f t="shared" si="37"/>
        <v>0</v>
      </c>
      <c r="AW59" s="13">
        <f t="shared" si="36"/>
        <v>0</v>
      </c>
      <c r="AX59" s="13"/>
      <c r="AY59" s="13"/>
      <c r="AZ59" s="13"/>
    </row>
    <row r="60">
      <c r="A60" s="8" t="s">
        <v>102</v>
      </c>
      <c r="B60" s="9">
        <v>1139700.53</v>
      </c>
      <c r="C60" s="9">
        <v>428663.21</v>
      </c>
      <c r="D60" s="9">
        <v>282571.48</v>
      </c>
      <c r="E60" s="9">
        <v>495566.74</v>
      </c>
      <c r="F60" s="9">
        <v>776092.75</v>
      </c>
      <c r="G60" s="9">
        <v>716507.93</v>
      </c>
      <c r="H60" s="9">
        <v>95276.03</v>
      </c>
      <c r="I60" s="9">
        <v>59584.82</v>
      </c>
      <c r="J60" s="9">
        <v>32945.93</v>
      </c>
      <c r="K60" s="9">
        <v>37977.77</v>
      </c>
      <c r="L60" s="9">
        <v>-92944.89</v>
      </c>
      <c r="M60" s="9">
        <v>-252266.29</v>
      </c>
      <c r="N60" s="11">
        <f t="shared" si="1"/>
        <v>0</v>
      </c>
      <c r="O60" s="12">
        <v>0.06</v>
      </c>
      <c r="P60" s="9">
        <v>54381.97</v>
      </c>
      <c r="Q60" s="9">
        <v>-94611.74</v>
      </c>
      <c r="R60" s="9">
        <v>236743.61</v>
      </c>
      <c r="S60" s="9">
        <v>196513.83</v>
      </c>
      <c r="T60" s="12">
        <v>8.02</v>
      </c>
      <c r="U60" s="12">
        <v>6.01</v>
      </c>
      <c r="V60" s="12">
        <v>25.8</v>
      </c>
      <c r="W60" s="12">
        <v>5.04</v>
      </c>
      <c r="X60" s="12">
        <v>6.57</v>
      </c>
      <c r="Y60" s="12">
        <v>-17.23</v>
      </c>
      <c r="Z60" s="12">
        <v>-30.64</v>
      </c>
      <c r="AA60" s="12">
        <f t="shared" si="2"/>
        <v>0</v>
      </c>
      <c r="AB60" s="12">
        <v>7.68</v>
      </c>
      <c r="AC60" s="12">
        <v>0.6</v>
      </c>
      <c r="AD60" s="12">
        <v>6.71</v>
      </c>
      <c r="AE60" s="12">
        <v>2.28</v>
      </c>
      <c r="AF60" s="12">
        <v>1.71</v>
      </c>
      <c r="AG60" s="12">
        <v>2.57</v>
      </c>
      <c r="AH60" s="12">
        <v>0.78</v>
      </c>
      <c r="AI60" s="12">
        <v>3.73</v>
      </c>
      <c r="AJ60" s="12">
        <v>97.87</v>
      </c>
      <c r="AK60" s="12">
        <v>3.08</v>
      </c>
      <c r="AL60" s="12">
        <v>118.51</v>
      </c>
      <c r="AM60" s="12">
        <v>3.37</v>
      </c>
      <c r="AN60" s="12">
        <v>108.28</v>
      </c>
      <c r="AO60" s="12">
        <v>108.1</v>
      </c>
      <c r="AP60" s="13">
        <f t="shared" si="3"/>
        <v>-3.93958</v>
      </c>
      <c r="AQ60" s="15">
        <v>0.01908505847129875</v>
      </c>
      <c r="AR60" s="13">
        <f t="shared" si="4"/>
        <v>0</v>
      </c>
      <c r="AS60" s="13">
        <f t="shared" si="41"/>
        <v>1</v>
      </c>
      <c r="AT60" s="13">
        <f t="shared" si="42"/>
        <v>1</v>
      </c>
      <c r="AU60" s="13">
        <f t="shared" si="43"/>
        <v>0</v>
      </c>
      <c r="AV60" s="13">
        <f t="shared" si="37"/>
        <v>0</v>
      </c>
      <c r="AW60" s="13">
        <f t="shared" si="36"/>
        <v>0</v>
      </c>
      <c r="AX60" s="13"/>
      <c r="AY60" s="13"/>
      <c r="AZ60" s="13"/>
    </row>
    <row r="61">
      <c r="A61" s="8" t="s">
        <v>103</v>
      </c>
      <c r="B61" s="9">
        <v>1396202.19</v>
      </c>
      <c r="C61" s="9">
        <v>979697.71</v>
      </c>
      <c r="D61" s="9">
        <v>186703.66</v>
      </c>
      <c r="E61" s="9">
        <v>416504.48</v>
      </c>
      <c r="F61" s="9">
        <v>213675.38</v>
      </c>
      <c r="G61" s="9">
        <v>246439.29</v>
      </c>
      <c r="H61" s="9">
        <v>-22514.91</v>
      </c>
      <c r="I61" s="9">
        <v>-32763.91</v>
      </c>
      <c r="J61" s="9">
        <v>-100636.39</v>
      </c>
      <c r="K61" s="9">
        <v>-58565.19</v>
      </c>
      <c r="L61" s="9">
        <v>3900.82</v>
      </c>
      <c r="M61" s="9">
        <v>53080.6</v>
      </c>
      <c r="N61" s="11">
        <f t="shared" si="1"/>
        <v>0</v>
      </c>
      <c r="O61" s="12">
        <v>-0.3</v>
      </c>
      <c r="P61" s="9">
        <v>323398.94</v>
      </c>
      <c r="Q61" s="12">
        <v>-437.24</v>
      </c>
      <c r="R61" s="9">
        <v>-309015.11</v>
      </c>
      <c r="S61" s="9">
        <v>13946.58</v>
      </c>
      <c r="T61" s="12">
        <v>-23.0</v>
      </c>
      <c r="U61" s="12">
        <v>-2.01</v>
      </c>
      <c r="V61" s="12">
        <v>58.2</v>
      </c>
      <c r="W61" s="12">
        <v>-47.1</v>
      </c>
      <c r="X61" s="12">
        <v>-23.1</v>
      </c>
      <c r="Y61" s="12">
        <v>1.18</v>
      </c>
      <c r="Z61" s="12">
        <v>14.8</v>
      </c>
      <c r="AA61" s="12">
        <f t="shared" si="2"/>
        <v>0</v>
      </c>
      <c r="AB61" s="12">
        <v>-15.33</v>
      </c>
      <c r="AC61" s="12">
        <v>2.35</v>
      </c>
      <c r="AD61" s="12">
        <v>-0.38</v>
      </c>
      <c r="AE61" s="12">
        <v>0.75</v>
      </c>
      <c r="AF61" s="12">
        <v>0.09</v>
      </c>
      <c r="AG61" s="12" t="s">
        <v>46</v>
      </c>
      <c r="AH61" s="12">
        <v>0.13</v>
      </c>
      <c r="AI61" s="12" t="s">
        <v>47</v>
      </c>
      <c r="AJ61" s="12" t="s">
        <v>46</v>
      </c>
      <c r="AK61" s="12" t="s">
        <v>47</v>
      </c>
      <c r="AL61" s="12" t="s">
        <v>46</v>
      </c>
      <c r="AM61" s="12" t="s">
        <v>47</v>
      </c>
      <c r="AN61" s="12" t="s">
        <v>46</v>
      </c>
      <c r="AO61" s="12" t="s">
        <v>46</v>
      </c>
      <c r="AP61" s="13" t="str">
        <f t="shared" si="3"/>
        <v>#VALUE!</v>
      </c>
      <c r="AQ61" s="15" t="e">
        <v>#VALUE!</v>
      </c>
      <c r="AR61" s="13" t="str">
        <f t="shared" si="4"/>
        <v>#VALUE!</v>
      </c>
      <c r="AS61" s="13"/>
      <c r="AT61" s="13"/>
      <c r="AU61" s="13"/>
      <c r="AV61" s="13">
        <f t="shared" si="37"/>
        <v>0</v>
      </c>
      <c r="AW61" s="13">
        <f t="shared" si="36"/>
        <v>0</v>
      </c>
      <c r="AX61" s="13"/>
      <c r="AY61" s="13"/>
      <c r="AZ61" s="13"/>
    </row>
    <row r="62">
      <c r="A62" s="8" t="s">
        <v>104</v>
      </c>
      <c r="B62" s="9">
        <v>355584.04</v>
      </c>
      <c r="C62" s="9">
        <v>35355.86</v>
      </c>
      <c r="D62" s="9">
        <v>135000.0</v>
      </c>
      <c r="E62" s="9">
        <v>320228.18</v>
      </c>
      <c r="F62" s="9">
        <v>138120.36</v>
      </c>
      <c r="G62" s="9">
        <v>98591.31</v>
      </c>
      <c r="H62" s="9">
        <v>57834.17</v>
      </c>
      <c r="I62" s="9">
        <v>36532.62</v>
      </c>
      <c r="J62" s="9">
        <v>28963.49</v>
      </c>
      <c r="K62" s="9" t="e">
        <v>#N/A</v>
      </c>
      <c r="L62" s="9" t="e">
        <v>#N/A</v>
      </c>
      <c r="M62" s="9" t="e">
        <v>#N/A</v>
      </c>
      <c r="N62" s="11" t="str">
        <f t="shared" si="1"/>
        <v>#N/A</v>
      </c>
      <c r="O62" s="12">
        <v>0.11</v>
      </c>
      <c r="P62" s="9">
        <v>46389.69</v>
      </c>
      <c r="Q62" s="9">
        <v>2103.83</v>
      </c>
      <c r="R62" s="9">
        <v>-5399.81</v>
      </c>
      <c r="S62" s="9">
        <v>43093.71</v>
      </c>
      <c r="T62" s="12">
        <v>9.39</v>
      </c>
      <c r="U62" s="12">
        <v>10.88</v>
      </c>
      <c r="V62" s="12">
        <v>51.71</v>
      </c>
      <c r="W62" s="12">
        <v>20.97</v>
      </c>
      <c r="X62" s="12" t="e">
        <v>#N/A</v>
      </c>
      <c r="Y62" s="12" t="e">
        <v>#N/A</v>
      </c>
      <c r="Z62" s="12" t="e">
        <v>#N/A</v>
      </c>
      <c r="AA62" s="12" t="str">
        <f t="shared" si="2"/>
        <v>#N/A</v>
      </c>
      <c r="AB62" s="12">
        <v>26.45</v>
      </c>
      <c r="AC62" s="12">
        <v>0.11</v>
      </c>
      <c r="AD62" s="12" t="s">
        <v>47</v>
      </c>
      <c r="AE62" s="12">
        <v>6.19</v>
      </c>
      <c r="AF62" s="12">
        <v>3.8</v>
      </c>
      <c r="AG62" s="12">
        <v>3.02</v>
      </c>
      <c r="AH62" s="12">
        <v>0.41</v>
      </c>
      <c r="AI62" s="12">
        <v>106.26</v>
      </c>
      <c r="AJ62" s="12">
        <v>3.44</v>
      </c>
      <c r="AK62" s="12">
        <v>9.06</v>
      </c>
      <c r="AL62" s="12">
        <v>40.29</v>
      </c>
      <c r="AM62" s="12">
        <v>3.04</v>
      </c>
      <c r="AN62" s="12">
        <v>120.24</v>
      </c>
      <c r="AO62" s="12">
        <v>-76.52</v>
      </c>
      <c r="AP62" s="13" t="str">
        <f t="shared" si="3"/>
        <v>#VALUE!</v>
      </c>
      <c r="AQ62" s="15" t="e">
        <v>#VALUE!</v>
      </c>
      <c r="AR62" s="13" t="str">
        <f t="shared" si="4"/>
        <v>#VALUE!</v>
      </c>
      <c r="AS62" s="13"/>
      <c r="AT62" s="13"/>
      <c r="AU62" s="13"/>
      <c r="AV62" s="13">
        <f t="shared" si="37"/>
        <v>0</v>
      </c>
      <c r="AW62" s="13">
        <f t="shared" si="36"/>
        <v>0</v>
      </c>
      <c r="AX62" s="13"/>
      <c r="AY62" s="13"/>
      <c r="AZ62" s="13"/>
    </row>
    <row r="63">
      <c r="A63" s="8" t="s">
        <v>105</v>
      </c>
      <c r="B63" s="9">
        <v>296952.87</v>
      </c>
      <c r="C63" s="9">
        <v>47539.61</v>
      </c>
      <c r="D63" s="9">
        <v>125000.0</v>
      </c>
      <c r="E63" s="9">
        <v>225832.31</v>
      </c>
      <c r="F63" s="9">
        <v>119565.21</v>
      </c>
      <c r="G63" s="9">
        <v>101933.56</v>
      </c>
      <c r="H63" s="9">
        <v>30557.89</v>
      </c>
      <c r="I63" s="9">
        <v>23429.32</v>
      </c>
      <c r="J63" s="9">
        <v>15488.95</v>
      </c>
      <c r="K63" s="9">
        <v>-15636.58</v>
      </c>
      <c r="L63" s="9" t="e">
        <v>#N/A</v>
      </c>
      <c r="M63" s="9" t="e">
        <v>#N/A</v>
      </c>
      <c r="N63" s="11" t="str">
        <f t="shared" si="1"/>
        <v>#N/A</v>
      </c>
      <c r="O63" s="12">
        <v>0.06</v>
      </c>
      <c r="P63" s="9">
        <v>20260.2</v>
      </c>
      <c r="Q63" s="9">
        <v>6052.31</v>
      </c>
      <c r="R63" s="9">
        <v>-3240.9</v>
      </c>
      <c r="S63" s="9">
        <v>23071.62</v>
      </c>
      <c r="T63" s="12">
        <v>7.11</v>
      </c>
      <c r="U63" s="12">
        <v>8.75</v>
      </c>
      <c r="V63" s="12">
        <v>43.15</v>
      </c>
      <c r="W63" s="12">
        <v>17.36</v>
      </c>
      <c r="X63" s="12">
        <v>-17.33</v>
      </c>
      <c r="Y63" s="12" t="e">
        <v>#N/A</v>
      </c>
      <c r="Z63" s="12" t="e">
        <v>#N/A</v>
      </c>
      <c r="AA63" s="12" t="str">
        <f t="shared" si="2"/>
        <v>#N/A</v>
      </c>
      <c r="AB63" s="12">
        <v>19.6</v>
      </c>
      <c r="AC63" s="12">
        <v>0.19</v>
      </c>
      <c r="AD63" s="12">
        <v>16.78</v>
      </c>
      <c r="AE63" s="12">
        <v>9.18</v>
      </c>
      <c r="AF63" s="12">
        <v>8.04</v>
      </c>
      <c r="AG63" s="12">
        <v>4.41</v>
      </c>
      <c r="AH63" s="12">
        <v>0.45</v>
      </c>
      <c r="AI63" s="12">
        <v>690.7</v>
      </c>
      <c r="AJ63" s="12">
        <v>0.53</v>
      </c>
      <c r="AK63" s="12">
        <v>13.0</v>
      </c>
      <c r="AL63" s="12">
        <v>28.08</v>
      </c>
      <c r="AM63" s="12">
        <v>6.19</v>
      </c>
      <c r="AN63" s="12">
        <v>58.92</v>
      </c>
      <c r="AO63" s="12">
        <v>-30.31</v>
      </c>
      <c r="AP63" s="13">
        <f t="shared" si="3"/>
        <v>-10.21793</v>
      </c>
      <c r="AQ63" s="15">
        <v>3.650846125162818E-5</v>
      </c>
      <c r="AR63" s="13">
        <f t="shared" si="4"/>
        <v>0</v>
      </c>
      <c r="AS63" s="13"/>
      <c r="AT63" s="13"/>
      <c r="AU63" s="13"/>
      <c r="AV63" s="13" t="str">
        <f t="shared" si="37"/>
        <v/>
      </c>
      <c r="AW63" s="13" t="str">
        <f t="shared" si="36"/>
        <v/>
      </c>
      <c r="AX63" s="13"/>
      <c r="AY63" s="13"/>
      <c r="AZ63" s="13"/>
    </row>
    <row r="64">
      <c r="A64" s="8" t="s">
        <v>106</v>
      </c>
      <c r="B64" s="9">
        <v>1002882.63</v>
      </c>
      <c r="C64" s="9">
        <v>302190.23</v>
      </c>
      <c r="D64" s="9">
        <v>240000.0</v>
      </c>
      <c r="E64" s="9">
        <v>700691.41</v>
      </c>
      <c r="F64" s="9">
        <v>1119548.7</v>
      </c>
      <c r="G64" s="9">
        <v>1063687.32</v>
      </c>
      <c r="H64" s="9">
        <v>88178.95</v>
      </c>
      <c r="I64" s="9">
        <v>56667.92</v>
      </c>
      <c r="J64" s="9">
        <v>44483.34</v>
      </c>
      <c r="K64" s="9">
        <v>-58790.99</v>
      </c>
      <c r="L64" s="9">
        <v>33779.46</v>
      </c>
      <c r="M64" s="9">
        <v>82527.16</v>
      </c>
      <c r="N64" s="11">
        <f t="shared" si="1"/>
        <v>0</v>
      </c>
      <c r="O64" s="12">
        <v>0.05</v>
      </c>
      <c r="P64" s="9">
        <v>55749.89</v>
      </c>
      <c r="Q64" s="9">
        <v>-8257.83</v>
      </c>
      <c r="R64" s="9">
        <v>-7932.37</v>
      </c>
      <c r="S64" s="9">
        <v>39559.69</v>
      </c>
      <c r="T64" s="12">
        <v>6.59</v>
      </c>
      <c r="U64" s="12">
        <v>5.61</v>
      </c>
      <c r="V64" s="12">
        <v>18.45</v>
      </c>
      <c r="W64" s="12">
        <v>3.97</v>
      </c>
      <c r="X64" s="12">
        <v>-6.58</v>
      </c>
      <c r="Y64" s="12">
        <v>3.01</v>
      </c>
      <c r="Z64" s="12">
        <v>5.86</v>
      </c>
      <c r="AA64" s="12">
        <f t="shared" si="2"/>
        <v>0</v>
      </c>
      <c r="AB64" s="12">
        <v>5.06</v>
      </c>
      <c r="AC64" s="12">
        <v>0.43</v>
      </c>
      <c r="AD64" s="12">
        <v>21.71</v>
      </c>
      <c r="AE64" s="12">
        <v>2.9</v>
      </c>
      <c r="AF64" s="12">
        <v>1.51</v>
      </c>
      <c r="AG64" s="12">
        <v>4.12</v>
      </c>
      <c r="AH64" s="12">
        <v>1.11</v>
      </c>
      <c r="AI64" s="12">
        <v>7.06</v>
      </c>
      <c r="AJ64" s="12">
        <v>51.66</v>
      </c>
      <c r="AK64" s="12">
        <v>6.33</v>
      </c>
      <c r="AL64" s="12">
        <v>57.63</v>
      </c>
      <c r="AM64" s="12">
        <v>5.45</v>
      </c>
      <c r="AN64" s="12">
        <v>66.98</v>
      </c>
      <c r="AO64" s="12">
        <v>42.31</v>
      </c>
      <c r="AP64" s="13">
        <f t="shared" si="3"/>
        <v>-4.15595</v>
      </c>
      <c r="AQ64" s="15">
        <v>0.015429108734802086</v>
      </c>
      <c r="AR64" s="13">
        <f t="shared" si="4"/>
        <v>0</v>
      </c>
      <c r="AS64" s="13">
        <f t="shared" ref="AS64:AS67" si="44">IF(AR64=N64,1,0)</f>
        <v>1</v>
      </c>
      <c r="AT64" s="13">
        <f t="shared" ref="AT64:AT67" si="45">IF(AND(AR64=0,AS64=1),1,0)</f>
        <v>1</v>
      </c>
      <c r="AU64" s="13">
        <f t="shared" ref="AU64:AU67" si="46">IF(AND(AR64=0,AS64=0),1,0)</f>
        <v>0</v>
      </c>
      <c r="AV64" s="13">
        <f t="shared" si="37"/>
        <v>0</v>
      </c>
      <c r="AW64" s="13">
        <f t="shared" si="36"/>
        <v>0</v>
      </c>
      <c r="AX64" s="13"/>
      <c r="AY64" s="13"/>
      <c r="AZ64" s="13"/>
    </row>
    <row r="65">
      <c r="A65" s="8" t="s">
        <v>107</v>
      </c>
      <c r="B65" s="9">
        <v>5543053.58</v>
      </c>
      <c r="C65" s="9">
        <v>1419995.45</v>
      </c>
      <c r="D65" s="9">
        <v>6565391.68</v>
      </c>
      <c r="E65" s="9">
        <v>3893842.63</v>
      </c>
      <c r="F65" s="9">
        <v>371526.31</v>
      </c>
      <c r="G65" s="9">
        <v>536339.21</v>
      </c>
      <c r="H65" s="9">
        <v>1666.66</v>
      </c>
      <c r="I65" s="9">
        <v>-140201.85</v>
      </c>
      <c r="J65" s="9">
        <v>-211712.13</v>
      </c>
      <c r="K65" s="9">
        <v>-12228.89</v>
      </c>
      <c r="L65" s="9">
        <v>-84757.89</v>
      </c>
      <c r="M65" s="9">
        <v>-63688.36</v>
      </c>
      <c r="N65" s="11">
        <f t="shared" si="1"/>
        <v>1</v>
      </c>
      <c r="O65" s="12">
        <v>-0.02</v>
      </c>
      <c r="P65" s="9">
        <v>28304.51</v>
      </c>
      <c r="Q65" s="9">
        <v>-1101490.18</v>
      </c>
      <c r="R65" s="9">
        <v>1111363.46</v>
      </c>
      <c r="S65" s="9">
        <v>38177.79</v>
      </c>
      <c r="T65" s="12">
        <v>-6.12</v>
      </c>
      <c r="U65" s="12">
        <v>-2.73</v>
      </c>
      <c r="V65" s="12">
        <v>47.67</v>
      </c>
      <c r="W65" s="12">
        <v>-54.76</v>
      </c>
      <c r="X65" s="12">
        <v>-1.51</v>
      </c>
      <c r="Y65" s="12">
        <v>-160.22</v>
      </c>
      <c r="Z65" s="12">
        <v>-83.04</v>
      </c>
      <c r="AA65" s="12">
        <f t="shared" si="2"/>
        <v>1</v>
      </c>
      <c r="AB65" s="12">
        <v>-37.74</v>
      </c>
      <c r="AC65" s="12">
        <v>0.34</v>
      </c>
      <c r="AD65" s="12">
        <v>-1.95</v>
      </c>
      <c r="AE65" s="12">
        <v>2.17</v>
      </c>
      <c r="AF65" s="12">
        <v>1.23</v>
      </c>
      <c r="AG65" s="12">
        <v>0.25</v>
      </c>
      <c r="AH65" s="12">
        <v>0.07</v>
      </c>
      <c r="AI65" s="12">
        <v>0.33</v>
      </c>
      <c r="AJ65" s="9">
        <v>1106.92</v>
      </c>
      <c r="AK65" s="12">
        <v>3.26</v>
      </c>
      <c r="AL65" s="12">
        <v>112.03</v>
      </c>
      <c r="AM65" s="12">
        <v>3.15</v>
      </c>
      <c r="AN65" s="12">
        <v>115.96</v>
      </c>
      <c r="AO65" s="9">
        <v>1103.0</v>
      </c>
      <c r="AP65" s="13">
        <f t="shared" si="3"/>
        <v>-4.26464</v>
      </c>
      <c r="AQ65" s="15">
        <v>0.013862068632979856</v>
      </c>
      <c r="AR65" s="13">
        <f t="shared" si="4"/>
        <v>0</v>
      </c>
      <c r="AS65" s="13">
        <f t="shared" si="44"/>
        <v>0</v>
      </c>
      <c r="AT65" s="13">
        <f t="shared" si="45"/>
        <v>0</v>
      </c>
      <c r="AU65" s="13">
        <f t="shared" si="46"/>
        <v>1</v>
      </c>
      <c r="AV65" s="13">
        <f t="shared" si="37"/>
        <v>0</v>
      </c>
      <c r="AW65" s="13">
        <f t="shared" si="36"/>
        <v>0</v>
      </c>
      <c r="AX65" s="13"/>
      <c r="AY65" s="13"/>
      <c r="AZ65" s="13"/>
    </row>
    <row r="66">
      <c r="A66" s="8" t="s">
        <v>108</v>
      </c>
      <c r="B66" s="9">
        <v>1783103.32</v>
      </c>
      <c r="C66" s="9">
        <v>434478.6</v>
      </c>
      <c r="D66" s="9">
        <v>292250.0</v>
      </c>
      <c r="E66" s="9">
        <v>1347992.72</v>
      </c>
      <c r="F66" s="9">
        <v>1242289.73</v>
      </c>
      <c r="G66" s="9">
        <v>1128241.57</v>
      </c>
      <c r="H66" s="9">
        <v>159158.02</v>
      </c>
      <c r="I66" s="9">
        <v>114048.16</v>
      </c>
      <c r="J66" s="9">
        <v>88783.95</v>
      </c>
      <c r="K66" s="9">
        <v>72271.14</v>
      </c>
      <c r="L66" s="9">
        <v>100969.34</v>
      </c>
      <c r="M66" s="9">
        <v>149619.4</v>
      </c>
      <c r="N66" s="11">
        <f t="shared" si="1"/>
        <v>0</v>
      </c>
      <c r="O66" s="12">
        <v>0.15</v>
      </c>
      <c r="P66" s="9">
        <v>91979.8</v>
      </c>
      <c r="Q66" s="9">
        <v>-62252.37</v>
      </c>
      <c r="R66" s="9">
        <v>-69805.26</v>
      </c>
      <c r="S66" s="9">
        <v>-40077.83</v>
      </c>
      <c r="T66" s="12">
        <v>6.66</v>
      </c>
      <c r="U66" s="12">
        <v>6.58</v>
      </c>
      <c r="V66" s="12">
        <v>28.4</v>
      </c>
      <c r="W66" s="12">
        <v>7.15</v>
      </c>
      <c r="X66" s="12">
        <v>6.9</v>
      </c>
      <c r="Y66" s="12">
        <v>8.63</v>
      </c>
      <c r="Z66" s="12">
        <v>10.73</v>
      </c>
      <c r="AA66" s="12">
        <f t="shared" si="2"/>
        <v>0</v>
      </c>
      <c r="AB66" s="12">
        <v>9.18</v>
      </c>
      <c r="AC66" s="12">
        <v>0.32</v>
      </c>
      <c r="AD66" s="12">
        <v>49.71</v>
      </c>
      <c r="AE66" s="12">
        <v>3.35</v>
      </c>
      <c r="AF66" s="12">
        <v>1.86</v>
      </c>
      <c r="AG66" s="12">
        <v>5.67</v>
      </c>
      <c r="AH66" s="12">
        <v>0.72</v>
      </c>
      <c r="AI66" s="12">
        <v>2.3</v>
      </c>
      <c r="AJ66" s="12">
        <v>158.7</v>
      </c>
      <c r="AK66" s="12">
        <v>4.76</v>
      </c>
      <c r="AL66" s="12">
        <v>76.67</v>
      </c>
      <c r="AM66" s="12">
        <v>3.68</v>
      </c>
      <c r="AN66" s="12">
        <v>99.16</v>
      </c>
      <c r="AO66" s="12">
        <v>136.22</v>
      </c>
      <c r="AP66" s="13">
        <f t="shared" si="3"/>
        <v>-4.54588</v>
      </c>
      <c r="AQ66" s="15">
        <v>0.010499423466398075</v>
      </c>
      <c r="AR66" s="13">
        <f t="shared" si="4"/>
        <v>0</v>
      </c>
      <c r="AS66" s="13">
        <f t="shared" si="44"/>
        <v>1</v>
      </c>
      <c r="AT66" s="13">
        <f t="shared" si="45"/>
        <v>1</v>
      </c>
      <c r="AU66" s="13">
        <f t="shared" si="46"/>
        <v>0</v>
      </c>
      <c r="AV66" s="13">
        <f t="shared" si="37"/>
        <v>0</v>
      </c>
      <c r="AW66" s="13">
        <f t="shared" si="36"/>
        <v>0</v>
      </c>
      <c r="AX66" s="13"/>
      <c r="AY66" s="13"/>
      <c r="AZ66" s="13"/>
    </row>
    <row r="67">
      <c r="A67" s="8" t="s">
        <v>109</v>
      </c>
      <c r="B67" s="9">
        <v>1031492.01</v>
      </c>
      <c r="C67" s="9">
        <v>74917.82</v>
      </c>
      <c r="D67" s="9">
        <v>382499.5</v>
      </c>
      <c r="E67" s="9">
        <v>954653.78</v>
      </c>
      <c r="F67" s="9">
        <v>118030.96</v>
      </c>
      <c r="G67" s="9">
        <v>625063.18</v>
      </c>
      <c r="H67" s="9">
        <v>-432730.31</v>
      </c>
      <c r="I67" s="9">
        <v>-472876.55</v>
      </c>
      <c r="J67" s="9">
        <v>-457287.08</v>
      </c>
      <c r="K67" s="9">
        <v>-45211.02</v>
      </c>
      <c r="L67" s="9">
        <v>-28367.59</v>
      </c>
      <c r="M67" s="9">
        <v>-44776.5</v>
      </c>
      <c r="N67" s="11">
        <f t="shared" si="1"/>
        <v>1</v>
      </c>
      <c r="O67" s="12">
        <v>-1.27</v>
      </c>
      <c r="P67" s="9">
        <v>-36470.52</v>
      </c>
      <c r="Q67" s="9">
        <v>-93844.38</v>
      </c>
      <c r="R67" s="9">
        <v>117109.57</v>
      </c>
      <c r="S67" s="9">
        <v>-13205.33</v>
      </c>
      <c r="T67" s="12">
        <v>-42.02</v>
      </c>
      <c r="U67" s="12">
        <v>-38.49</v>
      </c>
      <c r="V67" s="12">
        <v>41.23</v>
      </c>
      <c r="W67" s="12">
        <v>-403.14</v>
      </c>
      <c r="X67" s="12">
        <v>-49.39</v>
      </c>
      <c r="Y67" s="12">
        <v>-25.99</v>
      </c>
      <c r="Z67" s="12">
        <v>-30.32</v>
      </c>
      <c r="AA67" s="12">
        <f t="shared" si="2"/>
        <v>1</v>
      </c>
      <c r="AB67" s="12">
        <v>-400.64</v>
      </c>
      <c r="AC67" s="12">
        <v>0.08</v>
      </c>
      <c r="AD67" s="12">
        <v>-199.15</v>
      </c>
      <c r="AE67" s="12">
        <v>0.77</v>
      </c>
      <c r="AF67" s="12">
        <v>0.46</v>
      </c>
      <c r="AG67" s="12">
        <v>1.22</v>
      </c>
      <c r="AH67" s="12">
        <v>0.1</v>
      </c>
      <c r="AI67" s="12">
        <v>8.36</v>
      </c>
      <c r="AJ67" s="12">
        <v>43.68</v>
      </c>
      <c r="AK67" s="12">
        <v>4.33</v>
      </c>
      <c r="AL67" s="12">
        <v>84.34</v>
      </c>
      <c r="AM67" s="12">
        <v>5.53</v>
      </c>
      <c r="AN67" s="12">
        <v>66.01</v>
      </c>
      <c r="AO67" s="12">
        <v>62.0</v>
      </c>
      <c r="AP67" s="13">
        <f t="shared" si="3"/>
        <v>-10.46869</v>
      </c>
      <c r="AQ67" s="15">
        <v>2.8411447533394024E-5</v>
      </c>
      <c r="AR67" s="13">
        <f t="shared" si="4"/>
        <v>0</v>
      </c>
      <c r="AS67" s="13">
        <f t="shared" si="44"/>
        <v>0</v>
      </c>
      <c r="AT67" s="13">
        <f t="shared" si="45"/>
        <v>0</v>
      </c>
      <c r="AU67" s="13">
        <f t="shared" si="46"/>
        <v>1</v>
      </c>
      <c r="AV67" s="13">
        <f t="shared" si="37"/>
        <v>0</v>
      </c>
      <c r="AW67" s="13">
        <f t="shared" si="36"/>
        <v>0</v>
      </c>
      <c r="AX67" s="13"/>
      <c r="AY67" s="13"/>
      <c r="AZ67" s="13"/>
    </row>
    <row r="68">
      <c r="A68" s="8" t="s">
        <v>110</v>
      </c>
      <c r="B68" s="9">
        <v>1288185.09</v>
      </c>
      <c r="C68" s="9">
        <v>346197.79</v>
      </c>
      <c r="D68" s="9">
        <v>136000.0</v>
      </c>
      <c r="E68" s="9">
        <v>941987.3</v>
      </c>
      <c r="F68" s="9">
        <v>1538212.95</v>
      </c>
      <c r="G68" s="9">
        <v>1389819.51</v>
      </c>
      <c r="H68" s="9">
        <v>186485.25</v>
      </c>
      <c r="I68" s="9">
        <v>148393.44</v>
      </c>
      <c r="J68" s="9">
        <v>118229.1</v>
      </c>
      <c r="K68" s="9">
        <v>79663.98</v>
      </c>
      <c r="L68" s="9" t="e">
        <v>#N/A</v>
      </c>
      <c r="M68" s="9" t="e">
        <v>#N/A</v>
      </c>
      <c r="N68" s="11" t="str">
        <f t="shared" si="1"/>
        <v>#N/A</v>
      </c>
      <c r="O68" s="12">
        <v>0.43</v>
      </c>
      <c r="P68" s="9">
        <v>136200.45</v>
      </c>
      <c r="Q68" s="9">
        <v>-624512.56</v>
      </c>
      <c r="R68" s="9">
        <v>-70340.19</v>
      </c>
      <c r="S68" s="9">
        <v>-558652.3</v>
      </c>
      <c r="T68" s="12">
        <v>13.08</v>
      </c>
      <c r="U68" s="12">
        <v>12.33</v>
      </c>
      <c r="V68" s="12">
        <v>24.76</v>
      </c>
      <c r="W68" s="12">
        <v>7.69</v>
      </c>
      <c r="X68" s="12">
        <v>6.55</v>
      </c>
      <c r="Y68" s="12" t="e">
        <v>#N/A</v>
      </c>
      <c r="Z68" s="12" t="e">
        <v>#N/A</v>
      </c>
      <c r="AA68" s="12" t="str">
        <f t="shared" si="2"/>
        <v>#N/A</v>
      </c>
      <c r="AB68" s="12">
        <v>9.65</v>
      </c>
      <c r="AC68" s="12">
        <v>0.37</v>
      </c>
      <c r="AD68" s="12">
        <v>26.69</v>
      </c>
      <c r="AE68" s="12">
        <v>4.76</v>
      </c>
      <c r="AF68" s="12">
        <v>0.91</v>
      </c>
      <c r="AG68" s="12">
        <v>5.81</v>
      </c>
      <c r="AH68" s="12">
        <v>1.28</v>
      </c>
      <c r="AI68" s="12">
        <v>6.19</v>
      </c>
      <c r="AJ68" s="12">
        <v>58.98</v>
      </c>
      <c r="AK68" s="12">
        <v>75.22</v>
      </c>
      <c r="AL68" s="12">
        <v>4.85</v>
      </c>
      <c r="AM68" s="12">
        <v>8.51</v>
      </c>
      <c r="AN68" s="12">
        <v>42.91</v>
      </c>
      <c r="AO68" s="12">
        <v>20.92</v>
      </c>
      <c r="AP68" s="13">
        <f t="shared" si="3"/>
        <v>-5.39752</v>
      </c>
      <c r="AQ68" s="15">
        <v>0.004507387433598018</v>
      </c>
      <c r="AR68" s="13">
        <f t="shared" si="4"/>
        <v>0</v>
      </c>
      <c r="AS68" s="13"/>
      <c r="AT68" s="13"/>
      <c r="AU68" s="13"/>
      <c r="AV68" s="13" t="str">
        <f t="shared" si="37"/>
        <v/>
      </c>
      <c r="AW68" s="13" t="str">
        <f t="shared" si="36"/>
        <v/>
      </c>
      <c r="AX68" s="13"/>
      <c r="AY68" s="13"/>
      <c r="AZ68" s="13"/>
    </row>
    <row r="69">
      <c r="A69" s="8" t="s">
        <v>111</v>
      </c>
      <c r="B69" s="9">
        <v>365623.21</v>
      </c>
      <c r="C69" s="9">
        <v>44850.07</v>
      </c>
      <c r="D69" s="9">
        <v>165519.83</v>
      </c>
      <c r="E69" s="9">
        <v>319965.3</v>
      </c>
      <c r="F69" s="9">
        <v>325420.18</v>
      </c>
      <c r="G69" s="9">
        <v>281525.38</v>
      </c>
      <c r="H69" s="9">
        <v>61812.69</v>
      </c>
      <c r="I69" s="9">
        <v>43487.36</v>
      </c>
      <c r="J69" s="9">
        <v>35066.94</v>
      </c>
      <c r="K69" s="9">
        <v>15195.97</v>
      </c>
      <c r="L69" s="9">
        <v>-8359.78</v>
      </c>
      <c r="M69" s="9">
        <v>12658.63</v>
      </c>
      <c r="N69" s="11">
        <f t="shared" si="1"/>
        <v>0</v>
      </c>
      <c r="O69" s="12">
        <v>0.05</v>
      </c>
      <c r="P69" s="9">
        <v>37015.68</v>
      </c>
      <c r="Q69" s="9">
        <v>-51721.42</v>
      </c>
      <c r="R69" s="9">
        <v>-26144.63</v>
      </c>
      <c r="S69" s="9">
        <v>-40850.37</v>
      </c>
      <c r="T69" s="12">
        <v>11.19</v>
      </c>
      <c r="U69" s="12">
        <v>12.07</v>
      </c>
      <c r="V69" s="12">
        <v>25.49</v>
      </c>
      <c r="W69" s="12">
        <v>10.81</v>
      </c>
      <c r="X69" s="12">
        <v>7.32</v>
      </c>
      <c r="Y69" s="12">
        <v>-8.43</v>
      </c>
      <c r="Z69" s="12">
        <v>6.42</v>
      </c>
      <c r="AA69" s="12">
        <f t="shared" si="2"/>
        <v>0</v>
      </c>
      <c r="AB69" s="12">
        <v>13.36</v>
      </c>
      <c r="AC69" s="12">
        <v>0.14</v>
      </c>
      <c r="AD69" s="12">
        <v>100.73</v>
      </c>
      <c r="AE69" s="12">
        <v>5.58</v>
      </c>
      <c r="AF69" s="12">
        <v>3.62</v>
      </c>
      <c r="AG69" s="12">
        <v>2.15</v>
      </c>
      <c r="AH69" s="12">
        <v>0.9</v>
      </c>
      <c r="AI69" s="12">
        <v>3.36</v>
      </c>
      <c r="AJ69" s="12">
        <v>108.61</v>
      </c>
      <c r="AK69" s="12">
        <v>5.93</v>
      </c>
      <c r="AL69" s="12">
        <v>61.57</v>
      </c>
      <c r="AM69" s="12">
        <v>7.65</v>
      </c>
      <c r="AN69" s="12">
        <v>47.7</v>
      </c>
      <c r="AO69" s="12">
        <v>122.49</v>
      </c>
      <c r="AP69" s="13">
        <f t="shared" si="3"/>
        <v>-7.76106</v>
      </c>
      <c r="AQ69" s="15">
        <v>4.2582337341790606E-4</v>
      </c>
      <c r="AR69" s="13">
        <f t="shared" si="4"/>
        <v>0</v>
      </c>
      <c r="AS69" s="13">
        <f t="shared" ref="AS69:AS71" si="47">IF(AR69=N69,1,0)</f>
        <v>1</v>
      </c>
      <c r="AT69" s="13">
        <f t="shared" ref="AT69:AT71" si="48">IF(AND(AR69=0,AS69=1),1,0)</f>
        <v>1</v>
      </c>
      <c r="AU69" s="13">
        <f t="shared" ref="AU69:AU71" si="49">IF(AND(AR69=0,AS69=0),1,0)</f>
        <v>0</v>
      </c>
      <c r="AV69" s="13">
        <f t="shared" si="37"/>
        <v>0</v>
      </c>
      <c r="AW69" s="13">
        <f t="shared" si="36"/>
        <v>0</v>
      </c>
      <c r="AX69" s="13"/>
      <c r="AY69" s="13"/>
      <c r="AZ69" s="13"/>
    </row>
    <row r="70">
      <c r="A70" s="8" t="s">
        <v>112</v>
      </c>
      <c r="B70" s="9">
        <v>404966.57</v>
      </c>
      <c r="C70" s="9">
        <v>314673.72</v>
      </c>
      <c r="D70" s="9">
        <v>311925.5</v>
      </c>
      <c r="E70" s="9">
        <v>90292.85</v>
      </c>
      <c r="F70" s="9">
        <v>133006.11</v>
      </c>
      <c r="G70" s="9">
        <v>204194.71</v>
      </c>
      <c r="H70" s="9">
        <v>-65860.94</v>
      </c>
      <c r="I70" s="9">
        <v>-71157.9</v>
      </c>
      <c r="J70" s="9">
        <v>-80720.88</v>
      </c>
      <c r="K70" s="9">
        <v>-19984.9</v>
      </c>
      <c r="L70" s="9">
        <v>-74271.73</v>
      </c>
      <c r="M70" s="9">
        <v>-277589.81</v>
      </c>
      <c r="N70" s="11">
        <f t="shared" si="1"/>
        <v>1</v>
      </c>
      <c r="O70" s="12">
        <v>-0.26</v>
      </c>
      <c r="P70" s="9">
        <v>-104077.93</v>
      </c>
      <c r="Q70" s="9">
        <v>12905.8</v>
      </c>
      <c r="R70" s="9">
        <v>44388.21</v>
      </c>
      <c r="S70" s="9">
        <v>-46783.93</v>
      </c>
      <c r="T70" s="12">
        <v>-76.21</v>
      </c>
      <c r="U70" s="12">
        <v>-16.46</v>
      </c>
      <c r="V70" s="12">
        <v>-17.39</v>
      </c>
      <c r="W70" s="12">
        <v>-60.69</v>
      </c>
      <c r="X70" s="12">
        <v>-6.82</v>
      </c>
      <c r="Y70" s="12">
        <v>-44.14</v>
      </c>
      <c r="Z70" s="12">
        <v>-105.55</v>
      </c>
      <c r="AA70" s="12">
        <f t="shared" si="2"/>
        <v>1</v>
      </c>
      <c r="AB70" s="12">
        <v>-53.5</v>
      </c>
      <c r="AC70" s="12">
        <v>3.49</v>
      </c>
      <c r="AD70" s="12">
        <v>-7.49</v>
      </c>
      <c r="AE70" s="12">
        <v>0.83</v>
      </c>
      <c r="AF70" s="12">
        <v>0.43</v>
      </c>
      <c r="AG70" s="12">
        <v>4.44</v>
      </c>
      <c r="AH70" s="12">
        <v>0.31</v>
      </c>
      <c r="AI70" s="12">
        <v>6.79</v>
      </c>
      <c r="AJ70" s="12">
        <v>53.74</v>
      </c>
      <c r="AK70" s="12">
        <v>1.23</v>
      </c>
      <c r="AL70" s="12">
        <v>296.08</v>
      </c>
      <c r="AM70" s="12">
        <v>1.26</v>
      </c>
      <c r="AN70" s="12">
        <v>289.95</v>
      </c>
      <c r="AO70" s="12">
        <v>59.87</v>
      </c>
      <c r="AP70" s="13">
        <f t="shared" si="3"/>
        <v>4.80986</v>
      </c>
      <c r="AQ70" s="15">
        <v>0.9919168689608108</v>
      </c>
      <c r="AR70" s="13">
        <f t="shared" si="4"/>
        <v>1</v>
      </c>
      <c r="AS70" s="13">
        <f t="shared" si="47"/>
        <v>1</v>
      </c>
      <c r="AT70" s="13">
        <f t="shared" si="48"/>
        <v>0</v>
      </c>
      <c r="AU70" s="13">
        <f t="shared" si="49"/>
        <v>0</v>
      </c>
      <c r="AV70" s="13">
        <f t="shared" si="37"/>
        <v>0</v>
      </c>
      <c r="AW70" s="13">
        <f t="shared" si="36"/>
        <v>1</v>
      </c>
      <c r="AX70" s="13"/>
      <c r="AY70" s="13"/>
      <c r="AZ70" s="13"/>
    </row>
    <row r="71">
      <c r="A71" s="8" t="s">
        <v>113</v>
      </c>
      <c r="B71" s="9">
        <v>1363670.74</v>
      </c>
      <c r="C71" s="9">
        <v>540300.08</v>
      </c>
      <c r="D71" s="9">
        <v>308959.86</v>
      </c>
      <c r="E71" s="9">
        <v>799697.73</v>
      </c>
      <c r="F71" s="9">
        <v>1443864.4</v>
      </c>
      <c r="G71" s="9">
        <v>1275804.51</v>
      </c>
      <c r="H71" s="9">
        <v>177985.78</v>
      </c>
      <c r="I71" s="9">
        <v>168059.89</v>
      </c>
      <c r="J71" s="9">
        <v>132544.92</v>
      </c>
      <c r="K71" s="9">
        <v>156974.07</v>
      </c>
      <c r="L71" s="9">
        <v>111654.67</v>
      </c>
      <c r="M71" s="9">
        <v>93674.48</v>
      </c>
      <c r="N71" s="11">
        <f t="shared" si="1"/>
        <v>0</v>
      </c>
      <c r="O71" s="12">
        <v>0.24</v>
      </c>
      <c r="P71" s="9">
        <v>-2135.02</v>
      </c>
      <c r="Q71" s="9">
        <v>10120.98</v>
      </c>
      <c r="R71" s="9">
        <v>-7136.53</v>
      </c>
      <c r="S71" s="12">
        <v>849.42</v>
      </c>
      <c r="T71" s="12">
        <v>18.31</v>
      </c>
      <c r="U71" s="12">
        <v>13.97</v>
      </c>
      <c r="V71" s="12">
        <v>17.62</v>
      </c>
      <c r="W71" s="12">
        <v>9.21</v>
      </c>
      <c r="X71" s="12">
        <v>9.0</v>
      </c>
      <c r="Y71" s="12">
        <v>7.71</v>
      </c>
      <c r="Z71" s="12">
        <v>7.85</v>
      </c>
      <c r="AA71" s="12">
        <f t="shared" si="2"/>
        <v>0</v>
      </c>
      <c r="AB71" s="12">
        <v>11.64</v>
      </c>
      <c r="AC71" s="12">
        <v>0.66</v>
      </c>
      <c r="AD71" s="12">
        <v>171.03</v>
      </c>
      <c r="AE71" s="12">
        <v>2.93</v>
      </c>
      <c r="AF71" s="12">
        <v>1.79</v>
      </c>
      <c r="AG71" s="12">
        <v>55.39</v>
      </c>
      <c r="AH71" s="12">
        <v>1.2</v>
      </c>
      <c r="AI71" s="12">
        <v>25.2</v>
      </c>
      <c r="AJ71" s="12">
        <v>14.49</v>
      </c>
      <c r="AK71" s="12">
        <v>3.51</v>
      </c>
      <c r="AL71" s="12">
        <v>104.0</v>
      </c>
      <c r="AM71" s="12">
        <v>7.49</v>
      </c>
      <c r="AN71" s="12">
        <v>48.74</v>
      </c>
      <c r="AO71" s="12">
        <v>69.75</v>
      </c>
      <c r="AP71" s="13">
        <f t="shared" si="3"/>
        <v>-6.06082</v>
      </c>
      <c r="AQ71" s="15">
        <v>0.002327059626008187</v>
      </c>
      <c r="AR71" s="13">
        <f t="shared" si="4"/>
        <v>0</v>
      </c>
      <c r="AS71" s="13">
        <f t="shared" si="47"/>
        <v>1</v>
      </c>
      <c r="AT71" s="13">
        <f t="shared" si="48"/>
        <v>1</v>
      </c>
      <c r="AU71" s="13">
        <f t="shared" si="49"/>
        <v>0</v>
      </c>
      <c r="AV71" s="13">
        <f t="shared" si="37"/>
        <v>0</v>
      </c>
      <c r="AW71" s="13">
        <f t="shared" si="36"/>
        <v>0</v>
      </c>
      <c r="AX71" s="13"/>
      <c r="AY71" s="13"/>
      <c r="AZ71" s="13"/>
    </row>
    <row r="72">
      <c r="A72" s="8" t="s">
        <v>114</v>
      </c>
      <c r="B72" s="9">
        <v>1139862.0</v>
      </c>
      <c r="C72" s="9">
        <v>537855.29</v>
      </c>
      <c r="D72" s="9">
        <v>50000.0</v>
      </c>
      <c r="E72" s="9">
        <v>599389.95</v>
      </c>
      <c r="F72" s="9">
        <v>959435.95</v>
      </c>
      <c r="G72" s="9">
        <v>845523.9</v>
      </c>
      <c r="H72" s="9">
        <v>115282.57</v>
      </c>
      <c r="I72" s="9">
        <v>110522.56</v>
      </c>
      <c r="J72" s="9">
        <v>83541.28</v>
      </c>
      <c r="K72" s="9">
        <v>79319.62</v>
      </c>
      <c r="L72" s="9">
        <v>62769.41</v>
      </c>
      <c r="M72" s="9" t="e">
        <v>#N/A</v>
      </c>
      <c r="N72" s="11" t="str">
        <f t="shared" si="1"/>
        <v>#N/A</v>
      </c>
      <c r="O72" s="12">
        <v>0.84</v>
      </c>
      <c r="P72" s="9">
        <v>-101955.29</v>
      </c>
      <c r="Q72" s="9">
        <v>-54778.38</v>
      </c>
      <c r="R72" s="9">
        <v>112371.21</v>
      </c>
      <c r="S72" s="9">
        <v>-44362.46</v>
      </c>
      <c r="T72" s="12">
        <v>14.49</v>
      </c>
      <c r="U72" s="12">
        <v>11.41</v>
      </c>
      <c r="V72" s="12">
        <v>22.78</v>
      </c>
      <c r="W72" s="12">
        <v>8.92</v>
      </c>
      <c r="X72" s="12">
        <v>11.5</v>
      </c>
      <c r="Y72" s="12">
        <v>11.35</v>
      </c>
      <c r="Z72" s="12" t="e">
        <v>#N/A</v>
      </c>
      <c r="AA72" s="12" t="str">
        <f t="shared" si="2"/>
        <v>#N/A</v>
      </c>
      <c r="AB72" s="12">
        <v>11.52</v>
      </c>
      <c r="AC72" s="12">
        <v>0.89</v>
      </c>
      <c r="AD72" s="12">
        <v>36.67</v>
      </c>
      <c r="AE72" s="12">
        <v>1.58</v>
      </c>
      <c r="AF72" s="12">
        <v>0.69</v>
      </c>
      <c r="AG72" s="12">
        <v>137.46</v>
      </c>
      <c r="AH72" s="12">
        <v>0.99</v>
      </c>
      <c r="AI72" s="12" t="s">
        <v>47</v>
      </c>
      <c r="AJ72" s="12" t="s">
        <v>46</v>
      </c>
      <c r="AK72" s="12">
        <v>5.27</v>
      </c>
      <c r="AL72" s="12">
        <v>69.3</v>
      </c>
      <c r="AM72" s="12">
        <v>5.66</v>
      </c>
      <c r="AN72" s="12">
        <v>64.54</v>
      </c>
      <c r="AO72" s="12">
        <v>4.76</v>
      </c>
      <c r="AP72" s="13">
        <f t="shared" si="3"/>
        <v>-4.10593</v>
      </c>
      <c r="AQ72" s="15">
        <v>0.01620767384350039</v>
      </c>
      <c r="AR72" s="13">
        <f t="shared" si="4"/>
        <v>0</v>
      </c>
      <c r="AS72" s="13"/>
      <c r="AT72" s="13"/>
      <c r="AU72" s="13"/>
      <c r="AV72" s="13" t="str">
        <f t="shared" si="37"/>
        <v/>
      </c>
      <c r="AW72" s="13" t="str">
        <f t="shared" si="36"/>
        <v/>
      </c>
      <c r="AX72" s="13"/>
      <c r="AY72" s="13"/>
      <c r="AZ72" s="13"/>
    </row>
    <row r="73">
      <c r="A73" s="8" t="s">
        <v>115</v>
      </c>
      <c r="B73" s="9">
        <v>1094466.14</v>
      </c>
      <c r="C73" s="9">
        <v>264291.1</v>
      </c>
      <c r="D73" s="9">
        <v>107500.0</v>
      </c>
      <c r="E73" s="9">
        <v>829980.14</v>
      </c>
      <c r="F73" s="9">
        <v>651203.43</v>
      </c>
      <c r="G73" s="9">
        <v>429153.53</v>
      </c>
      <c r="H73" s="9">
        <v>257817.19</v>
      </c>
      <c r="I73" s="9">
        <v>222049.9</v>
      </c>
      <c r="J73" s="9">
        <v>173109.99</v>
      </c>
      <c r="K73" s="9">
        <v>422698.18</v>
      </c>
      <c r="L73" s="9">
        <v>-16607.15</v>
      </c>
      <c r="M73" s="9">
        <v>10498.57</v>
      </c>
      <c r="N73" s="11">
        <f t="shared" si="1"/>
        <v>0</v>
      </c>
      <c r="O73" s="12">
        <v>0.81</v>
      </c>
      <c r="P73" s="9">
        <v>58834.2</v>
      </c>
      <c r="Q73" s="9">
        <v>-19286.1</v>
      </c>
      <c r="R73" s="9">
        <v>-216293.27</v>
      </c>
      <c r="S73" s="9">
        <v>-176745.18</v>
      </c>
      <c r="T73" s="12">
        <v>20.68</v>
      </c>
      <c r="U73" s="12">
        <v>19.52</v>
      </c>
      <c r="V73" s="12">
        <v>52.36</v>
      </c>
      <c r="W73" s="12">
        <v>26.58</v>
      </c>
      <c r="X73" s="12">
        <v>44.36</v>
      </c>
      <c r="Y73" s="12">
        <v>-6.85</v>
      </c>
      <c r="Z73" s="12">
        <v>3.12</v>
      </c>
      <c r="AA73" s="12">
        <f t="shared" si="2"/>
        <v>0</v>
      </c>
      <c r="AB73" s="12">
        <v>34.1</v>
      </c>
      <c r="AC73" s="12">
        <v>0.32</v>
      </c>
      <c r="AD73" s="12">
        <v>20.52</v>
      </c>
      <c r="AE73" s="12">
        <v>6.94</v>
      </c>
      <c r="AF73" s="12">
        <v>2.15</v>
      </c>
      <c r="AG73" s="12">
        <v>2.02</v>
      </c>
      <c r="AH73" s="12">
        <v>0.57</v>
      </c>
      <c r="AI73" s="12">
        <v>19.04</v>
      </c>
      <c r="AJ73" s="12">
        <v>19.17</v>
      </c>
      <c r="AK73" s="12">
        <v>20.69</v>
      </c>
      <c r="AL73" s="12">
        <v>17.64</v>
      </c>
      <c r="AM73" s="12">
        <v>5.95</v>
      </c>
      <c r="AN73" s="12">
        <v>61.39</v>
      </c>
      <c r="AO73" s="12">
        <v>-24.58</v>
      </c>
      <c r="AP73" s="13">
        <f t="shared" si="3"/>
        <v>-7.41017</v>
      </c>
      <c r="AQ73" s="15">
        <v>6.047019385749033E-4</v>
      </c>
      <c r="AR73" s="13">
        <f t="shared" si="4"/>
        <v>0</v>
      </c>
      <c r="AS73" s="13">
        <f>IF(AR73=N73,1,0)</f>
        <v>1</v>
      </c>
      <c r="AT73" s="13">
        <f>IF(AND(AR73=0,AS73=1),1,0)</f>
        <v>1</v>
      </c>
      <c r="AU73" s="13">
        <f>IF(AND(AR73=0,AS73=0),1,0)</f>
        <v>0</v>
      </c>
      <c r="AV73" s="13">
        <f t="shared" si="37"/>
        <v>0</v>
      </c>
      <c r="AW73" s="13">
        <f t="shared" si="36"/>
        <v>0</v>
      </c>
      <c r="AX73" s="13"/>
      <c r="AY73" s="13"/>
      <c r="AZ73" s="13"/>
    </row>
    <row r="74">
      <c r="A74" s="8" t="s">
        <v>116</v>
      </c>
      <c r="B74" s="9">
        <v>774131.31</v>
      </c>
      <c r="C74" s="9">
        <v>367710.49</v>
      </c>
      <c r="D74" s="9">
        <v>175000.0</v>
      </c>
      <c r="E74" s="9">
        <v>406420.83</v>
      </c>
      <c r="F74" s="9">
        <v>611370.89</v>
      </c>
      <c r="G74" s="9">
        <v>569952.09</v>
      </c>
      <c r="H74" s="9">
        <v>46451.96</v>
      </c>
      <c r="I74" s="9">
        <v>41418.81</v>
      </c>
      <c r="J74" s="9">
        <v>32430.79</v>
      </c>
      <c r="K74" s="9">
        <v>14257.61</v>
      </c>
      <c r="L74" s="9">
        <v>17781.64</v>
      </c>
      <c r="M74" s="9" t="e">
        <v>#N/A</v>
      </c>
      <c r="N74" s="11" t="str">
        <f t="shared" si="1"/>
        <v>#N/A</v>
      </c>
      <c r="O74" s="12">
        <v>0.09</v>
      </c>
      <c r="P74" s="9">
        <v>21868.93</v>
      </c>
      <c r="Q74" s="9">
        <v>-18014.42</v>
      </c>
      <c r="R74" s="9">
        <v>4137.33</v>
      </c>
      <c r="S74" s="9">
        <v>7991.85</v>
      </c>
      <c r="T74" s="12">
        <v>8.26</v>
      </c>
      <c r="U74" s="12">
        <v>5.73</v>
      </c>
      <c r="V74" s="12">
        <v>21.78</v>
      </c>
      <c r="W74" s="12">
        <v>5.3</v>
      </c>
      <c r="X74" s="12">
        <v>3.01</v>
      </c>
      <c r="Y74" s="12">
        <v>3.08</v>
      </c>
      <c r="Z74" s="12" t="e">
        <v>#N/A</v>
      </c>
      <c r="AA74" s="12" t="str">
        <f t="shared" si="2"/>
        <v>#N/A</v>
      </c>
      <c r="AB74" s="12">
        <v>6.77</v>
      </c>
      <c r="AC74" s="12">
        <v>0.9</v>
      </c>
      <c r="AD74" s="12">
        <v>63.27</v>
      </c>
      <c r="AE74" s="12">
        <v>1.81</v>
      </c>
      <c r="AF74" s="12">
        <v>0.78</v>
      </c>
      <c r="AG74" s="12">
        <v>33.57</v>
      </c>
      <c r="AH74" s="12">
        <v>0.85</v>
      </c>
      <c r="AI74" s="12" t="s">
        <v>47</v>
      </c>
      <c r="AJ74" s="12" t="s">
        <v>46</v>
      </c>
      <c r="AK74" s="12">
        <v>5.45</v>
      </c>
      <c r="AL74" s="12">
        <v>66.96</v>
      </c>
      <c r="AM74" s="12">
        <v>2.25</v>
      </c>
      <c r="AN74" s="12">
        <v>162.04</v>
      </c>
      <c r="AO74" s="12">
        <v>-95.08</v>
      </c>
      <c r="AP74" s="13">
        <f t="shared" si="3"/>
        <v>-2.39692</v>
      </c>
      <c r="AQ74" s="15">
        <v>0.08340786361925709</v>
      </c>
      <c r="AR74" s="13">
        <f t="shared" si="4"/>
        <v>0</v>
      </c>
      <c r="AS74" s="13"/>
      <c r="AT74" s="13"/>
      <c r="AU74" s="13"/>
      <c r="AV74" s="13" t="str">
        <f t="shared" si="37"/>
        <v/>
      </c>
      <c r="AW74" s="13" t="str">
        <f t="shared" si="36"/>
        <v/>
      </c>
      <c r="AX74" s="13"/>
      <c r="AY74" s="13"/>
      <c r="AZ74" s="13"/>
    </row>
    <row r="75">
      <c r="A75" s="8" t="s">
        <v>117</v>
      </c>
      <c r="B75" s="9">
        <v>3025824.57</v>
      </c>
      <c r="C75" s="9">
        <v>952245.77</v>
      </c>
      <c r="D75" s="9">
        <v>186260.26</v>
      </c>
      <c r="E75" s="9">
        <v>1926557.56</v>
      </c>
      <c r="F75" s="9">
        <v>1534447.29</v>
      </c>
      <c r="G75" s="9">
        <v>1362742.83</v>
      </c>
      <c r="H75" s="9">
        <v>235776.17</v>
      </c>
      <c r="I75" s="9">
        <v>170936.21</v>
      </c>
      <c r="J75" s="9">
        <v>119242.97</v>
      </c>
      <c r="K75" s="9">
        <v>105215.86</v>
      </c>
      <c r="L75" s="9">
        <v>53776.04</v>
      </c>
      <c r="M75" s="9">
        <v>43471.52</v>
      </c>
      <c r="N75" s="11">
        <f t="shared" si="1"/>
        <v>0</v>
      </c>
      <c r="O75" s="12">
        <v>0.36</v>
      </c>
      <c r="P75" s="9">
        <v>143093.92</v>
      </c>
      <c r="Q75" s="9">
        <v>-588130.3</v>
      </c>
      <c r="R75" s="9">
        <v>1047847.36</v>
      </c>
      <c r="S75" s="9">
        <v>602810.98</v>
      </c>
      <c r="T75" s="12">
        <v>8.87</v>
      </c>
      <c r="U75" s="12">
        <v>7.85</v>
      </c>
      <c r="V75" s="12">
        <v>40.6</v>
      </c>
      <c r="W75" s="12">
        <v>8.34</v>
      </c>
      <c r="X75" s="12">
        <v>12.0</v>
      </c>
      <c r="Y75" s="12">
        <v>13.54</v>
      </c>
      <c r="Z75" s="12">
        <v>12.54</v>
      </c>
      <c r="AA75" s="12">
        <f t="shared" si="2"/>
        <v>0</v>
      </c>
      <c r="AB75" s="12">
        <v>11.14</v>
      </c>
      <c r="AC75" s="12">
        <v>0.46</v>
      </c>
      <c r="AD75" s="12">
        <v>7.32</v>
      </c>
      <c r="AE75" s="12">
        <v>3.04</v>
      </c>
      <c r="AF75" s="12">
        <v>2.35</v>
      </c>
      <c r="AG75" s="12">
        <v>2.47</v>
      </c>
      <c r="AH75" s="12">
        <v>0.71</v>
      </c>
      <c r="AI75" s="12">
        <v>3.52</v>
      </c>
      <c r="AJ75" s="12">
        <v>103.71</v>
      </c>
      <c r="AK75" s="12">
        <v>4.45</v>
      </c>
      <c r="AL75" s="12">
        <v>81.99</v>
      </c>
      <c r="AM75" s="12">
        <v>3.93</v>
      </c>
      <c r="AN75" s="12">
        <v>92.85</v>
      </c>
      <c r="AO75" s="12">
        <v>92.85</v>
      </c>
      <c r="AP75" s="13">
        <f t="shared" si="3"/>
        <v>-5.06787</v>
      </c>
      <c r="AQ75" s="15">
        <v>0.006256426646465095</v>
      </c>
      <c r="AR75" s="13">
        <f t="shared" si="4"/>
        <v>0</v>
      </c>
      <c r="AS75" s="13">
        <f t="shared" ref="AS75:AS76" si="50">IF(AR75=N75,1,0)</f>
        <v>1</v>
      </c>
      <c r="AT75" s="13">
        <f t="shared" ref="AT75:AT76" si="51">IF(AND(AR75=0,AS75=1),1,0)</f>
        <v>1</v>
      </c>
      <c r="AU75" s="13">
        <f t="shared" ref="AU75:AU76" si="52">IF(AND(AR75=0,AS75=0),1,0)</f>
        <v>0</v>
      </c>
      <c r="AV75" s="13">
        <f t="shared" si="37"/>
        <v>0</v>
      </c>
      <c r="AW75" s="13">
        <f t="shared" si="36"/>
        <v>0</v>
      </c>
      <c r="AX75" s="13"/>
      <c r="AY75" s="13"/>
      <c r="AZ75" s="13"/>
    </row>
    <row r="76">
      <c r="A76" s="8" t="s">
        <v>118</v>
      </c>
      <c r="B76" s="9">
        <v>1037573.49</v>
      </c>
      <c r="C76" s="9">
        <v>505480.79</v>
      </c>
      <c r="D76" s="9">
        <v>278850.12</v>
      </c>
      <c r="E76" s="9">
        <v>552792.12</v>
      </c>
      <c r="F76" s="9">
        <v>1322578.62</v>
      </c>
      <c r="G76" s="9">
        <v>1233591.99</v>
      </c>
      <c r="H76" s="9">
        <v>104856.6</v>
      </c>
      <c r="I76" s="9">
        <v>88986.63</v>
      </c>
      <c r="J76" s="9">
        <v>49051.86</v>
      </c>
      <c r="K76" s="9">
        <v>18568.83</v>
      </c>
      <c r="L76" s="9">
        <v>7501.82</v>
      </c>
      <c r="M76" s="9">
        <v>-101485.87</v>
      </c>
      <c r="N76" s="11">
        <f t="shared" si="1"/>
        <v>0</v>
      </c>
      <c r="O76" s="12">
        <v>0.1</v>
      </c>
      <c r="P76" s="9">
        <v>118921.82</v>
      </c>
      <c r="Q76" s="9">
        <v>-89746.43</v>
      </c>
      <c r="R76" s="9">
        <v>-61296.83</v>
      </c>
      <c r="S76" s="9">
        <v>-32121.44</v>
      </c>
      <c r="T76" s="12">
        <v>11.01</v>
      </c>
      <c r="U76" s="12">
        <v>9.66</v>
      </c>
      <c r="V76" s="12">
        <v>14.93</v>
      </c>
      <c r="W76" s="12">
        <v>3.76</v>
      </c>
      <c r="X76" s="12">
        <v>2.4</v>
      </c>
      <c r="Y76" s="12">
        <v>2.63</v>
      </c>
      <c r="Z76" s="12">
        <v>-10.98</v>
      </c>
      <c r="AA76" s="12">
        <f t="shared" si="2"/>
        <v>0</v>
      </c>
      <c r="AB76" s="12">
        <v>6.73</v>
      </c>
      <c r="AC76" s="12">
        <v>0.95</v>
      </c>
      <c r="AD76" s="12">
        <v>3.3</v>
      </c>
      <c r="AE76" s="12">
        <v>1.66</v>
      </c>
      <c r="AF76" s="12">
        <v>0.9</v>
      </c>
      <c r="AG76" s="12">
        <v>32.42</v>
      </c>
      <c r="AH76" s="12">
        <v>1.44</v>
      </c>
      <c r="AI76" s="12">
        <v>19.62</v>
      </c>
      <c r="AJ76" s="12">
        <v>18.6</v>
      </c>
      <c r="AK76" s="12">
        <v>4.47</v>
      </c>
      <c r="AL76" s="12">
        <v>81.6</v>
      </c>
      <c r="AM76" s="12">
        <v>9.16</v>
      </c>
      <c r="AN76" s="12">
        <v>39.84</v>
      </c>
      <c r="AO76" s="12">
        <v>60.36</v>
      </c>
      <c r="AP76" s="13">
        <f t="shared" si="3"/>
        <v>-4.10635</v>
      </c>
      <c r="AQ76" s="15">
        <v>0.016200978310318914</v>
      </c>
      <c r="AR76" s="13">
        <f t="shared" si="4"/>
        <v>0</v>
      </c>
      <c r="AS76" s="13">
        <f t="shared" si="50"/>
        <v>1</v>
      </c>
      <c r="AT76" s="13">
        <f t="shared" si="51"/>
        <v>1</v>
      </c>
      <c r="AU76" s="13">
        <f t="shared" si="52"/>
        <v>0</v>
      </c>
      <c r="AV76" s="13">
        <f t="shared" si="37"/>
        <v>0</v>
      </c>
      <c r="AW76" s="13">
        <f t="shared" si="36"/>
        <v>0</v>
      </c>
      <c r="AX76" s="13"/>
      <c r="AY76" s="13"/>
      <c r="AZ76" s="13"/>
    </row>
    <row r="77">
      <c r="A77" s="8" t="s">
        <v>119</v>
      </c>
      <c r="B77" s="9">
        <v>666488.99</v>
      </c>
      <c r="C77" s="9">
        <v>217038.97</v>
      </c>
      <c r="D77" s="9">
        <v>220000.0</v>
      </c>
      <c r="E77" s="9">
        <v>449450.02</v>
      </c>
      <c r="F77" s="9">
        <v>551958.25</v>
      </c>
      <c r="G77" s="9">
        <v>483445.6</v>
      </c>
      <c r="H77" s="9">
        <v>73227.64</v>
      </c>
      <c r="I77" s="9">
        <v>69262.08</v>
      </c>
      <c r="J77" s="9">
        <v>55270.81</v>
      </c>
      <c r="K77" s="9" t="e">
        <v>#N/A</v>
      </c>
      <c r="L77" s="9" t="e">
        <v>#N/A</v>
      </c>
      <c r="M77" s="9" t="e">
        <v>#N/A</v>
      </c>
      <c r="N77" s="11" t="str">
        <f t="shared" si="1"/>
        <v>#N/A</v>
      </c>
      <c r="O77" s="12">
        <v>0.34</v>
      </c>
      <c r="P77" s="9">
        <v>82822.81</v>
      </c>
      <c r="Q77" s="9">
        <v>-63512.63</v>
      </c>
      <c r="R77" s="9">
        <v>203531.59</v>
      </c>
      <c r="S77" s="9">
        <v>222841.77</v>
      </c>
      <c r="T77" s="12">
        <v>17.33</v>
      </c>
      <c r="U77" s="12">
        <v>14.88</v>
      </c>
      <c r="V77" s="12">
        <v>18.23</v>
      </c>
      <c r="W77" s="12">
        <v>10.01</v>
      </c>
      <c r="X77" s="12" t="e">
        <v>#N/A</v>
      </c>
      <c r="Y77" s="12" t="e">
        <v>#N/A</v>
      </c>
      <c r="Z77" s="12" t="e">
        <v>#N/A</v>
      </c>
      <c r="AA77" s="12" t="str">
        <f t="shared" si="2"/>
        <v>#N/A</v>
      </c>
      <c r="AB77" s="12">
        <v>12.55</v>
      </c>
      <c r="AC77" s="12">
        <v>0.48</v>
      </c>
      <c r="AD77" s="9">
        <v>2259.04</v>
      </c>
      <c r="AE77" s="12">
        <v>2.52</v>
      </c>
      <c r="AF77" s="12">
        <v>1.72</v>
      </c>
      <c r="AG77" s="12">
        <v>16.44</v>
      </c>
      <c r="AH77" s="12">
        <v>1.19</v>
      </c>
      <c r="AI77" s="12">
        <v>9.81</v>
      </c>
      <c r="AJ77" s="12">
        <v>37.22</v>
      </c>
      <c r="AK77" s="12">
        <v>6.42</v>
      </c>
      <c r="AL77" s="12">
        <v>56.83</v>
      </c>
      <c r="AM77" s="12">
        <v>4.0</v>
      </c>
      <c r="AN77" s="12">
        <v>91.27</v>
      </c>
      <c r="AO77" s="12">
        <v>2.78</v>
      </c>
      <c r="AP77" s="13">
        <f t="shared" si="3"/>
        <v>-6.23137</v>
      </c>
      <c r="AQ77" s="15">
        <v>0.0019628950600880115</v>
      </c>
      <c r="AR77" s="13">
        <f t="shared" si="4"/>
        <v>0</v>
      </c>
      <c r="AS77" s="13"/>
      <c r="AT77" s="13"/>
      <c r="AU77" s="13"/>
      <c r="AV77" s="13"/>
      <c r="AW77" s="13"/>
      <c r="AX77" s="13"/>
      <c r="AY77" s="13"/>
      <c r="AZ77" s="13"/>
    </row>
    <row r="78">
      <c r="A78" s="8" t="s">
        <v>120</v>
      </c>
      <c r="B78" s="9">
        <v>812861.49</v>
      </c>
      <c r="C78" s="9">
        <v>384236.44</v>
      </c>
      <c r="D78" s="9">
        <v>320000.0</v>
      </c>
      <c r="E78" s="9">
        <v>428625.04</v>
      </c>
      <c r="F78" s="9">
        <v>89380.35</v>
      </c>
      <c r="G78" s="9">
        <v>91687.91</v>
      </c>
      <c r="H78" s="9">
        <v>12360.29</v>
      </c>
      <c r="I78" s="9">
        <v>9273.94</v>
      </c>
      <c r="J78" s="9">
        <v>2595.58</v>
      </c>
      <c r="K78" s="9">
        <v>11815.25</v>
      </c>
      <c r="L78" s="9" t="e">
        <v>#N/A</v>
      </c>
      <c r="M78" s="9" t="e">
        <v>#N/A</v>
      </c>
      <c r="N78" s="11" t="str">
        <f t="shared" si="1"/>
        <v>#N/A</v>
      </c>
      <c r="O78" s="12">
        <v>0.01</v>
      </c>
      <c r="P78" s="9">
        <v>-137664.67</v>
      </c>
      <c r="Q78" s="12">
        <v>-742.82</v>
      </c>
      <c r="R78" s="9">
        <v>129780.04</v>
      </c>
      <c r="S78" s="9">
        <v>-8627.45</v>
      </c>
      <c r="T78" s="12">
        <v>0.61</v>
      </c>
      <c r="U78" s="12">
        <v>1.26</v>
      </c>
      <c r="V78" s="12">
        <v>36.53</v>
      </c>
      <c r="W78" s="12">
        <v>2.9</v>
      </c>
      <c r="X78" s="12">
        <v>6.87</v>
      </c>
      <c r="Y78" s="12" t="e">
        <v>#N/A</v>
      </c>
      <c r="Z78" s="12" t="e">
        <v>#N/A</v>
      </c>
      <c r="AA78" s="12" t="str">
        <f t="shared" si="2"/>
        <v>#N/A</v>
      </c>
      <c r="AB78" s="12">
        <v>10.38</v>
      </c>
      <c r="AC78" s="12">
        <v>0.9</v>
      </c>
      <c r="AD78" s="12">
        <v>1.05</v>
      </c>
      <c r="AE78" s="12">
        <v>2.9</v>
      </c>
      <c r="AF78" s="12">
        <v>0.05</v>
      </c>
      <c r="AG78" s="12">
        <v>4.22</v>
      </c>
      <c r="AH78" s="12">
        <v>0.12</v>
      </c>
      <c r="AI78" s="12">
        <v>0.14</v>
      </c>
      <c r="AJ78" s="9">
        <v>2681.17</v>
      </c>
      <c r="AK78" s="12">
        <v>90.12</v>
      </c>
      <c r="AL78" s="12">
        <v>4.05</v>
      </c>
      <c r="AM78" s="12">
        <v>3.16</v>
      </c>
      <c r="AN78" s="12">
        <v>115.57</v>
      </c>
      <c r="AO78" s="9">
        <v>2569.65</v>
      </c>
      <c r="AP78" s="13">
        <f t="shared" si="3"/>
        <v>-0.98629</v>
      </c>
      <c r="AQ78" s="15">
        <v>0.27164549461783705</v>
      </c>
      <c r="AR78" s="13">
        <f t="shared" si="4"/>
        <v>0</v>
      </c>
      <c r="AS78" s="13"/>
      <c r="AT78" s="13"/>
      <c r="AU78" s="13"/>
      <c r="AV78" s="13"/>
      <c r="AW78" s="13"/>
      <c r="AX78" s="13"/>
      <c r="AY78" s="13"/>
      <c r="AZ78" s="13"/>
    </row>
    <row r="79">
      <c r="A79" s="8" t="s">
        <v>121</v>
      </c>
      <c r="B79" s="9">
        <v>1181567.35</v>
      </c>
      <c r="C79" s="9">
        <v>1113093.59</v>
      </c>
      <c r="D79" s="9">
        <v>586808.19</v>
      </c>
      <c r="E79" s="9">
        <v>68473.77</v>
      </c>
      <c r="F79" s="9">
        <v>543561.06</v>
      </c>
      <c r="G79" s="9">
        <v>733991.69</v>
      </c>
      <c r="H79" s="9">
        <v>-5062.65</v>
      </c>
      <c r="I79" s="9">
        <v>-190430.63</v>
      </c>
      <c r="J79" s="9">
        <v>-227543.8</v>
      </c>
      <c r="K79" s="9">
        <v>-340027.07</v>
      </c>
      <c r="L79" s="9" t="e">
        <v>#N/A</v>
      </c>
      <c r="M79" s="9" t="e">
        <v>#N/A</v>
      </c>
      <c r="N79" s="11" t="str">
        <f t="shared" si="1"/>
        <v>#N/A</v>
      </c>
      <c r="O79" s="12">
        <v>-0.13</v>
      </c>
      <c r="P79" s="9">
        <v>-46057.77</v>
      </c>
      <c r="Q79" s="9">
        <v>-39743.46</v>
      </c>
      <c r="R79" s="9">
        <v>85851.81</v>
      </c>
      <c r="S79" s="12">
        <v>50.58</v>
      </c>
      <c r="T79" s="12">
        <v>-551.23</v>
      </c>
      <c r="U79" s="12">
        <v>-16.02</v>
      </c>
      <c r="V79" s="12">
        <v>49.5</v>
      </c>
      <c r="W79" s="12">
        <v>-41.86</v>
      </c>
      <c r="X79" s="12">
        <v>-76.65</v>
      </c>
      <c r="Y79" s="12" t="e">
        <v>#N/A</v>
      </c>
      <c r="Z79" s="12" t="e">
        <v>#N/A</v>
      </c>
      <c r="AA79" s="12" t="str">
        <f t="shared" si="2"/>
        <v>#N/A</v>
      </c>
      <c r="AB79" s="12">
        <v>-35.03</v>
      </c>
      <c r="AC79" s="12">
        <v>16.26</v>
      </c>
      <c r="AD79" s="12">
        <v>-5.16</v>
      </c>
      <c r="AE79" s="12">
        <v>0.17</v>
      </c>
      <c r="AF79" s="12">
        <v>0.01</v>
      </c>
      <c r="AG79" s="12">
        <v>0.67</v>
      </c>
      <c r="AH79" s="12">
        <v>0.46</v>
      </c>
      <c r="AI79" s="12">
        <v>5.55</v>
      </c>
      <c r="AJ79" s="12">
        <v>65.79</v>
      </c>
      <c r="AK79" s="12">
        <v>15.87</v>
      </c>
      <c r="AL79" s="12">
        <v>23.0</v>
      </c>
      <c r="AM79" s="12">
        <v>0.83</v>
      </c>
      <c r="AN79" s="12">
        <v>440.02</v>
      </c>
      <c r="AO79" s="12">
        <v>-351.23</v>
      </c>
      <c r="AP79" s="13">
        <f t="shared" si="3"/>
        <v>24.08636</v>
      </c>
      <c r="AQ79" s="15">
        <v>0.999999999965372</v>
      </c>
      <c r="AR79" s="13">
        <f t="shared" si="4"/>
        <v>1</v>
      </c>
      <c r="AS79" s="13"/>
      <c r="AT79" s="13"/>
      <c r="AU79" s="13"/>
      <c r="AV79" s="13"/>
      <c r="AW79" s="13"/>
      <c r="AX79" s="13"/>
      <c r="AY79" s="13"/>
      <c r="AZ79" s="13"/>
    </row>
    <row r="80">
      <c r="A80" s="8" t="s">
        <v>122</v>
      </c>
      <c r="B80" s="9">
        <v>1222396.78</v>
      </c>
      <c r="C80" s="9">
        <v>280372.26</v>
      </c>
      <c r="D80" s="9">
        <v>227500.0</v>
      </c>
      <c r="E80" s="9">
        <v>942024.03</v>
      </c>
      <c r="F80" s="9">
        <v>436453.28</v>
      </c>
      <c r="G80" s="9">
        <v>450901.49</v>
      </c>
      <c r="H80" s="9">
        <v>11908.67</v>
      </c>
      <c r="I80" s="9">
        <v>-14136.5</v>
      </c>
      <c r="J80" s="9">
        <v>-17482.77</v>
      </c>
      <c r="K80" s="9" t="e">
        <v>#N/A</v>
      </c>
      <c r="L80" s="9" t="e">
        <v>#N/A</v>
      </c>
      <c r="M80" s="9" t="e">
        <v>#N/A</v>
      </c>
      <c r="N80" s="11" t="str">
        <f t="shared" si="1"/>
        <v>#N/A</v>
      </c>
      <c r="O80" s="12">
        <v>-0.04</v>
      </c>
      <c r="P80" s="9">
        <v>-5153.66</v>
      </c>
      <c r="Q80" s="9">
        <v>-469215.74</v>
      </c>
      <c r="R80" s="9">
        <v>-53735.1</v>
      </c>
      <c r="S80" s="9">
        <v>-528104.5</v>
      </c>
      <c r="T80" s="12">
        <v>-1.83</v>
      </c>
      <c r="U80" s="12">
        <v>-1.14</v>
      </c>
      <c r="V80" s="12">
        <v>28.62</v>
      </c>
      <c r="W80" s="12">
        <v>-4.01</v>
      </c>
      <c r="X80" s="12" t="e">
        <v>#N/A</v>
      </c>
      <c r="Y80" s="12" t="e">
        <v>#N/A</v>
      </c>
      <c r="Z80" s="12" t="e">
        <v>#N/A</v>
      </c>
      <c r="AA80" s="12" t="str">
        <f t="shared" si="2"/>
        <v>#N/A</v>
      </c>
      <c r="AB80" s="12">
        <v>-3.24</v>
      </c>
      <c r="AC80" s="12">
        <v>0.3</v>
      </c>
      <c r="AD80" s="12">
        <v>-1.94</v>
      </c>
      <c r="AE80" s="12">
        <v>4.49</v>
      </c>
      <c r="AF80" s="12">
        <v>1.49</v>
      </c>
      <c r="AG80" s="12">
        <v>0.82</v>
      </c>
      <c r="AH80" s="12">
        <v>0.35</v>
      </c>
      <c r="AI80" s="12">
        <v>2.93</v>
      </c>
      <c r="AJ80" s="12">
        <v>124.47</v>
      </c>
      <c r="AK80" s="12">
        <v>8.36</v>
      </c>
      <c r="AL80" s="12">
        <v>43.68</v>
      </c>
      <c r="AM80" s="12">
        <v>7.08</v>
      </c>
      <c r="AN80" s="12">
        <v>51.58</v>
      </c>
      <c r="AO80" s="12">
        <v>116.58</v>
      </c>
      <c r="AP80" s="13">
        <f t="shared" si="3"/>
        <v>-3.03048</v>
      </c>
      <c r="AQ80" s="15">
        <v>0.04606772860396715</v>
      </c>
      <c r="AR80" s="13">
        <f t="shared" si="4"/>
        <v>0</v>
      </c>
      <c r="AS80" s="13"/>
      <c r="AT80" s="13"/>
      <c r="AU80" s="13"/>
      <c r="AV80" s="13"/>
      <c r="AW80" s="13"/>
      <c r="AX80" s="13"/>
      <c r="AY80" s="13"/>
      <c r="AZ80" s="13"/>
    </row>
    <row r="81">
      <c r="A81" s="8" t="s">
        <v>123</v>
      </c>
      <c r="B81" s="9">
        <v>2160538.37</v>
      </c>
      <c r="C81" s="9">
        <v>648293.97</v>
      </c>
      <c r="D81" s="9">
        <v>174273.13</v>
      </c>
      <c r="E81" s="9">
        <v>1512244.41</v>
      </c>
      <c r="F81" s="9">
        <v>1795123.4</v>
      </c>
      <c r="G81" s="9">
        <v>1394878.14</v>
      </c>
      <c r="H81" s="9">
        <v>507224.35</v>
      </c>
      <c r="I81" s="9">
        <v>400245.26</v>
      </c>
      <c r="J81" s="9">
        <v>314378.83</v>
      </c>
      <c r="K81" s="9">
        <v>225247.85</v>
      </c>
      <c r="L81" s="9">
        <v>266788.52</v>
      </c>
      <c r="M81" s="9">
        <v>262208.88</v>
      </c>
      <c r="N81" s="11">
        <f t="shared" si="1"/>
        <v>0</v>
      </c>
      <c r="O81" s="12">
        <v>1.8</v>
      </c>
      <c r="P81" s="9">
        <v>254599.58</v>
      </c>
      <c r="Q81" s="9">
        <v>-2080.23</v>
      </c>
      <c r="R81" s="9">
        <v>-239664.43</v>
      </c>
      <c r="S81" s="9">
        <v>12854.92</v>
      </c>
      <c r="T81" s="12">
        <v>22.11</v>
      </c>
      <c r="U81" s="12">
        <v>18.8</v>
      </c>
      <c r="V81" s="12">
        <v>49.77</v>
      </c>
      <c r="W81" s="12">
        <v>17.51</v>
      </c>
      <c r="X81" s="12">
        <v>14.63</v>
      </c>
      <c r="Y81" s="12">
        <v>15.62</v>
      </c>
      <c r="Z81" s="12">
        <v>14.4</v>
      </c>
      <c r="AA81" s="12">
        <f t="shared" si="2"/>
        <v>0</v>
      </c>
      <c r="AB81" s="12">
        <v>22.3</v>
      </c>
      <c r="AC81" s="12">
        <v>0.43</v>
      </c>
      <c r="AD81" s="12">
        <v>85.35</v>
      </c>
      <c r="AE81" s="12">
        <v>4.14</v>
      </c>
      <c r="AF81" s="12">
        <v>2.47</v>
      </c>
      <c r="AG81" s="12">
        <v>5.22</v>
      </c>
      <c r="AH81" s="12">
        <v>0.84</v>
      </c>
      <c r="AI81" s="12">
        <v>1.45</v>
      </c>
      <c r="AJ81" s="12">
        <v>252.45</v>
      </c>
      <c r="AK81" s="12">
        <v>14.98</v>
      </c>
      <c r="AL81" s="12">
        <v>24.37</v>
      </c>
      <c r="AM81" s="12">
        <v>2.81</v>
      </c>
      <c r="AN81" s="12">
        <v>129.86</v>
      </c>
      <c r="AO81" s="12">
        <v>146.96</v>
      </c>
      <c r="AP81" s="13">
        <f t="shared" si="3"/>
        <v>-7.40245</v>
      </c>
      <c r="AQ81" s="15">
        <v>6.09385447832197E-4</v>
      </c>
      <c r="AR81" s="13">
        <f t="shared" si="4"/>
        <v>0</v>
      </c>
      <c r="AS81" s="13">
        <f t="shared" ref="AS81:AS83" si="53">IF(AR81=N81,1,0)</f>
        <v>1</v>
      </c>
      <c r="AT81" s="13">
        <f t="shared" ref="AT81:AT83" si="54">IF(AND(AR81=0,AS81=1),1,0)</f>
        <v>1</v>
      </c>
      <c r="AU81" s="13">
        <f t="shared" ref="AU81:AU83" si="55">IF(AND(AR81=0,AS81=0),1,0)</f>
        <v>0</v>
      </c>
      <c r="AV81" s="13">
        <f t="shared" ref="AV81:AV83" si="56">IFERROR(IFS(AND(AR81=1,AS81=0),1,AS81="",""),0)</f>
        <v>0</v>
      </c>
      <c r="AW81" s="13">
        <f t="shared" ref="AW81:AW83" si="57">IFERROR(IFS(AND(AR81=1,AS81=1),1,AS81="",""),0)</f>
        <v>0</v>
      </c>
      <c r="AX81" s="13"/>
      <c r="AY81" s="13"/>
      <c r="AZ81" s="13"/>
    </row>
    <row r="82">
      <c r="A82" s="8" t="s">
        <v>124</v>
      </c>
      <c r="B82" s="9">
        <v>886646.84</v>
      </c>
      <c r="C82" s="9">
        <v>569242.09</v>
      </c>
      <c r="D82" s="9">
        <v>239767.24</v>
      </c>
      <c r="E82" s="9">
        <v>317404.75</v>
      </c>
      <c r="F82" s="9">
        <v>849419.73</v>
      </c>
      <c r="G82" s="9">
        <v>839015.0</v>
      </c>
      <c r="H82" s="9">
        <v>29627.74</v>
      </c>
      <c r="I82" s="9">
        <v>10404.73</v>
      </c>
      <c r="J82" s="9">
        <v>1955.27</v>
      </c>
      <c r="K82" s="9">
        <v>-42792.36</v>
      </c>
      <c r="L82" s="9">
        <v>-106068.6</v>
      </c>
      <c r="M82" s="9">
        <v>-152243.97</v>
      </c>
      <c r="N82" s="11">
        <f t="shared" si="1"/>
        <v>0</v>
      </c>
      <c r="O82" s="12" t="s">
        <v>46</v>
      </c>
      <c r="P82" s="9">
        <v>-31646.13</v>
      </c>
      <c r="Q82" s="9">
        <v>-1253.7</v>
      </c>
      <c r="R82" s="9">
        <v>84612.19</v>
      </c>
      <c r="S82" s="9">
        <v>51712.36</v>
      </c>
      <c r="T82" s="12">
        <v>0.75</v>
      </c>
      <c r="U82" s="12">
        <v>1.2</v>
      </c>
      <c r="V82" s="12">
        <v>13.64</v>
      </c>
      <c r="W82" s="12">
        <v>0.23</v>
      </c>
      <c r="X82" s="12">
        <v>-5.44</v>
      </c>
      <c r="Y82" s="12">
        <v>-16.9</v>
      </c>
      <c r="Z82" s="12">
        <v>-15.08</v>
      </c>
      <c r="AA82" s="12">
        <f t="shared" si="2"/>
        <v>0</v>
      </c>
      <c r="AB82" s="12">
        <v>1.22</v>
      </c>
      <c r="AC82" s="12">
        <v>1.79</v>
      </c>
      <c r="AD82" s="12">
        <v>0.9</v>
      </c>
      <c r="AE82" s="12">
        <v>1.16</v>
      </c>
      <c r="AF82" s="12">
        <v>0.71</v>
      </c>
      <c r="AG82" s="12">
        <v>5.37</v>
      </c>
      <c r="AH82" s="12">
        <v>0.98</v>
      </c>
      <c r="AI82" s="12">
        <v>118.49</v>
      </c>
      <c r="AJ82" s="12">
        <v>3.08</v>
      </c>
      <c r="AK82" s="12">
        <v>5.08</v>
      </c>
      <c r="AL82" s="12">
        <v>71.88</v>
      </c>
      <c r="AM82" s="12">
        <v>2.79</v>
      </c>
      <c r="AN82" s="12">
        <v>130.69</v>
      </c>
      <c r="AO82" s="12">
        <v>-55.72</v>
      </c>
      <c r="AP82" s="13">
        <f t="shared" si="3"/>
        <v>-0.3507</v>
      </c>
      <c r="AQ82" s="15">
        <v>0.41321268320468396</v>
      </c>
      <c r="AR82" s="13">
        <f t="shared" si="4"/>
        <v>0</v>
      </c>
      <c r="AS82" s="13">
        <f t="shared" si="53"/>
        <v>1</v>
      </c>
      <c r="AT82" s="13">
        <f t="shared" si="54"/>
        <v>1</v>
      </c>
      <c r="AU82" s="13">
        <f t="shared" si="55"/>
        <v>0</v>
      </c>
      <c r="AV82" s="13">
        <f t="shared" si="56"/>
        <v>0</v>
      </c>
      <c r="AW82" s="13">
        <f t="shared" si="57"/>
        <v>0</v>
      </c>
      <c r="AX82" s="13"/>
      <c r="AY82" s="13"/>
      <c r="AZ82" s="13"/>
    </row>
    <row r="83">
      <c r="A83" s="8" t="s">
        <v>125</v>
      </c>
      <c r="B83" s="9">
        <v>778049.25</v>
      </c>
      <c r="C83" s="9">
        <v>383387.59</v>
      </c>
      <c r="D83" s="9">
        <v>278000.0</v>
      </c>
      <c r="E83" s="9">
        <v>394661.66</v>
      </c>
      <c r="F83" s="9">
        <v>476036.44</v>
      </c>
      <c r="G83" s="9">
        <v>517514.83</v>
      </c>
      <c r="H83" s="9">
        <v>1135.55</v>
      </c>
      <c r="I83" s="9">
        <v>-20643.07</v>
      </c>
      <c r="J83" s="9">
        <v>-28138.59</v>
      </c>
      <c r="K83" s="9">
        <v>-69010.5</v>
      </c>
      <c r="L83" s="9">
        <v>-23589.14</v>
      </c>
      <c r="M83" s="9">
        <v>-31064.95</v>
      </c>
      <c r="N83" s="11">
        <f t="shared" si="1"/>
        <v>1</v>
      </c>
      <c r="O83" s="12">
        <v>-0.1</v>
      </c>
      <c r="P83" s="9">
        <v>17551.66</v>
      </c>
      <c r="Q83" s="9">
        <v>-13408.41</v>
      </c>
      <c r="R83" s="9">
        <v>-18466.78</v>
      </c>
      <c r="S83" s="9">
        <v>-14323.53</v>
      </c>
      <c r="T83" s="12">
        <v>-8.92</v>
      </c>
      <c r="U83" s="12">
        <v>-2.85</v>
      </c>
      <c r="V83" s="12">
        <v>16.24</v>
      </c>
      <c r="W83" s="12">
        <v>-5.91</v>
      </c>
      <c r="X83" s="12">
        <v>-12.83</v>
      </c>
      <c r="Y83" s="12">
        <v>-3.86</v>
      </c>
      <c r="Z83" s="12">
        <v>-3.58</v>
      </c>
      <c r="AA83" s="12">
        <f t="shared" si="2"/>
        <v>1</v>
      </c>
      <c r="AB83" s="12">
        <v>-4.34</v>
      </c>
      <c r="AC83" s="12">
        <v>0.97</v>
      </c>
      <c r="AD83" s="12">
        <v>-2.7</v>
      </c>
      <c r="AE83" s="12">
        <v>0.96</v>
      </c>
      <c r="AF83" s="12">
        <v>0.5</v>
      </c>
      <c r="AG83" s="12">
        <v>1.39</v>
      </c>
      <c r="AH83" s="12">
        <v>0.66</v>
      </c>
      <c r="AI83" s="12">
        <v>2.86</v>
      </c>
      <c r="AJ83" s="12">
        <v>127.6</v>
      </c>
      <c r="AK83" s="12">
        <v>2.5</v>
      </c>
      <c r="AL83" s="12">
        <v>146.06</v>
      </c>
      <c r="AM83" s="12">
        <v>3.89</v>
      </c>
      <c r="AN83" s="12">
        <v>93.8</v>
      </c>
      <c r="AO83" s="12">
        <v>179.85</v>
      </c>
      <c r="AP83" s="13">
        <f t="shared" si="3"/>
        <v>-0.72115</v>
      </c>
      <c r="AQ83" s="15">
        <v>0.32713979537707605</v>
      </c>
      <c r="AR83" s="13">
        <f t="shared" si="4"/>
        <v>0</v>
      </c>
      <c r="AS83" s="13">
        <f t="shared" si="53"/>
        <v>0</v>
      </c>
      <c r="AT83" s="13">
        <f t="shared" si="54"/>
        <v>0</v>
      </c>
      <c r="AU83" s="13">
        <f t="shared" si="55"/>
        <v>1</v>
      </c>
      <c r="AV83" s="13">
        <f t="shared" si="56"/>
        <v>0</v>
      </c>
      <c r="AW83" s="13">
        <f t="shared" si="57"/>
        <v>0</v>
      </c>
      <c r="AX83" s="13"/>
      <c r="AY83" s="13"/>
      <c r="AZ83" s="13"/>
    </row>
    <row r="84">
      <c r="A84" s="8" t="s">
        <v>126</v>
      </c>
      <c r="B84" s="9">
        <v>1726564.22</v>
      </c>
      <c r="C84" s="9">
        <v>631540.33</v>
      </c>
      <c r="D84" s="9">
        <v>310000.0</v>
      </c>
      <c r="E84" s="9">
        <v>1095023.89</v>
      </c>
      <c r="F84" s="9">
        <v>204391.57</v>
      </c>
      <c r="G84" s="9">
        <v>74091.32</v>
      </c>
      <c r="H84" s="9">
        <v>133111.74</v>
      </c>
      <c r="I84" s="9">
        <v>130300.26</v>
      </c>
      <c r="J84" s="9">
        <v>77240.5</v>
      </c>
      <c r="K84" s="9" t="e">
        <v>#N/A</v>
      </c>
      <c r="L84" s="9" t="e">
        <v>#N/A</v>
      </c>
      <c r="M84" s="9" t="e">
        <v>#N/A</v>
      </c>
      <c r="N84" s="11" t="str">
        <f t="shared" si="1"/>
        <v>#N/A</v>
      </c>
      <c r="O84" s="12">
        <v>0.14</v>
      </c>
      <c r="P84" s="9">
        <v>-579429.59</v>
      </c>
      <c r="Q84" s="9">
        <v>10586.13</v>
      </c>
      <c r="R84" s="9">
        <v>741826.79</v>
      </c>
      <c r="S84" s="9">
        <v>172983.33</v>
      </c>
      <c r="T84" s="12">
        <v>9.93</v>
      </c>
      <c r="U84" s="12">
        <v>10.58</v>
      </c>
      <c r="V84" s="12">
        <v>73.57</v>
      </c>
      <c r="W84" s="12">
        <v>37.79</v>
      </c>
      <c r="X84" s="12" t="e">
        <v>#N/A</v>
      </c>
      <c r="Y84" s="12" t="e">
        <v>#N/A</v>
      </c>
      <c r="Z84" s="12" t="e">
        <v>#N/A</v>
      </c>
      <c r="AA84" s="12" t="str">
        <f t="shared" si="2"/>
        <v>#N/A</v>
      </c>
      <c r="AB84" s="12">
        <v>63.75</v>
      </c>
      <c r="AC84" s="12">
        <v>0.58</v>
      </c>
      <c r="AD84" s="12">
        <v>3.84</v>
      </c>
      <c r="AE84" s="12">
        <v>2.24</v>
      </c>
      <c r="AF84" s="12">
        <v>1.72</v>
      </c>
      <c r="AG84" s="12" t="s">
        <v>46</v>
      </c>
      <c r="AH84" s="12">
        <v>0.17</v>
      </c>
      <c r="AI84" s="12" t="s">
        <v>47</v>
      </c>
      <c r="AJ84" s="12" t="s">
        <v>46</v>
      </c>
      <c r="AK84" s="12" t="s">
        <v>47</v>
      </c>
      <c r="AL84" s="12" t="s">
        <v>46</v>
      </c>
      <c r="AM84" s="12" t="s">
        <v>47</v>
      </c>
      <c r="AN84" s="12" t="s">
        <v>46</v>
      </c>
      <c r="AO84" s="12" t="s">
        <v>46</v>
      </c>
      <c r="AP84" s="13" t="str">
        <f t="shared" si="3"/>
        <v>#VALUE!</v>
      </c>
      <c r="AQ84" s="15" t="e">
        <v>#VALUE!</v>
      </c>
      <c r="AR84" s="13" t="str">
        <f t="shared" si="4"/>
        <v>#VALUE!</v>
      </c>
      <c r="AS84" s="13"/>
      <c r="AT84" s="13"/>
      <c r="AU84" s="13"/>
      <c r="AV84" s="13"/>
      <c r="AW84" s="13"/>
      <c r="AX84" s="13"/>
      <c r="AY84" s="13"/>
      <c r="AZ84" s="13"/>
    </row>
    <row r="85">
      <c r="A85" s="8" t="s">
        <v>127</v>
      </c>
      <c r="B85" s="9">
        <v>615977.84</v>
      </c>
      <c r="C85" s="9">
        <v>185331.45</v>
      </c>
      <c r="D85" s="9">
        <v>170000.0</v>
      </c>
      <c r="E85" s="9">
        <v>430644.76</v>
      </c>
      <c r="F85" s="9">
        <v>361751.68</v>
      </c>
      <c r="G85" s="9">
        <v>373502.07</v>
      </c>
      <c r="H85" s="9">
        <v>12852.03</v>
      </c>
      <c r="I85" s="9">
        <v>-11193.01</v>
      </c>
      <c r="J85" s="9">
        <v>-13274.27</v>
      </c>
      <c r="K85" s="9">
        <v>-4880.6</v>
      </c>
      <c r="L85" s="9">
        <v>5092.45</v>
      </c>
      <c r="M85" s="9">
        <v>-11185.11</v>
      </c>
      <c r="N85" s="11">
        <f t="shared" si="1"/>
        <v>0</v>
      </c>
      <c r="O85" s="12">
        <v>-0.02</v>
      </c>
      <c r="P85" s="9">
        <v>55118.42</v>
      </c>
      <c r="Q85" s="9">
        <v>-75366.05</v>
      </c>
      <c r="R85" s="9">
        <v>1373.36</v>
      </c>
      <c r="S85" s="9">
        <v>-18874.27</v>
      </c>
      <c r="T85" s="12">
        <v>-3.04</v>
      </c>
      <c r="U85" s="12">
        <v>-1.79</v>
      </c>
      <c r="V85" s="12">
        <v>24.21</v>
      </c>
      <c r="W85" s="12">
        <v>-3.67</v>
      </c>
      <c r="X85" s="12">
        <v>-1.11</v>
      </c>
      <c r="Y85" s="12">
        <v>1.27</v>
      </c>
      <c r="Z85" s="12">
        <v>-3.22</v>
      </c>
      <c r="AA85" s="12">
        <f t="shared" si="2"/>
        <v>0</v>
      </c>
      <c r="AB85" s="12">
        <v>-3.09</v>
      </c>
      <c r="AC85" s="12">
        <v>0.43</v>
      </c>
      <c r="AD85" s="12">
        <v>-3.32</v>
      </c>
      <c r="AE85" s="12">
        <v>0.78</v>
      </c>
      <c r="AF85" s="12">
        <v>0.06</v>
      </c>
      <c r="AG85" s="12">
        <v>2.06</v>
      </c>
      <c r="AH85" s="12">
        <v>0.58</v>
      </c>
      <c r="AI85" s="12">
        <v>2.11</v>
      </c>
      <c r="AJ85" s="12">
        <v>172.89</v>
      </c>
      <c r="AK85" s="12">
        <v>19.15</v>
      </c>
      <c r="AL85" s="12">
        <v>19.06</v>
      </c>
      <c r="AM85" s="12">
        <v>7.55</v>
      </c>
      <c r="AN85" s="12">
        <v>48.37</v>
      </c>
      <c r="AO85" s="12">
        <v>143.58</v>
      </c>
      <c r="AP85" s="13">
        <f t="shared" si="3"/>
        <v>-1.48756</v>
      </c>
      <c r="AQ85" s="15">
        <v>0.18428824054641496</v>
      </c>
      <c r="AR85" s="13">
        <f t="shared" si="4"/>
        <v>0</v>
      </c>
      <c r="AS85" s="13">
        <f t="shared" ref="AS85:AS86" si="58">IF(AR85=N85,1,0)</f>
        <v>1</v>
      </c>
      <c r="AT85" s="13">
        <f t="shared" ref="AT85:AT86" si="59">IF(AND(AR85=0,AS85=1),1,0)</f>
        <v>1</v>
      </c>
      <c r="AU85" s="13">
        <f t="shared" ref="AU85:AU86" si="60">IF(AND(AR85=0,AS85=0),1,0)</f>
        <v>0</v>
      </c>
      <c r="AV85" s="13">
        <f t="shared" ref="AV85:AV86" si="61">IFERROR(IFS(AND(AR85=1,AS85=0),1,AS85="",""),0)</f>
        <v>0</v>
      </c>
      <c r="AW85" s="13">
        <f t="shared" ref="AW85:AW95" si="62">IFERROR(IFS(AND(AR85=1,AS85=1),1,AS85="",""),0)</f>
        <v>0</v>
      </c>
      <c r="AX85" s="13"/>
      <c r="AY85" s="13"/>
      <c r="AZ85" s="13"/>
    </row>
    <row r="86">
      <c r="A86" s="8" t="s">
        <v>128</v>
      </c>
      <c r="B86" s="9">
        <v>999742.59</v>
      </c>
      <c r="C86" s="9">
        <v>376374.52</v>
      </c>
      <c r="D86" s="9">
        <v>1124417.3</v>
      </c>
      <c r="E86" s="9">
        <v>628413.46</v>
      </c>
      <c r="F86" s="9">
        <v>157883.32</v>
      </c>
      <c r="G86" s="9">
        <v>235098.68</v>
      </c>
      <c r="H86" s="9">
        <v>-37892.78</v>
      </c>
      <c r="I86" s="9">
        <v>-77215.36</v>
      </c>
      <c r="J86" s="9">
        <v>-58247.66</v>
      </c>
      <c r="K86" s="9">
        <v>-103774.4</v>
      </c>
      <c r="L86" s="9">
        <v>43074.59</v>
      </c>
      <c r="M86" s="9">
        <v>405245.04</v>
      </c>
      <c r="N86" s="11">
        <f t="shared" si="1"/>
        <v>0</v>
      </c>
      <c r="O86" s="12">
        <v>-0.05</v>
      </c>
      <c r="P86" s="9">
        <v>173369.04</v>
      </c>
      <c r="Q86" s="9">
        <v>305810.73</v>
      </c>
      <c r="R86" s="9">
        <v>63614.24</v>
      </c>
      <c r="S86" s="9">
        <v>542794.02</v>
      </c>
      <c r="T86" s="12">
        <v>-9.36</v>
      </c>
      <c r="U86" s="12">
        <v>-7.92</v>
      </c>
      <c r="V86" s="12">
        <v>11.39</v>
      </c>
      <c r="W86" s="12">
        <v>-45.6</v>
      </c>
      <c r="X86" s="12">
        <v>-24.71</v>
      </c>
      <c r="Y86" s="12">
        <v>3.53</v>
      </c>
      <c r="Z86" s="12">
        <v>82.23</v>
      </c>
      <c r="AA86" s="12">
        <f t="shared" si="2"/>
        <v>0</v>
      </c>
      <c r="AB86" s="12">
        <v>-48.91</v>
      </c>
      <c r="AC86" s="12">
        <v>0.6</v>
      </c>
      <c r="AD86" s="12">
        <v>-165.85</v>
      </c>
      <c r="AE86" s="12">
        <v>2.4</v>
      </c>
      <c r="AF86" s="12">
        <v>1.57</v>
      </c>
      <c r="AG86" s="12">
        <v>2.1</v>
      </c>
      <c r="AH86" s="12">
        <v>0.16</v>
      </c>
      <c r="AI86" s="12">
        <v>17.98</v>
      </c>
      <c r="AJ86" s="12">
        <v>20.3</v>
      </c>
      <c r="AK86" s="12">
        <v>2.81</v>
      </c>
      <c r="AL86" s="12">
        <v>129.75</v>
      </c>
      <c r="AM86" s="12">
        <v>3.45</v>
      </c>
      <c r="AN86" s="12">
        <v>105.72</v>
      </c>
      <c r="AO86" s="12">
        <v>44.33</v>
      </c>
      <c r="AP86" s="13">
        <f t="shared" si="3"/>
        <v>-2.52472</v>
      </c>
      <c r="AQ86" s="15">
        <v>0.0741432837949472</v>
      </c>
      <c r="AR86" s="13">
        <f t="shared" si="4"/>
        <v>0</v>
      </c>
      <c r="AS86" s="13">
        <f t="shared" si="58"/>
        <v>1</v>
      </c>
      <c r="AT86" s="13">
        <f t="shared" si="59"/>
        <v>1</v>
      </c>
      <c r="AU86" s="13">
        <f t="shared" si="60"/>
        <v>0</v>
      </c>
      <c r="AV86" s="13">
        <f t="shared" si="61"/>
        <v>0</v>
      </c>
      <c r="AW86" s="13">
        <f t="shared" si="62"/>
        <v>0</v>
      </c>
      <c r="AX86" s="13"/>
      <c r="AY86" s="13"/>
      <c r="AZ86" s="13"/>
    </row>
    <row r="87">
      <c r="A87" s="8" t="s">
        <v>129</v>
      </c>
      <c r="B87" s="9">
        <v>1125520.63</v>
      </c>
      <c r="C87" s="9">
        <v>549185.93</v>
      </c>
      <c r="D87" s="9">
        <v>58000.0</v>
      </c>
      <c r="E87" s="9">
        <v>576334.7</v>
      </c>
      <c r="F87" s="9">
        <v>1026068.12</v>
      </c>
      <c r="G87" s="9">
        <v>853885.49</v>
      </c>
      <c r="H87" s="9">
        <v>220758.47</v>
      </c>
      <c r="I87" s="9">
        <v>171889.96</v>
      </c>
      <c r="J87" s="9">
        <v>131628.91</v>
      </c>
      <c r="K87" s="9" t="e">
        <v>#N/A</v>
      </c>
      <c r="L87" s="9" t="e">
        <v>#N/A</v>
      </c>
      <c r="M87" s="9" t="e">
        <v>#N/A</v>
      </c>
      <c r="N87" s="11" t="str">
        <f t="shared" si="1"/>
        <v>#N/A</v>
      </c>
      <c r="O87" s="12">
        <v>1.46</v>
      </c>
      <c r="P87" s="9">
        <v>133329.94</v>
      </c>
      <c r="Q87" s="9">
        <v>-40071.53</v>
      </c>
      <c r="R87" s="9">
        <v>255497.49</v>
      </c>
      <c r="S87" s="9">
        <v>348755.9</v>
      </c>
      <c r="T87" s="12">
        <v>33.71</v>
      </c>
      <c r="U87" s="12">
        <v>18.61</v>
      </c>
      <c r="V87" s="12">
        <v>28.62</v>
      </c>
      <c r="W87" s="12">
        <v>12.83</v>
      </c>
      <c r="X87" s="12" t="e">
        <v>#N/A</v>
      </c>
      <c r="Y87" s="12" t="e">
        <v>#N/A</v>
      </c>
      <c r="Z87" s="12" t="e">
        <v>#N/A</v>
      </c>
      <c r="AA87" s="12" t="str">
        <f t="shared" si="2"/>
        <v>#N/A</v>
      </c>
      <c r="AB87" s="12">
        <v>16.75</v>
      </c>
      <c r="AC87" s="12">
        <v>0.95</v>
      </c>
      <c r="AD87" s="12">
        <v>16.74</v>
      </c>
      <c r="AE87" s="12">
        <v>1.57</v>
      </c>
      <c r="AF87" s="12">
        <v>1.43</v>
      </c>
      <c r="AG87" s="12">
        <v>2.22</v>
      </c>
      <c r="AH87" s="12">
        <v>1.11</v>
      </c>
      <c r="AI87" s="12">
        <v>12.26</v>
      </c>
      <c r="AJ87" s="12">
        <v>29.76</v>
      </c>
      <c r="AK87" s="12">
        <v>4.84</v>
      </c>
      <c r="AL87" s="12">
        <v>75.47</v>
      </c>
      <c r="AM87" s="12">
        <v>4.26</v>
      </c>
      <c r="AN87" s="12">
        <v>85.75</v>
      </c>
      <c r="AO87" s="12">
        <v>19.48</v>
      </c>
      <c r="AP87" s="13">
        <f t="shared" si="3"/>
        <v>-6.19622</v>
      </c>
      <c r="AQ87" s="15">
        <v>0.0020329749943409853</v>
      </c>
      <c r="AR87" s="13">
        <f t="shared" si="4"/>
        <v>0</v>
      </c>
      <c r="AS87" s="13"/>
      <c r="AT87" s="13"/>
      <c r="AU87" s="13"/>
      <c r="AV87" s="13"/>
      <c r="AW87" s="13" t="str">
        <f t="shared" si="62"/>
        <v/>
      </c>
      <c r="AX87" s="13"/>
      <c r="AY87" s="13"/>
      <c r="AZ87" s="13"/>
    </row>
    <row r="88">
      <c r="A88" s="8" t="s">
        <v>130</v>
      </c>
      <c r="B88" s="9">
        <v>402444.54</v>
      </c>
      <c r="C88" s="9">
        <v>223796.18</v>
      </c>
      <c r="D88" s="9">
        <v>120749.98</v>
      </c>
      <c r="E88" s="9">
        <v>178648.36</v>
      </c>
      <c r="F88" s="9">
        <v>972708.97</v>
      </c>
      <c r="G88" s="9">
        <v>957653.78</v>
      </c>
      <c r="H88" s="9">
        <v>34099.06</v>
      </c>
      <c r="I88" s="9">
        <v>15055.19</v>
      </c>
      <c r="J88" s="9">
        <v>8925.94</v>
      </c>
      <c r="K88" s="9">
        <v>26439.04</v>
      </c>
      <c r="L88" s="9">
        <v>14607.96</v>
      </c>
      <c r="M88" s="9" t="e">
        <v>#N/A</v>
      </c>
      <c r="N88" s="11" t="str">
        <f t="shared" si="1"/>
        <v>#N/A</v>
      </c>
      <c r="O88" s="12">
        <v>0.04</v>
      </c>
      <c r="P88" s="9">
        <v>28261.56</v>
      </c>
      <c r="Q88" s="9">
        <v>-18509.29</v>
      </c>
      <c r="R88" s="9">
        <v>-22173.67</v>
      </c>
      <c r="S88" s="9">
        <v>-12421.4</v>
      </c>
      <c r="T88" s="12">
        <v>5.06</v>
      </c>
      <c r="U88" s="12">
        <v>3.83</v>
      </c>
      <c r="V88" s="12">
        <v>12.42</v>
      </c>
      <c r="W88" s="12">
        <v>0.92</v>
      </c>
      <c r="X88" s="12">
        <v>2.62</v>
      </c>
      <c r="Y88" s="12">
        <v>1.5</v>
      </c>
      <c r="Z88" s="12" t="e">
        <v>#N/A</v>
      </c>
      <c r="AA88" s="12" t="str">
        <f t="shared" si="2"/>
        <v>#N/A</v>
      </c>
      <c r="AB88" s="12">
        <v>1.55</v>
      </c>
      <c r="AC88" s="12">
        <v>1.25</v>
      </c>
      <c r="AD88" s="12">
        <v>3.81</v>
      </c>
      <c r="AE88" s="12">
        <v>1.31</v>
      </c>
      <c r="AF88" s="12">
        <v>0.28</v>
      </c>
      <c r="AG88" s="12">
        <v>5.45</v>
      </c>
      <c r="AH88" s="12">
        <v>2.48</v>
      </c>
      <c r="AI88" s="12">
        <v>5.33</v>
      </c>
      <c r="AJ88" s="12">
        <v>68.46</v>
      </c>
      <c r="AK88" s="12">
        <v>53.11</v>
      </c>
      <c r="AL88" s="12">
        <v>6.87</v>
      </c>
      <c r="AM88" s="12">
        <v>7.17</v>
      </c>
      <c r="AN88" s="12">
        <v>50.89</v>
      </c>
      <c r="AO88" s="12">
        <v>24.45</v>
      </c>
      <c r="AP88" s="13">
        <f t="shared" si="3"/>
        <v>-1.76434</v>
      </c>
      <c r="AQ88" s="15">
        <v>0.14624761826534968</v>
      </c>
      <c r="AR88" s="13">
        <f t="shared" si="4"/>
        <v>0</v>
      </c>
      <c r="AS88" s="13"/>
      <c r="AT88" s="13"/>
      <c r="AU88" s="13"/>
      <c r="AV88" s="13"/>
      <c r="AW88" s="13" t="str">
        <f t="shared" si="62"/>
        <v/>
      </c>
      <c r="AX88" s="13"/>
      <c r="AY88" s="13"/>
      <c r="AZ88" s="13"/>
    </row>
    <row r="89">
      <c r="A89" s="8" t="s">
        <v>131</v>
      </c>
      <c r="B89" s="9">
        <v>2590250.45</v>
      </c>
      <c r="C89" s="9">
        <v>944496.93</v>
      </c>
      <c r="D89" s="9">
        <v>110000.0</v>
      </c>
      <c r="E89" s="9">
        <v>1645753.53</v>
      </c>
      <c r="F89" s="9">
        <v>1647198.8</v>
      </c>
      <c r="G89" s="9">
        <v>1390341.47</v>
      </c>
      <c r="H89" s="9">
        <v>398861.0</v>
      </c>
      <c r="I89" s="9">
        <v>256857.32</v>
      </c>
      <c r="J89" s="9">
        <v>205488.71</v>
      </c>
      <c r="K89" s="9" t="e">
        <v>#N/A</v>
      </c>
      <c r="L89" s="9" t="e">
        <v>#N/A</v>
      </c>
      <c r="M89" s="9" t="e">
        <v>#N/A</v>
      </c>
      <c r="N89" s="11" t="str">
        <f t="shared" si="1"/>
        <v>#N/A</v>
      </c>
      <c r="O89" s="12">
        <v>1.21</v>
      </c>
      <c r="P89" s="9">
        <v>407959.72</v>
      </c>
      <c r="Q89" s="9">
        <v>-1226441.51</v>
      </c>
      <c r="R89" s="9">
        <v>1207016.78</v>
      </c>
      <c r="S89" s="9">
        <v>388535.0</v>
      </c>
      <c r="T89" s="12">
        <v>22.75</v>
      </c>
      <c r="U89" s="12">
        <v>15.04</v>
      </c>
      <c r="V89" s="12">
        <v>56.31</v>
      </c>
      <c r="W89" s="12">
        <v>12.48</v>
      </c>
      <c r="X89" s="12" t="e">
        <v>#N/A</v>
      </c>
      <c r="Y89" s="12" t="e">
        <v>#N/A</v>
      </c>
      <c r="Z89" s="12" t="e">
        <v>#N/A</v>
      </c>
      <c r="AA89" s="12" t="str">
        <f t="shared" si="2"/>
        <v>#N/A</v>
      </c>
      <c r="AB89" s="12">
        <v>15.59</v>
      </c>
      <c r="AC89" s="12">
        <v>0.57</v>
      </c>
      <c r="AD89" s="12">
        <v>24.1</v>
      </c>
      <c r="AE89" s="12">
        <v>2.38</v>
      </c>
      <c r="AF89" s="12">
        <v>0.66</v>
      </c>
      <c r="AG89" s="12">
        <v>2.44</v>
      </c>
      <c r="AH89" s="12">
        <v>0.96</v>
      </c>
      <c r="AI89" s="12">
        <v>7.01</v>
      </c>
      <c r="AJ89" s="12">
        <v>52.07</v>
      </c>
      <c r="AK89" s="12">
        <v>754.25</v>
      </c>
      <c r="AL89" s="12">
        <v>0.48</v>
      </c>
      <c r="AM89" s="12">
        <v>4.38</v>
      </c>
      <c r="AN89" s="12">
        <v>83.38</v>
      </c>
      <c r="AO89" s="12">
        <v>-30.83</v>
      </c>
      <c r="AP89" s="13">
        <f t="shared" si="3"/>
        <v>-5.18935</v>
      </c>
      <c r="AQ89" s="15">
        <v>0.005544714521192701</v>
      </c>
      <c r="AR89" s="13">
        <f t="shared" si="4"/>
        <v>0</v>
      </c>
      <c r="AS89" s="13"/>
      <c r="AT89" s="13"/>
      <c r="AU89" s="13"/>
      <c r="AV89" s="13"/>
      <c r="AW89" s="13" t="str">
        <f t="shared" si="62"/>
        <v/>
      </c>
      <c r="AX89" s="13"/>
      <c r="AY89" s="13"/>
      <c r="AZ89" s="13"/>
    </row>
    <row r="90">
      <c r="A90" s="8" t="s">
        <v>132</v>
      </c>
      <c r="B90" s="9">
        <v>1558658.36</v>
      </c>
      <c r="C90" s="9">
        <v>167891.52</v>
      </c>
      <c r="D90" s="9">
        <v>618067.93</v>
      </c>
      <c r="E90" s="9">
        <v>1389279.42</v>
      </c>
      <c r="F90" s="9">
        <v>574827.8</v>
      </c>
      <c r="G90" s="9">
        <v>539367.68</v>
      </c>
      <c r="H90" s="9">
        <v>62013.84</v>
      </c>
      <c r="I90" s="9">
        <v>45697.29</v>
      </c>
      <c r="J90" s="9">
        <v>41144.17</v>
      </c>
      <c r="K90" s="9">
        <v>-21371.41</v>
      </c>
      <c r="L90" s="9">
        <v>-3515.19</v>
      </c>
      <c r="M90" s="9">
        <v>30967.76</v>
      </c>
      <c r="N90" s="11">
        <f t="shared" si="1"/>
        <v>0</v>
      </c>
      <c r="O90" s="12">
        <v>0.02</v>
      </c>
      <c r="P90" s="9">
        <v>-176869.12</v>
      </c>
      <c r="Q90" s="9">
        <v>-454814.02</v>
      </c>
      <c r="R90" s="9">
        <v>691484.95</v>
      </c>
      <c r="S90" s="9">
        <v>59801.81</v>
      </c>
      <c r="T90" s="12">
        <v>4.59</v>
      </c>
      <c r="U90" s="12">
        <v>4.18</v>
      </c>
      <c r="V90" s="12">
        <v>18.71</v>
      </c>
      <c r="W90" s="12">
        <v>7.12</v>
      </c>
      <c r="X90" s="12">
        <v>-3.92</v>
      </c>
      <c r="Y90" s="12">
        <v>-0.48</v>
      </c>
      <c r="Z90" s="12">
        <v>4.35</v>
      </c>
      <c r="AA90" s="12">
        <f t="shared" si="2"/>
        <v>0</v>
      </c>
      <c r="AB90" s="12">
        <v>7.95</v>
      </c>
      <c r="AC90" s="12">
        <v>0.12</v>
      </c>
      <c r="AD90" s="12">
        <v>7.45</v>
      </c>
      <c r="AE90" s="12">
        <v>9.76</v>
      </c>
      <c r="AF90" s="12">
        <v>1.75</v>
      </c>
      <c r="AG90" s="12">
        <v>9.49</v>
      </c>
      <c r="AH90" s="12">
        <v>0.53</v>
      </c>
      <c r="AI90" s="12">
        <v>2.11</v>
      </c>
      <c r="AJ90" s="12">
        <v>173.18</v>
      </c>
      <c r="AK90" s="12">
        <v>5.74</v>
      </c>
      <c r="AL90" s="12">
        <v>63.57</v>
      </c>
      <c r="AM90" s="12">
        <v>7.45</v>
      </c>
      <c r="AN90" s="12">
        <v>49.02</v>
      </c>
      <c r="AO90" s="12">
        <v>187.73</v>
      </c>
      <c r="AP90" s="13">
        <f t="shared" si="3"/>
        <v>-4.3693</v>
      </c>
      <c r="AQ90" s="15">
        <v>0.012501825185442331</v>
      </c>
      <c r="AR90" s="13">
        <f t="shared" si="4"/>
        <v>0</v>
      </c>
      <c r="AS90" s="13">
        <f>IF(AR90=N90,1,0)</f>
        <v>1</v>
      </c>
      <c r="AT90" s="13">
        <f>IF(AND(AR90=0,AS90=1),1,0)</f>
        <v>1</v>
      </c>
      <c r="AU90" s="13">
        <f>IF(AND(AR90=0,AS90=0),1,0)</f>
        <v>0</v>
      </c>
      <c r="AV90" s="13">
        <f t="shared" ref="AV90:AV95" si="63">IFERROR(IFS(AND(AR90=1,AS90=0),1,AS90="",""),0)</f>
        <v>0</v>
      </c>
      <c r="AW90" s="13">
        <f t="shared" si="62"/>
        <v>0</v>
      </c>
      <c r="AX90" s="13"/>
      <c r="AY90" s="13"/>
      <c r="AZ90" s="13"/>
    </row>
    <row r="91">
      <c r="A91" s="8" t="s">
        <v>133</v>
      </c>
      <c r="B91" s="9">
        <v>682189.44</v>
      </c>
      <c r="C91" s="9">
        <v>195284.29</v>
      </c>
      <c r="D91" s="9">
        <v>150000.0</v>
      </c>
      <c r="E91" s="9">
        <v>485484.44</v>
      </c>
      <c r="F91" s="9">
        <v>385083.06</v>
      </c>
      <c r="G91" s="9">
        <v>354597.02</v>
      </c>
      <c r="H91" s="9">
        <v>52367.57</v>
      </c>
      <c r="I91" s="9">
        <v>30486.04</v>
      </c>
      <c r="J91" s="9">
        <v>21181.44</v>
      </c>
      <c r="K91" s="9" t="e">
        <v>#N/A</v>
      </c>
      <c r="L91" s="9" t="e">
        <v>#N/A</v>
      </c>
      <c r="M91" s="9" t="e">
        <v>#N/A</v>
      </c>
      <c r="N91" s="11" t="str">
        <f t="shared" si="1"/>
        <v>#N/A</v>
      </c>
      <c r="O91" s="12">
        <v>0.09</v>
      </c>
      <c r="P91" s="9">
        <v>52011.85</v>
      </c>
      <c r="Q91" s="9">
        <v>-103275.32</v>
      </c>
      <c r="R91" s="9">
        <v>271024.37</v>
      </c>
      <c r="S91" s="9">
        <v>219760.9</v>
      </c>
      <c r="T91" s="12">
        <v>5.9</v>
      </c>
      <c r="U91" s="12">
        <v>5.69</v>
      </c>
      <c r="V91" s="12">
        <v>19.02</v>
      </c>
      <c r="W91" s="12">
        <v>5.48</v>
      </c>
      <c r="X91" s="12" t="e">
        <v>#N/A</v>
      </c>
      <c r="Y91" s="12" t="e">
        <v>#N/A</v>
      </c>
      <c r="Z91" s="12" t="e">
        <v>#N/A</v>
      </c>
      <c r="AA91" s="12" t="str">
        <f t="shared" si="2"/>
        <v>#N/A</v>
      </c>
      <c r="AB91" s="12">
        <v>7.92</v>
      </c>
      <c r="AC91" s="12">
        <v>0.4</v>
      </c>
      <c r="AD91" s="12">
        <v>6.89</v>
      </c>
      <c r="AE91" s="12">
        <v>3.87</v>
      </c>
      <c r="AF91" s="12">
        <v>3.58</v>
      </c>
      <c r="AG91" s="12">
        <v>2.44</v>
      </c>
      <c r="AH91" s="12">
        <v>0.72</v>
      </c>
      <c r="AI91" s="12">
        <v>11.16</v>
      </c>
      <c r="AJ91" s="12">
        <v>32.72</v>
      </c>
      <c r="AK91" s="12">
        <v>2.33</v>
      </c>
      <c r="AL91" s="12">
        <v>156.63</v>
      </c>
      <c r="AM91" s="12">
        <v>3.6</v>
      </c>
      <c r="AN91" s="12">
        <v>101.5</v>
      </c>
      <c r="AO91" s="12">
        <v>87.85</v>
      </c>
      <c r="AP91" s="13">
        <f t="shared" si="3"/>
        <v>-5.71704</v>
      </c>
      <c r="AQ91" s="15">
        <v>0.0032786483337848074</v>
      </c>
      <c r="AR91" s="13">
        <f t="shared" si="4"/>
        <v>0</v>
      </c>
      <c r="AS91" s="13"/>
      <c r="AT91" s="13"/>
      <c r="AU91" s="13"/>
      <c r="AV91" s="13" t="str">
        <f t="shared" si="63"/>
        <v/>
      </c>
      <c r="AW91" s="13" t="str">
        <f t="shared" si="62"/>
        <v/>
      </c>
      <c r="AX91" s="13"/>
      <c r="AY91" s="13"/>
      <c r="AZ91" s="13"/>
    </row>
    <row r="92">
      <c r="A92" s="8" t="s">
        <v>134</v>
      </c>
      <c r="B92" s="9">
        <v>915178.53</v>
      </c>
      <c r="C92" s="9">
        <v>361163.03</v>
      </c>
      <c r="D92" s="9">
        <v>215000.0</v>
      </c>
      <c r="E92" s="9">
        <v>554015.5</v>
      </c>
      <c r="F92" s="9">
        <v>561832.34</v>
      </c>
      <c r="G92" s="9">
        <v>481618.51</v>
      </c>
      <c r="H92" s="9">
        <v>101949.47</v>
      </c>
      <c r="I92" s="9">
        <v>80213.83</v>
      </c>
      <c r="J92" s="9">
        <v>61810.7</v>
      </c>
      <c r="K92" s="9">
        <v>57702.48</v>
      </c>
      <c r="L92" s="9">
        <v>46691.53</v>
      </c>
      <c r="M92" s="9">
        <v>23396.27</v>
      </c>
      <c r="N92" s="11">
        <f t="shared" si="1"/>
        <v>0</v>
      </c>
      <c r="O92" s="12">
        <v>0.14</v>
      </c>
      <c r="P92" s="9">
        <v>14586.19</v>
      </c>
      <c r="Q92" s="9">
        <v>-133880.63</v>
      </c>
      <c r="R92" s="9">
        <v>115225.65</v>
      </c>
      <c r="S92" s="9">
        <v>-4068.79</v>
      </c>
      <c r="T92" s="12">
        <v>11.55</v>
      </c>
      <c r="U92" s="12">
        <v>9.99</v>
      </c>
      <c r="V92" s="12">
        <v>39.14</v>
      </c>
      <c r="W92" s="12">
        <v>11.0</v>
      </c>
      <c r="X92" s="12">
        <v>12.24</v>
      </c>
      <c r="Y92" s="12">
        <v>10.57</v>
      </c>
      <c r="Z92" s="12">
        <v>5.34</v>
      </c>
      <c r="AA92" s="12">
        <f t="shared" si="2"/>
        <v>0</v>
      </c>
      <c r="AB92" s="12">
        <v>14.28</v>
      </c>
      <c r="AC92" s="12">
        <v>0.65</v>
      </c>
      <c r="AD92" s="12">
        <v>18.02</v>
      </c>
      <c r="AE92" s="12">
        <v>2.61</v>
      </c>
      <c r="AF92" s="12">
        <v>1.15</v>
      </c>
      <c r="AG92" s="12">
        <v>1.49</v>
      </c>
      <c r="AH92" s="12">
        <v>0.7</v>
      </c>
      <c r="AI92" s="12">
        <v>1.63</v>
      </c>
      <c r="AJ92" s="12">
        <v>223.47</v>
      </c>
      <c r="AK92" s="12">
        <v>3.64</v>
      </c>
      <c r="AL92" s="12">
        <v>100.34</v>
      </c>
      <c r="AM92" s="12">
        <v>5.13</v>
      </c>
      <c r="AN92" s="12">
        <v>71.21</v>
      </c>
      <c r="AO92" s="12">
        <v>252.6</v>
      </c>
      <c r="AP92" s="13">
        <f t="shared" si="3"/>
        <v>-4.33486</v>
      </c>
      <c r="AQ92" s="15">
        <v>0.012934222187021902</v>
      </c>
      <c r="AR92" s="13">
        <f t="shared" si="4"/>
        <v>0</v>
      </c>
      <c r="AS92" s="13">
        <f t="shared" ref="AS92:AS95" si="64">IF(AR92=N92,1,0)</f>
        <v>1</v>
      </c>
      <c r="AT92" s="13">
        <f t="shared" ref="AT92:AT95" si="65">IF(AND(AR92=0,AS92=1),1,0)</f>
        <v>1</v>
      </c>
      <c r="AU92" s="13">
        <f t="shared" ref="AU92:AU95" si="66">IF(AND(AR92=0,AS92=0),1,0)</f>
        <v>0</v>
      </c>
      <c r="AV92" s="13">
        <f t="shared" si="63"/>
        <v>0</v>
      </c>
      <c r="AW92" s="13">
        <f t="shared" si="62"/>
        <v>0</v>
      </c>
      <c r="AX92" s="13"/>
      <c r="AY92" s="13"/>
      <c r="AZ92" s="13"/>
    </row>
    <row r="93">
      <c r="A93" s="8" t="s">
        <v>135</v>
      </c>
      <c r="B93" s="9">
        <v>2267471.25</v>
      </c>
      <c r="C93" s="9">
        <v>1626572.13</v>
      </c>
      <c r="D93" s="9">
        <v>343199.96</v>
      </c>
      <c r="E93" s="9">
        <v>639500.91</v>
      </c>
      <c r="F93" s="9">
        <v>1005186.78</v>
      </c>
      <c r="G93" s="9">
        <v>866691.46</v>
      </c>
      <c r="H93" s="9">
        <v>145114.36</v>
      </c>
      <c r="I93" s="9">
        <v>138495.32</v>
      </c>
      <c r="J93" s="9">
        <v>106431.19</v>
      </c>
      <c r="K93" s="9">
        <v>155786.08</v>
      </c>
      <c r="L93" s="9">
        <v>84657.52</v>
      </c>
      <c r="M93" s="9">
        <v>56312.35</v>
      </c>
      <c r="N93" s="11">
        <f t="shared" si="1"/>
        <v>0</v>
      </c>
      <c r="O93" s="12">
        <v>0.16</v>
      </c>
      <c r="P93" s="9">
        <v>-154257.57</v>
      </c>
      <c r="Q93" s="9">
        <v>8470.55</v>
      </c>
      <c r="R93" s="9">
        <v>321375.13</v>
      </c>
      <c r="S93" s="9">
        <v>175588.11</v>
      </c>
      <c r="T93" s="12">
        <v>16.87</v>
      </c>
      <c r="U93" s="12">
        <v>6.77</v>
      </c>
      <c r="V93" s="12">
        <v>26.56</v>
      </c>
      <c r="W93" s="12">
        <v>10.61</v>
      </c>
      <c r="X93" s="12">
        <v>15.63</v>
      </c>
      <c r="Y93" s="12">
        <v>10.53</v>
      </c>
      <c r="Z93" s="12">
        <v>8.68</v>
      </c>
      <c r="AA93" s="12">
        <f t="shared" si="2"/>
        <v>0</v>
      </c>
      <c r="AB93" s="12">
        <v>13.78</v>
      </c>
      <c r="AC93" s="12">
        <v>2.54</v>
      </c>
      <c r="AD93" s="12">
        <v>28.51</v>
      </c>
      <c r="AE93" s="12">
        <v>2.71</v>
      </c>
      <c r="AF93" s="12">
        <v>0.42</v>
      </c>
      <c r="AG93" s="12">
        <v>10.14</v>
      </c>
      <c r="AH93" s="12">
        <v>0.49</v>
      </c>
      <c r="AI93" s="12">
        <v>0.5</v>
      </c>
      <c r="AJ93" s="12">
        <v>729.34</v>
      </c>
      <c r="AK93" s="12">
        <v>46.2</v>
      </c>
      <c r="AL93" s="12">
        <v>7.9</v>
      </c>
      <c r="AM93" s="12">
        <v>2.92</v>
      </c>
      <c r="AN93" s="12">
        <v>125.11</v>
      </c>
      <c r="AO93" s="12">
        <v>612.14</v>
      </c>
      <c r="AP93" s="13">
        <f t="shared" si="3"/>
        <v>-0.06781</v>
      </c>
      <c r="AQ93" s="15">
        <v>0.48305399292439105</v>
      </c>
      <c r="AR93" s="13">
        <f t="shared" si="4"/>
        <v>0</v>
      </c>
      <c r="AS93" s="13">
        <f t="shared" si="64"/>
        <v>1</v>
      </c>
      <c r="AT93" s="13">
        <f t="shared" si="65"/>
        <v>1</v>
      </c>
      <c r="AU93" s="13">
        <f t="shared" si="66"/>
        <v>0</v>
      </c>
      <c r="AV93" s="13">
        <f t="shared" si="63"/>
        <v>0</v>
      </c>
      <c r="AW93" s="13">
        <f t="shared" si="62"/>
        <v>0</v>
      </c>
      <c r="AX93" s="13"/>
      <c r="AY93" s="13"/>
      <c r="AZ93" s="13"/>
    </row>
    <row r="94">
      <c r="A94" s="8" t="s">
        <v>136</v>
      </c>
      <c r="B94" s="9">
        <v>645764.14</v>
      </c>
      <c r="C94" s="9">
        <v>146623.7</v>
      </c>
      <c r="D94" s="9">
        <v>236591.87</v>
      </c>
      <c r="E94" s="9">
        <v>485421.21</v>
      </c>
      <c r="F94" s="9">
        <v>477914.33</v>
      </c>
      <c r="G94" s="9">
        <v>440497.72</v>
      </c>
      <c r="H94" s="9">
        <v>60155.17</v>
      </c>
      <c r="I94" s="9">
        <v>37615.97</v>
      </c>
      <c r="J94" s="9">
        <v>30530.88</v>
      </c>
      <c r="K94" s="9">
        <v>83189.15</v>
      </c>
      <c r="L94" s="9">
        <v>43319.27</v>
      </c>
      <c r="M94" s="9">
        <v>27047.97</v>
      </c>
      <c r="N94" s="11">
        <f t="shared" si="1"/>
        <v>0</v>
      </c>
      <c r="O94" s="12">
        <v>0.07</v>
      </c>
      <c r="P94" s="9">
        <v>46690.72</v>
      </c>
      <c r="Q94" s="9">
        <v>-54299.01</v>
      </c>
      <c r="R94" s="9">
        <v>-103774.63</v>
      </c>
      <c r="S94" s="9">
        <v>-111382.93</v>
      </c>
      <c r="T94" s="12">
        <v>6.23</v>
      </c>
      <c r="U94" s="12">
        <v>5.46</v>
      </c>
      <c r="V94" s="12">
        <v>17.9</v>
      </c>
      <c r="W94" s="12">
        <v>6.25</v>
      </c>
      <c r="X94" s="12">
        <v>14.46</v>
      </c>
      <c r="Y94" s="12">
        <v>12.2</v>
      </c>
      <c r="Z94" s="12">
        <v>7.91</v>
      </c>
      <c r="AA94" s="12">
        <f t="shared" si="2"/>
        <v>0</v>
      </c>
      <c r="AB94" s="12">
        <v>7.87</v>
      </c>
      <c r="AC94" s="12">
        <v>0.29</v>
      </c>
      <c r="AD94" s="12">
        <v>6.1</v>
      </c>
      <c r="AE94" s="12">
        <v>3.86</v>
      </c>
      <c r="AF94" s="12">
        <v>1.0</v>
      </c>
      <c r="AG94" s="12">
        <v>2.14</v>
      </c>
      <c r="AH94" s="12">
        <v>0.69</v>
      </c>
      <c r="AI94" s="12">
        <v>1.37</v>
      </c>
      <c r="AJ94" s="12">
        <v>265.9</v>
      </c>
      <c r="AK94" s="12">
        <v>5.41</v>
      </c>
      <c r="AL94" s="12">
        <v>67.44</v>
      </c>
      <c r="AM94" s="12">
        <v>12.98</v>
      </c>
      <c r="AN94" s="12">
        <v>28.11</v>
      </c>
      <c r="AO94" s="12">
        <v>305.22</v>
      </c>
      <c r="AP94" s="13">
        <f t="shared" si="3"/>
        <v>-3.97486</v>
      </c>
      <c r="AQ94" s="15">
        <v>0.018435673242204312</v>
      </c>
      <c r="AR94" s="13">
        <f t="shared" si="4"/>
        <v>0</v>
      </c>
      <c r="AS94" s="13">
        <f t="shared" si="64"/>
        <v>1</v>
      </c>
      <c r="AT94" s="13">
        <f t="shared" si="65"/>
        <v>1</v>
      </c>
      <c r="AU94" s="13">
        <f t="shared" si="66"/>
        <v>0</v>
      </c>
      <c r="AV94" s="13">
        <f t="shared" si="63"/>
        <v>0</v>
      </c>
      <c r="AW94" s="13">
        <f t="shared" si="62"/>
        <v>0</v>
      </c>
      <c r="AX94" s="13"/>
      <c r="AY94" s="13"/>
      <c r="AZ94" s="13"/>
    </row>
    <row r="95">
      <c r="A95" s="8" t="s">
        <v>137</v>
      </c>
      <c r="B95" s="9">
        <v>488223.25</v>
      </c>
      <c r="C95" s="9">
        <v>250962.72</v>
      </c>
      <c r="D95" s="9">
        <v>150000.0</v>
      </c>
      <c r="E95" s="9">
        <v>237260.53</v>
      </c>
      <c r="F95" s="9">
        <v>437524.96</v>
      </c>
      <c r="G95" s="9">
        <v>397239.23</v>
      </c>
      <c r="H95" s="9">
        <v>91789.99</v>
      </c>
      <c r="I95" s="9">
        <v>40285.74</v>
      </c>
      <c r="J95" s="9">
        <v>26878.79</v>
      </c>
      <c r="K95" s="9">
        <v>-23838.16</v>
      </c>
      <c r="L95" s="9">
        <v>-17602.25</v>
      </c>
      <c r="M95" s="9">
        <v>-27088.8</v>
      </c>
      <c r="N95" s="11">
        <f t="shared" si="1"/>
        <v>0</v>
      </c>
      <c r="O95" s="12">
        <v>0.04</v>
      </c>
      <c r="P95" s="9">
        <v>72634.27</v>
      </c>
      <c r="Q95" s="9">
        <v>-8269.71</v>
      </c>
      <c r="R95" s="9">
        <v>-24280.11</v>
      </c>
      <c r="S95" s="9">
        <v>40084.46</v>
      </c>
      <c r="T95" s="12">
        <v>12.01</v>
      </c>
      <c r="U95" s="12">
        <v>8.43</v>
      </c>
      <c r="V95" s="12">
        <v>21.61</v>
      </c>
      <c r="W95" s="12">
        <v>6.14</v>
      </c>
      <c r="X95" s="12">
        <v>-6.41</v>
      </c>
      <c r="Y95" s="12">
        <v>-4.12</v>
      </c>
      <c r="Z95" s="12">
        <v>-4.94</v>
      </c>
      <c r="AA95" s="12">
        <f t="shared" si="2"/>
        <v>0</v>
      </c>
      <c r="AB95" s="12">
        <v>9.21</v>
      </c>
      <c r="AC95" s="12">
        <v>1.06</v>
      </c>
      <c r="AD95" s="12">
        <v>2.8</v>
      </c>
      <c r="AE95" s="12">
        <v>2.4</v>
      </c>
      <c r="AF95" s="12">
        <v>1.84</v>
      </c>
      <c r="AG95" s="12">
        <v>1.4</v>
      </c>
      <c r="AH95" s="12">
        <v>0.92</v>
      </c>
      <c r="AI95" s="12">
        <v>16.39</v>
      </c>
      <c r="AJ95" s="12">
        <v>22.27</v>
      </c>
      <c r="AK95" s="12">
        <v>55.05</v>
      </c>
      <c r="AL95" s="12">
        <v>6.63</v>
      </c>
      <c r="AM95" s="12">
        <v>9.58</v>
      </c>
      <c r="AN95" s="12">
        <v>38.09</v>
      </c>
      <c r="AO95" s="12">
        <v>-9.19</v>
      </c>
      <c r="AP95" s="13">
        <f t="shared" si="3"/>
        <v>-4.33719</v>
      </c>
      <c r="AQ95" s="15">
        <v>0.012904508978458787</v>
      </c>
      <c r="AR95" s="13">
        <f t="shared" si="4"/>
        <v>0</v>
      </c>
      <c r="AS95" s="13">
        <f t="shared" si="64"/>
        <v>1</v>
      </c>
      <c r="AT95" s="13">
        <f t="shared" si="65"/>
        <v>1</v>
      </c>
      <c r="AU95" s="13">
        <f t="shared" si="66"/>
        <v>0</v>
      </c>
      <c r="AV95" s="13">
        <f t="shared" si="63"/>
        <v>0</v>
      </c>
      <c r="AW95" s="13">
        <f t="shared" si="62"/>
        <v>0</v>
      </c>
      <c r="AX95" s="13"/>
      <c r="AY95" s="13"/>
      <c r="AZ95" s="13"/>
    </row>
    <row r="96">
      <c r="A96" s="8" t="s">
        <v>138</v>
      </c>
      <c r="B96" s="9">
        <v>1715256.0</v>
      </c>
      <c r="C96" s="9">
        <v>802479.0</v>
      </c>
      <c r="D96" s="9">
        <v>160000.0</v>
      </c>
      <c r="E96" s="9">
        <v>892892.0</v>
      </c>
      <c r="F96" s="9">
        <v>4495348.0</v>
      </c>
      <c r="G96" s="9">
        <v>4109785.0</v>
      </c>
      <c r="H96" s="9">
        <v>424209.0</v>
      </c>
      <c r="I96" s="9">
        <v>399491.0</v>
      </c>
      <c r="J96" s="9">
        <v>304588.0</v>
      </c>
      <c r="K96" s="9">
        <v>198806.63</v>
      </c>
      <c r="L96" s="9">
        <v>56875.66</v>
      </c>
      <c r="M96" s="9" t="e">
        <v>#N/A</v>
      </c>
      <c r="N96" s="11" t="str">
        <f t="shared" si="1"/>
        <v>#N/A</v>
      </c>
      <c r="O96" s="12">
        <v>0.95</v>
      </c>
      <c r="P96" s="9">
        <v>643830.0</v>
      </c>
      <c r="Q96" s="9">
        <v>-319198.0</v>
      </c>
      <c r="R96" s="9">
        <v>-41655.0</v>
      </c>
      <c r="S96" s="9">
        <v>282977.0</v>
      </c>
      <c r="T96" s="12">
        <v>36.59</v>
      </c>
      <c r="U96" s="12">
        <v>24.02</v>
      </c>
      <c r="V96" s="12">
        <v>19.72</v>
      </c>
      <c r="W96" s="12">
        <v>6.81</v>
      </c>
      <c r="X96" s="12">
        <v>5.93</v>
      </c>
      <c r="Y96" s="12">
        <v>5.12</v>
      </c>
      <c r="Z96" s="12" t="e">
        <v>#N/A</v>
      </c>
      <c r="AA96" s="12" t="str">
        <f t="shared" si="2"/>
        <v>#N/A</v>
      </c>
      <c r="AB96" s="12">
        <v>8.89</v>
      </c>
      <c r="AC96" s="12">
        <v>0.88</v>
      </c>
      <c r="AD96" s="12">
        <v>21.26</v>
      </c>
      <c r="AE96" s="12">
        <v>3.98</v>
      </c>
      <c r="AF96" s="12">
        <v>3.92</v>
      </c>
      <c r="AG96" s="12">
        <v>18.15</v>
      </c>
      <c r="AH96" s="12">
        <v>2.7</v>
      </c>
      <c r="AI96" s="12" t="s">
        <v>47</v>
      </c>
      <c r="AJ96" s="12" t="s">
        <v>46</v>
      </c>
      <c r="AK96" s="12">
        <v>6.35</v>
      </c>
      <c r="AL96" s="12">
        <v>57.48</v>
      </c>
      <c r="AM96" s="12">
        <v>13.47</v>
      </c>
      <c r="AN96" s="12">
        <v>27.11</v>
      </c>
      <c r="AO96" s="12">
        <v>30.38</v>
      </c>
      <c r="AP96" s="13">
        <f t="shared" si="3"/>
        <v>-10.31573</v>
      </c>
      <c r="AQ96" s="15">
        <v>3.310708971809749E-5</v>
      </c>
      <c r="AR96" s="13">
        <f t="shared" si="4"/>
        <v>0</v>
      </c>
      <c r="AS96" s="13"/>
      <c r="AT96" s="13"/>
      <c r="AU96" s="13"/>
      <c r="AV96" s="13"/>
      <c r="AW96" s="13"/>
      <c r="AX96" s="13"/>
      <c r="AY96" s="13"/>
      <c r="AZ96" s="13"/>
    </row>
    <row r="97">
      <c r="A97" s="8" t="s">
        <v>139</v>
      </c>
      <c r="B97" s="9">
        <v>2017457.96</v>
      </c>
      <c r="C97" s="9">
        <v>909028.68</v>
      </c>
      <c r="D97" s="9">
        <v>442931.26</v>
      </c>
      <c r="E97" s="9">
        <v>1108429.16</v>
      </c>
      <c r="F97" s="9">
        <v>156571.86</v>
      </c>
      <c r="G97" s="9">
        <v>230192.98</v>
      </c>
      <c r="H97" s="9">
        <v>-62640.48</v>
      </c>
      <c r="I97" s="9">
        <v>-73621.12</v>
      </c>
      <c r="J97" s="9">
        <v>-100030.96</v>
      </c>
      <c r="K97" s="9">
        <v>-95492.64</v>
      </c>
      <c r="L97" s="9">
        <v>71241.11</v>
      </c>
      <c r="M97" s="9">
        <v>103097.28</v>
      </c>
      <c r="N97" s="11">
        <f t="shared" si="1"/>
        <v>0</v>
      </c>
      <c r="O97" s="12">
        <v>-0.23</v>
      </c>
      <c r="P97" s="9">
        <v>399394.45</v>
      </c>
      <c r="Q97" s="12">
        <v>-782.58</v>
      </c>
      <c r="R97" s="9">
        <v>-1550.93</v>
      </c>
      <c r="S97" s="9">
        <v>397060.94</v>
      </c>
      <c r="T97" s="12">
        <v>-9.77</v>
      </c>
      <c r="U97" s="12">
        <v>-3.53</v>
      </c>
      <c r="V97" s="12">
        <v>47.54</v>
      </c>
      <c r="W97" s="12">
        <v>-63.89</v>
      </c>
      <c r="X97" s="12">
        <v>-28.82</v>
      </c>
      <c r="Y97" s="12">
        <v>17.97</v>
      </c>
      <c r="Z97" s="12">
        <v>22.58</v>
      </c>
      <c r="AA97" s="12">
        <f t="shared" si="2"/>
        <v>0</v>
      </c>
      <c r="AB97" s="12">
        <v>-47.02</v>
      </c>
      <c r="AC97" s="12">
        <v>0.82</v>
      </c>
      <c r="AD97" s="12">
        <v>-1.48</v>
      </c>
      <c r="AE97" s="12">
        <v>2.45</v>
      </c>
      <c r="AF97" s="12">
        <v>0.92</v>
      </c>
      <c r="AG97" s="12" t="s">
        <v>46</v>
      </c>
      <c r="AH97" s="12">
        <v>0.08</v>
      </c>
      <c r="AI97" s="12" t="s">
        <v>47</v>
      </c>
      <c r="AJ97" s="12" t="s">
        <v>46</v>
      </c>
      <c r="AK97" s="12" t="s">
        <v>47</v>
      </c>
      <c r="AL97" s="12" t="s">
        <v>46</v>
      </c>
      <c r="AM97" s="12" t="s">
        <v>47</v>
      </c>
      <c r="AN97" s="12" t="s">
        <v>46</v>
      </c>
      <c r="AO97" s="12" t="s">
        <v>46</v>
      </c>
      <c r="AP97" s="13" t="str">
        <f t="shared" si="3"/>
        <v>#VALUE!</v>
      </c>
      <c r="AQ97" s="15" t="e">
        <v>#VALUE!</v>
      </c>
      <c r="AR97" s="13" t="str">
        <f t="shared" si="4"/>
        <v>#VALUE!</v>
      </c>
      <c r="AS97" s="13"/>
      <c r="AT97" s="13"/>
      <c r="AU97" s="13"/>
      <c r="AV97" s="13"/>
      <c r="AW97" s="13"/>
      <c r="AX97" s="13"/>
      <c r="AY97" s="13"/>
      <c r="AZ97" s="13"/>
    </row>
    <row r="98">
      <c r="A98" s="8" t="s">
        <v>140</v>
      </c>
      <c r="B98" s="9">
        <v>1535148.61</v>
      </c>
      <c r="C98" s="9">
        <v>944817.79</v>
      </c>
      <c r="D98" s="9">
        <v>191895.14</v>
      </c>
      <c r="E98" s="9">
        <v>590330.81</v>
      </c>
      <c r="F98" s="9">
        <v>1987197.45</v>
      </c>
      <c r="G98" s="9">
        <v>1822102.16</v>
      </c>
      <c r="H98" s="9">
        <v>245624.84</v>
      </c>
      <c r="I98" s="9">
        <v>166964.38</v>
      </c>
      <c r="J98" s="9">
        <v>122604.52</v>
      </c>
      <c r="K98" s="9">
        <v>62408.3</v>
      </c>
      <c r="L98" s="9">
        <v>176063.22</v>
      </c>
      <c r="M98" s="9">
        <v>50977.05</v>
      </c>
      <c r="N98" s="11">
        <f t="shared" si="1"/>
        <v>0</v>
      </c>
      <c r="O98" s="12">
        <v>0.64</v>
      </c>
      <c r="P98" s="9">
        <v>146407.67</v>
      </c>
      <c r="Q98" s="9">
        <v>-48464.04</v>
      </c>
      <c r="R98" s="9">
        <v>-87464.55</v>
      </c>
      <c r="S98" s="9">
        <v>10479.08</v>
      </c>
      <c r="T98" s="12">
        <v>21.51</v>
      </c>
      <c r="U98" s="12">
        <v>11.13</v>
      </c>
      <c r="V98" s="12">
        <v>14.76</v>
      </c>
      <c r="W98" s="12">
        <v>6.17</v>
      </c>
      <c r="X98" s="12">
        <v>4.16</v>
      </c>
      <c r="Y98" s="12">
        <v>9.31</v>
      </c>
      <c r="Z98" s="12">
        <v>3.54</v>
      </c>
      <c r="AA98" s="12">
        <f t="shared" si="2"/>
        <v>0</v>
      </c>
      <c r="AB98" s="12">
        <v>8.4</v>
      </c>
      <c r="AC98" s="12">
        <v>1.6</v>
      </c>
      <c r="AD98" s="12">
        <v>7.62</v>
      </c>
      <c r="AE98" s="12">
        <v>1.07</v>
      </c>
      <c r="AF98" s="12">
        <v>0.5</v>
      </c>
      <c r="AG98" s="12">
        <v>3.29</v>
      </c>
      <c r="AH98" s="12">
        <v>1.32</v>
      </c>
      <c r="AI98" s="12">
        <v>4.1</v>
      </c>
      <c r="AJ98" s="12">
        <v>88.98</v>
      </c>
      <c r="AK98" s="12">
        <v>6.25</v>
      </c>
      <c r="AL98" s="12">
        <v>58.41</v>
      </c>
      <c r="AM98" s="12">
        <v>7.55</v>
      </c>
      <c r="AN98" s="12">
        <v>48.32</v>
      </c>
      <c r="AO98" s="12">
        <v>99.08</v>
      </c>
      <c r="AP98" s="13">
        <f t="shared" si="3"/>
        <v>-3.10674</v>
      </c>
      <c r="AQ98" s="15">
        <v>0.04283009111293049</v>
      </c>
      <c r="AR98" s="13">
        <f t="shared" si="4"/>
        <v>0</v>
      </c>
      <c r="AS98" s="13">
        <f t="shared" ref="AS98:AS100" si="67">IF(AR98=N98,1,0)</f>
        <v>1</v>
      </c>
      <c r="AT98" s="13">
        <f t="shared" ref="AT98:AT100" si="68">IF(AND(AR98=0,AS98=1),1,0)</f>
        <v>1</v>
      </c>
      <c r="AU98" s="13">
        <f t="shared" ref="AU98:AU100" si="69">IF(AND(AR98=0,AS98=0),1,0)</f>
        <v>0</v>
      </c>
      <c r="AV98" s="13">
        <f t="shared" ref="AV98:AV100" si="70">IFERROR(IFS(AND(AR98=1,AS98=0),1,AS98="",""),0)</f>
        <v>0</v>
      </c>
      <c r="AW98" s="13">
        <f t="shared" ref="AW98:AW100" si="71">IFERROR(IFS(AND(AR98=1,AS98=1),1,AS98="",""),0)</f>
        <v>0</v>
      </c>
      <c r="AX98" s="13"/>
      <c r="AY98" s="13"/>
      <c r="AZ98" s="13"/>
    </row>
    <row r="99">
      <c r="A99" s="8" t="s">
        <v>141</v>
      </c>
      <c r="B99" s="9">
        <v>4431865.99</v>
      </c>
      <c r="C99" s="9">
        <v>2393647.19</v>
      </c>
      <c r="D99" s="9">
        <v>2146495.66</v>
      </c>
      <c r="E99" s="9">
        <v>2004727.69</v>
      </c>
      <c r="F99" s="9">
        <v>92017.58</v>
      </c>
      <c r="G99" s="9">
        <v>219434.15</v>
      </c>
      <c r="H99" s="9">
        <v>-88544.14</v>
      </c>
      <c r="I99" s="9">
        <v>-112863.4</v>
      </c>
      <c r="J99" s="9">
        <v>-134624.98</v>
      </c>
      <c r="K99" s="9">
        <v>-100127.51</v>
      </c>
      <c r="L99" s="9">
        <v>-117979.04</v>
      </c>
      <c r="M99" s="9">
        <v>-54036.78</v>
      </c>
      <c r="N99" s="11">
        <f t="shared" si="1"/>
        <v>1</v>
      </c>
      <c r="O99" s="12">
        <v>-0.07</v>
      </c>
      <c r="P99" s="9">
        <v>198652.32</v>
      </c>
      <c r="Q99" s="9">
        <v>-251163.89</v>
      </c>
      <c r="R99" s="9">
        <v>122339.51</v>
      </c>
      <c r="S99" s="9">
        <v>69827.94</v>
      </c>
      <c r="T99" s="12">
        <v>-6.63</v>
      </c>
      <c r="U99" s="12">
        <v>-2.19</v>
      </c>
      <c r="V99" s="12">
        <v>-6.92</v>
      </c>
      <c r="W99" s="12">
        <v>-145.75</v>
      </c>
      <c r="X99" s="12">
        <v>-112.15</v>
      </c>
      <c r="Y99" s="12">
        <v>-69.47</v>
      </c>
      <c r="Z99" s="12">
        <v>-7.63</v>
      </c>
      <c r="AA99" s="12">
        <f t="shared" si="2"/>
        <v>1</v>
      </c>
      <c r="AB99" s="12">
        <v>-122.65</v>
      </c>
      <c r="AC99" s="12">
        <v>1.17</v>
      </c>
      <c r="AD99" s="12">
        <v>-5.26</v>
      </c>
      <c r="AE99" s="12">
        <v>1.39</v>
      </c>
      <c r="AF99" s="12">
        <v>0.22</v>
      </c>
      <c r="AG99" s="12">
        <v>2.51</v>
      </c>
      <c r="AH99" s="12">
        <v>0.02</v>
      </c>
      <c r="AI99" s="12" t="s">
        <v>47</v>
      </c>
      <c r="AJ99" s="12" t="s">
        <v>46</v>
      </c>
      <c r="AK99" s="12">
        <v>0.02</v>
      </c>
      <c r="AL99" s="9">
        <v>20242.68</v>
      </c>
      <c r="AM99" s="12">
        <v>0.02</v>
      </c>
      <c r="AN99" s="9">
        <v>22899.51</v>
      </c>
      <c r="AO99" s="9">
        <v>-2656.82</v>
      </c>
      <c r="AP99" s="13">
        <f t="shared" si="3"/>
        <v>107.4954</v>
      </c>
      <c r="AQ99" s="15">
        <v>1.0</v>
      </c>
      <c r="AR99" s="13">
        <f t="shared" si="4"/>
        <v>1</v>
      </c>
      <c r="AS99" s="13">
        <f t="shared" si="67"/>
        <v>1</v>
      </c>
      <c r="AT99" s="13">
        <f t="shared" si="68"/>
        <v>0</v>
      </c>
      <c r="AU99" s="13">
        <f t="shared" si="69"/>
        <v>0</v>
      </c>
      <c r="AV99" s="13">
        <f t="shared" si="70"/>
        <v>0</v>
      </c>
      <c r="AW99" s="13">
        <f t="shared" si="71"/>
        <v>1</v>
      </c>
      <c r="AX99" s="13"/>
      <c r="AY99" s="13"/>
      <c r="AZ99" s="13"/>
    </row>
    <row r="100">
      <c r="A100" s="8" t="s">
        <v>142</v>
      </c>
      <c r="B100" s="9">
        <v>833311.99</v>
      </c>
      <c r="C100" s="9">
        <v>166296.3</v>
      </c>
      <c r="D100" s="9">
        <v>200000.0</v>
      </c>
      <c r="E100" s="9">
        <v>562831.32</v>
      </c>
      <c r="F100" s="9">
        <v>1062351.09</v>
      </c>
      <c r="G100" s="9">
        <v>951363.7</v>
      </c>
      <c r="H100" s="9">
        <v>132203.02</v>
      </c>
      <c r="I100" s="9">
        <v>110012.26</v>
      </c>
      <c r="J100" s="9">
        <v>82228.47</v>
      </c>
      <c r="K100" s="9">
        <v>105252.55</v>
      </c>
      <c r="L100" s="9">
        <v>99680.07</v>
      </c>
      <c r="M100" s="9">
        <v>71502.41</v>
      </c>
      <c r="N100" s="11">
        <f t="shared" si="1"/>
        <v>0</v>
      </c>
      <c r="O100" s="12">
        <v>0.21</v>
      </c>
      <c r="P100" s="9">
        <v>115049.98</v>
      </c>
      <c r="Q100" s="9">
        <v>-50173.12</v>
      </c>
      <c r="R100" s="9">
        <v>-86555.6</v>
      </c>
      <c r="S100" s="9">
        <v>-21678.74</v>
      </c>
      <c r="T100" s="12">
        <v>14.9</v>
      </c>
      <c r="U100" s="12">
        <v>13.03</v>
      </c>
      <c r="V100" s="12">
        <v>26.41</v>
      </c>
      <c r="W100" s="12">
        <v>8.01</v>
      </c>
      <c r="X100" s="12">
        <v>12.03</v>
      </c>
      <c r="Y100" s="12">
        <v>14.62</v>
      </c>
      <c r="Z100" s="12">
        <v>11.03</v>
      </c>
      <c r="AA100" s="12">
        <f t="shared" si="2"/>
        <v>0</v>
      </c>
      <c r="AB100" s="12">
        <v>10.36</v>
      </c>
      <c r="AC100" s="12">
        <v>0.25</v>
      </c>
      <c r="AD100" s="12">
        <v>40.62</v>
      </c>
      <c r="AE100" s="12">
        <v>4.46</v>
      </c>
      <c r="AF100" s="12">
        <v>2.95</v>
      </c>
      <c r="AG100" s="12">
        <v>6.42</v>
      </c>
      <c r="AH100" s="12">
        <v>1.26</v>
      </c>
      <c r="AI100" s="12">
        <v>4.81</v>
      </c>
      <c r="AJ100" s="12">
        <v>75.88</v>
      </c>
      <c r="AK100" s="12">
        <v>5.16</v>
      </c>
      <c r="AL100" s="12">
        <v>70.72</v>
      </c>
      <c r="AM100" s="12">
        <v>13.39</v>
      </c>
      <c r="AN100" s="12">
        <v>27.25</v>
      </c>
      <c r="AO100" s="12">
        <v>119.35</v>
      </c>
      <c r="AP100" s="13">
        <f t="shared" si="3"/>
        <v>-7.51718</v>
      </c>
      <c r="AQ100" s="15">
        <v>5.433681278980321E-4</v>
      </c>
      <c r="AR100" s="13">
        <f t="shared" si="4"/>
        <v>0</v>
      </c>
      <c r="AS100" s="13">
        <f t="shared" si="67"/>
        <v>1</v>
      </c>
      <c r="AT100" s="13">
        <f t="shared" si="68"/>
        <v>1</v>
      </c>
      <c r="AU100" s="13">
        <f t="shared" si="69"/>
        <v>0</v>
      </c>
      <c r="AV100" s="13">
        <f t="shared" si="70"/>
        <v>0</v>
      </c>
      <c r="AW100" s="13">
        <f t="shared" si="71"/>
        <v>0</v>
      </c>
      <c r="AX100" s="13"/>
      <c r="AY100" s="13"/>
      <c r="AZ100" s="13"/>
    </row>
    <row r="101">
      <c r="A101" s="8" t="s">
        <v>143</v>
      </c>
      <c r="B101" s="9">
        <v>1588417.98</v>
      </c>
      <c r="C101" s="9">
        <v>849709.55</v>
      </c>
      <c r="D101" s="9">
        <v>375187.18</v>
      </c>
      <c r="E101" s="9">
        <v>738706.92</v>
      </c>
      <c r="F101" s="9">
        <v>495099.47</v>
      </c>
      <c r="G101" s="9">
        <v>426533.81</v>
      </c>
      <c r="H101" s="9">
        <v>70894.44</v>
      </c>
      <c r="I101" s="9">
        <v>57223.13</v>
      </c>
      <c r="J101" s="9">
        <v>21481.96</v>
      </c>
      <c r="K101" s="9">
        <v>12953.13</v>
      </c>
      <c r="L101" s="9">
        <v>25786.08</v>
      </c>
      <c r="M101" s="9">
        <v>65985.73</v>
      </c>
      <c r="N101" s="11">
        <f t="shared" si="1"/>
        <v>0</v>
      </c>
      <c r="O101" s="12">
        <v>0.03</v>
      </c>
      <c r="P101" s="9">
        <v>4422.34</v>
      </c>
      <c r="Q101" s="9">
        <v>-3111.85</v>
      </c>
      <c r="R101" s="9">
        <v>-45481.75</v>
      </c>
      <c r="S101" s="9">
        <v>-44171.26</v>
      </c>
      <c r="T101" s="12">
        <v>2.93</v>
      </c>
      <c r="U101" s="12">
        <v>3.62</v>
      </c>
      <c r="V101" s="12">
        <v>35.04</v>
      </c>
      <c r="W101" s="12">
        <v>4.34</v>
      </c>
      <c r="X101" s="12">
        <v>2.33</v>
      </c>
      <c r="Y101" s="12">
        <v>5.25</v>
      </c>
      <c r="Z101" s="12">
        <v>14.05</v>
      </c>
      <c r="AA101" s="12">
        <f t="shared" si="2"/>
        <v>0</v>
      </c>
      <c r="AB101" s="12">
        <v>11.56</v>
      </c>
      <c r="AC101" s="12">
        <v>1.15</v>
      </c>
      <c r="AD101" s="12">
        <v>1.73</v>
      </c>
      <c r="AE101" s="12">
        <v>1.63</v>
      </c>
      <c r="AF101" s="12">
        <v>0.06</v>
      </c>
      <c r="AG101" s="12" t="s">
        <v>46</v>
      </c>
      <c r="AH101" s="12">
        <v>0.31</v>
      </c>
      <c r="AI101" s="12" t="s">
        <v>47</v>
      </c>
      <c r="AJ101" s="12" t="s">
        <v>46</v>
      </c>
      <c r="AK101" s="12" t="s">
        <v>47</v>
      </c>
      <c r="AL101" s="12" t="s">
        <v>46</v>
      </c>
      <c r="AM101" s="12" t="s">
        <v>47</v>
      </c>
      <c r="AN101" s="12" t="s">
        <v>46</v>
      </c>
      <c r="AO101" s="12" t="s">
        <v>46</v>
      </c>
      <c r="AP101" s="13" t="str">
        <f t="shared" si="3"/>
        <v>#VALUE!</v>
      </c>
      <c r="AQ101" s="15" t="e">
        <v>#VALUE!</v>
      </c>
      <c r="AR101" s="13" t="str">
        <f t="shared" si="4"/>
        <v>#VALUE!</v>
      </c>
      <c r="AS101" s="13"/>
      <c r="AT101" s="13"/>
      <c r="AU101" s="13"/>
      <c r="AV101" s="13"/>
      <c r="AW101" s="13"/>
      <c r="AX101" s="13"/>
      <c r="AY101" s="13"/>
      <c r="AZ101" s="13"/>
    </row>
    <row r="102">
      <c r="A102" s="8" t="s">
        <v>144</v>
      </c>
      <c r="B102" s="9">
        <v>1352052.27</v>
      </c>
      <c r="C102" s="9">
        <v>279012.76</v>
      </c>
      <c r="D102" s="9">
        <v>168722.63</v>
      </c>
      <c r="E102" s="9">
        <v>1073039.5</v>
      </c>
      <c r="F102" s="9">
        <v>831004.48</v>
      </c>
      <c r="G102" s="9">
        <v>812803.53</v>
      </c>
      <c r="H102" s="9">
        <v>56389.54</v>
      </c>
      <c r="I102" s="9">
        <v>40180.91</v>
      </c>
      <c r="J102" s="9">
        <v>35695.88</v>
      </c>
      <c r="K102" s="9">
        <v>82308.51</v>
      </c>
      <c r="L102" s="9">
        <v>57175.9</v>
      </c>
      <c r="M102" s="9">
        <v>88365.98</v>
      </c>
      <c r="N102" s="11">
        <f t="shared" si="1"/>
        <v>0</v>
      </c>
      <c r="O102" s="12">
        <v>0.11</v>
      </c>
      <c r="P102" s="9">
        <v>-1740.02</v>
      </c>
      <c r="Q102" s="9">
        <v>38756.0</v>
      </c>
      <c r="R102" s="9">
        <v>-42936.12</v>
      </c>
      <c r="S102" s="9">
        <v>-5920.14</v>
      </c>
      <c r="T102" s="12">
        <v>3.35</v>
      </c>
      <c r="U102" s="12">
        <v>2.96</v>
      </c>
      <c r="V102" s="12">
        <v>37.96</v>
      </c>
      <c r="W102" s="12">
        <v>4.3</v>
      </c>
      <c r="X102" s="12">
        <v>10.12</v>
      </c>
      <c r="Y102" s="12">
        <v>7.13</v>
      </c>
      <c r="Z102" s="12">
        <v>10.98</v>
      </c>
      <c r="AA102" s="12">
        <f t="shared" si="2"/>
        <v>0</v>
      </c>
      <c r="AB102" s="12">
        <v>4.84</v>
      </c>
      <c r="AC102" s="12">
        <v>0.26</v>
      </c>
      <c r="AD102" s="12">
        <v>26.53</v>
      </c>
      <c r="AE102" s="12">
        <v>1.93</v>
      </c>
      <c r="AF102" s="12">
        <v>1.51</v>
      </c>
      <c r="AG102" s="12">
        <v>19.3</v>
      </c>
      <c r="AH102" s="12">
        <v>0.61</v>
      </c>
      <c r="AI102" s="12">
        <v>6.15</v>
      </c>
      <c r="AJ102" s="12">
        <v>59.35</v>
      </c>
      <c r="AK102" s="12">
        <v>4.33</v>
      </c>
      <c r="AL102" s="12">
        <v>84.32</v>
      </c>
      <c r="AM102" s="12">
        <v>2.52</v>
      </c>
      <c r="AN102" s="12">
        <v>145.01</v>
      </c>
      <c r="AO102" s="12">
        <v>-1.34</v>
      </c>
      <c r="AP102" s="13">
        <f t="shared" si="3"/>
        <v>-3.31057</v>
      </c>
      <c r="AQ102" s="15">
        <v>0.03521035084342264</v>
      </c>
      <c r="AR102" s="13">
        <f t="shared" si="4"/>
        <v>0</v>
      </c>
      <c r="AS102" s="13">
        <f t="shared" ref="AS102:AS103" si="72">IF(AR102=N102,1,0)</f>
        <v>1</v>
      </c>
      <c r="AT102" s="13">
        <f t="shared" ref="AT102:AT103" si="73">IF(AND(AR102=0,AS102=1),1,0)</f>
        <v>1</v>
      </c>
      <c r="AU102" s="13">
        <f t="shared" ref="AU102:AU103" si="74">IF(AND(AR102=0,AS102=0),1,0)</f>
        <v>0</v>
      </c>
      <c r="AV102" s="13">
        <f t="shared" ref="AV102:AV103" si="75">IFERROR(IFS(AND(AR102=1,AS102=0),1,AS102="",""),0)</f>
        <v>0</v>
      </c>
      <c r="AW102" s="13">
        <f t="shared" ref="AW102:AW121" si="76">IFERROR(IFS(AND(AR102=1,AS102=1),1,AS102="",""),0)</f>
        <v>0</v>
      </c>
      <c r="AX102" s="13"/>
      <c r="AY102" s="13"/>
      <c r="AZ102" s="13"/>
    </row>
    <row r="103">
      <c r="A103" s="8" t="s">
        <v>145</v>
      </c>
      <c r="B103" s="9">
        <v>2002199.96</v>
      </c>
      <c r="C103" s="9">
        <v>127188.97</v>
      </c>
      <c r="D103" s="9">
        <v>358837.42</v>
      </c>
      <c r="E103" s="9">
        <v>1854592.23</v>
      </c>
      <c r="F103" s="9">
        <v>140214.09</v>
      </c>
      <c r="G103" s="9">
        <v>119284.96</v>
      </c>
      <c r="H103" s="9">
        <v>29499.56</v>
      </c>
      <c r="I103" s="9">
        <v>18429.22</v>
      </c>
      <c r="J103" s="9">
        <v>13905.07</v>
      </c>
      <c r="K103" s="9">
        <v>1158671.61</v>
      </c>
      <c r="L103" s="9">
        <v>-47221.96</v>
      </c>
      <c r="M103" s="9">
        <v>-15771.21</v>
      </c>
      <c r="N103" s="11">
        <f t="shared" si="1"/>
        <v>0</v>
      </c>
      <c r="O103" s="12" t="s">
        <v>46</v>
      </c>
      <c r="P103" s="9">
        <v>-69083.04</v>
      </c>
      <c r="Q103" s="9">
        <v>-10130.32</v>
      </c>
      <c r="R103" s="9">
        <v>758867.92</v>
      </c>
      <c r="S103" s="9">
        <v>679654.57</v>
      </c>
      <c r="T103" s="12">
        <v>0.84</v>
      </c>
      <c r="U103" s="12">
        <v>1.02</v>
      </c>
      <c r="V103" s="12">
        <v>26.46</v>
      </c>
      <c r="W103" s="12">
        <v>8.56</v>
      </c>
      <c r="X103" s="12">
        <v>805.48</v>
      </c>
      <c r="Y103" s="12">
        <v>-115.39</v>
      </c>
      <c r="Z103" s="12">
        <v>-45.18</v>
      </c>
      <c r="AA103" s="12">
        <f t="shared" si="2"/>
        <v>0</v>
      </c>
      <c r="AB103" s="12">
        <v>13.14</v>
      </c>
      <c r="AC103" s="12">
        <v>0.07</v>
      </c>
      <c r="AD103" s="12">
        <v>4.13</v>
      </c>
      <c r="AE103" s="12">
        <v>6.49</v>
      </c>
      <c r="AF103" s="12">
        <v>6.41</v>
      </c>
      <c r="AG103" s="12">
        <v>1.46</v>
      </c>
      <c r="AH103" s="12">
        <v>0.08</v>
      </c>
      <c r="AI103" s="12">
        <v>13.45</v>
      </c>
      <c r="AJ103" s="12">
        <v>27.13</v>
      </c>
      <c r="AK103" s="12">
        <v>1.86</v>
      </c>
      <c r="AL103" s="12">
        <v>195.72</v>
      </c>
      <c r="AM103" s="12">
        <v>0.67</v>
      </c>
      <c r="AN103" s="12">
        <v>545.32</v>
      </c>
      <c r="AO103" s="12">
        <v>-322.47</v>
      </c>
      <c r="AP103" s="13">
        <f t="shared" si="3"/>
        <v>-5.00455</v>
      </c>
      <c r="AQ103" s="15">
        <v>0.0066626700608833685</v>
      </c>
      <c r="AR103" s="13">
        <f t="shared" si="4"/>
        <v>0</v>
      </c>
      <c r="AS103" s="13">
        <f t="shared" si="72"/>
        <v>1</v>
      </c>
      <c r="AT103" s="13">
        <f t="shared" si="73"/>
        <v>1</v>
      </c>
      <c r="AU103" s="13">
        <f t="shared" si="74"/>
        <v>0</v>
      </c>
      <c r="AV103" s="13">
        <f t="shared" si="75"/>
        <v>0</v>
      </c>
      <c r="AW103" s="13">
        <f t="shared" si="76"/>
        <v>0</v>
      </c>
      <c r="AX103" s="13"/>
      <c r="AY103" s="13"/>
      <c r="AZ103" s="13"/>
    </row>
    <row r="104">
      <c r="A104" s="8" t="s">
        <v>146</v>
      </c>
      <c r="B104" s="9">
        <v>734290.87</v>
      </c>
      <c r="C104" s="9">
        <v>166595.72</v>
      </c>
      <c r="D104" s="9">
        <v>337000.0</v>
      </c>
      <c r="E104" s="9">
        <v>514299.41</v>
      </c>
      <c r="F104" s="9">
        <v>250890.23</v>
      </c>
      <c r="G104" s="9">
        <v>222262.65</v>
      </c>
      <c r="H104" s="9">
        <v>37679.26</v>
      </c>
      <c r="I104" s="9">
        <v>28627.58</v>
      </c>
      <c r="J104" s="9">
        <v>19373.15</v>
      </c>
      <c r="K104" s="9" t="e">
        <v>#N/A</v>
      </c>
      <c r="L104" s="9" t="e">
        <v>#N/A</v>
      </c>
      <c r="M104" s="9" t="e">
        <v>#N/A</v>
      </c>
      <c r="N104" s="11" t="str">
        <f t="shared" si="1"/>
        <v>#N/A</v>
      </c>
      <c r="O104" s="12">
        <v>0.08</v>
      </c>
      <c r="P104" s="9">
        <v>-44288.29</v>
      </c>
      <c r="Q104" s="9">
        <v>-129028.29</v>
      </c>
      <c r="R104" s="9">
        <v>323383.65</v>
      </c>
      <c r="S104" s="9">
        <v>150067.08</v>
      </c>
      <c r="T104" s="12">
        <v>4.82</v>
      </c>
      <c r="U104" s="12">
        <v>5.12</v>
      </c>
      <c r="V104" s="12">
        <v>27.28</v>
      </c>
      <c r="W104" s="12">
        <v>8.81</v>
      </c>
      <c r="X104" s="12" t="e">
        <v>#N/A</v>
      </c>
      <c r="Y104" s="12" t="e">
        <v>#N/A</v>
      </c>
      <c r="Z104" s="12" t="e">
        <v>#N/A</v>
      </c>
      <c r="AA104" s="12" t="str">
        <f t="shared" si="2"/>
        <v>#N/A</v>
      </c>
      <c r="AB104" s="12">
        <v>11.41</v>
      </c>
      <c r="AC104" s="12">
        <v>0.29</v>
      </c>
      <c r="AD104" s="12">
        <v>9.27</v>
      </c>
      <c r="AE104" s="12">
        <v>3.05</v>
      </c>
      <c r="AF104" s="12">
        <v>1.77</v>
      </c>
      <c r="AG104" s="12">
        <v>0.97</v>
      </c>
      <c r="AH104" s="12">
        <v>0.45</v>
      </c>
      <c r="AI104" s="12">
        <v>1.27</v>
      </c>
      <c r="AJ104" s="12">
        <v>287.26</v>
      </c>
      <c r="AK104" s="12">
        <v>3.82</v>
      </c>
      <c r="AL104" s="12">
        <v>95.51</v>
      </c>
      <c r="AM104" s="12">
        <v>10.29</v>
      </c>
      <c r="AN104" s="12">
        <v>35.47</v>
      </c>
      <c r="AO104" s="12">
        <v>347.3</v>
      </c>
      <c r="AP104" s="13">
        <f t="shared" si="3"/>
        <v>-4.38586</v>
      </c>
      <c r="AQ104" s="15">
        <v>0.012299025049947301</v>
      </c>
      <c r="AR104" s="13">
        <f t="shared" si="4"/>
        <v>0</v>
      </c>
      <c r="AS104" s="13"/>
      <c r="AT104" s="13"/>
      <c r="AU104" s="13"/>
      <c r="AV104" s="13"/>
      <c r="AW104" s="13" t="str">
        <f t="shared" si="76"/>
        <v/>
      </c>
      <c r="AX104" s="13"/>
      <c r="AY104" s="13"/>
      <c r="AZ104" s="13"/>
    </row>
    <row r="105">
      <c r="A105" s="8" t="s">
        <v>147</v>
      </c>
      <c r="B105" s="9">
        <v>5252321.98</v>
      </c>
      <c r="C105" s="9">
        <v>3124581.66</v>
      </c>
      <c r="D105" s="9">
        <v>1053386.75</v>
      </c>
      <c r="E105" s="9">
        <v>2188341.27</v>
      </c>
      <c r="F105" s="9">
        <v>3168433.4</v>
      </c>
      <c r="G105" s="9">
        <v>3079036.31</v>
      </c>
      <c r="H105" s="9">
        <v>502527.48</v>
      </c>
      <c r="I105" s="9">
        <v>89397.09</v>
      </c>
      <c r="J105" s="9">
        <v>24105.38</v>
      </c>
      <c r="K105" s="9">
        <v>-101096.27</v>
      </c>
      <c r="L105" s="9">
        <v>-395093.2</v>
      </c>
      <c r="M105" s="9">
        <v>-18936.9</v>
      </c>
      <c r="N105" s="11">
        <f t="shared" si="1"/>
        <v>0</v>
      </c>
      <c r="O105" s="12">
        <v>0.02</v>
      </c>
      <c r="P105" s="9">
        <v>457894.85</v>
      </c>
      <c r="Q105" s="9">
        <v>-304385.85</v>
      </c>
      <c r="R105" s="9">
        <v>-155258.17</v>
      </c>
      <c r="S105" s="9">
        <v>-1749.17</v>
      </c>
      <c r="T105" s="12">
        <v>1.11</v>
      </c>
      <c r="U105" s="12">
        <v>1.76</v>
      </c>
      <c r="V105" s="12">
        <v>60.01</v>
      </c>
      <c r="W105" s="12">
        <v>0.12</v>
      </c>
      <c r="X105" s="12">
        <v>-4.8</v>
      </c>
      <c r="Y105" s="12">
        <v>-18.13</v>
      </c>
      <c r="Z105" s="12">
        <v>-0.83</v>
      </c>
      <c r="AA105" s="12">
        <f t="shared" si="2"/>
        <v>0</v>
      </c>
      <c r="AB105" s="12">
        <v>2.82</v>
      </c>
      <c r="AC105" s="12">
        <v>1.47</v>
      </c>
      <c r="AD105" s="12">
        <v>0.79</v>
      </c>
      <c r="AE105" s="12">
        <v>0.35</v>
      </c>
      <c r="AF105" s="12">
        <v>0.2</v>
      </c>
      <c r="AG105" s="12">
        <v>1.83</v>
      </c>
      <c r="AH105" s="12">
        <v>0.62</v>
      </c>
      <c r="AI105" s="12">
        <v>6.48</v>
      </c>
      <c r="AJ105" s="12">
        <v>56.36</v>
      </c>
      <c r="AK105" s="12">
        <v>27.06</v>
      </c>
      <c r="AL105" s="12">
        <v>13.49</v>
      </c>
      <c r="AM105" s="12">
        <v>2.82</v>
      </c>
      <c r="AN105" s="12">
        <v>129.53</v>
      </c>
      <c r="AO105" s="12">
        <v>-59.68</v>
      </c>
      <c r="AP105" s="13">
        <f t="shared" si="3"/>
        <v>-0.51262</v>
      </c>
      <c r="AQ105" s="15">
        <v>0.3745795374914623</v>
      </c>
      <c r="AR105" s="13">
        <f t="shared" si="4"/>
        <v>0</v>
      </c>
      <c r="AS105" s="13">
        <f t="shared" ref="AS105:AS112" si="77">IF(AR105=N105,1,0)</f>
        <v>1</v>
      </c>
      <c r="AT105" s="13">
        <f t="shared" ref="AT105:AT112" si="78">IF(AND(AR105=0,AS105=1),1,0)</f>
        <v>1</v>
      </c>
      <c r="AU105" s="13">
        <f t="shared" ref="AU105:AU112" si="79">IF(AND(AR105=0,AS105=0),1,0)</f>
        <v>0</v>
      </c>
      <c r="AV105" s="13">
        <f t="shared" ref="AV105:AV112" si="80">IFERROR(IFS(AND(AR105=1,AS105=0),1,AS105="",""),0)</f>
        <v>0</v>
      </c>
      <c r="AW105" s="13">
        <f t="shared" si="76"/>
        <v>0</v>
      </c>
      <c r="AX105" s="13"/>
      <c r="AY105" s="13"/>
      <c r="AZ105" s="13"/>
    </row>
    <row r="106">
      <c r="A106" s="8" t="s">
        <v>148</v>
      </c>
      <c r="B106" s="9">
        <v>640866.39</v>
      </c>
      <c r="C106" s="9">
        <v>196393.91</v>
      </c>
      <c r="D106" s="9">
        <v>153894.62</v>
      </c>
      <c r="E106" s="9">
        <v>444090.44</v>
      </c>
      <c r="F106" s="9">
        <v>341645.44</v>
      </c>
      <c r="G106" s="9">
        <v>323597.42</v>
      </c>
      <c r="H106" s="9">
        <v>59736.99</v>
      </c>
      <c r="I106" s="9">
        <v>17727.52</v>
      </c>
      <c r="J106" s="9">
        <v>7935.46</v>
      </c>
      <c r="K106" s="9">
        <v>45303.46</v>
      </c>
      <c r="L106" s="9">
        <v>-43460.31</v>
      </c>
      <c r="M106" s="9">
        <v>30194.7</v>
      </c>
      <c r="N106" s="11">
        <f t="shared" si="1"/>
        <v>0</v>
      </c>
      <c r="O106" s="12">
        <v>0.03</v>
      </c>
      <c r="P106" s="9">
        <v>-18916.77</v>
      </c>
      <c r="Q106" s="9">
        <v>-174658.12</v>
      </c>
      <c r="R106" s="9">
        <v>184835.55</v>
      </c>
      <c r="S106" s="9">
        <v>-8739.34</v>
      </c>
      <c r="T106" s="12">
        <v>2.36</v>
      </c>
      <c r="U106" s="12">
        <v>3.4</v>
      </c>
      <c r="V106" s="12">
        <v>37.78</v>
      </c>
      <c r="W106" s="12">
        <v>2.44</v>
      </c>
      <c r="X106" s="12">
        <v>2.3</v>
      </c>
      <c r="Y106" s="12">
        <v>-20.9</v>
      </c>
      <c r="Z106" s="12">
        <v>8.91</v>
      </c>
      <c r="AA106" s="12">
        <f t="shared" si="2"/>
        <v>0</v>
      </c>
      <c r="AB106" s="12">
        <v>5.19</v>
      </c>
      <c r="AC106" s="12">
        <v>0.44</v>
      </c>
      <c r="AD106" s="12">
        <v>2.53</v>
      </c>
      <c r="AE106" s="12">
        <v>2.63</v>
      </c>
      <c r="AF106" s="12">
        <v>1.42</v>
      </c>
      <c r="AG106" s="12">
        <v>1.87</v>
      </c>
      <c r="AH106" s="12">
        <v>0.65</v>
      </c>
      <c r="AI106" s="12">
        <v>4.86</v>
      </c>
      <c r="AJ106" s="12">
        <v>75.08</v>
      </c>
      <c r="AK106" s="12">
        <v>1.85</v>
      </c>
      <c r="AL106" s="12">
        <v>197.44</v>
      </c>
      <c r="AM106" s="12">
        <v>4.4</v>
      </c>
      <c r="AN106" s="12">
        <v>83.04</v>
      </c>
      <c r="AO106" s="12">
        <v>189.49</v>
      </c>
      <c r="AP106" s="13">
        <f t="shared" si="3"/>
        <v>-3.49236</v>
      </c>
      <c r="AQ106" s="15">
        <v>0.029530395324323763</v>
      </c>
      <c r="AR106" s="13">
        <f t="shared" si="4"/>
        <v>0</v>
      </c>
      <c r="AS106" s="13">
        <f t="shared" si="77"/>
        <v>1</v>
      </c>
      <c r="AT106" s="13">
        <f t="shared" si="78"/>
        <v>1</v>
      </c>
      <c r="AU106" s="13">
        <f t="shared" si="79"/>
        <v>0</v>
      </c>
      <c r="AV106" s="13">
        <f t="shared" si="80"/>
        <v>0</v>
      </c>
      <c r="AW106" s="13">
        <f t="shared" si="76"/>
        <v>0</v>
      </c>
      <c r="AX106" s="13"/>
      <c r="AY106" s="13"/>
      <c r="AZ106" s="13"/>
    </row>
    <row r="107">
      <c r="A107" s="8" t="s">
        <v>149</v>
      </c>
      <c r="B107" s="9">
        <v>1357214.58</v>
      </c>
      <c r="C107" s="9">
        <v>680714.95</v>
      </c>
      <c r="D107" s="9">
        <v>132058.5</v>
      </c>
      <c r="E107" s="9">
        <v>654269.01</v>
      </c>
      <c r="F107" s="9">
        <v>1940402.6</v>
      </c>
      <c r="G107" s="9">
        <v>1929373.96</v>
      </c>
      <c r="H107" s="9">
        <v>59966.86</v>
      </c>
      <c r="I107" s="9">
        <v>14836.61</v>
      </c>
      <c r="J107" s="9">
        <v>-6628.15</v>
      </c>
      <c r="K107" s="9">
        <v>111081.3</v>
      </c>
      <c r="L107" s="9">
        <v>-26072.82</v>
      </c>
      <c r="M107" s="9">
        <v>11064.49</v>
      </c>
      <c r="N107" s="11">
        <f t="shared" si="1"/>
        <v>0</v>
      </c>
      <c r="O107" s="12">
        <v>-0.01</v>
      </c>
      <c r="P107" s="9">
        <v>-5421.74</v>
      </c>
      <c r="Q107" s="9">
        <v>-9334.29</v>
      </c>
      <c r="R107" s="9">
        <v>114608.23</v>
      </c>
      <c r="S107" s="9">
        <v>99852.19</v>
      </c>
      <c r="T107" s="12">
        <v>-1.24</v>
      </c>
      <c r="U107" s="12">
        <v>1.23</v>
      </c>
      <c r="V107" s="12">
        <v>13.86</v>
      </c>
      <c r="W107" s="12">
        <v>-0.3</v>
      </c>
      <c r="X107" s="12">
        <v>5.85</v>
      </c>
      <c r="Y107" s="12">
        <v>-2.62</v>
      </c>
      <c r="Z107" s="12">
        <v>0.91</v>
      </c>
      <c r="AA107" s="12">
        <f t="shared" si="2"/>
        <v>0</v>
      </c>
      <c r="AB107" s="12">
        <v>0.76</v>
      </c>
      <c r="AC107" s="12">
        <v>1.01</v>
      </c>
      <c r="AD107" s="12">
        <v>1.1</v>
      </c>
      <c r="AE107" s="12">
        <v>1.22</v>
      </c>
      <c r="AF107" s="12">
        <v>1.02</v>
      </c>
      <c r="AG107" s="12">
        <v>7.89</v>
      </c>
      <c r="AH107" s="12">
        <v>1.61</v>
      </c>
      <c r="AI107" s="12">
        <v>216.53</v>
      </c>
      <c r="AJ107" s="12">
        <v>1.69</v>
      </c>
      <c r="AK107" s="12">
        <v>5.87</v>
      </c>
      <c r="AL107" s="12">
        <v>62.17</v>
      </c>
      <c r="AM107" s="12">
        <v>8.62</v>
      </c>
      <c r="AN107" s="12">
        <v>42.33</v>
      </c>
      <c r="AO107" s="12">
        <v>21.53</v>
      </c>
      <c r="AP107" s="13">
        <f t="shared" si="3"/>
        <v>-2.1501</v>
      </c>
      <c r="AQ107" s="15">
        <v>0.10432187886683186</v>
      </c>
      <c r="AR107" s="13">
        <f t="shared" si="4"/>
        <v>0</v>
      </c>
      <c r="AS107" s="13">
        <f t="shared" si="77"/>
        <v>1</v>
      </c>
      <c r="AT107" s="13">
        <f t="shared" si="78"/>
        <v>1</v>
      </c>
      <c r="AU107" s="13">
        <f t="shared" si="79"/>
        <v>0</v>
      </c>
      <c r="AV107" s="13">
        <f t="shared" si="80"/>
        <v>0</v>
      </c>
      <c r="AW107" s="13">
        <f t="shared" si="76"/>
        <v>0</v>
      </c>
      <c r="AX107" s="13"/>
      <c r="AY107" s="13"/>
      <c r="AZ107" s="13"/>
    </row>
    <row r="108">
      <c r="A108" s="8" t="s">
        <v>150</v>
      </c>
      <c r="B108" s="9">
        <v>1108197.19</v>
      </c>
      <c r="C108" s="9">
        <v>258913.05</v>
      </c>
      <c r="D108" s="9">
        <v>346891.51</v>
      </c>
      <c r="E108" s="9">
        <v>847633.04</v>
      </c>
      <c r="F108" s="9">
        <v>844915.11</v>
      </c>
      <c r="G108" s="9">
        <v>860622.51</v>
      </c>
      <c r="H108" s="9">
        <v>22769.11</v>
      </c>
      <c r="I108" s="9">
        <v>-25296.9</v>
      </c>
      <c r="J108" s="9">
        <v>-24371.74</v>
      </c>
      <c r="K108" s="9">
        <v>41633.51</v>
      </c>
      <c r="L108" s="9">
        <v>45263.69</v>
      </c>
      <c r="M108" s="9">
        <v>-19542.6</v>
      </c>
      <c r="N108" s="11">
        <f t="shared" si="1"/>
        <v>0</v>
      </c>
      <c r="O108" s="12">
        <v>-0.07</v>
      </c>
      <c r="P108" s="9">
        <v>8277.61</v>
      </c>
      <c r="Q108" s="9">
        <v>-13898.52</v>
      </c>
      <c r="R108" s="9">
        <v>-29219.52</v>
      </c>
      <c r="S108" s="9">
        <v>-34840.42</v>
      </c>
      <c r="T108" s="12">
        <v>-2.78</v>
      </c>
      <c r="U108" s="12">
        <v>-2.17</v>
      </c>
      <c r="V108" s="12">
        <v>13.02</v>
      </c>
      <c r="W108" s="12">
        <v>-2.93</v>
      </c>
      <c r="X108" s="12">
        <v>4.92</v>
      </c>
      <c r="Y108" s="12">
        <v>5.8</v>
      </c>
      <c r="Z108" s="12">
        <v>-2.32</v>
      </c>
      <c r="AA108" s="12">
        <f t="shared" si="2"/>
        <v>0</v>
      </c>
      <c r="AB108" s="12">
        <v>-2.99</v>
      </c>
      <c r="AC108" s="12">
        <v>0.3</v>
      </c>
      <c r="AD108" s="12">
        <v>-5.96</v>
      </c>
      <c r="AE108" s="12">
        <v>1.79</v>
      </c>
      <c r="AF108" s="12">
        <v>1.02</v>
      </c>
      <c r="AG108" s="12">
        <v>1.54</v>
      </c>
      <c r="AH108" s="12">
        <v>0.72</v>
      </c>
      <c r="AI108" s="12">
        <v>4.88</v>
      </c>
      <c r="AJ108" s="12">
        <v>74.74</v>
      </c>
      <c r="AK108" s="12">
        <v>7.44</v>
      </c>
      <c r="AL108" s="12">
        <v>49.08</v>
      </c>
      <c r="AM108" s="12">
        <v>9.55</v>
      </c>
      <c r="AN108" s="12">
        <v>38.24</v>
      </c>
      <c r="AO108" s="12">
        <v>85.58</v>
      </c>
      <c r="AP108" s="13">
        <f t="shared" si="3"/>
        <v>-2.39324</v>
      </c>
      <c r="AQ108" s="15">
        <v>0.08368963492353337</v>
      </c>
      <c r="AR108" s="13">
        <f t="shared" si="4"/>
        <v>0</v>
      </c>
      <c r="AS108" s="13">
        <f t="shared" si="77"/>
        <v>1</v>
      </c>
      <c r="AT108" s="13">
        <f t="shared" si="78"/>
        <v>1</v>
      </c>
      <c r="AU108" s="13">
        <f t="shared" si="79"/>
        <v>0</v>
      </c>
      <c r="AV108" s="13">
        <f t="shared" si="80"/>
        <v>0</v>
      </c>
      <c r="AW108" s="13">
        <f t="shared" si="76"/>
        <v>0</v>
      </c>
      <c r="AX108" s="13"/>
      <c r="AY108" s="13"/>
      <c r="AZ108" s="13"/>
    </row>
    <row r="109">
      <c r="A109" s="8" t="s">
        <v>151</v>
      </c>
      <c r="B109" s="9">
        <v>684033.7</v>
      </c>
      <c r="C109" s="9">
        <v>183065.57</v>
      </c>
      <c r="D109" s="9">
        <v>200000.0</v>
      </c>
      <c r="E109" s="9">
        <v>500968.13</v>
      </c>
      <c r="F109" s="9">
        <v>461648.93</v>
      </c>
      <c r="G109" s="9">
        <v>246550.11</v>
      </c>
      <c r="H109" s="9">
        <v>228679.44</v>
      </c>
      <c r="I109" s="9">
        <v>214851.47</v>
      </c>
      <c r="J109" s="9">
        <v>169739.29</v>
      </c>
      <c r="K109" s="9">
        <v>165565.9</v>
      </c>
      <c r="L109" s="9">
        <v>156447.92</v>
      </c>
      <c r="M109" s="9">
        <v>179077.42</v>
      </c>
      <c r="N109" s="11">
        <f t="shared" si="1"/>
        <v>0</v>
      </c>
      <c r="O109" s="12">
        <v>0.85</v>
      </c>
      <c r="P109" s="9">
        <v>149984.41</v>
      </c>
      <c r="Q109" s="9">
        <v>7475.08</v>
      </c>
      <c r="R109" s="9">
        <v>-162108.31</v>
      </c>
      <c r="S109" s="9">
        <v>-4648.82</v>
      </c>
      <c r="T109" s="12">
        <v>34.54</v>
      </c>
      <c r="U109" s="12">
        <v>32.46</v>
      </c>
      <c r="V109" s="12">
        <v>78.78</v>
      </c>
      <c r="W109" s="12">
        <v>36.77</v>
      </c>
      <c r="X109" s="12">
        <v>40.78</v>
      </c>
      <c r="Y109" s="12">
        <v>39.66</v>
      </c>
      <c r="Z109" s="12">
        <v>42.41</v>
      </c>
      <c r="AA109" s="12">
        <f t="shared" si="2"/>
        <v>0</v>
      </c>
      <c r="AB109" s="12">
        <v>46.54</v>
      </c>
      <c r="AC109" s="12">
        <v>0.37</v>
      </c>
      <c r="AD109" s="12">
        <v>612.37</v>
      </c>
      <c r="AE109" s="12">
        <v>3.1</v>
      </c>
      <c r="AF109" s="12">
        <v>1.16</v>
      </c>
      <c r="AG109" s="12">
        <v>21.08</v>
      </c>
      <c r="AH109" s="12">
        <v>0.7</v>
      </c>
      <c r="AI109" s="12" t="s">
        <v>47</v>
      </c>
      <c r="AJ109" s="12" t="s">
        <v>46</v>
      </c>
      <c r="AK109" s="12">
        <v>5.02</v>
      </c>
      <c r="AL109" s="12">
        <v>72.78</v>
      </c>
      <c r="AM109" s="12">
        <v>11.33</v>
      </c>
      <c r="AN109" s="12">
        <v>32.22</v>
      </c>
      <c r="AO109" s="12">
        <v>40.56</v>
      </c>
      <c r="AP109" s="13">
        <f t="shared" si="3"/>
        <v>-9.49447</v>
      </c>
      <c r="AQ109" s="15">
        <v>7.52612424568431E-5</v>
      </c>
      <c r="AR109" s="13">
        <f t="shared" si="4"/>
        <v>0</v>
      </c>
      <c r="AS109" s="13">
        <f t="shared" si="77"/>
        <v>1</v>
      </c>
      <c r="AT109" s="13">
        <f t="shared" si="78"/>
        <v>1</v>
      </c>
      <c r="AU109" s="13">
        <f t="shared" si="79"/>
        <v>0</v>
      </c>
      <c r="AV109" s="13">
        <f t="shared" si="80"/>
        <v>0</v>
      </c>
      <c r="AW109" s="13">
        <f t="shared" si="76"/>
        <v>0</v>
      </c>
      <c r="AX109" s="13"/>
      <c r="AY109" s="13"/>
      <c r="AZ109" s="13"/>
    </row>
    <row r="110">
      <c r="A110" s="8" t="s">
        <v>152</v>
      </c>
      <c r="B110" s="9">
        <v>1357859.76</v>
      </c>
      <c r="C110" s="9">
        <v>36513.62</v>
      </c>
      <c r="D110" s="9">
        <v>1.0565019765E8</v>
      </c>
      <c r="E110" s="9">
        <v>1321346.13</v>
      </c>
      <c r="F110" s="9">
        <v>25013.63</v>
      </c>
      <c r="G110" s="9">
        <v>118236.15</v>
      </c>
      <c r="H110" s="9">
        <v>49695.54</v>
      </c>
      <c r="I110" s="9">
        <v>38845.59</v>
      </c>
      <c r="J110" s="9">
        <v>53116.5</v>
      </c>
      <c r="K110" s="9">
        <v>97270.4</v>
      </c>
      <c r="L110" s="9">
        <v>-37807.56</v>
      </c>
      <c r="M110" s="9">
        <v>496286.86</v>
      </c>
      <c r="N110" s="11">
        <f t="shared" si="1"/>
        <v>0</v>
      </c>
      <c r="O110" s="12" t="s">
        <v>46</v>
      </c>
      <c r="P110" s="9">
        <v>-190798.05</v>
      </c>
      <c r="Q110" s="9">
        <v>139203.85</v>
      </c>
      <c r="R110" s="9">
        <v>496527.55</v>
      </c>
      <c r="S110" s="9">
        <v>444933.35</v>
      </c>
      <c r="T110" s="12">
        <v>5.17</v>
      </c>
      <c r="U110" s="12">
        <v>3.53</v>
      </c>
      <c r="V110" s="12">
        <v>-36.29</v>
      </c>
      <c r="W110" s="12">
        <v>212.33</v>
      </c>
      <c r="X110" s="12">
        <v>96.51</v>
      </c>
      <c r="Y110" s="12">
        <v>-25.64</v>
      </c>
      <c r="Z110" s="12">
        <v>112.47</v>
      </c>
      <c r="AA110" s="12">
        <f t="shared" si="2"/>
        <v>0</v>
      </c>
      <c r="AB110" s="12">
        <v>155.3</v>
      </c>
      <c r="AC110" s="12">
        <v>0.03</v>
      </c>
      <c r="AD110" s="12">
        <v>35.25</v>
      </c>
      <c r="AE110" s="12">
        <v>70.21</v>
      </c>
      <c r="AF110" s="12">
        <v>67.62</v>
      </c>
      <c r="AG110" s="12">
        <v>0.85</v>
      </c>
      <c r="AH110" s="12">
        <v>0.02</v>
      </c>
      <c r="AI110" s="12">
        <v>21.01</v>
      </c>
      <c r="AJ110" s="12">
        <v>17.37</v>
      </c>
      <c r="AK110" s="12">
        <v>0.0</v>
      </c>
      <c r="AL110" s="9">
        <v>109539.14</v>
      </c>
      <c r="AM110" s="12">
        <v>0.03</v>
      </c>
      <c r="AN110" s="9">
        <v>13401.39</v>
      </c>
      <c r="AO110" s="9">
        <v>96155.12</v>
      </c>
      <c r="AP110" s="13">
        <f t="shared" si="3"/>
        <v>16.13306</v>
      </c>
      <c r="AQ110" s="15">
        <v>0.9999999014853037</v>
      </c>
      <c r="AR110" s="13">
        <f t="shared" si="4"/>
        <v>1</v>
      </c>
      <c r="AS110" s="13">
        <f t="shared" si="77"/>
        <v>0</v>
      </c>
      <c r="AT110" s="13">
        <f t="shared" si="78"/>
        <v>0</v>
      </c>
      <c r="AU110" s="13">
        <f t="shared" si="79"/>
        <v>0</v>
      </c>
      <c r="AV110" s="13">
        <f t="shared" si="80"/>
        <v>1</v>
      </c>
      <c r="AW110" s="13">
        <f t="shared" si="76"/>
        <v>0</v>
      </c>
      <c r="AX110" s="13"/>
      <c r="AY110" s="13"/>
      <c r="AZ110" s="13"/>
    </row>
    <row r="111">
      <c r="A111" s="8" t="s">
        <v>153</v>
      </c>
      <c r="B111" s="9">
        <v>514520.69</v>
      </c>
      <c r="C111" s="9">
        <v>72155.71</v>
      </c>
      <c r="D111" s="9">
        <v>100000.0</v>
      </c>
      <c r="E111" s="9">
        <v>441145.22</v>
      </c>
      <c r="F111" s="9">
        <v>223554.59</v>
      </c>
      <c r="G111" s="9">
        <v>225174.81</v>
      </c>
      <c r="H111" s="9">
        <v>5734.09</v>
      </c>
      <c r="I111" s="9">
        <v>-1620.22</v>
      </c>
      <c r="J111" s="9">
        <v>-18988.35</v>
      </c>
      <c r="K111" s="9">
        <v>-19307.49</v>
      </c>
      <c r="L111" s="9">
        <v>9512.33</v>
      </c>
      <c r="M111" s="9">
        <v>14454.13</v>
      </c>
      <c r="N111" s="11">
        <f t="shared" si="1"/>
        <v>0</v>
      </c>
      <c r="O111" s="12">
        <v>-1.9</v>
      </c>
      <c r="P111" s="9">
        <v>-6116.9</v>
      </c>
      <c r="Q111" s="9">
        <v>-2911.54</v>
      </c>
      <c r="R111" s="9">
        <v>6572.13</v>
      </c>
      <c r="S111" s="9">
        <v>-2456.3</v>
      </c>
      <c r="T111" s="12">
        <v>-4.43</v>
      </c>
      <c r="U111" s="12">
        <v>-0.33</v>
      </c>
      <c r="V111" s="12">
        <v>10.28</v>
      </c>
      <c r="W111" s="12">
        <v>-8.44</v>
      </c>
      <c r="X111" s="12">
        <v>-12.8</v>
      </c>
      <c r="Y111" s="12">
        <v>4.42</v>
      </c>
      <c r="Z111" s="12">
        <v>4.2</v>
      </c>
      <c r="AA111" s="12">
        <f t="shared" si="2"/>
        <v>0</v>
      </c>
      <c r="AB111" s="12">
        <v>-0.72</v>
      </c>
      <c r="AC111" s="12">
        <v>0.16</v>
      </c>
      <c r="AD111" s="12">
        <v>-1.74</v>
      </c>
      <c r="AE111" s="12">
        <v>6.18</v>
      </c>
      <c r="AF111" s="12">
        <v>4.28</v>
      </c>
      <c r="AG111" s="12">
        <v>0.86</v>
      </c>
      <c r="AH111" s="12">
        <v>0.46</v>
      </c>
      <c r="AI111" s="12">
        <v>3.4</v>
      </c>
      <c r="AJ111" s="12">
        <v>107.39</v>
      </c>
      <c r="AK111" s="12">
        <v>4.14</v>
      </c>
      <c r="AL111" s="12">
        <v>88.17</v>
      </c>
      <c r="AM111" s="12">
        <v>13.68</v>
      </c>
      <c r="AN111" s="12">
        <v>26.69</v>
      </c>
      <c r="AO111" s="12">
        <v>168.87</v>
      </c>
      <c r="AP111" s="13">
        <f t="shared" si="3"/>
        <v>-6.09057</v>
      </c>
      <c r="AQ111" s="15">
        <v>0.002259003349533626</v>
      </c>
      <c r="AR111" s="13">
        <f t="shared" si="4"/>
        <v>0</v>
      </c>
      <c r="AS111" s="13">
        <f t="shared" si="77"/>
        <v>1</v>
      </c>
      <c r="AT111" s="13">
        <f t="shared" si="78"/>
        <v>1</v>
      </c>
      <c r="AU111" s="13">
        <f t="shared" si="79"/>
        <v>0</v>
      </c>
      <c r="AV111" s="13">
        <f t="shared" si="80"/>
        <v>0</v>
      </c>
      <c r="AW111" s="13">
        <f t="shared" si="76"/>
        <v>0</v>
      </c>
      <c r="AX111" s="13"/>
      <c r="AY111" s="13"/>
      <c r="AZ111" s="13"/>
    </row>
    <row r="112">
      <c r="A112" s="8" t="s">
        <v>154</v>
      </c>
      <c r="B112" s="9">
        <v>979359.07</v>
      </c>
      <c r="C112" s="9">
        <v>142220.7</v>
      </c>
      <c r="D112" s="9">
        <v>559999.99</v>
      </c>
      <c r="E112" s="9">
        <v>787914.26</v>
      </c>
      <c r="F112" s="9">
        <v>634893.57</v>
      </c>
      <c r="G112" s="9">
        <v>773396.36</v>
      </c>
      <c r="H112" s="9">
        <v>-87937.65</v>
      </c>
      <c r="I112" s="9">
        <v>-138502.79</v>
      </c>
      <c r="J112" s="9">
        <v>-116220.72</v>
      </c>
      <c r="K112" s="9">
        <v>55679.47</v>
      </c>
      <c r="L112" s="9">
        <v>-48851.01</v>
      </c>
      <c r="M112" s="9">
        <v>33008.87</v>
      </c>
      <c r="N112" s="11">
        <f t="shared" si="1"/>
        <v>0</v>
      </c>
      <c r="O112" s="12">
        <v>-0.21</v>
      </c>
      <c r="P112" s="9">
        <v>90810.82</v>
      </c>
      <c r="Q112" s="9">
        <v>-171221.52</v>
      </c>
      <c r="R112" s="9">
        <v>-12423.16</v>
      </c>
      <c r="S112" s="9">
        <v>-92833.85</v>
      </c>
      <c r="T112" s="12">
        <v>-13.74</v>
      </c>
      <c r="U112" s="12">
        <v>-13.97</v>
      </c>
      <c r="V112" s="12">
        <v>17.32</v>
      </c>
      <c r="W112" s="12">
        <v>-18.23</v>
      </c>
      <c r="X112" s="12">
        <v>8.47</v>
      </c>
      <c r="Y112" s="12">
        <v>-7.13</v>
      </c>
      <c r="Z112" s="12">
        <v>4.18</v>
      </c>
      <c r="AA112" s="12">
        <f t="shared" si="2"/>
        <v>0</v>
      </c>
      <c r="AB112" s="12">
        <v>-21.82</v>
      </c>
      <c r="AC112" s="12">
        <v>0.17</v>
      </c>
      <c r="AD112" s="12">
        <v>-171.11</v>
      </c>
      <c r="AE112" s="12">
        <v>5.03</v>
      </c>
      <c r="AF112" s="12">
        <v>4.13</v>
      </c>
      <c r="AG112" s="12">
        <v>7.91</v>
      </c>
      <c r="AH112" s="12">
        <v>0.64</v>
      </c>
      <c r="AI112" s="12">
        <v>113.73</v>
      </c>
      <c r="AJ112" s="12">
        <v>3.21</v>
      </c>
      <c r="AK112" s="12">
        <v>6.09</v>
      </c>
      <c r="AL112" s="12">
        <v>59.9</v>
      </c>
      <c r="AM112" s="12">
        <v>7.86</v>
      </c>
      <c r="AN112" s="12">
        <v>46.45</v>
      </c>
      <c r="AO112" s="12">
        <v>16.66</v>
      </c>
      <c r="AP112" s="13">
        <f t="shared" si="3"/>
        <v>-2.8183</v>
      </c>
      <c r="AQ112" s="15">
        <v>0.05634325220484691</v>
      </c>
      <c r="AR112" s="13">
        <f t="shared" si="4"/>
        <v>0</v>
      </c>
      <c r="AS112" s="13">
        <f t="shared" si="77"/>
        <v>1</v>
      </c>
      <c r="AT112" s="13">
        <f t="shared" si="78"/>
        <v>1</v>
      </c>
      <c r="AU112" s="13">
        <f t="shared" si="79"/>
        <v>0</v>
      </c>
      <c r="AV112" s="13">
        <f t="shared" si="80"/>
        <v>0</v>
      </c>
      <c r="AW112" s="13">
        <f t="shared" si="76"/>
        <v>0</v>
      </c>
      <c r="AX112" s="13"/>
      <c r="AY112" s="13"/>
      <c r="AZ112" s="13"/>
    </row>
    <row r="113">
      <c r="A113" s="8" t="s">
        <v>155</v>
      </c>
      <c r="B113" s="9">
        <v>1414581.28</v>
      </c>
      <c r="C113" s="9">
        <v>480774.38</v>
      </c>
      <c r="D113" s="9">
        <v>500000.0</v>
      </c>
      <c r="E113" s="9">
        <v>933806.9</v>
      </c>
      <c r="F113" s="9">
        <v>913733.07</v>
      </c>
      <c r="G113" s="9">
        <v>827958.03</v>
      </c>
      <c r="H113" s="9">
        <v>140694.76</v>
      </c>
      <c r="I113" s="9">
        <v>90513.7</v>
      </c>
      <c r="J113" s="9">
        <v>82496.24</v>
      </c>
      <c r="K113" s="9">
        <v>107682.94</v>
      </c>
      <c r="L113" s="9" t="e">
        <v>#N/A</v>
      </c>
      <c r="M113" s="9" t="e">
        <v>#N/A</v>
      </c>
      <c r="N113" s="11" t="str">
        <f t="shared" si="1"/>
        <v>#N/A</v>
      </c>
      <c r="O113" s="12">
        <v>0.08</v>
      </c>
      <c r="P113" s="9">
        <v>-137862.66</v>
      </c>
      <c r="Q113" s="9">
        <v>-85276.33</v>
      </c>
      <c r="R113" s="9">
        <v>230660.79</v>
      </c>
      <c r="S113" s="9">
        <v>7521.79</v>
      </c>
      <c r="T113" s="12">
        <v>8.99</v>
      </c>
      <c r="U113" s="12">
        <v>7.07</v>
      </c>
      <c r="V113" s="12">
        <v>15.38</v>
      </c>
      <c r="W113" s="12">
        <v>9.03</v>
      </c>
      <c r="X113" s="12">
        <v>15.19</v>
      </c>
      <c r="Y113" s="12" t="e">
        <v>#N/A</v>
      </c>
      <c r="Z113" s="12" t="e">
        <v>#N/A</v>
      </c>
      <c r="AA113" s="12" t="str">
        <f t="shared" si="2"/>
        <v>#N/A</v>
      </c>
      <c r="AB113" s="12">
        <v>9.91</v>
      </c>
      <c r="AC113" s="12">
        <v>0.51</v>
      </c>
      <c r="AD113" s="12">
        <v>12.0</v>
      </c>
      <c r="AE113" s="12">
        <v>2.9</v>
      </c>
      <c r="AF113" s="12">
        <v>1.06</v>
      </c>
      <c r="AG113" s="12">
        <v>1.86</v>
      </c>
      <c r="AH113" s="12">
        <v>0.71</v>
      </c>
      <c r="AI113" s="12">
        <v>1.58</v>
      </c>
      <c r="AJ113" s="12">
        <v>230.85</v>
      </c>
      <c r="AK113" s="12">
        <v>5.14</v>
      </c>
      <c r="AL113" s="12">
        <v>71.03</v>
      </c>
      <c r="AM113" s="12">
        <v>7.42</v>
      </c>
      <c r="AN113" s="12">
        <v>49.17</v>
      </c>
      <c r="AO113" s="12">
        <v>252.71</v>
      </c>
      <c r="AP113" s="13">
        <f t="shared" si="3"/>
        <v>-3.90584</v>
      </c>
      <c r="AQ113" s="15">
        <v>0.019727055084656074</v>
      </c>
      <c r="AR113" s="13">
        <f t="shared" si="4"/>
        <v>0</v>
      </c>
      <c r="AS113" s="13"/>
      <c r="AT113" s="13"/>
      <c r="AU113" s="13"/>
      <c r="AV113" s="13"/>
      <c r="AW113" s="13" t="str">
        <f t="shared" si="76"/>
        <v/>
      </c>
      <c r="AX113" s="13"/>
      <c r="AY113" s="13"/>
      <c r="AZ113" s="13"/>
    </row>
    <row r="114">
      <c r="A114" s="8" t="s">
        <v>156</v>
      </c>
      <c r="B114" s="9">
        <v>719770.94</v>
      </c>
      <c r="C114" s="9">
        <v>136023.24</v>
      </c>
      <c r="D114" s="9">
        <v>148499.96</v>
      </c>
      <c r="E114" s="9">
        <v>583747.7</v>
      </c>
      <c r="F114" s="9">
        <v>759071.83</v>
      </c>
      <c r="G114" s="9">
        <v>707820.98</v>
      </c>
      <c r="H114" s="9">
        <v>97273.99</v>
      </c>
      <c r="I114" s="9">
        <v>51250.85</v>
      </c>
      <c r="J114" s="9">
        <v>40627.12</v>
      </c>
      <c r="K114" s="9">
        <v>55241.87</v>
      </c>
      <c r="L114" s="9">
        <v>98254.66</v>
      </c>
      <c r="M114" s="9">
        <v>65877.68</v>
      </c>
      <c r="N114" s="11">
        <f t="shared" si="1"/>
        <v>0</v>
      </c>
      <c r="O114" s="12">
        <v>0.14</v>
      </c>
      <c r="P114" s="9">
        <v>22342.28</v>
      </c>
      <c r="Q114" s="9">
        <v>-5936.55</v>
      </c>
      <c r="R114" s="9">
        <v>-45293.56</v>
      </c>
      <c r="S114" s="9">
        <v>-28887.83</v>
      </c>
      <c r="T114" s="12">
        <v>6.93</v>
      </c>
      <c r="U114" s="12">
        <v>6.91</v>
      </c>
      <c r="V114" s="12">
        <v>15.3</v>
      </c>
      <c r="W114" s="12">
        <v>5.35</v>
      </c>
      <c r="X114" s="12">
        <v>8.06</v>
      </c>
      <c r="Y114" s="12">
        <v>15.61</v>
      </c>
      <c r="Z114" s="12">
        <v>9.74</v>
      </c>
      <c r="AA114" s="12">
        <f t="shared" si="2"/>
        <v>0</v>
      </c>
      <c r="AB114" s="12">
        <v>6.75</v>
      </c>
      <c r="AC114" s="12">
        <v>0.23</v>
      </c>
      <c r="AD114" s="12">
        <v>144.75</v>
      </c>
      <c r="AE114" s="12">
        <v>4.27</v>
      </c>
      <c r="AF114" s="12">
        <v>3.19</v>
      </c>
      <c r="AG114" s="12">
        <v>3.09</v>
      </c>
      <c r="AH114" s="12">
        <v>1.02</v>
      </c>
      <c r="AI114" s="12">
        <v>6.12</v>
      </c>
      <c r="AJ114" s="12">
        <v>59.65</v>
      </c>
      <c r="AK114" s="12">
        <v>7.57</v>
      </c>
      <c r="AL114" s="12">
        <v>48.23</v>
      </c>
      <c r="AM114" s="12">
        <v>5.0</v>
      </c>
      <c r="AN114" s="12">
        <v>73.05</v>
      </c>
      <c r="AO114" s="12">
        <v>34.82</v>
      </c>
      <c r="AP114" s="13">
        <f t="shared" si="3"/>
        <v>-6.07968</v>
      </c>
      <c r="AQ114" s="15">
        <v>0.0022836818467167203</v>
      </c>
      <c r="AR114" s="13">
        <f t="shared" si="4"/>
        <v>0</v>
      </c>
      <c r="AS114" s="13">
        <f t="shared" ref="AS114:AS116" si="81">IF(AR114=N114,1,0)</f>
        <v>1</v>
      </c>
      <c r="AT114" s="13">
        <f t="shared" ref="AT114:AT116" si="82">IF(AND(AR114=0,AS114=1),1,0)</f>
        <v>1</v>
      </c>
      <c r="AU114" s="13">
        <f t="shared" ref="AU114:AU116" si="83">IF(AND(AR114=0,AS114=0),1,0)</f>
        <v>0</v>
      </c>
      <c r="AV114" s="13">
        <f t="shared" ref="AV114:AV116" si="84">IFERROR(IFS(AND(AR114=1,AS114=0),1,AS114="",""),0)</f>
        <v>0</v>
      </c>
      <c r="AW114" s="13">
        <f t="shared" si="76"/>
        <v>0</v>
      </c>
      <c r="AX114" s="13"/>
      <c r="AY114" s="13"/>
      <c r="AZ114" s="13"/>
    </row>
    <row r="115">
      <c r="A115" s="8" t="s">
        <v>157</v>
      </c>
      <c r="B115" s="9">
        <v>638818.65</v>
      </c>
      <c r="C115" s="9">
        <v>285253.81</v>
      </c>
      <c r="D115" s="9">
        <v>202500.23</v>
      </c>
      <c r="E115" s="9">
        <v>354867.48</v>
      </c>
      <c r="F115" s="9">
        <v>1003336.0</v>
      </c>
      <c r="G115" s="9">
        <v>931595.83</v>
      </c>
      <c r="H115" s="9">
        <v>79678.36</v>
      </c>
      <c r="I115" s="9">
        <v>71472.9</v>
      </c>
      <c r="J115" s="9">
        <v>54035.32</v>
      </c>
      <c r="K115" s="9">
        <v>81890.61</v>
      </c>
      <c r="L115" s="9">
        <v>73859.55</v>
      </c>
      <c r="M115" s="9">
        <v>41419.0</v>
      </c>
      <c r="N115" s="11">
        <f t="shared" si="1"/>
        <v>0</v>
      </c>
      <c r="O115" s="12">
        <v>0.27</v>
      </c>
      <c r="P115" s="9">
        <v>27419.14</v>
      </c>
      <c r="Q115" s="9">
        <v>-16039.6</v>
      </c>
      <c r="R115" s="9">
        <v>-16495.15</v>
      </c>
      <c r="S115" s="9">
        <v>-5115.61</v>
      </c>
      <c r="T115" s="12">
        <v>15.34</v>
      </c>
      <c r="U115" s="12">
        <v>11.21</v>
      </c>
      <c r="V115" s="12">
        <v>25.76</v>
      </c>
      <c r="W115" s="12">
        <v>5.39</v>
      </c>
      <c r="X115" s="12">
        <v>6.66</v>
      </c>
      <c r="Y115" s="12">
        <v>6.95</v>
      </c>
      <c r="Z115" s="12">
        <v>4.52</v>
      </c>
      <c r="AA115" s="12">
        <f t="shared" si="2"/>
        <v>0</v>
      </c>
      <c r="AB115" s="12">
        <v>7.12</v>
      </c>
      <c r="AC115" s="12">
        <v>0.81</v>
      </c>
      <c r="AD115" s="12">
        <v>25.35</v>
      </c>
      <c r="AE115" s="12">
        <v>1.88</v>
      </c>
      <c r="AF115" s="12">
        <v>0.85</v>
      </c>
      <c r="AG115" s="12">
        <v>10.48</v>
      </c>
      <c r="AH115" s="12">
        <v>1.57</v>
      </c>
      <c r="AI115" s="12">
        <v>3.18</v>
      </c>
      <c r="AJ115" s="12">
        <v>114.86</v>
      </c>
      <c r="AK115" s="12">
        <v>6.05</v>
      </c>
      <c r="AL115" s="12">
        <v>60.37</v>
      </c>
      <c r="AM115" s="12">
        <v>5.09</v>
      </c>
      <c r="AN115" s="12">
        <v>71.68</v>
      </c>
      <c r="AO115" s="12">
        <v>103.56</v>
      </c>
      <c r="AP115" s="13">
        <f t="shared" si="3"/>
        <v>-4.41851</v>
      </c>
      <c r="AQ115" s="15">
        <v>0.01190865148463644</v>
      </c>
      <c r="AR115" s="13">
        <f t="shared" si="4"/>
        <v>0</v>
      </c>
      <c r="AS115" s="13">
        <f t="shared" si="81"/>
        <v>1</v>
      </c>
      <c r="AT115" s="13">
        <f t="shared" si="82"/>
        <v>1</v>
      </c>
      <c r="AU115" s="13">
        <f t="shared" si="83"/>
        <v>0</v>
      </c>
      <c r="AV115" s="13">
        <f t="shared" si="84"/>
        <v>0</v>
      </c>
      <c r="AW115" s="13">
        <f t="shared" si="76"/>
        <v>0</v>
      </c>
      <c r="AX115" s="13"/>
      <c r="AY115" s="13"/>
      <c r="AZ115" s="13"/>
    </row>
    <row r="116">
      <c r="A116" s="8" t="s">
        <v>158</v>
      </c>
      <c r="B116" s="9">
        <v>736384.53</v>
      </c>
      <c r="C116" s="9">
        <v>373814.71</v>
      </c>
      <c r="D116" s="9">
        <v>215624.56</v>
      </c>
      <c r="E116" s="9">
        <v>361647.2</v>
      </c>
      <c r="F116" s="9">
        <v>1114887.02</v>
      </c>
      <c r="G116" s="9">
        <v>1096783.0</v>
      </c>
      <c r="H116" s="9">
        <v>45419.58</v>
      </c>
      <c r="I116" s="9">
        <v>19863.3</v>
      </c>
      <c r="J116" s="9">
        <v>12451.72</v>
      </c>
      <c r="K116" s="9">
        <v>-26355.58</v>
      </c>
      <c r="L116" s="9">
        <v>-53532.0</v>
      </c>
      <c r="M116" s="9">
        <v>31636.47</v>
      </c>
      <c r="N116" s="11">
        <f t="shared" si="1"/>
        <v>0</v>
      </c>
      <c r="O116" s="12">
        <v>0.06</v>
      </c>
      <c r="P116" s="9">
        <v>37334.08</v>
      </c>
      <c r="Q116" s="12">
        <v>552.24</v>
      </c>
      <c r="R116" s="9">
        <v>-27978.03</v>
      </c>
      <c r="S116" s="9">
        <v>9908.29</v>
      </c>
      <c r="T116" s="12">
        <v>3.57</v>
      </c>
      <c r="U116" s="12">
        <v>2.87</v>
      </c>
      <c r="V116" s="12">
        <v>21.77</v>
      </c>
      <c r="W116" s="12">
        <v>1.19</v>
      </c>
      <c r="X116" s="12">
        <v>-3.97</v>
      </c>
      <c r="Y116" s="12">
        <v>-9.26</v>
      </c>
      <c r="Z116" s="12">
        <v>2.27</v>
      </c>
      <c r="AA116" s="12">
        <f t="shared" si="2"/>
        <v>0</v>
      </c>
      <c r="AB116" s="12">
        <v>1.78</v>
      </c>
      <c r="AC116" s="12">
        <v>1.03</v>
      </c>
      <c r="AD116" s="12">
        <v>9.09</v>
      </c>
      <c r="AE116" s="12">
        <v>1.82</v>
      </c>
      <c r="AF116" s="12">
        <v>1.29</v>
      </c>
      <c r="AG116" s="12">
        <v>8.79</v>
      </c>
      <c r="AH116" s="12">
        <v>1.61</v>
      </c>
      <c r="AI116" s="12" t="s">
        <v>47</v>
      </c>
      <c r="AJ116" s="12" t="s">
        <v>46</v>
      </c>
      <c r="AK116" s="12">
        <v>6.47</v>
      </c>
      <c r="AL116" s="12">
        <v>56.44</v>
      </c>
      <c r="AM116" s="12">
        <v>4.15</v>
      </c>
      <c r="AN116" s="12">
        <v>87.94</v>
      </c>
      <c r="AO116" s="12">
        <v>-31.5</v>
      </c>
      <c r="AP116" s="13">
        <f t="shared" si="3"/>
        <v>-2.47251</v>
      </c>
      <c r="AQ116" s="15">
        <v>0.07780794196299345</v>
      </c>
      <c r="AR116" s="13">
        <f t="shared" si="4"/>
        <v>0</v>
      </c>
      <c r="AS116" s="13">
        <f t="shared" si="81"/>
        <v>1</v>
      </c>
      <c r="AT116" s="13">
        <f t="shared" si="82"/>
        <v>1</v>
      </c>
      <c r="AU116" s="13">
        <f t="shared" si="83"/>
        <v>0</v>
      </c>
      <c r="AV116" s="13">
        <f t="shared" si="84"/>
        <v>0</v>
      </c>
      <c r="AW116" s="13">
        <f t="shared" si="76"/>
        <v>0</v>
      </c>
      <c r="AX116" s="13"/>
      <c r="AY116" s="13"/>
      <c r="AZ116" s="13"/>
    </row>
    <row r="117">
      <c r="A117" s="8" t="s">
        <v>159</v>
      </c>
      <c r="B117" s="9">
        <v>1112613.83</v>
      </c>
      <c r="C117" s="9">
        <v>280725.64</v>
      </c>
      <c r="D117" s="9">
        <v>166980.56</v>
      </c>
      <c r="E117" s="9">
        <v>831888.19</v>
      </c>
      <c r="F117" s="9">
        <v>1241337.42</v>
      </c>
      <c r="G117" s="9">
        <v>1120534.67</v>
      </c>
      <c r="H117" s="9">
        <v>154154.15</v>
      </c>
      <c r="I117" s="9">
        <v>120802.75</v>
      </c>
      <c r="J117" s="9">
        <v>105274.28</v>
      </c>
      <c r="K117" s="9" t="e">
        <v>#N/A</v>
      </c>
      <c r="L117" s="9" t="e">
        <v>#N/A</v>
      </c>
      <c r="M117" s="9" t="e">
        <v>#N/A</v>
      </c>
      <c r="N117" s="11" t="str">
        <f t="shared" si="1"/>
        <v>#N/A</v>
      </c>
      <c r="O117" s="12">
        <v>0.16</v>
      </c>
      <c r="P117" s="9">
        <v>31795.54</v>
      </c>
      <c r="Q117" s="9">
        <v>-21999.67</v>
      </c>
      <c r="R117" s="9">
        <v>47301.27</v>
      </c>
      <c r="S117" s="9">
        <v>57097.14</v>
      </c>
      <c r="T117" s="12">
        <v>12.65</v>
      </c>
      <c r="U117" s="12">
        <v>10.86</v>
      </c>
      <c r="V117" s="12">
        <v>15.62</v>
      </c>
      <c r="W117" s="12">
        <v>8.48</v>
      </c>
      <c r="X117" s="12" t="e">
        <v>#N/A</v>
      </c>
      <c r="Y117" s="12" t="e">
        <v>#N/A</v>
      </c>
      <c r="Z117" s="12" t="e">
        <v>#N/A</v>
      </c>
      <c r="AA117" s="12" t="str">
        <f t="shared" si="2"/>
        <v>#N/A</v>
      </c>
      <c r="AB117" s="12">
        <v>9.73</v>
      </c>
      <c r="AC117" s="12">
        <v>0.34</v>
      </c>
      <c r="AD117" s="9">
        <v>1971.97</v>
      </c>
      <c r="AE117" s="12">
        <v>2.84</v>
      </c>
      <c r="AF117" s="12">
        <v>1.01</v>
      </c>
      <c r="AG117" s="12">
        <v>2.82</v>
      </c>
      <c r="AH117" s="12">
        <v>1.12</v>
      </c>
      <c r="AI117" s="12">
        <v>2.43</v>
      </c>
      <c r="AJ117" s="12">
        <v>150.49</v>
      </c>
      <c r="AK117" s="12">
        <v>7.8</v>
      </c>
      <c r="AL117" s="12">
        <v>46.8</v>
      </c>
      <c r="AM117" s="12">
        <v>4.82</v>
      </c>
      <c r="AN117" s="12">
        <v>75.78</v>
      </c>
      <c r="AO117" s="12">
        <v>121.51</v>
      </c>
      <c r="AP117" s="13">
        <f t="shared" si="3"/>
        <v>-4.95004</v>
      </c>
      <c r="AQ117" s="15">
        <v>0.007033307795871519</v>
      </c>
      <c r="AR117" s="13">
        <f t="shared" si="4"/>
        <v>0</v>
      </c>
      <c r="AS117" s="13"/>
      <c r="AT117" s="13"/>
      <c r="AU117" s="13"/>
      <c r="AV117" s="13"/>
      <c r="AW117" s="13" t="str">
        <f t="shared" si="76"/>
        <v/>
      </c>
      <c r="AX117" s="13"/>
      <c r="AY117" s="13"/>
      <c r="AZ117" s="13"/>
    </row>
    <row r="118">
      <c r="A118" s="8" t="s">
        <v>160</v>
      </c>
      <c r="B118" s="9">
        <v>3131441.25</v>
      </c>
      <c r="C118" s="9">
        <v>1884732.77</v>
      </c>
      <c r="D118" s="9">
        <v>306883.24</v>
      </c>
      <c r="E118" s="9">
        <v>1246708.47</v>
      </c>
      <c r="F118" s="9">
        <v>3360786.05</v>
      </c>
      <c r="G118" s="9">
        <v>3200489.97</v>
      </c>
      <c r="H118" s="9">
        <v>410906.0</v>
      </c>
      <c r="I118" s="9">
        <v>160296.08</v>
      </c>
      <c r="J118" s="9">
        <v>83532.56</v>
      </c>
      <c r="K118" s="9">
        <v>169467.24</v>
      </c>
      <c r="L118" s="9">
        <v>115047.14</v>
      </c>
      <c r="M118" s="9">
        <v>63328.78</v>
      </c>
      <c r="N118" s="11">
        <f t="shared" si="1"/>
        <v>0</v>
      </c>
      <c r="O118" s="12">
        <v>0.14</v>
      </c>
      <c r="P118" s="9">
        <v>426222.42</v>
      </c>
      <c r="Q118" s="9">
        <v>-180346.56</v>
      </c>
      <c r="R118" s="9">
        <v>-263019.11</v>
      </c>
      <c r="S118" s="9">
        <v>-17143.25</v>
      </c>
      <c r="T118" s="12">
        <v>6.86</v>
      </c>
      <c r="U118" s="12">
        <v>5.2</v>
      </c>
      <c r="V118" s="12">
        <v>16.22</v>
      </c>
      <c r="W118" s="12">
        <v>2.49</v>
      </c>
      <c r="X118" s="12">
        <v>5.49</v>
      </c>
      <c r="Y118" s="12">
        <v>4.08</v>
      </c>
      <c r="Z118" s="12">
        <v>2.01</v>
      </c>
      <c r="AA118" s="12">
        <f t="shared" si="2"/>
        <v>0</v>
      </c>
      <c r="AB118" s="12">
        <v>4.77</v>
      </c>
      <c r="AC118" s="12">
        <v>1.51</v>
      </c>
      <c r="AD118" s="12">
        <v>3.19</v>
      </c>
      <c r="AE118" s="12">
        <v>0.81</v>
      </c>
      <c r="AF118" s="12">
        <v>0.54</v>
      </c>
      <c r="AG118" s="12">
        <v>1.91</v>
      </c>
      <c r="AH118" s="12">
        <v>1.09</v>
      </c>
      <c r="AI118" s="12">
        <v>8.59</v>
      </c>
      <c r="AJ118" s="12">
        <v>42.51</v>
      </c>
      <c r="AK118" s="12">
        <v>4.81</v>
      </c>
      <c r="AL118" s="12">
        <v>75.89</v>
      </c>
      <c r="AM118" s="12">
        <v>5.68</v>
      </c>
      <c r="AN118" s="12">
        <v>64.32</v>
      </c>
      <c r="AO118" s="12">
        <v>54.08</v>
      </c>
      <c r="AP118" s="13">
        <f t="shared" si="3"/>
        <v>-1.83907</v>
      </c>
      <c r="AQ118" s="15">
        <v>0.1371613191654319</v>
      </c>
      <c r="AR118" s="13">
        <f t="shared" si="4"/>
        <v>0</v>
      </c>
      <c r="AS118" s="13">
        <f t="shared" ref="AS118:AS121" si="85">IF(AR118=N118,1,0)</f>
        <v>1</v>
      </c>
      <c r="AT118" s="13">
        <f t="shared" ref="AT118:AT121" si="86">IF(AND(AR118=0,AS118=1),1,0)</f>
        <v>1</v>
      </c>
      <c r="AU118" s="13">
        <f t="shared" ref="AU118:AU121" si="87">IF(AND(AR118=0,AS118=0),1,0)</f>
        <v>0</v>
      </c>
      <c r="AV118" s="13">
        <f t="shared" ref="AV118:AV121" si="88">IFERROR(IFS(AND(AR118=1,AS118=0),1,AS118="",""),0)</f>
        <v>0</v>
      </c>
      <c r="AW118" s="13">
        <f t="shared" si="76"/>
        <v>0</v>
      </c>
      <c r="AX118" s="13"/>
      <c r="AY118" s="13"/>
      <c r="AZ118" s="13"/>
    </row>
    <row r="119">
      <c r="A119" s="8" t="s">
        <v>161</v>
      </c>
      <c r="B119" s="9">
        <v>944914.23</v>
      </c>
      <c r="C119" s="9">
        <v>329598.22</v>
      </c>
      <c r="D119" s="9">
        <v>393166.66</v>
      </c>
      <c r="E119" s="9">
        <v>615316.01</v>
      </c>
      <c r="F119" s="9">
        <v>617489.45</v>
      </c>
      <c r="G119" s="9">
        <v>638848.76</v>
      </c>
      <c r="H119" s="9">
        <v>16463.62</v>
      </c>
      <c r="I119" s="9">
        <v>-21546.57</v>
      </c>
      <c r="J119" s="9">
        <v>-27243.76</v>
      </c>
      <c r="K119" s="9">
        <v>6704.42</v>
      </c>
      <c r="L119" s="9">
        <v>2440.66</v>
      </c>
      <c r="M119" s="9">
        <v>-996.59</v>
      </c>
      <c r="N119" s="11">
        <f t="shared" si="1"/>
        <v>0</v>
      </c>
      <c r="O119" s="12">
        <v>-0.07</v>
      </c>
      <c r="P119" s="9">
        <v>-152990.06</v>
      </c>
      <c r="Q119" s="9">
        <v>-83754.84</v>
      </c>
      <c r="R119" s="9">
        <v>93027.67</v>
      </c>
      <c r="S119" s="9">
        <v>-143717.23</v>
      </c>
      <c r="T119" s="12">
        <v>-4.45</v>
      </c>
      <c r="U119" s="12">
        <v>-2.42</v>
      </c>
      <c r="V119" s="12">
        <v>23.24</v>
      </c>
      <c r="W119" s="12">
        <v>-4.41</v>
      </c>
      <c r="X119" s="12">
        <v>1.54</v>
      </c>
      <c r="Y119" s="12">
        <v>0.4</v>
      </c>
      <c r="Z119" s="12">
        <v>-0.12</v>
      </c>
      <c r="AA119" s="12">
        <f t="shared" si="2"/>
        <v>0</v>
      </c>
      <c r="AB119" s="12">
        <v>-3.49</v>
      </c>
      <c r="AC119" s="12">
        <v>0.54</v>
      </c>
      <c r="AD119" s="12">
        <v>-2.87</v>
      </c>
      <c r="AE119" s="12">
        <v>2.64</v>
      </c>
      <c r="AF119" s="12">
        <v>1.75</v>
      </c>
      <c r="AG119" s="12">
        <v>2.87</v>
      </c>
      <c r="AH119" s="12">
        <v>0.69</v>
      </c>
      <c r="AI119" s="12">
        <v>9.44</v>
      </c>
      <c r="AJ119" s="12">
        <v>38.65</v>
      </c>
      <c r="AK119" s="12">
        <v>2.3</v>
      </c>
      <c r="AL119" s="12">
        <v>158.56</v>
      </c>
      <c r="AM119" s="12">
        <v>5.32</v>
      </c>
      <c r="AN119" s="12">
        <v>68.62</v>
      </c>
      <c r="AO119" s="12">
        <v>128.59</v>
      </c>
      <c r="AP119" s="13">
        <f t="shared" si="3"/>
        <v>-2.52808</v>
      </c>
      <c r="AQ119" s="15">
        <v>0.07391296282057491</v>
      </c>
      <c r="AR119" s="13">
        <f t="shared" si="4"/>
        <v>0</v>
      </c>
      <c r="AS119" s="13">
        <f t="shared" si="85"/>
        <v>1</v>
      </c>
      <c r="AT119" s="13">
        <f t="shared" si="86"/>
        <v>1</v>
      </c>
      <c r="AU119" s="13">
        <f t="shared" si="87"/>
        <v>0</v>
      </c>
      <c r="AV119" s="13">
        <f t="shared" si="88"/>
        <v>0</v>
      </c>
      <c r="AW119" s="13">
        <f t="shared" si="76"/>
        <v>0</v>
      </c>
      <c r="AX119" s="13"/>
      <c r="AY119" s="13"/>
      <c r="AZ119" s="13"/>
    </row>
    <row r="120">
      <c r="A120" s="8" t="s">
        <v>162</v>
      </c>
      <c r="B120" s="9">
        <v>1989476.24</v>
      </c>
      <c r="C120" s="9">
        <v>1051010.36</v>
      </c>
      <c r="D120" s="9">
        <v>211000.05</v>
      </c>
      <c r="E120" s="9">
        <v>938880.8</v>
      </c>
      <c r="F120" s="9">
        <v>1977232.49</v>
      </c>
      <c r="G120" s="9">
        <v>1912476.49</v>
      </c>
      <c r="H120" s="9">
        <v>96090.59</v>
      </c>
      <c r="I120" s="9">
        <v>37398.92</v>
      </c>
      <c r="J120" s="9">
        <v>7440.91</v>
      </c>
      <c r="K120" s="9">
        <v>86836.83</v>
      </c>
      <c r="L120" s="9">
        <v>-8371.8</v>
      </c>
      <c r="M120" s="9">
        <v>9911.42</v>
      </c>
      <c r="N120" s="11">
        <f t="shared" si="1"/>
        <v>0</v>
      </c>
      <c r="O120" s="12">
        <v>0.02</v>
      </c>
      <c r="P120" s="9">
        <v>-32174.7</v>
      </c>
      <c r="Q120" s="9">
        <v>-64868.11</v>
      </c>
      <c r="R120" s="9">
        <v>99376.15</v>
      </c>
      <c r="S120" s="9">
        <v>2333.34</v>
      </c>
      <c r="T120" s="12">
        <v>0.79</v>
      </c>
      <c r="U120" s="12">
        <v>1.94</v>
      </c>
      <c r="V120" s="12">
        <v>9.5</v>
      </c>
      <c r="W120" s="12">
        <v>0.37</v>
      </c>
      <c r="X120" s="12">
        <v>5.59</v>
      </c>
      <c r="Y120" s="12">
        <v>-1.63</v>
      </c>
      <c r="Z120" s="12">
        <v>0.26</v>
      </c>
      <c r="AA120" s="12">
        <f t="shared" si="2"/>
        <v>0</v>
      </c>
      <c r="AB120" s="12">
        <v>1.89</v>
      </c>
      <c r="AC120" s="12">
        <v>1.12</v>
      </c>
      <c r="AD120" s="12">
        <v>1.42</v>
      </c>
      <c r="AE120" s="12">
        <v>1.26</v>
      </c>
      <c r="AF120" s="12">
        <v>0.49</v>
      </c>
      <c r="AG120" s="12">
        <v>4.29</v>
      </c>
      <c r="AH120" s="12">
        <v>1.03</v>
      </c>
      <c r="AI120" s="12">
        <v>2.96</v>
      </c>
      <c r="AJ120" s="12">
        <v>123.44</v>
      </c>
      <c r="AK120" s="12">
        <v>4.59</v>
      </c>
      <c r="AL120" s="12">
        <v>79.55</v>
      </c>
      <c r="AM120" s="12">
        <v>32.51</v>
      </c>
      <c r="AN120" s="12">
        <v>11.23</v>
      </c>
      <c r="AO120" s="12">
        <v>191.77</v>
      </c>
      <c r="AP120" s="13">
        <f t="shared" si="3"/>
        <v>-1.86089</v>
      </c>
      <c r="AQ120" s="15">
        <v>0.13459934892983247</v>
      </c>
      <c r="AR120" s="13">
        <f t="shared" si="4"/>
        <v>0</v>
      </c>
      <c r="AS120" s="13">
        <f t="shared" si="85"/>
        <v>1</v>
      </c>
      <c r="AT120" s="13">
        <f t="shared" si="86"/>
        <v>1</v>
      </c>
      <c r="AU120" s="13">
        <f t="shared" si="87"/>
        <v>0</v>
      </c>
      <c r="AV120" s="13">
        <f t="shared" si="88"/>
        <v>0</v>
      </c>
      <c r="AW120" s="13">
        <f t="shared" si="76"/>
        <v>0</v>
      </c>
      <c r="AX120" s="13"/>
      <c r="AY120" s="13"/>
      <c r="AZ120" s="13"/>
    </row>
    <row r="121">
      <c r="A121" s="8" t="s">
        <v>163</v>
      </c>
      <c r="B121" s="9">
        <v>676847.93</v>
      </c>
      <c r="C121" s="9">
        <v>345946.11</v>
      </c>
      <c r="D121" s="9">
        <v>214963.79</v>
      </c>
      <c r="E121" s="9">
        <v>333694.12</v>
      </c>
      <c r="F121" s="9">
        <v>438838.9</v>
      </c>
      <c r="G121" s="9">
        <v>391987.62</v>
      </c>
      <c r="H121" s="9">
        <v>61921.11</v>
      </c>
      <c r="I121" s="9">
        <v>47209.87</v>
      </c>
      <c r="J121" s="9">
        <v>22769.33</v>
      </c>
      <c r="K121" s="9">
        <v>20870.19</v>
      </c>
      <c r="L121" s="9">
        <v>-26129.02</v>
      </c>
      <c r="M121" s="9">
        <v>7435.35</v>
      </c>
      <c r="N121" s="11">
        <f t="shared" si="1"/>
        <v>0</v>
      </c>
      <c r="O121" s="12">
        <v>0.03</v>
      </c>
      <c r="P121" s="9">
        <v>106600.2</v>
      </c>
      <c r="Q121" s="9">
        <v>-13003.1</v>
      </c>
      <c r="R121" s="9">
        <v>-8755.09</v>
      </c>
      <c r="S121" s="9">
        <v>84842.01</v>
      </c>
      <c r="T121" s="12">
        <v>7.11</v>
      </c>
      <c r="U121" s="12">
        <v>7.13</v>
      </c>
      <c r="V121" s="12">
        <v>26.18</v>
      </c>
      <c r="W121" s="12">
        <v>4.95</v>
      </c>
      <c r="X121" s="12">
        <v>5.05</v>
      </c>
      <c r="Y121" s="12">
        <v>-7.06</v>
      </c>
      <c r="Z121" s="12">
        <v>0.78</v>
      </c>
      <c r="AA121" s="12">
        <f t="shared" si="2"/>
        <v>0</v>
      </c>
      <c r="AB121" s="12">
        <v>10.76</v>
      </c>
      <c r="AC121" s="12">
        <v>1.05</v>
      </c>
      <c r="AD121" s="12">
        <v>2.45</v>
      </c>
      <c r="AE121" s="12">
        <v>3.22</v>
      </c>
      <c r="AF121" s="12">
        <v>1.95</v>
      </c>
      <c r="AG121" s="12">
        <v>12.43</v>
      </c>
      <c r="AH121" s="12">
        <v>0.66</v>
      </c>
      <c r="AI121" s="12" t="s">
        <v>47</v>
      </c>
      <c r="AJ121" s="12" t="s">
        <v>46</v>
      </c>
      <c r="AK121" s="12">
        <v>4.12</v>
      </c>
      <c r="AL121" s="12">
        <v>88.62</v>
      </c>
      <c r="AM121" s="12">
        <v>6.92</v>
      </c>
      <c r="AN121" s="12">
        <v>52.73</v>
      </c>
      <c r="AO121" s="12">
        <v>35.89</v>
      </c>
      <c r="AP121" s="13">
        <f t="shared" si="3"/>
        <v>-4.09222</v>
      </c>
      <c r="AQ121" s="15">
        <v>0.01642773576811508</v>
      </c>
      <c r="AR121" s="13">
        <f t="shared" si="4"/>
        <v>0</v>
      </c>
      <c r="AS121" s="13">
        <f t="shared" si="85"/>
        <v>1</v>
      </c>
      <c r="AT121" s="13">
        <f t="shared" si="86"/>
        <v>1</v>
      </c>
      <c r="AU121" s="13">
        <f t="shared" si="87"/>
        <v>0</v>
      </c>
      <c r="AV121" s="13">
        <f t="shared" si="88"/>
        <v>0</v>
      </c>
      <c r="AW121" s="13">
        <f t="shared" si="76"/>
        <v>0</v>
      </c>
      <c r="AX121" s="13"/>
      <c r="AY121" s="13"/>
      <c r="AZ121" s="13"/>
    </row>
    <row r="122">
      <c r="A122" s="8" t="s">
        <v>164</v>
      </c>
      <c r="B122" s="9">
        <v>1192420.2</v>
      </c>
      <c r="C122" s="9">
        <v>695770.85</v>
      </c>
      <c r="D122" s="9">
        <v>186999.85</v>
      </c>
      <c r="E122" s="9">
        <v>474963.51</v>
      </c>
      <c r="F122" s="9">
        <v>958696.32</v>
      </c>
      <c r="G122" s="9">
        <v>903039.33</v>
      </c>
      <c r="H122" s="9">
        <v>148234.15</v>
      </c>
      <c r="I122" s="9">
        <v>55407.12</v>
      </c>
      <c r="J122" s="9">
        <v>24243.78</v>
      </c>
      <c r="K122" s="9">
        <v>-12794.07</v>
      </c>
      <c r="L122" s="9">
        <v>5855.16</v>
      </c>
      <c r="M122" s="9" t="e">
        <v>#N/A</v>
      </c>
      <c r="N122" s="11" t="str">
        <f t="shared" si="1"/>
        <v>#N/A</v>
      </c>
      <c r="O122" s="12">
        <v>0.06</v>
      </c>
      <c r="P122" s="9">
        <v>88368.96</v>
      </c>
      <c r="Q122" s="9">
        <v>-120858.68</v>
      </c>
      <c r="R122" s="9">
        <v>-1266.58</v>
      </c>
      <c r="S122" s="9">
        <v>-33756.29</v>
      </c>
      <c r="T122" s="12">
        <v>5.23</v>
      </c>
      <c r="U122" s="12">
        <v>4.8</v>
      </c>
      <c r="V122" s="12">
        <v>39.57</v>
      </c>
      <c r="W122" s="12">
        <v>2.92</v>
      </c>
      <c r="X122" s="12">
        <v>-0.83</v>
      </c>
      <c r="Y122" s="12">
        <v>1.67</v>
      </c>
      <c r="Z122" s="12" t="e">
        <v>#N/A</v>
      </c>
      <c r="AA122" s="12" t="str">
        <f t="shared" si="2"/>
        <v>#N/A</v>
      </c>
      <c r="AB122" s="12">
        <v>5.78</v>
      </c>
      <c r="AC122" s="12">
        <v>1.4</v>
      </c>
      <c r="AD122" s="12">
        <v>2.96</v>
      </c>
      <c r="AE122" s="12">
        <v>1.07</v>
      </c>
      <c r="AF122" s="12">
        <v>0.58</v>
      </c>
      <c r="AG122" s="12">
        <v>2.1</v>
      </c>
      <c r="AH122" s="12">
        <v>0.83</v>
      </c>
      <c r="AI122" s="12">
        <v>2.56</v>
      </c>
      <c r="AJ122" s="12">
        <v>142.85</v>
      </c>
      <c r="AK122" s="12">
        <v>5.4</v>
      </c>
      <c r="AL122" s="12">
        <v>67.57</v>
      </c>
      <c r="AM122" s="12">
        <v>4.36</v>
      </c>
      <c r="AN122" s="12">
        <v>83.77</v>
      </c>
      <c r="AO122" s="12">
        <v>126.65</v>
      </c>
      <c r="AP122" s="13">
        <f t="shared" si="3"/>
        <v>-1.80527</v>
      </c>
      <c r="AQ122" s="15">
        <v>0.14121076129686155</v>
      </c>
      <c r="AR122" s="13">
        <f t="shared" si="4"/>
        <v>0</v>
      </c>
      <c r="AS122" s="13"/>
      <c r="AT122" s="13"/>
      <c r="AU122" s="13"/>
      <c r="AV122" s="13"/>
      <c r="AW122" s="13"/>
      <c r="AX122" s="13"/>
      <c r="AY122" s="13"/>
      <c r="AZ122" s="13"/>
    </row>
    <row r="123">
      <c r="A123" s="8" t="s">
        <v>165</v>
      </c>
      <c r="B123" s="9">
        <v>1635843.58</v>
      </c>
      <c r="C123" s="9">
        <v>152509.32</v>
      </c>
      <c r="D123" s="9">
        <v>160000.0</v>
      </c>
      <c r="E123" s="9">
        <v>1483334.26</v>
      </c>
      <c r="F123" s="9">
        <v>914905.05</v>
      </c>
      <c r="G123" s="9">
        <v>607219.57</v>
      </c>
      <c r="H123" s="9">
        <v>313454.56</v>
      </c>
      <c r="I123" s="9">
        <v>307685.49</v>
      </c>
      <c r="J123" s="9">
        <v>240117.42</v>
      </c>
      <c r="K123" s="9" t="e">
        <v>#N/A</v>
      </c>
      <c r="L123" s="9" t="e">
        <v>#N/A</v>
      </c>
      <c r="M123" s="9" t="e">
        <v>#N/A</v>
      </c>
      <c r="N123" s="11" t="str">
        <f t="shared" si="1"/>
        <v>#N/A</v>
      </c>
      <c r="O123" s="12">
        <v>1.45</v>
      </c>
      <c r="P123" s="9">
        <v>127430.93</v>
      </c>
      <c r="Q123" s="9">
        <v>-8603.26</v>
      </c>
      <c r="R123" s="9">
        <v>1052048.43</v>
      </c>
      <c r="S123" s="9">
        <v>1170876.1</v>
      </c>
      <c r="T123" s="12">
        <v>28.72</v>
      </c>
      <c r="U123" s="12">
        <v>32.37</v>
      </c>
      <c r="V123" s="12">
        <v>43.1</v>
      </c>
      <c r="W123" s="12">
        <v>26.25</v>
      </c>
      <c r="X123" s="12" t="e">
        <v>#N/A</v>
      </c>
      <c r="Y123" s="12" t="e">
        <v>#N/A</v>
      </c>
      <c r="Z123" s="12" t="e">
        <v>#N/A</v>
      </c>
      <c r="AA123" s="12" t="str">
        <f t="shared" si="2"/>
        <v>#N/A</v>
      </c>
      <c r="AB123" s="12">
        <v>33.63</v>
      </c>
      <c r="AC123" s="12">
        <v>0.1</v>
      </c>
      <c r="AD123" s="12">
        <v>735.09</v>
      </c>
      <c r="AE123" s="12">
        <v>10.99</v>
      </c>
      <c r="AF123" s="12">
        <v>10.74</v>
      </c>
      <c r="AG123" s="12">
        <v>65.69</v>
      </c>
      <c r="AH123" s="12">
        <v>0.96</v>
      </c>
      <c r="AI123" s="12">
        <v>31.13</v>
      </c>
      <c r="AJ123" s="12">
        <v>11.73</v>
      </c>
      <c r="AK123" s="12">
        <v>4.23</v>
      </c>
      <c r="AL123" s="12">
        <v>86.26</v>
      </c>
      <c r="AM123" s="12">
        <v>8.5</v>
      </c>
      <c r="AN123" s="12">
        <v>42.94</v>
      </c>
      <c r="AO123" s="12">
        <v>55.04</v>
      </c>
      <c r="AP123" s="13">
        <f t="shared" si="3"/>
        <v>-18.29718</v>
      </c>
      <c r="AQ123" s="15">
        <v>1.1314508334854881E-8</v>
      </c>
      <c r="AR123" s="13">
        <f t="shared" si="4"/>
        <v>0</v>
      </c>
      <c r="AS123" s="13"/>
      <c r="AT123" s="13"/>
      <c r="AU123" s="13"/>
      <c r="AV123" s="13"/>
      <c r="AW123" s="13"/>
      <c r="AX123" s="13"/>
      <c r="AY123" s="13"/>
      <c r="AZ123" s="13"/>
    </row>
    <row r="124">
      <c r="A124" s="8" t="s">
        <v>166</v>
      </c>
      <c r="B124" s="9">
        <v>1590379.38</v>
      </c>
      <c r="C124" s="9">
        <v>1118491.36</v>
      </c>
      <c r="D124" s="9">
        <v>158000.0</v>
      </c>
      <c r="E124" s="9">
        <v>471167.06</v>
      </c>
      <c r="F124" s="9">
        <v>1548360.78</v>
      </c>
      <c r="G124" s="9">
        <v>1450118.86</v>
      </c>
      <c r="H124" s="9">
        <v>137007.06</v>
      </c>
      <c r="I124" s="9">
        <v>98241.92</v>
      </c>
      <c r="J124" s="9">
        <v>65236.76</v>
      </c>
      <c r="K124" s="9">
        <v>29158.01</v>
      </c>
      <c r="L124" s="9" t="e">
        <v>#N/A</v>
      </c>
      <c r="M124" s="9" t="e">
        <v>#N/A</v>
      </c>
      <c r="N124" s="11" t="str">
        <f t="shared" si="1"/>
        <v>#N/A</v>
      </c>
      <c r="O124" s="12">
        <v>0.21</v>
      </c>
      <c r="P124" s="9">
        <v>-14853.03</v>
      </c>
      <c r="Q124" s="9">
        <v>85869.07</v>
      </c>
      <c r="R124" s="9">
        <v>356365.91</v>
      </c>
      <c r="S124" s="9">
        <v>427381.95</v>
      </c>
      <c r="T124" s="12">
        <v>14.64</v>
      </c>
      <c r="U124" s="12">
        <v>7.36</v>
      </c>
      <c r="V124" s="12">
        <v>13.41</v>
      </c>
      <c r="W124" s="12">
        <v>4.2</v>
      </c>
      <c r="X124" s="12">
        <v>2.75</v>
      </c>
      <c r="Y124" s="12" t="e">
        <v>#N/A</v>
      </c>
      <c r="Z124" s="12" t="e">
        <v>#N/A</v>
      </c>
      <c r="AA124" s="12" t="str">
        <f t="shared" si="2"/>
        <v>#N/A</v>
      </c>
      <c r="AB124" s="12">
        <v>6.34</v>
      </c>
      <c r="AC124" s="12">
        <v>2.37</v>
      </c>
      <c r="AD124" s="12">
        <v>3.27</v>
      </c>
      <c r="AE124" s="12">
        <v>2.32</v>
      </c>
      <c r="AF124" s="12">
        <v>2.27</v>
      </c>
      <c r="AG124" s="12">
        <v>9.2</v>
      </c>
      <c r="AH124" s="12">
        <v>1.16</v>
      </c>
      <c r="AI124" s="12">
        <v>23.37</v>
      </c>
      <c r="AJ124" s="12">
        <v>15.62</v>
      </c>
      <c r="AK124" s="12">
        <v>2.73</v>
      </c>
      <c r="AL124" s="12">
        <v>133.81</v>
      </c>
      <c r="AM124" s="12">
        <v>2.78</v>
      </c>
      <c r="AN124" s="12">
        <v>131.41</v>
      </c>
      <c r="AO124" s="12">
        <v>18.02</v>
      </c>
      <c r="AP124" s="13">
        <f t="shared" si="3"/>
        <v>-2.2546</v>
      </c>
      <c r="AQ124" s="15">
        <v>0.09495341625499973</v>
      </c>
      <c r="AR124" s="13">
        <f t="shared" si="4"/>
        <v>0</v>
      </c>
      <c r="AS124" s="13"/>
      <c r="AT124" s="13"/>
      <c r="AU124" s="13"/>
      <c r="AV124" s="13"/>
      <c r="AW124" s="13"/>
      <c r="AX124" s="13"/>
      <c r="AY124" s="13"/>
      <c r="AZ124" s="13"/>
    </row>
    <row r="125">
      <c r="A125" s="8" t="s">
        <v>167</v>
      </c>
      <c r="B125" s="9">
        <v>1128985.75</v>
      </c>
      <c r="C125" s="9">
        <v>740256.19</v>
      </c>
      <c r="D125" s="9">
        <v>270000.0</v>
      </c>
      <c r="E125" s="9">
        <v>376582.41</v>
      </c>
      <c r="F125" s="9">
        <v>1358562.05</v>
      </c>
      <c r="G125" s="9">
        <v>1522267.67</v>
      </c>
      <c r="H125" s="9">
        <v>-155441.02</v>
      </c>
      <c r="I125" s="9">
        <v>-163705.62</v>
      </c>
      <c r="J125" s="9">
        <v>-135919.1</v>
      </c>
      <c r="K125" s="9">
        <v>36675.31</v>
      </c>
      <c r="L125" s="9" t="e">
        <v>#N/A</v>
      </c>
      <c r="M125" s="9" t="e">
        <v>#N/A</v>
      </c>
      <c r="N125" s="11" t="str">
        <f t="shared" si="1"/>
        <v>#N/A</v>
      </c>
      <c r="O125" s="12">
        <v>-0.25</v>
      </c>
      <c r="P125" s="9">
        <v>-201985.19</v>
      </c>
      <c r="Q125" s="9">
        <v>-2672.65</v>
      </c>
      <c r="R125" s="9">
        <v>85660.11</v>
      </c>
      <c r="S125" s="9">
        <v>-118997.73</v>
      </c>
      <c r="T125" s="12">
        <v>-30.07</v>
      </c>
      <c r="U125" s="12">
        <v>-15.47</v>
      </c>
      <c r="V125" s="12">
        <v>-6.73</v>
      </c>
      <c r="W125" s="12">
        <v>-9.75</v>
      </c>
      <c r="X125" s="12">
        <v>3.58</v>
      </c>
      <c r="Y125" s="12" t="e">
        <v>#N/A</v>
      </c>
      <c r="Z125" s="12" t="e">
        <v>#N/A</v>
      </c>
      <c r="AA125" s="12" t="str">
        <f t="shared" si="2"/>
        <v>#N/A</v>
      </c>
      <c r="AB125" s="12">
        <v>-12.05</v>
      </c>
      <c r="AC125" s="12">
        <v>1.9</v>
      </c>
      <c r="AD125" s="12">
        <v>-230.41</v>
      </c>
      <c r="AE125" s="12">
        <v>1.25</v>
      </c>
      <c r="AF125" s="12">
        <v>0.31</v>
      </c>
      <c r="AG125" s="12">
        <v>12.81</v>
      </c>
      <c r="AH125" s="12">
        <v>1.28</v>
      </c>
      <c r="AI125" s="12">
        <v>24.64</v>
      </c>
      <c r="AJ125" s="12">
        <v>14.82</v>
      </c>
      <c r="AK125" s="12">
        <v>5.62</v>
      </c>
      <c r="AL125" s="12">
        <v>64.94</v>
      </c>
      <c r="AM125" s="12">
        <v>4.15</v>
      </c>
      <c r="AN125" s="12">
        <v>88.05</v>
      </c>
      <c r="AO125" s="12">
        <v>-8.29</v>
      </c>
      <c r="AP125" s="13">
        <f t="shared" si="3"/>
        <v>3.71753</v>
      </c>
      <c r="AQ125" s="15">
        <v>0.9762822957961155</v>
      </c>
      <c r="AR125" s="13">
        <f t="shared" si="4"/>
        <v>1</v>
      </c>
      <c r="AS125" s="13"/>
      <c r="AT125" s="13"/>
      <c r="AU125" s="13"/>
      <c r="AV125" s="13"/>
      <c r="AW125" s="13"/>
      <c r="AX125" s="13"/>
      <c r="AY125" s="13"/>
      <c r="AZ125" s="13"/>
    </row>
    <row r="126">
      <c r="A126" s="8" t="s">
        <v>168</v>
      </c>
      <c r="B126" s="9">
        <v>3270059.85</v>
      </c>
      <c r="C126" s="9">
        <v>2445625.24</v>
      </c>
      <c r="D126" s="9">
        <v>641469.42</v>
      </c>
      <c r="E126" s="9">
        <v>824434.62</v>
      </c>
      <c r="F126" s="9">
        <v>2110290.52</v>
      </c>
      <c r="G126" s="9">
        <v>1737275.14</v>
      </c>
      <c r="H126" s="9">
        <v>390687.6</v>
      </c>
      <c r="I126" s="9">
        <v>373015.37</v>
      </c>
      <c r="J126" s="9">
        <v>228520.67</v>
      </c>
      <c r="K126" s="9">
        <v>-97237.21</v>
      </c>
      <c r="L126" s="9">
        <v>-44817.68</v>
      </c>
      <c r="M126" s="9">
        <v>-40086.51</v>
      </c>
      <c r="N126" s="11">
        <f t="shared" si="1"/>
        <v>0</v>
      </c>
      <c r="O126" s="12">
        <v>0.36</v>
      </c>
      <c r="P126" s="9">
        <v>815592.78</v>
      </c>
      <c r="Q126" s="9">
        <v>-38479.19</v>
      </c>
      <c r="R126" s="9">
        <v>-866521.44</v>
      </c>
      <c r="S126" s="9">
        <v>-89407.86</v>
      </c>
      <c r="T126" s="12">
        <v>32.18</v>
      </c>
      <c r="U126" s="12">
        <v>10.28</v>
      </c>
      <c r="V126" s="12">
        <v>36.42</v>
      </c>
      <c r="W126" s="12">
        <v>10.83</v>
      </c>
      <c r="X126" s="12">
        <v>-2687.7</v>
      </c>
      <c r="Y126" s="12">
        <v>-22.61</v>
      </c>
      <c r="Z126" s="12">
        <v>-34.96</v>
      </c>
      <c r="AA126" s="12">
        <f t="shared" si="2"/>
        <v>0</v>
      </c>
      <c r="AB126" s="12">
        <v>17.68</v>
      </c>
      <c r="AC126" s="12">
        <v>2.97</v>
      </c>
      <c r="AD126" s="12">
        <v>5.42</v>
      </c>
      <c r="AE126" s="12">
        <v>2.28</v>
      </c>
      <c r="AF126" s="12">
        <v>0.22</v>
      </c>
      <c r="AG126" s="12">
        <v>57.28</v>
      </c>
      <c r="AH126" s="12">
        <v>0.58</v>
      </c>
      <c r="AI126" s="12">
        <v>0.44</v>
      </c>
      <c r="AJ126" s="12">
        <v>825.88</v>
      </c>
      <c r="AK126" s="12">
        <v>39.75</v>
      </c>
      <c r="AL126" s="12">
        <v>9.18</v>
      </c>
      <c r="AM126" s="12">
        <v>3.52</v>
      </c>
      <c r="AN126" s="12">
        <v>103.65</v>
      </c>
      <c r="AO126" s="12">
        <v>731.4</v>
      </c>
      <c r="AP126" s="13">
        <f t="shared" si="3"/>
        <v>-0.30116</v>
      </c>
      <c r="AQ126" s="15">
        <v>0.4252739360638102</v>
      </c>
      <c r="AR126" s="13">
        <f t="shared" si="4"/>
        <v>0</v>
      </c>
      <c r="AS126" s="13">
        <f>IF(AR126=N126,1,0)</f>
        <v>1</v>
      </c>
      <c r="AT126" s="13">
        <f>IF(AND(AR126=0,AS126=1),1,0)</f>
        <v>1</v>
      </c>
      <c r="AU126" s="13">
        <f>IF(AND(AR126=0,AS126=0),1,0)</f>
        <v>0</v>
      </c>
      <c r="AV126" s="13">
        <f t="shared" ref="AV126:AV144" si="89">IFERROR(IFS(AND(AR126=1,AS126=0),1,AS126="",""),0)</f>
        <v>0</v>
      </c>
      <c r="AW126" s="13">
        <f t="shared" ref="AW126:AW144" si="90">IFERROR(IFS(AND(AR126=1,AS126=1),1,AS126="",""),0)</f>
        <v>0</v>
      </c>
      <c r="AX126" s="13"/>
      <c r="AY126" s="13"/>
      <c r="AZ126" s="13"/>
    </row>
    <row r="127">
      <c r="A127" s="8" t="s">
        <v>169</v>
      </c>
      <c r="B127" s="9">
        <v>1947883.38</v>
      </c>
      <c r="C127" s="9">
        <v>209718.9</v>
      </c>
      <c r="D127" s="9">
        <v>6.499243816E7</v>
      </c>
      <c r="E127" s="9">
        <v>1738164.48</v>
      </c>
      <c r="F127" s="9">
        <v>1050298.66</v>
      </c>
      <c r="G127" s="9">
        <v>459603.66</v>
      </c>
      <c r="H127" s="9">
        <v>578347.05</v>
      </c>
      <c r="I127" s="9">
        <v>562953.69</v>
      </c>
      <c r="J127" s="9">
        <v>540456.47</v>
      </c>
      <c r="K127" s="9" t="e">
        <v>#N/A</v>
      </c>
      <c r="L127" s="9" t="e">
        <v>#N/A</v>
      </c>
      <c r="M127" s="9" t="e">
        <v>#N/A</v>
      </c>
      <c r="N127" s="11" t="str">
        <f t="shared" si="1"/>
        <v>#N/A</v>
      </c>
      <c r="O127" s="12">
        <v>0.01</v>
      </c>
      <c r="P127" s="9">
        <v>-407449.35</v>
      </c>
      <c r="Q127" s="9">
        <v>-27603.84</v>
      </c>
      <c r="R127" s="9">
        <v>-14795.25</v>
      </c>
      <c r="S127" s="9">
        <v>-449848.45</v>
      </c>
      <c r="T127" s="12">
        <v>36.78</v>
      </c>
      <c r="U127" s="12">
        <v>34.76</v>
      </c>
      <c r="V127" s="12">
        <v>67.31</v>
      </c>
      <c r="W127" s="12">
        <v>51.46</v>
      </c>
      <c r="X127" s="12" t="e">
        <v>#N/A</v>
      </c>
      <c r="Y127" s="12" t="e">
        <v>#N/A</v>
      </c>
      <c r="Z127" s="12" t="e">
        <v>#N/A</v>
      </c>
      <c r="AA127" s="12" t="str">
        <f t="shared" si="2"/>
        <v>#N/A</v>
      </c>
      <c r="AB127" s="12">
        <v>53.6</v>
      </c>
      <c r="AC127" s="12">
        <v>0.12</v>
      </c>
      <c r="AD127" s="12">
        <v>163.95</v>
      </c>
      <c r="AE127" s="12">
        <v>10.16</v>
      </c>
      <c r="AF127" s="12">
        <v>9.38</v>
      </c>
      <c r="AG127" s="12">
        <v>20.81</v>
      </c>
      <c r="AH127" s="12">
        <v>0.65</v>
      </c>
      <c r="AI127" s="12" t="s">
        <v>47</v>
      </c>
      <c r="AJ127" s="12" t="s">
        <v>46</v>
      </c>
      <c r="AK127" s="12">
        <v>25.14</v>
      </c>
      <c r="AL127" s="12">
        <v>14.52</v>
      </c>
      <c r="AM127" s="12">
        <v>5.52</v>
      </c>
      <c r="AN127" s="12">
        <v>66.18</v>
      </c>
      <c r="AO127" s="12">
        <v>-51.66</v>
      </c>
      <c r="AP127" s="13">
        <f t="shared" si="3"/>
        <v>-16.50906</v>
      </c>
      <c r="AQ127" s="15">
        <v>6.764042243176103E-8</v>
      </c>
      <c r="AR127" s="13">
        <f t="shared" si="4"/>
        <v>0</v>
      </c>
      <c r="AS127" s="13"/>
      <c r="AT127" s="13"/>
      <c r="AU127" s="13"/>
      <c r="AV127" s="13" t="str">
        <f t="shared" si="89"/>
        <v/>
      </c>
      <c r="AW127" s="13" t="str">
        <f t="shared" si="90"/>
        <v/>
      </c>
      <c r="AX127" s="13"/>
      <c r="AY127" s="13"/>
      <c r="AZ127" s="13"/>
    </row>
    <row r="128">
      <c r="A128" s="8" t="s">
        <v>170</v>
      </c>
      <c r="B128" s="9">
        <v>7323301.94</v>
      </c>
      <c r="C128" s="9">
        <v>1956075.45</v>
      </c>
      <c r="D128" s="9">
        <v>1185974.79</v>
      </c>
      <c r="E128" s="9">
        <v>5362361.24</v>
      </c>
      <c r="F128" s="9">
        <v>1892383.8</v>
      </c>
      <c r="G128" s="9">
        <v>1857402.91</v>
      </c>
      <c r="H128" s="9">
        <v>43330.43</v>
      </c>
      <c r="I128" s="9">
        <v>-23612.11</v>
      </c>
      <c r="J128" s="9">
        <v>-107415.6</v>
      </c>
      <c r="K128" s="9">
        <v>-671522.05</v>
      </c>
      <c r="L128" s="9">
        <v>-1005356.44</v>
      </c>
      <c r="M128" s="9">
        <v>3128780.2</v>
      </c>
      <c r="N128" s="11">
        <f t="shared" si="1"/>
        <v>0</v>
      </c>
      <c r="O128" s="12">
        <v>-0.05</v>
      </c>
      <c r="P128" s="9">
        <v>-20212.39</v>
      </c>
      <c r="Q128" s="9">
        <v>382266.98</v>
      </c>
      <c r="R128" s="9">
        <v>-310088.93</v>
      </c>
      <c r="S128" s="9">
        <v>51965.67</v>
      </c>
      <c r="T128" s="12">
        <v>-2.05</v>
      </c>
      <c r="U128" s="12">
        <v>-0.32</v>
      </c>
      <c r="V128" s="12">
        <v>7.8</v>
      </c>
      <c r="W128" s="12">
        <v>-5.77</v>
      </c>
      <c r="X128" s="12">
        <v>-28.94</v>
      </c>
      <c r="Y128" s="12">
        <v>-38.04</v>
      </c>
      <c r="Z128" s="12">
        <v>60.43</v>
      </c>
      <c r="AA128" s="12">
        <f t="shared" si="2"/>
        <v>0</v>
      </c>
      <c r="AB128" s="12">
        <v>-1.25</v>
      </c>
      <c r="AC128" s="12">
        <v>0.36</v>
      </c>
      <c r="AD128" s="12">
        <v>-0.34</v>
      </c>
      <c r="AE128" s="12">
        <v>0.71</v>
      </c>
      <c r="AF128" s="12">
        <v>0.3</v>
      </c>
      <c r="AG128" s="12">
        <v>1.17</v>
      </c>
      <c r="AH128" s="12">
        <v>0.25</v>
      </c>
      <c r="AI128" s="12">
        <v>18.99</v>
      </c>
      <c r="AJ128" s="12">
        <v>19.22</v>
      </c>
      <c r="AK128" s="12">
        <v>5.71</v>
      </c>
      <c r="AL128" s="12">
        <v>63.88</v>
      </c>
      <c r="AM128" s="12">
        <v>3.7</v>
      </c>
      <c r="AN128" s="12">
        <v>98.64</v>
      </c>
      <c r="AO128" s="12">
        <v>-15.54</v>
      </c>
      <c r="AP128" s="13">
        <f t="shared" si="3"/>
        <v>-1.99928</v>
      </c>
      <c r="AQ128" s="15">
        <v>0.11927853813230496</v>
      </c>
      <c r="AR128" s="13">
        <f t="shared" si="4"/>
        <v>0</v>
      </c>
      <c r="AS128" s="13">
        <f>IF(AR128=N128,1,0)</f>
        <v>1</v>
      </c>
      <c r="AT128" s="13">
        <f>IF(AND(AR128=0,AS128=1),1,0)</f>
        <v>1</v>
      </c>
      <c r="AU128" s="13">
        <f>IF(AND(AR128=0,AS128=0),1,0)</f>
        <v>0</v>
      </c>
      <c r="AV128" s="13">
        <f t="shared" si="89"/>
        <v>0</v>
      </c>
      <c r="AW128" s="13">
        <f t="shared" si="90"/>
        <v>0</v>
      </c>
      <c r="AX128" s="13"/>
      <c r="AY128" s="13"/>
      <c r="AZ128" s="13"/>
    </row>
    <row r="129">
      <c r="A129" s="8" t="s">
        <v>171</v>
      </c>
      <c r="B129" s="9">
        <v>862782.51</v>
      </c>
      <c r="C129" s="9">
        <v>18957.24</v>
      </c>
      <c r="D129" s="9">
        <v>205000.0</v>
      </c>
      <c r="E129" s="9">
        <v>843825.27</v>
      </c>
      <c r="F129" s="9">
        <v>198830.99</v>
      </c>
      <c r="G129" s="9">
        <v>93849.64</v>
      </c>
      <c r="H129" s="9">
        <v>130888.27</v>
      </c>
      <c r="I129" s="9">
        <v>104981.36</v>
      </c>
      <c r="J129" s="9">
        <v>83719.71</v>
      </c>
      <c r="K129" s="9" t="e">
        <v>#N/A</v>
      </c>
      <c r="L129" s="9" t="e">
        <v>#N/A</v>
      </c>
      <c r="M129" s="9" t="e">
        <v>#N/A</v>
      </c>
      <c r="N129" s="11" t="str">
        <f t="shared" si="1"/>
        <v>#N/A</v>
      </c>
      <c r="O129" s="12">
        <v>0.21</v>
      </c>
      <c r="P129" s="9">
        <v>117171.04</v>
      </c>
      <c r="Q129" s="9">
        <v>-21802.4</v>
      </c>
      <c r="R129" s="9">
        <v>175095.07</v>
      </c>
      <c r="S129" s="9">
        <v>270463.71</v>
      </c>
      <c r="T129" s="12">
        <v>13.12</v>
      </c>
      <c r="U129" s="12">
        <v>14.33</v>
      </c>
      <c r="V129" s="12">
        <v>69.94</v>
      </c>
      <c r="W129" s="12">
        <v>42.11</v>
      </c>
      <c r="X129" s="12" t="e">
        <v>#N/A</v>
      </c>
      <c r="Y129" s="12" t="e">
        <v>#N/A</v>
      </c>
      <c r="Z129" s="12" t="e">
        <v>#N/A</v>
      </c>
      <c r="AA129" s="12" t="str">
        <f t="shared" si="2"/>
        <v>#N/A</v>
      </c>
      <c r="AB129" s="12">
        <v>52.8</v>
      </c>
      <c r="AC129" s="12">
        <v>0.02</v>
      </c>
      <c r="AD129" s="12">
        <v>92.51</v>
      </c>
      <c r="AE129" s="12">
        <v>23.77</v>
      </c>
      <c r="AF129" s="12">
        <v>23.55</v>
      </c>
      <c r="AG129" s="12">
        <v>0.4</v>
      </c>
      <c r="AH129" s="12">
        <v>0.27</v>
      </c>
      <c r="AI129" s="12" t="s">
        <v>47</v>
      </c>
      <c r="AJ129" s="12" t="s">
        <v>46</v>
      </c>
      <c r="AK129" s="12">
        <v>5.22</v>
      </c>
      <c r="AL129" s="12">
        <v>69.94</v>
      </c>
      <c r="AM129" s="12">
        <v>21.61</v>
      </c>
      <c r="AN129" s="12">
        <v>16.89</v>
      </c>
      <c r="AO129" s="12">
        <v>53.05</v>
      </c>
      <c r="AP129" s="13">
        <f t="shared" si="3"/>
        <v>-24.01719</v>
      </c>
      <c r="AQ129" s="15">
        <v>3.710794567765386E-11</v>
      </c>
      <c r="AR129" s="13">
        <f t="shared" si="4"/>
        <v>0</v>
      </c>
      <c r="AS129" s="13"/>
      <c r="AT129" s="13"/>
      <c r="AU129" s="13"/>
      <c r="AV129" s="13" t="str">
        <f t="shared" si="89"/>
        <v/>
      </c>
      <c r="AW129" s="13" t="str">
        <f t="shared" si="90"/>
        <v/>
      </c>
      <c r="AX129" s="13"/>
      <c r="AY129" s="13"/>
      <c r="AZ129" s="13"/>
    </row>
    <row r="130">
      <c r="A130" s="8" t="s">
        <v>172</v>
      </c>
      <c r="B130" s="9">
        <v>523815.83</v>
      </c>
      <c r="C130" s="9">
        <v>80636.44</v>
      </c>
      <c r="D130" s="9">
        <v>98568.49</v>
      </c>
      <c r="E130" s="9">
        <v>437763.11</v>
      </c>
      <c r="F130" s="9">
        <v>457673.92</v>
      </c>
      <c r="G130" s="9">
        <v>433463.25</v>
      </c>
      <c r="H130" s="9">
        <v>42799.77</v>
      </c>
      <c r="I130" s="9">
        <v>20099.41</v>
      </c>
      <c r="J130" s="9">
        <v>17856.19</v>
      </c>
      <c r="K130" s="9">
        <v>6605.56</v>
      </c>
      <c r="L130" s="9">
        <v>31832.54</v>
      </c>
      <c r="M130" s="9">
        <v>50938.46</v>
      </c>
      <c r="N130" s="11">
        <f t="shared" si="1"/>
        <v>0</v>
      </c>
      <c r="O130" s="12">
        <v>0.18</v>
      </c>
      <c r="P130" s="9">
        <v>40761.96</v>
      </c>
      <c r="Q130" s="9">
        <v>-32657.05</v>
      </c>
      <c r="R130" s="9">
        <v>-13741.26</v>
      </c>
      <c r="S130" s="9">
        <v>-5636.34</v>
      </c>
      <c r="T130" s="12">
        <v>4.1</v>
      </c>
      <c r="U130" s="12">
        <v>3.9</v>
      </c>
      <c r="V130" s="12">
        <v>29.21</v>
      </c>
      <c r="W130" s="12">
        <v>3.93</v>
      </c>
      <c r="X130" s="12">
        <v>1.67</v>
      </c>
      <c r="Y130" s="12">
        <v>7.45</v>
      </c>
      <c r="Z130" s="12">
        <v>10.58</v>
      </c>
      <c r="AA130" s="12">
        <f t="shared" si="2"/>
        <v>0</v>
      </c>
      <c r="AB130" s="12">
        <v>4.39</v>
      </c>
      <c r="AC130" s="12">
        <v>0.18</v>
      </c>
      <c r="AD130" s="12">
        <v>27.59</v>
      </c>
      <c r="AE130" s="12">
        <v>3.72</v>
      </c>
      <c r="AF130" s="12">
        <v>2.5</v>
      </c>
      <c r="AG130" s="12">
        <v>2.75</v>
      </c>
      <c r="AH130" s="12">
        <v>0.89</v>
      </c>
      <c r="AI130" s="12">
        <v>35.28</v>
      </c>
      <c r="AJ130" s="12">
        <v>10.35</v>
      </c>
      <c r="AK130" s="12">
        <v>5.09</v>
      </c>
      <c r="AL130" s="12">
        <v>71.78</v>
      </c>
      <c r="AM130" s="12">
        <v>7.84</v>
      </c>
      <c r="AN130" s="12">
        <v>46.57</v>
      </c>
      <c r="AO130" s="12">
        <v>35.55</v>
      </c>
      <c r="AP130" s="13">
        <f t="shared" si="3"/>
        <v>-4.99877</v>
      </c>
      <c r="AQ130" s="15">
        <v>0.0067010329975769264</v>
      </c>
      <c r="AR130" s="13">
        <f t="shared" si="4"/>
        <v>0</v>
      </c>
      <c r="AS130" s="13">
        <f t="shared" ref="AS130:AS135" si="91">IF(AR130=N130,1,0)</f>
        <v>1</v>
      </c>
      <c r="AT130" s="13">
        <f t="shared" ref="AT130:AT135" si="92">IF(AND(AR130=0,AS130=1),1,0)</f>
        <v>1</v>
      </c>
      <c r="AU130" s="13">
        <f t="shared" ref="AU130:AU135" si="93">IF(AND(AR130=0,AS130=0),1,0)</f>
        <v>0</v>
      </c>
      <c r="AV130" s="13">
        <f t="shared" si="89"/>
        <v>0</v>
      </c>
      <c r="AW130" s="13">
        <f t="shared" si="90"/>
        <v>0</v>
      </c>
      <c r="AX130" s="13"/>
      <c r="AY130" s="13"/>
      <c r="AZ130" s="13"/>
    </row>
    <row r="131">
      <c r="A131" s="8" t="s">
        <v>173</v>
      </c>
      <c r="B131" s="9">
        <v>1171470.74</v>
      </c>
      <c r="C131" s="9">
        <v>538235.52</v>
      </c>
      <c r="D131" s="9">
        <v>200811.61</v>
      </c>
      <c r="E131" s="9">
        <v>633235.22</v>
      </c>
      <c r="F131" s="9">
        <v>534191.2</v>
      </c>
      <c r="G131" s="9">
        <v>613086.59</v>
      </c>
      <c r="H131" s="9">
        <v>24330.97</v>
      </c>
      <c r="I131" s="9">
        <v>-78895.39</v>
      </c>
      <c r="J131" s="9">
        <v>-74898.3</v>
      </c>
      <c r="K131" s="9">
        <v>-110105.74</v>
      </c>
      <c r="L131" s="9">
        <v>-78382.98</v>
      </c>
      <c r="M131" s="9">
        <v>7292.44</v>
      </c>
      <c r="N131" s="11">
        <f t="shared" si="1"/>
        <v>0</v>
      </c>
      <c r="O131" s="12">
        <v>-0.37</v>
      </c>
      <c r="P131" s="9">
        <v>32285.5</v>
      </c>
      <c r="Q131" s="9">
        <v>-99638.24</v>
      </c>
      <c r="R131" s="9">
        <v>25557.33</v>
      </c>
      <c r="S131" s="9">
        <v>-41795.42</v>
      </c>
      <c r="T131" s="12">
        <v>-11.17</v>
      </c>
      <c r="U131" s="12">
        <v>-6.67</v>
      </c>
      <c r="V131" s="12">
        <v>-1.04</v>
      </c>
      <c r="W131" s="12">
        <v>-14.02</v>
      </c>
      <c r="X131" s="12">
        <v>-29.53</v>
      </c>
      <c r="Y131" s="12">
        <v>-15.56</v>
      </c>
      <c r="Z131" s="12">
        <v>1.01</v>
      </c>
      <c r="AA131" s="12">
        <f t="shared" si="2"/>
        <v>0</v>
      </c>
      <c r="AB131" s="12">
        <v>-14.77</v>
      </c>
      <c r="AC131" s="12">
        <v>0.85</v>
      </c>
      <c r="AD131" s="12">
        <v>-4.53</v>
      </c>
      <c r="AE131" s="12">
        <v>0.45</v>
      </c>
      <c r="AF131" s="12">
        <v>0.33</v>
      </c>
      <c r="AG131" s="12">
        <v>0.52</v>
      </c>
      <c r="AH131" s="12">
        <v>0.45</v>
      </c>
      <c r="AI131" s="12">
        <v>33.62</v>
      </c>
      <c r="AJ131" s="12">
        <v>10.86</v>
      </c>
      <c r="AK131" s="12">
        <v>29.89</v>
      </c>
      <c r="AL131" s="12">
        <v>12.21</v>
      </c>
      <c r="AM131" s="12">
        <v>9.81</v>
      </c>
      <c r="AN131" s="12">
        <v>37.19</v>
      </c>
      <c r="AO131" s="12">
        <v>-14.13</v>
      </c>
      <c r="AP131" s="13">
        <f t="shared" si="3"/>
        <v>-0.412</v>
      </c>
      <c r="AQ131" s="15">
        <v>0.3984326557662297</v>
      </c>
      <c r="AR131" s="13">
        <f t="shared" si="4"/>
        <v>0</v>
      </c>
      <c r="AS131" s="13">
        <f t="shared" si="91"/>
        <v>1</v>
      </c>
      <c r="AT131" s="13">
        <f t="shared" si="92"/>
        <v>1</v>
      </c>
      <c r="AU131" s="13">
        <f t="shared" si="93"/>
        <v>0</v>
      </c>
      <c r="AV131" s="13">
        <f t="shared" si="89"/>
        <v>0</v>
      </c>
      <c r="AW131" s="13">
        <f t="shared" si="90"/>
        <v>0</v>
      </c>
      <c r="AX131" s="13"/>
      <c r="AY131" s="13"/>
      <c r="AZ131" s="13"/>
    </row>
    <row r="132">
      <c r="A132" s="8" t="s">
        <v>174</v>
      </c>
      <c r="B132" s="9">
        <v>1352887.52</v>
      </c>
      <c r="C132" s="9">
        <v>240996.08</v>
      </c>
      <c r="D132" s="9">
        <v>457638.14</v>
      </c>
      <c r="E132" s="9">
        <v>1111891.44</v>
      </c>
      <c r="F132" s="9">
        <v>960465.57</v>
      </c>
      <c r="G132" s="9">
        <v>1169554.21</v>
      </c>
      <c r="H132" s="9">
        <v>-179568.98</v>
      </c>
      <c r="I132" s="9">
        <v>-209088.64</v>
      </c>
      <c r="J132" s="9">
        <v>-222024.56</v>
      </c>
      <c r="K132" s="9">
        <v>179916.01</v>
      </c>
      <c r="L132" s="9">
        <v>30882.44</v>
      </c>
      <c r="M132" s="9">
        <v>-282077.26</v>
      </c>
      <c r="N132" s="11">
        <f t="shared" si="1"/>
        <v>0</v>
      </c>
      <c r="O132" s="12">
        <v>-0.24</v>
      </c>
      <c r="P132" s="9">
        <v>-37790.42</v>
      </c>
      <c r="Q132" s="9">
        <v>118712.29</v>
      </c>
      <c r="R132" s="9">
        <v>-171644.43</v>
      </c>
      <c r="S132" s="9">
        <v>-90722.56</v>
      </c>
      <c r="T132" s="12">
        <v>-17.88</v>
      </c>
      <c r="U132" s="12">
        <v>-13.42</v>
      </c>
      <c r="V132" s="12">
        <v>-0.47</v>
      </c>
      <c r="W132" s="12">
        <v>-23.12</v>
      </c>
      <c r="X132" s="12">
        <v>20.19</v>
      </c>
      <c r="Y132" s="12">
        <v>4.92</v>
      </c>
      <c r="Z132" s="12">
        <v>-41.24</v>
      </c>
      <c r="AA132" s="12">
        <f t="shared" si="2"/>
        <v>0</v>
      </c>
      <c r="AB132" s="12">
        <v>-21.77</v>
      </c>
      <c r="AC132" s="12">
        <v>0.22</v>
      </c>
      <c r="AD132" s="12">
        <v>-15.81</v>
      </c>
      <c r="AE132" s="12">
        <v>10.78</v>
      </c>
      <c r="AF132" s="12">
        <v>8.72</v>
      </c>
      <c r="AG132" s="12">
        <v>3.08</v>
      </c>
      <c r="AH132" s="12">
        <v>0.62</v>
      </c>
      <c r="AI132" s="12">
        <v>4.94</v>
      </c>
      <c r="AJ132" s="12">
        <v>73.93</v>
      </c>
      <c r="AK132" s="12">
        <v>3.48</v>
      </c>
      <c r="AL132" s="12">
        <v>104.74</v>
      </c>
      <c r="AM132" s="12">
        <v>30.75</v>
      </c>
      <c r="AN132" s="12">
        <v>11.87</v>
      </c>
      <c r="AO132" s="12">
        <v>166.79</v>
      </c>
      <c r="AP132" s="13">
        <f t="shared" si="3"/>
        <v>-7.13331</v>
      </c>
      <c r="AQ132" s="15">
        <v>7.974369746369266E-4</v>
      </c>
      <c r="AR132" s="13">
        <f t="shared" si="4"/>
        <v>0</v>
      </c>
      <c r="AS132" s="13">
        <f t="shared" si="91"/>
        <v>1</v>
      </c>
      <c r="AT132" s="13">
        <f t="shared" si="92"/>
        <v>1</v>
      </c>
      <c r="AU132" s="13">
        <f t="shared" si="93"/>
        <v>0</v>
      </c>
      <c r="AV132" s="13">
        <f t="shared" si="89"/>
        <v>0</v>
      </c>
      <c r="AW132" s="13">
        <f t="shared" si="90"/>
        <v>0</v>
      </c>
      <c r="AX132" s="13"/>
      <c r="AY132" s="13"/>
      <c r="AZ132" s="13"/>
    </row>
    <row r="133">
      <c r="A133" s="8" t="s">
        <v>175</v>
      </c>
      <c r="B133" s="9">
        <v>511897.52</v>
      </c>
      <c r="C133" s="9">
        <v>143297.17</v>
      </c>
      <c r="D133" s="9">
        <v>150003.08</v>
      </c>
      <c r="E133" s="9">
        <v>368596.86</v>
      </c>
      <c r="F133" s="9">
        <v>125993.16</v>
      </c>
      <c r="G133" s="9">
        <v>47340.66</v>
      </c>
      <c r="H133" s="9">
        <v>89045.14</v>
      </c>
      <c r="I133" s="9">
        <v>79060.18</v>
      </c>
      <c r="J133" s="9">
        <v>72284.68</v>
      </c>
      <c r="K133" s="9">
        <v>27702.28</v>
      </c>
      <c r="L133" s="9">
        <v>24272.33</v>
      </c>
      <c r="M133" s="9">
        <v>16549.11</v>
      </c>
      <c r="N133" s="11">
        <f t="shared" si="1"/>
        <v>0</v>
      </c>
      <c r="O133" s="12">
        <v>0.24</v>
      </c>
      <c r="P133" s="9">
        <v>29517.8</v>
      </c>
      <c r="Q133" s="9">
        <v>46019.26</v>
      </c>
      <c r="R133" s="9">
        <v>-30620.52</v>
      </c>
      <c r="S133" s="9">
        <v>44916.54</v>
      </c>
      <c r="T133" s="12">
        <v>21.44</v>
      </c>
      <c r="U133" s="12">
        <v>16.8</v>
      </c>
      <c r="V133" s="12">
        <v>73.36</v>
      </c>
      <c r="W133" s="12">
        <v>57.37</v>
      </c>
      <c r="X133" s="12">
        <v>36.71</v>
      </c>
      <c r="Y133" s="12">
        <v>33.04</v>
      </c>
      <c r="Z133" s="12">
        <v>22.5</v>
      </c>
      <c r="AA133" s="12">
        <f t="shared" si="2"/>
        <v>0</v>
      </c>
      <c r="AB133" s="12">
        <v>62.75</v>
      </c>
      <c r="AC133" s="12">
        <v>0.39</v>
      </c>
      <c r="AD133" s="12">
        <v>31.79</v>
      </c>
      <c r="AE133" s="12">
        <v>2.55</v>
      </c>
      <c r="AF133" s="12">
        <v>2.41</v>
      </c>
      <c r="AG133" s="12">
        <v>0.9</v>
      </c>
      <c r="AH133" s="12">
        <v>0.27</v>
      </c>
      <c r="AI133" s="12">
        <v>2.48</v>
      </c>
      <c r="AJ133" s="12">
        <v>147.03</v>
      </c>
      <c r="AK133" s="12">
        <v>8.37</v>
      </c>
      <c r="AL133" s="12">
        <v>43.62</v>
      </c>
      <c r="AM133" s="12">
        <v>0.97</v>
      </c>
      <c r="AN133" s="12">
        <v>376.32</v>
      </c>
      <c r="AO133" s="12">
        <v>-185.67</v>
      </c>
      <c r="AP133" s="13">
        <f t="shared" si="3"/>
        <v>-3.91259</v>
      </c>
      <c r="AQ133" s="15">
        <v>0.01959694655592291</v>
      </c>
      <c r="AR133" s="13">
        <f t="shared" si="4"/>
        <v>0</v>
      </c>
      <c r="AS133" s="13">
        <f t="shared" si="91"/>
        <v>1</v>
      </c>
      <c r="AT133" s="13">
        <f t="shared" si="92"/>
        <v>1</v>
      </c>
      <c r="AU133" s="13">
        <f t="shared" si="93"/>
        <v>0</v>
      </c>
      <c r="AV133" s="13">
        <f t="shared" si="89"/>
        <v>0</v>
      </c>
      <c r="AW133" s="13">
        <f t="shared" si="90"/>
        <v>0</v>
      </c>
      <c r="AX133" s="13"/>
      <c r="AY133" s="13"/>
      <c r="AZ133" s="13"/>
    </row>
    <row r="134">
      <c r="A134" s="8" t="s">
        <v>176</v>
      </c>
      <c r="B134" s="9">
        <v>1969861.77</v>
      </c>
      <c r="C134" s="9">
        <v>317335.19</v>
      </c>
      <c r="D134" s="9">
        <v>380121.02</v>
      </c>
      <c r="E134" s="9">
        <v>1305219.22</v>
      </c>
      <c r="F134" s="9">
        <v>1599923.89</v>
      </c>
      <c r="G134" s="9">
        <v>1468725.63</v>
      </c>
      <c r="H134" s="9">
        <v>272770.79</v>
      </c>
      <c r="I134" s="9">
        <v>131198.26</v>
      </c>
      <c r="J134" s="9">
        <v>114461.09</v>
      </c>
      <c r="K134" s="9">
        <v>781.13</v>
      </c>
      <c r="L134" s="9">
        <v>-620.0</v>
      </c>
      <c r="M134" s="9">
        <v>-30066.91</v>
      </c>
      <c r="N134" s="11">
        <f t="shared" si="1"/>
        <v>0</v>
      </c>
      <c r="O134" s="12">
        <v>0.08</v>
      </c>
      <c r="P134" s="9">
        <v>278581.48</v>
      </c>
      <c r="Q134" s="9">
        <v>-59081.49</v>
      </c>
      <c r="R134" s="9">
        <v>-115367.29</v>
      </c>
      <c r="S134" s="9">
        <v>104132.7</v>
      </c>
      <c r="T134" s="12">
        <v>9.04</v>
      </c>
      <c r="U134" s="12">
        <v>6.71</v>
      </c>
      <c r="V134" s="12">
        <v>23.53</v>
      </c>
      <c r="W134" s="12">
        <v>6.02</v>
      </c>
      <c r="X134" s="12">
        <v>-1.2</v>
      </c>
      <c r="Y134" s="12">
        <v>-0.62</v>
      </c>
      <c r="Z134" s="12">
        <v>-3.56</v>
      </c>
      <c r="AA134" s="12">
        <f t="shared" si="2"/>
        <v>0</v>
      </c>
      <c r="AB134" s="12">
        <v>8.2</v>
      </c>
      <c r="AC134" s="12">
        <v>0.19</v>
      </c>
      <c r="AD134" s="12">
        <v>30.49</v>
      </c>
      <c r="AE134" s="12">
        <v>3.68</v>
      </c>
      <c r="AF134" s="12">
        <v>2.84</v>
      </c>
      <c r="AG134" s="12">
        <v>1.9</v>
      </c>
      <c r="AH134" s="12">
        <v>0.82</v>
      </c>
      <c r="AI134" s="12">
        <v>5.75</v>
      </c>
      <c r="AJ134" s="12">
        <v>63.53</v>
      </c>
      <c r="AK134" s="12">
        <v>4.58</v>
      </c>
      <c r="AL134" s="12">
        <v>79.77</v>
      </c>
      <c r="AM134" s="12">
        <v>6.69</v>
      </c>
      <c r="AN134" s="12">
        <v>54.52</v>
      </c>
      <c r="AO134" s="12">
        <v>88.78</v>
      </c>
      <c r="AP134" s="13">
        <f t="shared" si="3"/>
        <v>-5.85273</v>
      </c>
      <c r="AQ134" s="15">
        <v>0.0028638227198132193</v>
      </c>
      <c r="AR134" s="13">
        <f t="shared" si="4"/>
        <v>0</v>
      </c>
      <c r="AS134" s="13">
        <f t="shared" si="91"/>
        <v>1</v>
      </c>
      <c r="AT134" s="13">
        <f t="shared" si="92"/>
        <v>1</v>
      </c>
      <c r="AU134" s="13">
        <f t="shared" si="93"/>
        <v>0</v>
      </c>
      <c r="AV134" s="13">
        <f t="shared" si="89"/>
        <v>0</v>
      </c>
      <c r="AW134" s="13">
        <f t="shared" si="90"/>
        <v>0</v>
      </c>
      <c r="AX134" s="13"/>
      <c r="AY134" s="13"/>
      <c r="AZ134" s="13"/>
    </row>
    <row r="135">
      <c r="A135" s="8" t="s">
        <v>177</v>
      </c>
      <c r="B135" s="9">
        <v>513665.69</v>
      </c>
      <c r="C135" s="9">
        <v>305246.43</v>
      </c>
      <c r="D135" s="9">
        <v>158331.12</v>
      </c>
      <c r="E135" s="9">
        <v>208419.25</v>
      </c>
      <c r="F135" s="9">
        <v>717658.52</v>
      </c>
      <c r="G135" s="9">
        <v>689097.96</v>
      </c>
      <c r="H135" s="9">
        <v>61383.91</v>
      </c>
      <c r="I135" s="9">
        <v>28560.56</v>
      </c>
      <c r="J135" s="9">
        <v>21802.44</v>
      </c>
      <c r="K135" s="9">
        <v>13503.61</v>
      </c>
      <c r="L135" s="9">
        <v>-35416.26</v>
      </c>
      <c r="M135" s="9">
        <v>38192.0</v>
      </c>
      <c r="N135" s="11">
        <f t="shared" si="1"/>
        <v>0</v>
      </c>
      <c r="O135" s="12">
        <v>0.07</v>
      </c>
      <c r="P135" s="9">
        <v>80124.38</v>
      </c>
      <c r="Q135" s="9">
        <v>-39897.15</v>
      </c>
      <c r="R135" s="9">
        <v>-44094.78</v>
      </c>
      <c r="S135" s="9">
        <v>-3867.55</v>
      </c>
      <c r="T135" s="12">
        <v>11.03</v>
      </c>
      <c r="U135" s="12">
        <v>5.63</v>
      </c>
      <c r="V135" s="12">
        <v>13.47</v>
      </c>
      <c r="W135" s="12">
        <v>3.04</v>
      </c>
      <c r="X135" s="12">
        <v>2.07</v>
      </c>
      <c r="Y135" s="12">
        <v>-7.86</v>
      </c>
      <c r="Z135" s="12">
        <v>6.34</v>
      </c>
      <c r="AA135" s="12">
        <f t="shared" si="2"/>
        <v>0</v>
      </c>
      <c r="AB135" s="12">
        <v>3.98</v>
      </c>
      <c r="AC135" s="12">
        <v>1.46</v>
      </c>
      <c r="AD135" s="12">
        <v>4.07</v>
      </c>
      <c r="AE135" s="12">
        <v>1.03</v>
      </c>
      <c r="AF135" s="12">
        <v>0.61</v>
      </c>
      <c r="AG135" s="12">
        <v>2.76</v>
      </c>
      <c r="AH135" s="12">
        <v>1.42</v>
      </c>
      <c r="AI135" s="12">
        <v>7.72</v>
      </c>
      <c r="AJ135" s="12">
        <v>47.3</v>
      </c>
      <c r="AK135" s="12">
        <v>5.99</v>
      </c>
      <c r="AL135" s="12">
        <v>60.93</v>
      </c>
      <c r="AM135" s="12">
        <v>5.55</v>
      </c>
      <c r="AN135" s="12">
        <v>65.77</v>
      </c>
      <c r="AO135" s="12">
        <v>42.46</v>
      </c>
      <c r="AP135" s="13">
        <f t="shared" si="3"/>
        <v>-2.04399</v>
      </c>
      <c r="AQ135" s="15">
        <v>0.1146610683828612</v>
      </c>
      <c r="AR135" s="13">
        <f t="shared" si="4"/>
        <v>0</v>
      </c>
      <c r="AS135" s="13">
        <f t="shared" si="91"/>
        <v>1</v>
      </c>
      <c r="AT135" s="13">
        <f t="shared" si="92"/>
        <v>1</v>
      </c>
      <c r="AU135" s="13">
        <f t="shared" si="93"/>
        <v>0</v>
      </c>
      <c r="AV135" s="13">
        <f t="shared" si="89"/>
        <v>0</v>
      </c>
      <c r="AW135" s="13">
        <f t="shared" si="90"/>
        <v>0</v>
      </c>
      <c r="AX135" s="13"/>
      <c r="AY135" s="13"/>
      <c r="AZ135" s="13"/>
    </row>
    <row r="136">
      <c r="A136" s="8" t="s">
        <v>178</v>
      </c>
      <c r="B136" s="9">
        <v>557127.48</v>
      </c>
      <c r="C136" s="9">
        <v>157331.75</v>
      </c>
      <c r="D136" s="9">
        <v>327594.26</v>
      </c>
      <c r="E136" s="9">
        <v>396171.18</v>
      </c>
      <c r="F136" s="9">
        <v>611698.39</v>
      </c>
      <c r="G136" s="9">
        <v>557252.97</v>
      </c>
      <c r="H136" s="9">
        <v>89049.94</v>
      </c>
      <c r="I136" s="9">
        <v>81104.12</v>
      </c>
      <c r="J136" s="9">
        <v>66751.96</v>
      </c>
      <c r="K136" s="9">
        <v>34870.37</v>
      </c>
      <c r="L136" s="9" t="e">
        <v>#N/A</v>
      </c>
      <c r="M136" s="9" t="e">
        <v>#N/A</v>
      </c>
      <c r="N136" s="11" t="str">
        <f t="shared" si="1"/>
        <v>#N/A</v>
      </c>
      <c r="O136" s="12">
        <v>0.1</v>
      </c>
      <c r="P136" s="9">
        <v>73053.35</v>
      </c>
      <c r="Q136" s="9">
        <v>-5823.38</v>
      </c>
      <c r="R136" s="9">
        <v>-27512.72</v>
      </c>
      <c r="S136" s="9">
        <v>39717.26</v>
      </c>
      <c r="T136" s="12">
        <v>18.36</v>
      </c>
      <c r="U136" s="12">
        <v>15.52</v>
      </c>
      <c r="V136" s="12">
        <v>27.72</v>
      </c>
      <c r="W136" s="12">
        <v>11.2</v>
      </c>
      <c r="X136" s="12">
        <v>8.03</v>
      </c>
      <c r="Y136" s="12" t="e">
        <v>#N/A</v>
      </c>
      <c r="Z136" s="12" t="e">
        <v>#N/A</v>
      </c>
      <c r="AA136" s="12" t="str">
        <f t="shared" si="2"/>
        <v>#N/A</v>
      </c>
      <c r="AB136" s="12">
        <v>13.26</v>
      </c>
      <c r="AC136" s="12">
        <v>0.39</v>
      </c>
      <c r="AD136" s="12">
        <v>43.67</v>
      </c>
      <c r="AE136" s="12">
        <v>2.52</v>
      </c>
      <c r="AF136" s="12">
        <v>1.83</v>
      </c>
      <c r="AG136" s="12">
        <v>8.53</v>
      </c>
      <c r="AH136" s="12">
        <v>1.17</v>
      </c>
      <c r="AI136" s="12">
        <v>6.24</v>
      </c>
      <c r="AJ136" s="12">
        <v>58.53</v>
      </c>
      <c r="AK136" s="12">
        <v>6.18</v>
      </c>
      <c r="AL136" s="12">
        <v>59.03</v>
      </c>
      <c r="AM136" s="12">
        <v>4.65</v>
      </c>
      <c r="AN136" s="12">
        <v>78.46</v>
      </c>
      <c r="AO136" s="12">
        <v>39.1</v>
      </c>
      <c r="AP136" s="13">
        <f t="shared" si="3"/>
        <v>-6.62105</v>
      </c>
      <c r="AQ136" s="15">
        <v>0.0013302596300829748</v>
      </c>
      <c r="AR136" s="13">
        <f t="shared" si="4"/>
        <v>0</v>
      </c>
      <c r="AS136" s="13"/>
      <c r="AT136" s="13"/>
      <c r="AU136" s="13"/>
      <c r="AV136" s="13" t="str">
        <f t="shared" si="89"/>
        <v/>
      </c>
      <c r="AW136" s="13" t="str">
        <f t="shared" si="90"/>
        <v/>
      </c>
      <c r="AX136" s="13"/>
      <c r="AY136" s="13"/>
      <c r="AZ136" s="13"/>
    </row>
    <row r="137">
      <c r="A137" s="8" t="s">
        <v>179</v>
      </c>
      <c r="B137" s="9">
        <v>3564152.0</v>
      </c>
      <c r="C137" s="9">
        <v>1442884.0</v>
      </c>
      <c r="D137" s="9">
        <v>692798.0</v>
      </c>
      <c r="E137" s="9">
        <v>2097537.0</v>
      </c>
      <c r="F137" s="9">
        <v>2.1685622E7</v>
      </c>
      <c r="G137" s="9">
        <v>2.1678302E7</v>
      </c>
      <c r="H137" s="9">
        <v>494252.0</v>
      </c>
      <c r="I137" s="9">
        <v>467116.0</v>
      </c>
      <c r="J137" s="9">
        <v>440597.0</v>
      </c>
      <c r="K137" s="9">
        <v>230945.67</v>
      </c>
      <c r="L137" s="9">
        <v>18446.1</v>
      </c>
      <c r="M137" s="9">
        <v>60849.9</v>
      </c>
      <c r="N137" s="11">
        <f t="shared" si="1"/>
        <v>0</v>
      </c>
      <c r="O137" s="12">
        <v>0.64</v>
      </c>
      <c r="P137" s="9">
        <v>-108315.0</v>
      </c>
      <c r="Q137" s="9">
        <v>336541.0</v>
      </c>
      <c r="R137" s="9">
        <v>-183734.0</v>
      </c>
      <c r="S137" s="9">
        <v>44492.0</v>
      </c>
      <c r="T137" s="12">
        <v>23.53</v>
      </c>
      <c r="U137" s="12">
        <v>14.03</v>
      </c>
      <c r="V137" s="12">
        <v>1.69</v>
      </c>
      <c r="W137" s="12">
        <v>2.08</v>
      </c>
      <c r="X137" s="12">
        <v>2.11</v>
      </c>
      <c r="Y137" s="12">
        <v>0.59</v>
      </c>
      <c r="Z137" s="12">
        <v>1.12</v>
      </c>
      <c r="AA137" s="12">
        <f t="shared" si="2"/>
        <v>0</v>
      </c>
      <c r="AB137" s="12">
        <v>2.15</v>
      </c>
      <c r="AC137" s="12">
        <v>0.68</v>
      </c>
      <c r="AD137" s="12">
        <v>21.03</v>
      </c>
      <c r="AE137" s="12">
        <v>1.69</v>
      </c>
      <c r="AF137" s="12">
        <v>1.45</v>
      </c>
      <c r="AG137" s="12">
        <v>333.56</v>
      </c>
      <c r="AH137" s="12">
        <v>6.51</v>
      </c>
      <c r="AI137" s="9">
        <v>3557.72</v>
      </c>
      <c r="AJ137" s="12">
        <v>0.1</v>
      </c>
      <c r="AK137" s="12">
        <v>14.38</v>
      </c>
      <c r="AL137" s="12">
        <v>25.39</v>
      </c>
      <c r="AM137" s="12">
        <v>20.43</v>
      </c>
      <c r="AN137" s="12">
        <v>17.86</v>
      </c>
      <c r="AO137" s="12">
        <v>7.62</v>
      </c>
      <c r="AP137" s="13">
        <f t="shared" si="3"/>
        <v>-6.23124</v>
      </c>
      <c r="AQ137" s="15">
        <v>0.0019631497520510408</v>
      </c>
      <c r="AR137" s="13">
        <f t="shared" si="4"/>
        <v>0</v>
      </c>
      <c r="AS137" s="13">
        <f>IF(AR137=N137,1,0)</f>
        <v>1</v>
      </c>
      <c r="AT137" s="13">
        <f>IF(AND(AR137=0,AS137=1),1,0)</f>
        <v>1</v>
      </c>
      <c r="AU137" s="13">
        <f>IF(AND(AR137=0,AS137=0),1,0)</f>
        <v>0</v>
      </c>
      <c r="AV137" s="13">
        <f t="shared" si="89"/>
        <v>0</v>
      </c>
      <c r="AW137" s="13">
        <f t="shared" si="90"/>
        <v>0</v>
      </c>
      <c r="AX137" s="13"/>
      <c r="AY137" s="13"/>
      <c r="AZ137" s="13"/>
    </row>
    <row r="138">
      <c r="A138" s="8" t="s">
        <v>180</v>
      </c>
      <c r="B138" s="9">
        <v>811871.44</v>
      </c>
      <c r="C138" s="9">
        <v>199828.85</v>
      </c>
      <c r="D138" s="9">
        <v>51370.5</v>
      </c>
      <c r="E138" s="9">
        <v>612042.59</v>
      </c>
      <c r="F138" s="9">
        <v>897197.19</v>
      </c>
      <c r="G138" s="9">
        <v>836696.79</v>
      </c>
      <c r="H138" s="9">
        <v>80817.22</v>
      </c>
      <c r="I138" s="9">
        <v>68532.87</v>
      </c>
      <c r="J138" s="9">
        <v>55061.82</v>
      </c>
      <c r="K138" s="9">
        <v>61114.83</v>
      </c>
      <c r="L138" s="9" t="e">
        <v>#N/A</v>
      </c>
      <c r="M138" s="9" t="e">
        <v>#N/A</v>
      </c>
      <c r="N138" s="11" t="str">
        <f t="shared" si="1"/>
        <v>#N/A</v>
      </c>
      <c r="O138" s="12">
        <v>0.54</v>
      </c>
      <c r="P138" s="9">
        <v>25609.22</v>
      </c>
      <c r="Q138" s="9">
        <v>-7778.7</v>
      </c>
      <c r="R138" s="9">
        <v>-22567.16</v>
      </c>
      <c r="S138" s="9">
        <v>-4736.65</v>
      </c>
      <c r="T138" s="12">
        <v>9.29</v>
      </c>
      <c r="U138" s="12">
        <v>8.86</v>
      </c>
      <c r="V138" s="12">
        <v>16.23</v>
      </c>
      <c r="W138" s="12">
        <v>6.14</v>
      </c>
      <c r="X138" s="12">
        <v>7.4</v>
      </c>
      <c r="Y138" s="12" t="e">
        <v>#N/A</v>
      </c>
      <c r="Z138" s="12" t="e">
        <v>#N/A</v>
      </c>
      <c r="AA138" s="12" t="str">
        <f t="shared" si="2"/>
        <v>#N/A</v>
      </c>
      <c r="AB138" s="12">
        <v>7.64</v>
      </c>
      <c r="AC138" s="12">
        <v>0.33</v>
      </c>
      <c r="AD138" s="12">
        <v>83.06</v>
      </c>
      <c r="AE138" s="12">
        <v>4.26</v>
      </c>
      <c r="AF138" s="12">
        <v>4.06</v>
      </c>
      <c r="AG138" s="12">
        <v>27.48</v>
      </c>
      <c r="AH138" s="12">
        <v>1.16</v>
      </c>
      <c r="AI138" s="12">
        <v>30.55</v>
      </c>
      <c r="AJ138" s="12">
        <v>11.95</v>
      </c>
      <c r="AK138" s="12">
        <v>4.22</v>
      </c>
      <c r="AL138" s="12">
        <v>86.49</v>
      </c>
      <c r="AM138" s="12">
        <v>5.85</v>
      </c>
      <c r="AN138" s="12">
        <v>62.35</v>
      </c>
      <c r="AO138" s="12">
        <v>36.09</v>
      </c>
      <c r="AP138" s="13">
        <f t="shared" si="3"/>
        <v>-7.18782</v>
      </c>
      <c r="AQ138" s="15">
        <v>7.551641241161674E-4</v>
      </c>
      <c r="AR138" s="13">
        <f t="shared" si="4"/>
        <v>0</v>
      </c>
      <c r="AS138" s="13"/>
      <c r="AT138" s="13"/>
      <c r="AU138" s="13"/>
      <c r="AV138" s="13" t="str">
        <f t="shared" si="89"/>
        <v/>
      </c>
      <c r="AW138" s="13" t="str">
        <f t="shared" si="90"/>
        <v/>
      </c>
      <c r="AX138" s="13"/>
      <c r="AY138" s="13"/>
      <c r="AZ138" s="13"/>
    </row>
    <row r="139">
      <c r="A139" s="8" t="s">
        <v>181</v>
      </c>
      <c r="B139" s="9">
        <v>2781938.0</v>
      </c>
      <c r="C139" s="9">
        <v>1547076.0</v>
      </c>
      <c r="D139" s="9">
        <v>295642.0</v>
      </c>
      <c r="E139" s="9">
        <v>959465.0</v>
      </c>
      <c r="F139" s="9">
        <v>1624702.0</v>
      </c>
      <c r="G139" s="9">
        <v>1543379.0</v>
      </c>
      <c r="H139" s="9">
        <v>135626.0</v>
      </c>
      <c r="I139" s="9">
        <v>75326.0</v>
      </c>
      <c r="J139" s="9">
        <v>40245.0</v>
      </c>
      <c r="K139" s="9">
        <v>81527.0</v>
      </c>
      <c r="L139" s="9">
        <v>89307.0</v>
      </c>
      <c r="M139" s="9">
        <v>85810.0</v>
      </c>
      <c r="N139" s="11">
        <f t="shared" si="1"/>
        <v>0</v>
      </c>
      <c r="O139" s="12">
        <v>0.08</v>
      </c>
      <c r="P139" s="9">
        <v>128320.0</v>
      </c>
      <c r="Q139" s="9">
        <v>-615469.0</v>
      </c>
      <c r="R139" s="9">
        <v>566397.0</v>
      </c>
      <c r="S139" s="9">
        <v>79248.0</v>
      </c>
      <c r="T139" s="12">
        <v>4.95</v>
      </c>
      <c r="U139" s="12">
        <v>3.32</v>
      </c>
      <c r="V139" s="12">
        <v>22.0</v>
      </c>
      <c r="W139" s="12">
        <v>2.44</v>
      </c>
      <c r="X139" s="12">
        <v>5.56</v>
      </c>
      <c r="Y139" s="12">
        <v>7.1</v>
      </c>
      <c r="Z139" s="12">
        <v>6.14</v>
      </c>
      <c r="AA139" s="12">
        <f t="shared" si="2"/>
        <v>0</v>
      </c>
      <c r="AB139" s="12">
        <v>4.64</v>
      </c>
      <c r="AC139" s="12">
        <v>1.25</v>
      </c>
      <c r="AD139" s="12">
        <v>3.14</v>
      </c>
      <c r="AE139" s="12">
        <v>1.61</v>
      </c>
      <c r="AF139" s="12">
        <v>0.91</v>
      </c>
      <c r="AG139" s="12">
        <v>3.34</v>
      </c>
      <c r="AH139" s="12">
        <v>0.72</v>
      </c>
      <c r="AI139" s="12">
        <v>3.5</v>
      </c>
      <c r="AJ139" s="12">
        <v>104.43</v>
      </c>
      <c r="AK139" s="12">
        <v>4.88</v>
      </c>
      <c r="AL139" s="12">
        <v>74.84</v>
      </c>
      <c r="AM139" s="12">
        <v>5.02</v>
      </c>
      <c r="AN139" s="12">
        <v>72.64</v>
      </c>
      <c r="AO139" s="12">
        <v>106.63</v>
      </c>
      <c r="AP139" s="13">
        <f t="shared" si="3"/>
        <v>-1.98837</v>
      </c>
      <c r="AQ139" s="15">
        <v>0.12042941533022412</v>
      </c>
      <c r="AR139" s="13">
        <f t="shared" si="4"/>
        <v>0</v>
      </c>
      <c r="AS139" s="13">
        <f t="shared" ref="AS139:AS140" si="94">IF(AR139=N139,1,0)</f>
        <v>1</v>
      </c>
      <c r="AT139" s="13">
        <f t="shared" ref="AT139:AT140" si="95">IF(AND(AR139=0,AS139=1),1,0)</f>
        <v>1</v>
      </c>
      <c r="AU139" s="13">
        <f t="shared" ref="AU139:AU140" si="96">IF(AND(AR139=0,AS139=0),1,0)</f>
        <v>0</v>
      </c>
      <c r="AV139" s="13">
        <f t="shared" si="89"/>
        <v>0</v>
      </c>
      <c r="AW139" s="13">
        <f t="shared" si="90"/>
        <v>0</v>
      </c>
      <c r="AX139" s="13"/>
      <c r="AY139" s="13"/>
      <c r="AZ139" s="13"/>
    </row>
    <row r="140">
      <c r="A140" s="8" t="s">
        <v>182</v>
      </c>
      <c r="B140" s="9">
        <v>5837741.92</v>
      </c>
      <c r="C140" s="9">
        <v>2152659.42</v>
      </c>
      <c r="D140" s="9">
        <v>2100000.0</v>
      </c>
      <c r="E140" s="9">
        <v>3679019.32</v>
      </c>
      <c r="F140" s="9">
        <v>845044.7</v>
      </c>
      <c r="G140" s="9">
        <v>926952.67</v>
      </c>
      <c r="H140" s="9">
        <v>168286.29</v>
      </c>
      <c r="I140" s="9">
        <v>-89053.85</v>
      </c>
      <c r="J140" s="9">
        <v>-197815.85</v>
      </c>
      <c r="K140" s="9">
        <v>-346724.46</v>
      </c>
      <c r="L140" s="9">
        <v>-907197.87</v>
      </c>
      <c r="M140" s="9">
        <v>-157127.72</v>
      </c>
      <c r="N140" s="11">
        <f t="shared" si="1"/>
        <v>1</v>
      </c>
      <c r="O140" s="12">
        <v>-0.05</v>
      </c>
      <c r="P140" s="9">
        <v>358557.91</v>
      </c>
      <c r="Q140" s="9">
        <v>352418.15</v>
      </c>
      <c r="R140" s="9">
        <v>45363.65</v>
      </c>
      <c r="S140" s="9">
        <v>756339.71</v>
      </c>
      <c r="T140" s="12">
        <v>-5.32</v>
      </c>
      <c r="U140" s="12">
        <v>-1.5</v>
      </c>
      <c r="V140" s="12">
        <v>29.62</v>
      </c>
      <c r="W140" s="12">
        <v>-23.5</v>
      </c>
      <c r="X140" s="12">
        <v>-26.72</v>
      </c>
      <c r="Y140" s="12">
        <v>-72.93</v>
      </c>
      <c r="Z140" s="12">
        <v>-7.08</v>
      </c>
      <c r="AA140" s="12">
        <f t="shared" si="2"/>
        <v>1</v>
      </c>
      <c r="AB140" s="12">
        <v>-10.54</v>
      </c>
      <c r="AC140" s="12">
        <v>0.58</v>
      </c>
      <c r="AD140" s="12">
        <v>-0.97</v>
      </c>
      <c r="AE140" s="12">
        <v>2.86</v>
      </c>
      <c r="AF140" s="12">
        <v>0.51</v>
      </c>
      <c r="AG140" s="12">
        <v>12.54</v>
      </c>
      <c r="AH140" s="12">
        <v>0.14</v>
      </c>
      <c r="AI140" s="12">
        <v>0.13</v>
      </c>
      <c r="AJ140" s="9">
        <v>2807.86</v>
      </c>
      <c r="AK140" s="12">
        <v>5.17</v>
      </c>
      <c r="AL140" s="12">
        <v>70.61</v>
      </c>
      <c r="AM140" s="12">
        <v>1.9</v>
      </c>
      <c r="AN140" s="12">
        <v>191.64</v>
      </c>
      <c r="AO140" s="9">
        <v>2686.83</v>
      </c>
      <c r="AP140" s="13">
        <f t="shared" si="3"/>
        <v>-1.89034</v>
      </c>
      <c r="AQ140" s="15">
        <v>0.13120570771676918</v>
      </c>
      <c r="AR140" s="13">
        <f t="shared" si="4"/>
        <v>0</v>
      </c>
      <c r="AS140" s="13">
        <f t="shared" si="94"/>
        <v>0</v>
      </c>
      <c r="AT140" s="13">
        <f t="shared" si="95"/>
        <v>0</v>
      </c>
      <c r="AU140" s="13">
        <f t="shared" si="96"/>
        <v>1</v>
      </c>
      <c r="AV140" s="13">
        <f t="shared" si="89"/>
        <v>0</v>
      </c>
      <c r="AW140" s="13">
        <f t="shared" si="90"/>
        <v>0</v>
      </c>
      <c r="AX140" s="13"/>
      <c r="AY140" s="13"/>
      <c r="AZ140" s="13"/>
    </row>
    <row r="141">
      <c r="A141" s="8" t="s">
        <v>183</v>
      </c>
      <c r="B141" s="9">
        <v>1046357.89</v>
      </c>
      <c r="C141" s="9">
        <v>289928.57</v>
      </c>
      <c r="D141" s="9">
        <v>220000.0</v>
      </c>
      <c r="E141" s="9">
        <v>756429.32</v>
      </c>
      <c r="F141" s="9">
        <v>863248.06</v>
      </c>
      <c r="G141" s="9">
        <v>779547.49</v>
      </c>
      <c r="H141" s="9">
        <v>138794.56</v>
      </c>
      <c r="I141" s="9">
        <v>83700.58</v>
      </c>
      <c r="J141" s="9">
        <v>63061.41</v>
      </c>
      <c r="K141" s="9">
        <v>111745.31</v>
      </c>
      <c r="L141" s="9">
        <v>78176.38</v>
      </c>
      <c r="M141" s="9" t="e">
        <v>#N/A</v>
      </c>
      <c r="N141" s="11" t="str">
        <f t="shared" si="1"/>
        <v>#N/A</v>
      </c>
      <c r="O141" s="12">
        <v>0.14</v>
      </c>
      <c r="P141" s="9">
        <v>101028.83</v>
      </c>
      <c r="Q141" s="9">
        <v>-151145.77</v>
      </c>
      <c r="R141" s="9">
        <v>-18030.78</v>
      </c>
      <c r="S141" s="9">
        <v>-68147.72</v>
      </c>
      <c r="T141" s="12">
        <v>8.44</v>
      </c>
      <c r="U141" s="12">
        <v>8.41</v>
      </c>
      <c r="V141" s="12">
        <v>21.61</v>
      </c>
      <c r="W141" s="12">
        <v>7.31</v>
      </c>
      <c r="X141" s="12">
        <v>14.03</v>
      </c>
      <c r="Y141" s="12">
        <v>11.53</v>
      </c>
      <c r="Z141" s="12" t="e">
        <v>#N/A</v>
      </c>
      <c r="AA141" s="12" t="str">
        <f t="shared" si="2"/>
        <v>#N/A</v>
      </c>
      <c r="AB141" s="12">
        <v>9.7</v>
      </c>
      <c r="AC141" s="12">
        <v>0.38</v>
      </c>
      <c r="AD141" s="12">
        <v>16.69</v>
      </c>
      <c r="AE141" s="12">
        <v>2.38</v>
      </c>
      <c r="AF141" s="12">
        <v>1.03</v>
      </c>
      <c r="AG141" s="12">
        <v>1.83</v>
      </c>
      <c r="AH141" s="12">
        <v>0.87</v>
      </c>
      <c r="AI141" s="12">
        <v>2.94</v>
      </c>
      <c r="AJ141" s="12">
        <v>124.1</v>
      </c>
      <c r="AK141" s="12">
        <v>5.11</v>
      </c>
      <c r="AL141" s="12">
        <v>71.4</v>
      </c>
      <c r="AM141" s="12">
        <v>5.1</v>
      </c>
      <c r="AN141" s="12">
        <v>71.63</v>
      </c>
      <c r="AO141" s="12">
        <v>123.87</v>
      </c>
      <c r="AP141" s="13">
        <f t="shared" si="3"/>
        <v>-4.36209</v>
      </c>
      <c r="AQ141" s="15">
        <v>0.012591150031051273</v>
      </c>
      <c r="AR141" s="13">
        <f t="shared" si="4"/>
        <v>0</v>
      </c>
      <c r="AS141" s="13"/>
      <c r="AT141" s="13"/>
      <c r="AU141" s="13"/>
      <c r="AV141" s="13" t="str">
        <f t="shared" si="89"/>
        <v/>
      </c>
      <c r="AW141" s="13" t="str">
        <f t="shared" si="90"/>
        <v/>
      </c>
      <c r="AX141" s="13"/>
      <c r="AY141" s="13"/>
      <c r="AZ141" s="13"/>
    </row>
    <row r="142">
      <c r="A142" s="8" t="s">
        <v>184</v>
      </c>
      <c r="B142" s="9">
        <v>2949161.94</v>
      </c>
      <c r="C142" s="9">
        <v>1166857.49</v>
      </c>
      <c r="D142" s="9">
        <v>1637500.0</v>
      </c>
      <c r="E142" s="9">
        <v>1782304.45</v>
      </c>
      <c r="F142" s="9">
        <v>516160.6</v>
      </c>
      <c r="G142" s="9">
        <v>406552.61</v>
      </c>
      <c r="H142" s="9">
        <v>123492.01</v>
      </c>
      <c r="I142" s="9">
        <v>109607.99</v>
      </c>
      <c r="J142" s="9">
        <v>41265.12</v>
      </c>
      <c r="K142" s="9">
        <v>56955.63</v>
      </c>
      <c r="L142" s="9">
        <v>40772.11</v>
      </c>
      <c r="M142" s="9">
        <v>55625.03</v>
      </c>
      <c r="N142" s="11">
        <f t="shared" si="1"/>
        <v>0</v>
      </c>
      <c r="O142" s="12">
        <v>0.03</v>
      </c>
      <c r="P142" s="9">
        <v>-353447.25</v>
      </c>
      <c r="Q142" s="9">
        <v>67154.89</v>
      </c>
      <c r="R142" s="9">
        <v>300996.32</v>
      </c>
      <c r="S142" s="9">
        <v>14703.97</v>
      </c>
      <c r="T142" s="12">
        <v>2.34</v>
      </c>
      <c r="U142" s="12">
        <v>3.95</v>
      </c>
      <c r="V142" s="12">
        <v>85.78</v>
      </c>
      <c r="W142" s="12">
        <v>7.99</v>
      </c>
      <c r="X142" s="12">
        <v>13.75</v>
      </c>
      <c r="Y142" s="12">
        <v>10.22</v>
      </c>
      <c r="Z142" s="12">
        <v>16.25</v>
      </c>
      <c r="AA142" s="12">
        <f t="shared" si="2"/>
        <v>0</v>
      </c>
      <c r="AB142" s="12">
        <v>21.24</v>
      </c>
      <c r="AC142" s="12">
        <v>0.65</v>
      </c>
      <c r="AD142" s="12">
        <v>1.54</v>
      </c>
      <c r="AE142" s="12">
        <v>1.34</v>
      </c>
      <c r="AF142" s="12">
        <v>0.07</v>
      </c>
      <c r="AG142" s="12" t="s">
        <v>46</v>
      </c>
      <c r="AH142" s="12">
        <v>0.19</v>
      </c>
      <c r="AI142" s="12" t="s">
        <v>47</v>
      </c>
      <c r="AJ142" s="12" t="s">
        <v>46</v>
      </c>
      <c r="AK142" s="12" t="s">
        <v>47</v>
      </c>
      <c r="AL142" s="12" t="s">
        <v>46</v>
      </c>
      <c r="AM142" s="12" t="s">
        <v>47</v>
      </c>
      <c r="AN142" s="12" t="s">
        <v>46</v>
      </c>
      <c r="AO142" s="12" t="s">
        <v>46</v>
      </c>
      <c r="AP142" s="13" t="str">
        <f t="shared" si="3"/>
        <v>#VALUE!</v>
      </c>
      <c r="AQ142" s="15" t="e">
        <v>#VALUE!</v>
      </c>
      <c r="AR142" s="13" t="str">
        <f t="shared" si="4"/>
        <v>#VALUE!</v>
      </c>
      <c r="AS142" s="13"/>
      <c r="AT142" s="13"/>
      <c r="AU142" s="13"/>
      <c r="AV142" s="13">
        <f t="shared" si="89"/>
        <v>0</v>
      </c>
      <c r="AW142" s="13">
        <f t="shared" si="90"/>
        <v>0</v>
      </c>
      <c r="AX142" s="13"/>
      <c r="AY142" s="13"/>
      <c r="AZ142" s="13"/>
    </row>
    <row r="143">
      <c r="A143" s="8" t="s">
        <v>185</v>
      </c>
      <c r="B143" s="9">
        <v>651333.12</v>
      </c>
      <c r="C143" s="9">
        <v>136463.63</v>
      </c>
      <c r="D143" s="9">
        <v>200000.0</v>
      </c>
      <c r="E143" s="9">
        <v>514869.49</v>
      </c>
      <c r="F143" s="9">
        <v>602499.38</v>
      </c>
      <c r="G143" s="9">
        <v>464890.2</v>
      </c>
      <c r="H143" s="9">
        <v>162177.72</v>
      </c>
      <c r="I143" s="9">
        <v>137609.18</v>
      </c>
      <c r="J143" s="9">
        <v>135075.58</v>
      </c>
      <c r="K143" s="9">
        <v>64037.62</v>
      </c>
      <c r="L143" s="9">
        <v>34390.99</v>
      </c>
      <c r="M143" s="9" t="e">
        <v>#N/A</v>
      </c>
      <c r="N143" s="11" t="str">
        <f t="shared" si="1"/>
        <v>#N/A</v>
      </c>
      <c r="O143" s="12">
        <v>0.34</v>
      </c>
      <c r="P143" s="9">
        <v>92208.07</v>
      </c>
      <c r="Q143" s="9">
        <v>-59084.94</v>
      </c>
      <c r="R143" s="9">
        <v>-18408.55</v>
      </c>
      <c r="S143" s="9">
        <v>14714.57</v>
      </c>
      <c r="T143" s="12">
        <v>29.7</v>
      </c>
      <c r="U143" s="12">
        <v>24.22</v>
      </c>
      <c r="V143" s="12">
        <v>52.51</v>
      </c>
      <c r="W143" s="12">
        <v>22.42</v>
      </c>
      <c r="X143" s="12">
        <v>14.87</v>
      </c>
      <c r="Y143" s="12">
        <v>9.94</v>
      </c>
      <c r="Z143" s="12" t="e">
        <v>#N/A</v>
      </c>
      <c r="AA143" s="12" t="str">
        <f t="shared" si="2"/>
        <v>#N/A</v>
      </c>
      <c r="AB143" s="12">
        <v>22.84</v>
      </c>
      <c r="AC143" s="12">
        <v>0.27</v>
      </c>
      <c r="AD143" s="9">
        <v>5186.93</v>
      </c>
      <c r="AE143" s="12">
        <v>4.06</v>
      </c>
      <c r="AF143" s="12">
        <v>1.86</v>
      </c>
      <c r="AG143" s="12">
        <v>15.65</v>
      </c>
      <c r="AH143" s="12">
        <v>1.06</v>
      </c>
      <c r="AI143" s="12">
        <v>1.57</v>
      </c>
      <c r="AJ143" s="12">
        <v>231.84</v>
      </c>
      <c r="AK143" s="12">
        <v>7.8</v>
      </c>
      <c r="AL143" s="12">
        <v>46.81</v>
      </c>
      <c r="AM143" s="12">
        <v>4.02</v>
      </c>
      <c r="AN143" s="12">
        <v>90.82</v>
      </c>
      <c r="AO143" s="12">
        <v>187.83</v>
      </c>
      <c r="AP143" s="13">
        <f t="shared" si="3"/>
        <v>-8.46461</v>
      </c>
      <c r="AQ143" s="15">
        <v>2.1075362182230992E-4</v>
      </c>
      <c r="AR143" s="13">
        <f t="shared" si="4"/>
        <v>0</v>
      </c>
      <c r="AS143" s="13"/>
      <c r="AT143" s="13"/>
      <c r="AU143" s="13"/>
      <c r="AV143" s="13" t="str">
        <f t="shared" si="89"/>
        <v/>
      </c>
      <c r="AW143" s="13" t="str">
        <f t="shared" si="90"/>
        <v/>
      </c>
      <c r="AX143" s="13"/>
      <c r="AY143" s="13"/>
      <c r="AZ143" s="13"/>
    </row>
    <row r="144">
      <c r="A144" s="8" t="s">
        <v>186</v>
      </c>
      <c r="B144" s="9">
        <v>1684173.79</v>
      </c>
      <c r="C144" s="9">
        <v>430659.48</v>
      </c>
      <c r="D144" s="9">
        <v>648564.61</v>
      </c>
      <c r="E144" s="9">
        <v>1015609.55</v>
      </c>
      <c r="F144" s="9">
        <v>928364.88</v>
      </c>
      <c r="G144" s="9">
        <v>813965.86</v>
      </c>
      <c r="H144" s="9">
        <v>244158.29</v>
      </c>
      <c r="I144" s="9">
        <v>115342.93</v>
      </c>
      <c r="J144" s="9">
        <v>62706.54</v>
      </c>
      <c r="K144" s="9">
        <v>74241.94</v>
      </c>
      <c r="L144" s="9">
        <v>40777.0</v>
      </c>
      <c r="M144" s="9">
        <v>69027.0</v>
      </c>
      <c r="N144" s="11">
        <f t="shared" si="1"/>
        <v>0</v>
      </c>
      <c r="O144" s="12">
        <v>0.11</v>
      </c>
      <c r="P144" s="9">
        <v>194625.58</v>
      </c>
      <c r="Q144" s="9">
        <v>-78116.4</v>
      </c>
      <c r="R144" s="9">
        <v>13147.83</v>
      </c>
      <c r="S144" s="9">
        <v>129657.02</v>
      </c>
      <c r="T144" s="12">
        <v>6.37</v>
      </c>
      <c r="U144" s="12">
        <v>6.7</v>
      </c>
      <c r="V144" s="12">
        <v>34.61</v>
      </c>
      <c r="W144" s="12">
        <v>9.11</v>
      </c>
      <c r="X144" s="12">
        <v>10.12</v>
      </c>
      <c r="Y144" s="12">
        <v>6.38</v>
      </c>
      <c r="Z144" s="12">
        <v>4.98</v>
      </c>
      <c r="AA144" s="12">
        <f t="shared" si="2"/>
        <v>0</v>
      </c>
      <c r="AB144" s="12">
        <v>12.42</v>
      </c>
      <c r="AC144" s="12">
        <v>0.34</v>
      </c>
      <c r="AD144" s="12">
        <v>7.42</v>
      </c>
      <c r="AE144" s="12">
        <v>2.8</v>
      </c>
      <c r="AF144" s="12">
        <v>1.6</v>
      </c>
      <c r="AG144" s="12">
        <v>1.52</v>
      </c>
      <c r="AH144" s="12">
        <v>0.54</v>
      </c>
      <c r="AI144" s="12">
        <v>5.94</v>
      </c>
      <c r="AJ144" s="12">
        <v>61.49</v>
      </c>
      <c r="AK144" s="12">
        <v>5.23</v>
      </c>
      <c r="AL144" s="12">
        <v>69.82</v>
      </c>
      <c r="AM144" s="12">
        <v>4.79</v>
      </c>
      <c r="AN144" s="12">
        <v>76.17</v>
      </c>
      <c r="AO144" s="12">
        <v>55.14</v>
      </c>
      <c r="AP144" s="13">
        <f t="shared" si="3"/>
        <v>-4.35933</v>
      </c>
      <c r="AQ144" s="15">
        <v>0.01262551024406445</v>
      </c>
      <c r="AR144" s="13">
        <f t="shared" si="4"/>
        <v>0</v>
      </c>
      <c r="AS144" s="13">
        <f>IF(AR144=N144,1,0)</f>
        <v>1</v>
      </c>
      <c r="AT144" s="13">
        <f>IF(AND(AR144=0,AS144=1),1,0)</f>
        <v>1</v>
      </c>
      <c r="AU144" s="13">
        <f>IF(AND(AR144=0,AS144=0),1,0)</f>
        <v>0</v>
      </c>
      <c r="AV144" s="13">
        <f t="shared" si="89"/>
        <v>0</v>
      </c>
      <c r="AW144" s="13">
        <f t="shared" si="90"/>
        <v>0</v>
      </c>
      <c r="AX144" s="13"/>
      <c r="AY144" s="13"/>
      <c r="AZ144" s="13"/>
    </row>
    <row r="145">
      <c r="A145" s="8" t="s">
        <v>187</v>
      </c>
      <c r="B145" s="9">
        <v>533471.53</v>
      </c>
      <c r="C145" s="9">
        <v>181141.87</v>
      </c>
      <c r="D145" s="9">
        <v>230000.0</v>
      </c>
      <c r="E145" s="9">
        <v>352329.38</v>
      </c>
      <c r="F145" s="9">
        <v>626251.11</v>
      </c>
      <c r="G145" s="9">
        <v>617622.71</v>
      </c>
      <c r="H145" s="9">
        <v>23581.8</v>
      </c>
      <c r="I145" s="9">
        <v>8911.36</v>
      </c>
      <c r="J145" s="9">
        <v>9448.65</v>
      </c>
      <c r="K145" s="9">
        <v>24854.56</v>
      </c>
      <c r="L145" s="9">
        <v>19131.36</v>
      </c>
      <c r="M145" s="9" t="e">
        <v>#N/A</v>
      </c>
      <c r="N145" s="11" t="str">
        <f t="shared" si="1"/>
        <v>#N/A</v>
      </c>
      <c r="O145" s="12">
        <v>0.02</v>
      </c>
      <c r="P145" s="9">
        <v>69309.52</v>
      </c>
      <c r="Q145" s="9">
        <v>-37314.24</v>
      </c>
      <c r="R145" s="9">
        <v>9846.19</v>
      </c>
      <c r="S145" s="9">
        <v>41841.47</v>
      </c>
      <c r="T145" s="12">
        <v>2.67</v>
      </c>
      <c r="U145" s="12">
        <v>1.68</v>
      </c>
      <c r="V145" s="12">
        <v>15.41</v>
      </c>
      <c r="W145" s="12">
        <v>1.51</v>
      </c>
      <c r="X145" s="12">
        <v>3.91</v>
      </c>
      <c r="Y145" s="12">
        <v>3.41</v>
      </c>
      <c r="Z145" s="12" t="e">
        <v>#N/A</v>
      </c>
      <c r="AA145" s="12" t="str">
        <f t="shared" si="2"/>
        <v>#N/A</v>
      </c>
      <c r="AB145" s="12">
        <v>1.42</v>
      </c>
      <c r="AC145" s="12">
        <v>0.51</v>
      </c>
      <c r="AD145" s="12">
        <v>7.76</v>
      </c>
      <c r="AE145" s="12">
        <v>2.43</v>
      </c>
      <c r="AF145" s="12">
        <v>1.33</v>
      </c>
      <c r="AG145" s="12">
        <v>4.18</v>
      </c>
      <c r="AH145" s="12">
        <v>1.18</v>
      </c>
      <c r="AI145" s="12">
        <v>6.76</v>
      </c>
      <c r="AJ145" s="12">
        <v>54.03</v>
      </c>
      <c r="AK145" s="12">
        <v>8.13</v>
      </c>
      <c r="AL145" s="12">
        <v>44.91</v>
      </c>
      <c r="AM145" s="12">
        <v>10.7</v>
      </c>
      <c r="AN145" s="12">
        <v>34.1</v>
      </c>
      <c r="AO145" s="12">
        <v>64.84</v>
      </c>
      <c r="AP145" s="13">
        <f t="shared" si="3"/>
        <v>-3.16981</v>
      </c>
      <c r="AQ145" s="15">
        <v>0.04031776630702876</v>
      </c>
      <c r="AR145" s="13">
        <f t="shared" si="4"/>
        <v>0</v>
      </c>
      <c r="AS145" s="13"/>
      <c r="AT145" s="13"/>
      <c r="AU145" s="13"/>
      <c r="AV145" s="13"/>
      <c r="AW145" s="13"/>
      <c r="AX145" s="13"/>
      <c r="AY145" s="13"/>
      <c r="AZ145" s="13"/>
    </row>
    <row r="146">
      <c r="A146" s="8" t="s">
        <v>188</v>
      </c>
      <c r="B146" s="9">
        <v>139474.67</v>
      </c>
      <c r="C146" s="9">
        <v>68979.57</v>
      </c>
      <c r="D146" s="9">
        <v>128077.7</v>
      </c>
      <c r="E146" s="9">
        <v>70495.1</v>
      </c>
      <c r="F146" s="9">
        <v>207307.21</v>
      </c>
      <c r="G146" s="9">
        <v>184519.78</v>
      </c>
      <c r="H146" s="9">
        <v>27381.46</v>
      </c>
      <c r="I146" s="9">
        <v>22787.43</v>
      </c>
      <c r="J146" s="9">
        <v>22466.64</v>
      </c>
      <c r="K146" s="9">
        <v>10072.96</v>
      </c>
      <c r="L146" s="9">
        <v>-26101.01</v>
      </c>
      <c r="M146" s="9">
        <v>-19984.7</v>
      </c>
      <c r="N146" s="11">
        <f t="shared" si="1"/>
        <v>0</v>
      </c>
      <c r="O146" s="12">
        <v>0.09</v>
      </c>
      <c r="P146" s="9">
        <v>33338.58</v>
      </c>
      <c r="Q146" s="9">
        <v>-3051.87</v>
      </c>
      <c r="R146" s="9">
        <v>-3960.0</v>
      </c>
      <c r="S146" s="9">
        <v>26326.71</v>
      </c>
      <c r="T146" s="12">
        <v>37.91</v>
      </c>
      <c r="U146" s="12">
        <v>16.61</v>
      </c>
      <c r="V146" s="12">
        <v>42.75</v>
      </c>
      <c r="W146" s="12">
        <v>10.84</v>
      </c>
      <c r="X146" s="12">
        <v>5.57</v>
      </c>
      <c r="Y146" s="12">
        <v>-25.45</v>
      </c>
      <c r="Z146" s="12">
        <v>-163.19</v>
      </c>
      <c r="AA146" s="12">
        <f t="shared" si="2"/>
        <v>0</v>
      </c>
      <c r="AB146" s="12">
        <v>10.99</v>
      </c>
      <c r="AC146" s="12">
        <v>0.98</v>
      </c>
      <c r="AD146" s="12">
        <v>55.21</v>
      </c>
      <c r="AE146" s="12">
        <v>1.76</v>
      </c>
      <c r="AF146" s="12">
        <v>1.37</v>
      </c>
      <c r="AG146" s="12">
        <v>20.68</v>
      </c>
      <c r="AH146" s="12">
        <v>1.51</v>
      </c>
      <c r="AI146" s="12">
        <v>304.7</v>
      </c>
      <c r="AJ146" s="12">
        <v>1.2</v>
      </c>
      <c r="AK146" s="12">
        <v>8.03</v>
      </c>
      <c r="AL146" s="12">
        <v>45.48</v>
      </c>
      <c r="AM146" s="12">
        <v>2.57</v>
      </c>
      <c r="AN146" s="12">
        <v>141.89</v>
      </c>
      <c r="AO146" s="12">
        <v>-95.21</v>
      </c>
      <c r="AP146" s="13">
        <f t="shared" si="3"/>
        <v>-5.40367</v>
      </c>
      <c r="AQ146" s="15">
        <v>0.004479875869750803</v>
      </c>
      <c r="AR146" s="13">
        <f t="shared" si="4"/>
        <v>0</v>
      </c>
      <c r="AS146" s="13">
        <f t="shared" ref="AS146:AS147" si="97">IF(AR146=N146,1,0)</f>
        <v>1</v>
      </c>
      <c r="AT146" s="13">
        <f t="shared" ref="AT146:AT147" si="98">IF(AND(AR146=0,AS146=1),1,0)</f>
        <v>1</v>
      </c>
      <c r="AU146" s="13">
        <f t="shared" ref="AU146:AU147" si="99">IF(AND(AR146=0,AS146=0),1,0)</f>
        <v>0</v>
      </c>
      <c r="AV146" s="13">
        <f t="shared" ref="AV146:AV147" si="100">IFERROR(IFS(AND(AR146=1,AS146=0),1,AS146="",""),0)</f>
        <v>0</v>
      </c>
      <c r="AW146" s="13">
        <f t="shared" ref="AW146:AW170" si="101">IFERROR(IFS(AND(AR146=1,AS146=1),1,AS146="",""),0)</f>
        <v>0</v>
      </c>
      <c r="AX146" s="13"/>
      <c r="AY146" s="13"/>
      <c r="AZ146" s="13"/>
    </row>
    <row r="147">
      <c r="A147" s="8" t="s">
        <v>189</v>
      </c>
      <c r="B147" s="9">
        <v>746644.0</v>
      </c>
      <c r="C147" s="9">
        <v>141729.0</v>
      </c>
      <c r="D147" s="9">
        <v>520783.0</v>
      </c>
      <c r="E147" s="9">
        <v>604915.0</v>
      </c>
      <c r="F147" s="9">
        <v>572287.0</v>
      </c>
      <c r="G147" s="9">
        <v>521126.0</v>
      </c>
      <c r="H147" s="9">
        <v>96919.0</v>
      </c>
      <c r="I147" s="9">
        <v>51161.0</v>
      </c>
      <c r="J147" s="9">
        <v>38962.0</v>
      </c>
      <c r="K147" s="9">
        <v>39869.0</v>
      </c>
      <c r="L147" s="9">
        <v>45807.0</v>
      </c>
      <c r="M147" s="9">
        <v>44235.0</v>
      </c>
      <c r="N147" s="11">
        <f t="shared" si="1"/>
        <v>0</v>
      </c>
      <c r="O147" s="12">
        <v>0.04</v>
      </c>
      <c r="P147" s="9">
        <v>84648.0</v>
      </c>
      <c r="Q147" s="9">
        <v>-81127.0</v>
      </c>
      <c r="R147" s="9">
        <v>-48086.0</v>
      </c>
      <c r="S147" s="9">
        <v>-44565.0</v>
      </c>
      <c r="T147" s="12">
        <v>6.43</v>
      </c>
      <c r="U147" s="12">
        <v>6.97</v>
      </c>
      <c r="V147" s="12">
        <v>18.52</v>
      </c>
      <c r="W147" s="12">
        <v>6.81</v>
      </c>
      <c r="X147" s="12">
        <v>8.68</v>
      </c>
      <c r="Y147" s="12">
        <v>10.93</v>
      </c>
      <c r="Z147" s="12">
        <v>9.48</v>
      </c>
      <c r="AA147" s="12">
        <f t="shared" si="2"/>
        <v>0</v>
      </c>
      <c r="AB147" s="12">
        <v>8.94</v>
      </c>
      <c r="AC147" s="12">
        <v>0.23</v>
      </c>
      <c r="AD147" s="12">
        <v>26.54</v>
      </c>
      <c r="AE147" s="12">
        <v>2.83</v>
      </c>
      <c r="AF147" s="12">
        <v>1.91</v>
      </c>
      <c r="AG147" s="12">
        <v>1.28</v>
      </c>
      <c r="AH147" s="12">
        <v>0.78</v>
      </c>
      <c r="AI147" s="12">
        <v>12.41</v>
      </c>
      <c r="AJ147" s="12">
        <v>29.41</v>
      </c>
      <c r="AK147" s="12">
        <v>5.49</v>
      </c>
      <c r="AL147" s="12">
        <v>66.46</v>
      </c>
      <c r="AM147" s="12">
        <v>6.07</v>
      </c>
      <c r="AN147" s="12">
        <v>60.14</v>
      </c>
      <c r="AO147" s="12">
        <v>35.73</v>
      </c>
      <c r="AP147" s="13">
        <f t="shared" si="3"/>
        <v>-5.02003</v>
      </c>
      <c r="AQ147" s="15">
        <v>0.006560997592594515</v>
      </c>
      <c r="AR147" s="13">
        <f t="shared" si="4"/>
        <v>0</v>
      </c>
      <c r="AS147" s="13">
        <f t="shared" si="97"/>
        <v>1</v>
      </c>
      <c r="AT147" s="13">
        <f t="shared" si="98"/>
        <v>1</v>
      </c>
      <c r="AU147" s="13">
        <f t="shared" si="99"/>
        <v>0</v>
      </c>
      <c r="AV147" s="13">
        <f t="shared" si="100"/>
        <v>0</v>
      </c>
      <c r="AW147" s="13">
        <f t="shared" si="101"/>
        <v>0</v>
      </c>
      <c r="AX147" s="13"/>
      <c r="AY147" s="13"/>
      <c r="AZ147" s="13"/>
    </row>
    <row r="148">
      <c r="A148" s="8" t="s">
        <v>190</v>
      </c>
      <c r="B148" s="9">
        <v>1210574.01</v>
      </c>
      <c r="C148" s="9">
        <v>182810.76</v>
      </c>
      <c r="D148" s="9">
        <v>112341.91</v>
      </c>
      <c r="E148" s="9">
        <v>1027763.25</v>
      </c>
      <c r="F148" s="9">
        <v>2013785.23</v>
      </c>
      <c r="G148" s="9">
        <v>1635755.61</v>
      </c>
      <c r="H148" s="9">
        <v>406202.02</v>
      </c>
      <c r="I148" s="9">
        <v>374859.99</v>
      </c>
      <c r="J148" s="9">
        <v>296661.15</v>
      </c>
      <c r="K148" s="9" t="e">
        <v>#N/A</v>
      </c>
      <c r="L148" s="9" t="e">
        <v>#N/A</v>
      </c>
      <c r="M148" s="9" t="e">
        <v>#N/A</v>
      </c>
      <c r="N148" s="11" t="str">
        <f t="shared" si="1"/>
        <v>#N/A</v>
      </c>
      <c r="O148" s="12">
        <v>1.32</v>
      </c>
      <c r="P148" s="9">
        <v>466090.47</v>
      </c>
      <c r="Q148" s="9">
        <v>-6214.6</v>
      </c>
      <c r="R148" s="9">
        <v>-396830.62</v>
      </c>
      <c r="S148" s="9">
        <v>63045.24</v>
      </c>
      <c r="T148" s="12">
        <v>30.81</v>
      </c>
      <c r="U148" s="12">
        <v>28.97</v>
      </c>
      <c r="V148" s="12">
        <v>29.45</v>
      </c>
      <c r="W148" s="12">
        <v>14.73</v>
      </c>
      <c r="X148" s="12" t="e">
        <v>#N/A</v>
      </c>
      <c r="Y148" s="12" t="e">
        <v>#N/A</v>
      </c>
      <c r="Z148" s="12" t="e">
        <v>#N/A</v>
      </c>
      <c r="AA148" s="12" t="str">
        <f t="shared" si="2"/>
        <v>#N/A</v>
      </c>
      <c r="AB148" s="12">
        <v>18.61</v>
      </c>
      <c r="AC148" s="12">
        <v>0.18</v>
      </c>
      <c r="AD148" s="12">
        <v>43.85</v>
      </c>
      <c r="AE148" s="12">
        <v>9.64</v>
      </c>
      <c r="AF148" s="12">
        <v>6.81</v>
      </c>
      <c r="AG148" s="12">
        <v>15.59</v>
      </c>
      <c r="AH148" s="12">
        <v>1.56</v>
      </c>
      <c r="AI148" s="12">
        <v>4.81</v>
      </c>
      <c r="AJ148" s="12">
        <v>75.85</v>
      </c>
      <c r="AK148" s="12">
        <v>10.08</v>
      </c>
      <c r="AL148" s="12">
        <v>36.2</v>
      </c>
      <c r="AM148" s="12">
        <v>22.38</v>
      </c>
      <c r="AN148" s="12">
        <v>16.31</v>
      </c>
      <c r="AO148" s="12">
        <v>95.74</v>
      </c>
      <c r="AP148" s="13">
        <f t="shared" si="3"/>
        <v>-14.66305</v>
      </c>
      <c r="AQ148" s="15">
        <v>4.2846772249960763E-7</v>
      </c>
      <c r="AR148" s="13">
        <f t="shared" si="4"/>
        <v>0</v>
      </c>
      <c r="AS148" s="13"/>
      <c r="AT148" s="13"/>
      <c r="AU148" s="13"/>
      <c r="AV148" s="13"/>
      <c r="AW148" s="13" t="str">
        <f t="shared" si="101"/>
        <v/>
      </c>
      <c r="AX148" s="13"/>
      <c r="AY148" s="13"/>
      <c r="AZ148" s="13"/>
    </row>
    <row r="149">
      <c r="A149" s="8" t="s">
        <v>191</v>
      </c>
      <c r="B149" s="9">
        <v>1745336.27</v>
      </c>
      <c r="C149" s="9">
        <v>430549.34</v>
      </c>
      <c r="D149" s="9">
        <v>379772.73</v>
      </c>
      <c r="E149" s="9">
        <v>1293573.04</v>
      </c>
      <c r="F149" s="9">
        <v>3836189.22</v>
      </c>
      <c r="G149" s="9">
        <v>3428551.06</v>
      </c>
      <c r="H149" s="9">
        <v>440665.76</v>
      </c>
      <c r="I149" s="9">
        <v>407638.16</v>
      </c>
      <c r="J149" s="9">
        <v>307587.58</v>
      </c>
      <c r="K149" s="9">
        <v>226140.17</v>
      </c>
      <c r="L149" s="9">
        <v>59837.17</v>
      </c>
      <c r="M149" s="9">
        <v>46532.73</v>
      </c>
      <c r="N149" s="11">
        <f t="shared" si="1"/>
        <v>0</v>
      </c>
      <c r="O149" s="12">
        <v>0.42</v>
      </c>
      <c r="P149" s="9">
        <v>615251.16</v>
      </c>
      <c r="Q149" s="9">
        <v>-146770.77</v>
      </c>
      <c r="R149" s="9">
        <v>-170111.46</v>
      </c>
      <c r="S149" s="9">
        <v>298368.94</v>
      </c>
      <c r="T149" s="12">
        <v>26.65</v>
      </c>
      <c r="U149" s="12">
        <v>23.96</v>
      </c>
      <c r="V149" s="12">
        <v>18.03</v>
      </c>
      <c r="W149" s="12">
        <v>8.28</v>
      </c>
      <c r="X149" s="12">
        <v>6.94</v>
      </c>
      <c r="Y149" s="12">
        <v>4.54</v>
      </c>
      <c r="Z149" s="12">
        <v>4.18</v>
      </c>
      <c r="AA149" s="12">
        <f t="shared" si="2"/>
        <v>0</v>
      </c>
      <c r="AB149" s="12">
        <v>10.63</v>
      </c>
      <c r="AC149" s="12">
        <v>0.33</v>
      </c>
      <c r="AD149" s="12">
        <v>44.09</v>
      </c>
      <c r="AE149" s="12">
        <v>3.98</v>
      </c>
      <c r="AF149" s="12">
        <v>3.86</v>
      </c>
      <c r="AG149" s="12">
        <v>5.9</v>
      </c>
      <c r="AH149" s="12">
        <v>2.25</v>
      </c>
      <c r="AI149" s="12" t="s">
        <v>47</v>
      </c>
      <c r="AJ149" s="12" t="s">
        <v>46</v>
      </c>
      <c r="AK149" s="12">
        <v>8.12</v>
      </c>
      <c r="AL149" s="12">
        <v>44.95</v>
      </c>
      <c r="AM149" s="12">
        <v>20.09</v>
      </c>
      <c r="AN149" s="12">
        <v>18.16</v>
      </c>
      <c r="AO149" s="12">
        <v>26.79</v>
      </c>
      <c r="AP149" s="13">
        <f t="shared" si="3"/>
        <v>-10.98201</v>
      </c>
      <c r="AQ149" s="15">
        <v>1.700459417654448E-5</v>
      </c>
      <c r="AR149" s="13">
        <f t="shared" si="4"/>
        <v>0</v>
      </c>
      <c r="AS149" s="13">
        <f t="shared" ref="AS149:AS155" si="102">IF(AR149=N149,1,0)</f>
        <v>1</v>
      </c>
      <c r="AT149" s="13">
        <f t="shared" ref="AT149:AT155" si="103">IF(AND(AR149=0,AS149=1),1,0)</f>
        <v>1</v>
      </c>
      <c r="AU149" s="13">
        <f t="shared" ref="AU149:AU155" si="104">IF(AND(AR149=0,AS149=0),1,0)</f>
        <v>0</v>
      </c>
      <c r="AV149" s="13">
        <f t="shared" ref="AV149:AV164" si="105">IFERROR(IFS(AND(AR149=1,AS149=0),1,AS149="",""),0)</f>
        <v>0</v>
      </c>
      <c r="AW149" s="13">
        <f t="shared" si="101"/>
        <v>0</v>
      </c>
      <c r="AX149" s="13"/>
      <c r="AY149" s="13"/>
      <c r="AZ149" s="13"/>
    </row>
    <row r="150">
      <c r="A150" s="8" t="s">
        <v>192</v>
      </c>
      <c r="B150" s="9">
        <v>2419102.85</v>
      </c>
      <c r="C150" s="9">
        <v>1850102.51</v>
      </c>
      <c r="D150" s="9">
        <v>213749.98</v>
      </c>
      <c r="E150" s="9">
        <v>568996.76</v>
      </c>
      <c r="F150" s="9">
        <v>721366.18</v>
      </c>
      <c r="G150" s="9">
        <v>757991.69</v>
      </c>
      <c r="H150" s="9">
        <v>274975.36</v>
      </c>
      <c r="I150" s="9">
        <v>-36711.49</v>
      </c>
      <c r="J150" s="9">
        <v>-88029.56</v>
      </c>
      <c r="K150" s="9">
        <v>-286718.58</v>
      </c>
      <c r="L150" s="9">
        <v>-209084.94</v>
      </c>
      <c r="M150" s="9">
        <v>245469.17</v>
      </c>
      <c r="N150" s="11">
        <f t="shared" si="1"/>
        <v>0</v>
      </c>
      <c r="O150" s="12">
        <v>-0.1</v>
      </c>
      <c r="P150" s="9">
        <v>186709.71</v>
      </c>
      <c r="Q150" s="9">
        <v>-118581.71</v>
      </c>
      <c r="R150" s="9">
        <v>6920.73</v>
      </c>
      <c r="S150" s="9">
        <v>75048.73</v>
      </c>
      <c r="T150" s="12">
        <v>-14.83</v>
      </c>
      <c r="U150" s="12">
        <v>-1.57</v>
      </c>
      <c r="V150" s="12">
        <v>11.31</v>
      </c>
      <c r="W150" s="12">
        <v>-12.2</v>
      </c>
      <c r="X150" s="12">
        <v>-163.89</v>
      </c>
      <c r="Y150" s="12">
        <v>-48.0</v>
      </c>
      <c r="Z150" s="12">
        <v>17.53</v>
      </c>
      <c r="AA150" s="12">
        <f t="shared" si="2"/>
        <v>0</v>
      </c>
      <c r="AB150" s="12">
        <v>-5.09</v>
      </c>
      <c r="AC150" s="12">
        <v>3.25</v>
      </c>
      <c r="AD150" s="12">
        <v>-0.73</v>
      </c>
      <c r="AE150" s="12">
        <v>0.53</v>
      </c>
      <c r="AF150" s="12">
        <v>0.42</v>
      </c>
      <c r="AG150" s="12">
        <v>0.37</v>
      </c>
      <c r="AH150" s="12">
        <v>0.31</v>
      </c>
      <c r="AI150" s="12">
        <v>19.23</v>
      </c>
      <c r="AJ150" s="12">
        <v>18.98</v>
      </c>
      <c r="AK150" s="12">
        <v>31.33</v>
      </c>
      <c r="AL150" s="12">
        <v>11.65</v>
      </c>
      <c r="AM150" s="12">
        <v>9.62</v>
      </c>
      <c r="AN150" s="12">
        <v>37.95</v>
      </c>
      <c r="AO150" s="12">
        <v>-7.32</v>
      </c>
      <c r="AP150" s="13">
        <f t="shared" si="3"/>
        <v>1.58168</v>
      </c>
      <c r="AQ150" s="15">
        <v>0.8294423153719914</v>
      </c>
      <c r="AR150" s="13">
        <f t="shared" si="4"/>
        <v>1</v>
      </c>
      <c r="AS150" s="13">
        <f t="shared" si="102"/>
        <v>0</v>
      </c>
      <c r="AT150" s="13">
        <f t="shared" si="103"/>
        <v>0</v>
      </c>
      <c r="AU150" s="13">
        <f t="shared" si="104"/>
        <v>0</v>
      </c>
      <c r="AV150" s="13">
        <f t="shared" si="105"/>
        <v>1</v>
      </c>
      <c r="AW150" s="13">
        <f t="shared" si="101"/>
        <v>0</v>
      </c>
      <c r="AX150" s="13"/>
      <c r="AY150" s="13"/>
      <c r="AZ150" s="13"/>
    </row>
    <row r="151">
      <c r="A151" s="8" t="s">
        <v>193</v>
      </c>
      <c r="B151" s="9">
        <v>1052946.57</v>
      </c>
      <c r="C151" s="9">
        <v>503099.49</v>
      </c>
      <c r="D151" s="9">
        <v>200000.0</v>
      </c>
      <c r="E151" s="9">
        <v>549847.08</v>
      </c>
      <c r="F151" s="9">
        <v>5615764.99</v>
      </c>
      <c r="G151" s="9">
        <v>5449320.31</v>
      </c>
      <c r="H151" s="9">
        <v>261749.16</v>
      </c>
      <c r="I151" s="9">
        <v>166444.69</v>
      </c>
      <c r="J151" s="9">
        <v>126565.9</v>
      </c>
      <c r="K151" s="9">
        <v>125561.64</v>
      </c>
      <c r="L151" s="9">
        <v>73301.19</v>
      </c>
      <c r="M151" s="9">
        <v>75695.99</v>
      </c>
      <c r="N151" s="11">
        <f t="shared" si="1"/>
        <v>0</v>
      </c>
      <c r="O151" s="12">
        <v>0.32</v>
      </c>
      <c r="P151" s="9">
        <v>148918.92</v>
      </c>
      <c r="Q151" s="9">
        <v>-67943.55</v>
      </c>
      <c r="R151" s="9">
        <v>-130141.01</v>
      </c>
      <c r="S151" s="9">
        <v>-49165.64</v>
      </c>
      <c r="T151" s="12">
        <v>24.3</v>
      </c>
      <c r="U151" s="12">
        <v>18.05</v>
      </c>
      <c r="V151" s="12">
        <v>10.62</v>
      </c>
      <c r="W151" s="12">
        <v>2.25</v>
      </c>
      <c r="X151" s="12">
        <v>2.25</v>
      </c>
      <c r="Y151" s="12">
        <v>2.02</v>
      </c>
      <c r="Z151" s="12">
        <v>2.1</v>
      </c>
      <c r="AA151" s="12">
        <f t="shared" si="2"/>
        <v>0</v>
      </c>
      <c r="AB151" s="12">
        <v>2.96</v>
      </c>
      <c r="AC151" s="12">
        <v>0.91</v>
      </c>
      <c r="AD151" s="12">
        <v>19.66</v>
      </c>
      <c r="AE151" s="12">
        <v>1.8</v>
      </c>
      <c r="AF151" s="12">
        <v>0.29</v>
      </c>
      <c r="AG151" s="12">
        <v>25.12</v>
      </c>
      <c r="AH151" s="12">
        <v>6.09</v>
      </c>
      <c r="AI151" s="12">
        <v>10.72</v>
      </c>
      <c r="AJ151" s="12">
        <v>34.06</v>
      </c>
      <c r="AK151" s="12">
        <v>76.56</v>
      </c>
      <c r="AL151" s="12">
        <v>4.77</v>
      </c>
      <c r="AM151" s="12">
        <v>22.1</v>
      </c>
      <c r="AN151" s="12">
        <v>16.52</v>
      </c>
      <c r="AO151" s="12">
        <v>22.3</v>
      </c>
      <c r="AP151" s="13">
        <f t="shared" si="3"/>
        <v>-5.96273</v>
      </c>
      <c r="AQ151" s="15">
        <v>0.0025662757021463795</v>
      </c>
      <c r="AR151" s="13">
        <f t="shared" si="4"/>
        <v>0</v>
      </c>
      <c r="AS151" s="13">
        <f t="shared" si="102"/>
        <v>1</v>
      </c>
      <c r="AT151" s="13">
        <f t="shared" si="103"/>
        <v>1</v>
      </c>
      <c r="AU151" s="13">
        <f t="shared" si="104"/>
        <v>0</v>
      </c>
      <c r="AV151" s="13">
        <f t="shared" si="105"/>
        <v>0</v>
      </c>
      <c r="AW151" s="13">
        <f t="shared" si="101"/>
        <v>0</v>
      </c>
      <c r="AX151" s="13"/>
      <c r="AY151" s="13"/>
      <c r="AZ151" s="13"/>
    </row>
    <row r="152">
      <c r="A152" s="8" t="s">
        <v>194</v>
      </c>
      <c r="B152" s="9">
        <v>2699644.0</v>
      </c>
      <c r="C152" s="9">
        <v>1871984.0</v>
      </c>
      <c r="D152" s="9">
        <v>338350.0</v>
      </c>
      <c r="E152" s="9">
        <v>804675.0</v>
      </c>
      <c r="F152" s="9">
        <v>1337171.0</v>
      </c>
      <c r="G152" s="9">
        <v>1379445.0</v>
      </c>
      <c r="H152" s="9">
        <v>45415.0</v>
      </c>
      <c r="I152" s="9">
        <v>-35758.0</v>
      </c>
      <c r="J152" s="9">
        <v>-55781.0</v>
      </c>
      <c r="K152" s="9">
        <v>-129774.0</v>
      </c>
      <c r="L152" s="9">
        <v>-129682.0</v>
      </c>
      <c r="M152" s="9">
        <v>20383.0</v>
      </c>
      <c r="N152" s="11">
        <f t="shared" si="1"/>
        <v>0</v>
      </c>
      <c r="O152" s="12">
        <v>-0.08</v>
      </c>
      <c r="P152" s="9">
        <v>-160955.0</v>
      </c>
      <c r="Q152" s="9">
        <v>-227634.0</v>
      </c>
      <c r="R152" s="9">
        <v>393129.0</v>
      </c>
      <c r="S152" s="9">
        <v>4540.0</v>
      </c>
      <c r="T152" s="12">
        <v>-6.7</v>
      </c>
      <c r="U152" s="12">
        <v>-1.4</v>
      </c>
      <c r="V152" s="12">
        <v>14.9</v>
      </c>
      <c r="W152" s="12">
        <v>-4.83</v>
      </c>
      <c r="X152" s="12">
        <v>-14.74</v>
      </c>
      <c r="Y152" s="12">
        <v>-7.7</v>
      </c>
      <c r="Z152" s="12">
        <v>1.25</v>
      </c>
      <c r="AA152" s="12">
        <f t="shared" si="2"/>
        <v>0</v>
      </c>
      <c r="AB152" s="12">
        <v>-2.67</v>
      </c>
      <c r="AC152" s="12">
        <v>2.26</v>
      </c>
      <c r="AD152" s="12">
        <v>-1.62</v>
      </c>
      <c r="AE152" s="12">
        <v>1.05</v>
      </c>
      <c r="AF152" s="12">
        <v>0.54</v>
      </c>
      <c r="AG152" s="12">
        <v>1.09</v>
      </c>
      <c r="AH152" s="12">
        <v>0.52</v>
      </c>
      <c r="AI152" s="12">
        <v>15.05</v>
      </c>
      <c r="AJ152" s="12">
        <v>24.26</v>
      </c>
      <c r="AK152" s="12">
        <v>4.17</v>
      </c>
      <c r="AL152" s="12">
        <v>87.5</v>
      </c>
      <c r="AM152" s="12">
        <v>3.68</v>
      </c>
      <c r="AN152" s="12">
        <v>99.26</v>
      </c>
      <c r="AO152" s="12">
        <v>12.49</v>
      </c>
      <c r="AP152" s="13">
        <f t="shared" si="3"/>
        <v>0.7152</v>
      </c>
      <c r="AQ152" s="15">
        <v>0.6715491499166931</v>
      </c>
      <c r="AR152" s="13">
        <f t="shared" si="4"/>
        <v>1</v>
      </c>
      <c r="AS152" s="13">
        <f t="shared" si="102"/>
        <v>0</v>
      </c>
      <c r="AT152" s="13">
        <f t="shared" si="103"/>
        <v>0</v>
      </c>
      <c r="AU152" s="13">
        <f t="shared" si="104"/>
        <v>0</v>
      </c>
      <c r="AV152" s="13">
        <f t="shared" si="105"/>
        <v>1</v>
      </c>
      <c r="AW152" s="13">
        <f t="shared" si="101"/>
        <v>0</v>
      </c>
      <c r="AX152" s="13"/>
      <c r="AY152" s="13"/>
      <c r="AZ152" s="13"/>
    </row>
    <row r="153">
      <c r="A153" s="8" t="s">
        <v>195</v>
      </c>
      <c r="B153" s="9">
        <v>129396.9</v>
      </c>
      <c r="C153" s="9">
        <v>4344.26</v>
      </c>
      <c r="D153" s="9">
        <v>238636.98</v>
      </c>
      <c r="E153" s="9">
        <v>125052.64</v>
      </c>
      <c r="F153" s="9">
        <v>3501.71</v>
      </c>
      <c r="G153" s="9">
        <v>65945.0</v>
      </c>
      <c r="H153" s="9">
        <v>-130397.6</v>
      </c>
      <c r="I153" s="9">
        <v>-131922.21</v>
      </c>
      <c r="J153" s="9">
        <v>-132119.67</v>
      </c>
      <c r="K153" s="9">
        <v>12988.2</v>
      </c>
      <c r="L153" s="9">
        <v>-249061.8</v>
      </c>
      <c r="M153" s="9">
        <v>-112511.17</v>
      </c>
      <c r="N153" s="11">
        <f t="shared" si="1"/>
        <v>0</v>
      </c>
      <c r="O153" s="12">
        <v>-0.39</v>
      </c>
      <c r="P153" s="9">
        <v>-17420.11</v>
      </c>
      <c r="Q153" s="9">
        <v>85119.11</v>
      </c>
      <c r="R153" s="9">
        <v>-19826.15</v>
      </c>
      <c r="S153" s="9">
        <v>47872.85</v>
      </c>
      <c r="T153" s="12">
        <v>-77.07</v>
      </c>
      <c r="U153" s="12">
        <v>-71.11</v>
      </c>
      <c r="V153" s="12">
        <v>43.07</v>
      </c>
      <c r="W153" s="9">
        <v>-3773.0</v>
      </c>
      <c r="X153" s="9">
        <v>144.93</v>
      </c>
      <c r="Y153" s="9">
        <v>-1084.95</v>
      </c>
      <c r="Z153" s="9">
        <v>-385.75</v>
      </c>
      <c r="AA153" s="12">
        <f t="shared" si="2"/>
        <v>0</v>
      </c>
      <c r="AB153" s="9">
        <v>-3767.37</v>
      </c>
      <c r="AC153" s="12">
        <v>0.03</v>
      </c>
      <c r="AD153" s="12">
        <v>-668.1</v>
      </c>
      <c r="AE153" s="12">
        <v>31.68</v>
      </c>
      <c r="AF153" s="12">
        <v>30.29</v>
      </c>
      <c r="AG153" s="12">
        <v>1.26</v>
      </c>
      <c r="AH153" s="12">
        <v>0.02</v>
      </c>
      <c r="AI153" s="12" t="s">
        <v>47</v>
      </c>
      <c r="AJ153" s="12" t="s">
        <v>46</v>
      </c>
      <c r="AK153" s="12">
        <v>0.24</v>
      </c>
      <c r="AL153" s="9">
        <v>1536.6</v>
      </c>
      <c r="AM153" s="12">
        <v>0.55</v>
      </c>
      <c r="AN153" s="12">
        <v>666.03</v>
      </c>
      <c r="AO153" s="12">
        <v>870.57</v>
      </c>
      <c r="AP153" s="13">
        <f t="shared" si="3"/>
        <v>-172.5825</v>
      </c>
      <c r="AQ153" s="15">
        <v>1.1178218048018793E-75</v>
      </c>
      <c r="AR153" s="13">
        <f t="shared" si="4"/>
        <v>0</v>
      </c>
      <c r="AS153" s="13">
        <f t="shared" si="102"/>
        <v>1</v>
      </c>
      <c r="AT153" s="13">
        <f t="shared" si="103"/>
        <v>1</v>
      </c>
      <c r="AU153" s="13">
        <f t="shared" si="104"/>
        <v>0</v>
      </c>
      <c r="AV153" s="13">
        <f t="shared" si="105"/>
        <v>0</v>
      </c>
      <c r="AW153" s="13">
        <f t="shared" si="101"/>
        <v>0</v>
      </c>
      <c r="AX153" s="13"/>
      <c r="AY153" s="13"/>
      <c r="AZ153" s="13"/>
    </row>
    <row r="154">
      <c r="A154" s="8" t="s">
        <v>196</v>
      </c>
      <c r="B154" s="9">
        <v>673863.11</v>
      </c>
      <c r="C154" s="9">
        <v>302957.95</v>
      </c>
      <c r="D154" s="9">
        <v>284000.0</v>
      </c>
      <c r="E154" s="9">
        <v>370905.16</v>
      </c>
      <c r="F154" s="9">
        <v>436396.8</v>
      </c>
      <c r="G154" s="9">
        <v>423674.13</v>
      </c>
      <c r="H154" s="9">
        <v>37772.41</v>
      </c>
      <c r="I154" s="9">
        <v>7256.7</v>
      </c>
      <c r="J154" s="9">
        <v>1332.89</v>
      </c>
      <c r="K154" s="9">
        <v>3007.06</v>
      </c>
      <c r="L154" s="9">
        <v>14703.21</v>
      </c>
      <c r="M154" s="9">
        <v>25770.56</v>
      </c>
      <c r="N154" s="11">
        <f t="shared" si="1"/>
        <v>0</v>
      </c>
      <c r="O154" s="12" t="s">
        <v>46</v>
      </c>
      <c r="P154" s="9">
        <v>13402.3</v>
      </c>
      <c r="Q154" s="9">
        <v>-80285.12</v>
      </c>
      <c r="R154" s="9">
        <v>65664.82</v>
      </c>
      <c r="S154" s="9">
        <v>-1217.99</v>
      </c>
      <c r="T154" s="12">
        <v>0.36</v>
      </c>
      <c r="U154" s="12">
        <v>1.15</v>
      </c>
      <c r="V154" s="12">
        <v>26.28</v>
      </c>
      <c r="W154" s="12">
        <v>0.31</v>
      </c>
      <c r="X154" s="12">
        <v>0.71</v>
      </c>
      <c r="Y154" s="12">
        <v>3.49</v>
      </c>
      <c r="Z154" s="12">
        <v>6.11</v>
      </c>
      <c r="AA154" s="12">
        <f t="shared" si="2"/>
        <v>0</v>
      </c>
      <c r="AB154" s="12">
        <v>1.66</v>
      </c>
      <c r="AC154" s="12">
        <v>0.82</v>
      </c>
      <c r="AD154" s="12">
        <v>1.48</v>
      </c>
      <c r="AE154" s="12">
        <v>0.86</v>
      </c>
      <c r="AF154" s="12">
        <v>0.63</v>
      </c>
      <c r="AG154" s="12">
        <v>0.95</v>
      </c>
      <c r="AH154" s="12">
        <v>0.69</v>
      </c>
      <c r="AI154" s="12">
        <v>7.68</v>
      </c>
      <c r="AJ154" s="12">
        <v>47.55</v>
      </c>
      <c r="AK154" s="12">
        <v>3.57</v>
      </c>
      <c r="AL154" s="12">
        <v>102.22</v>
      </c>
      <c r="AM154" s="12">
        <v>3.95</v>
      </c>
      <c r="AN154" s="12">
        <v>92.36</v>
      </c>
      <c r="AO154" s="12">
        <v>57.4</v>
      </c>
      <c r="AP154" s="13">
        <f t="shared" si="3"/>
        <v>-1.78492</v>
      </c>
      <c r="AQ154" s="15">
        <v>0.14369667631356295</v>
      </c>
      <c r="AR154" s="13">
        <f t="shared" si="4"/>
        <v>0</v>
      </c>
      <c r="AS154" s="13">
        <f t="shared" si="102"/>
        <v>1</v>
      </c>
      <c r="AT154" s="13">
        <f t="shared" si="103"/>
        <v>1</v>
      </c>
      <c r="AU154" s="13">
        <f t="shared" si="104"/>
        <v>0</v>
      </c>
      <c r="AV154" s="13">
        <f t="shared" si="105"/>
        <v>0</v>
      </c>
      <c r="AW154" s="13">
        <f t="shared" si="101"/>
        <v>0</v>
      </c>
      <c r="AX154" s="13"/>
      <c r="AY154" s="13"/>
      <c r="AZ154" s="13"/>
    </row>
    <row r="155">
      <c r="A155" s="8" t="s">
        <v>197</v>
      </c>
      <c r="B155" s="9">
        <v>1219164.48</v>
      </c>
      <c r="C155" s="9">
        <v>152443.45</v>
      </c>
      <c r="D155" s="9">
        <v>3697251.39</v>
      </c>
      <c r="E155" s="9">
        <v>1074131.21</v>
      </c>
      <c r="F155" s="9">
        <v>360088.92</v>
      </c>
      <c r="G155" s="9">
        <v>452158.43</v>
      </c>
      <c r="H155" s="9">
        <v>-75908.72</v>
      </c>
      <c r="I155" s="9">
        <v>-92069.51</v>
      </c>
      <c r="J155" s="9">
        <v>-107460.03</v>
      </c>
      <c r="K155" s="9">
        <v>-50710.65</v>
      </c>
      <c r="L155" s="9">
        <v>-310613.1</v>
      </c>
      <c r="M155" s="9">
        <v>-801302.54</v>
      </c>
      <c r="N155" s="11">
        <f t="shared" si="1"/>
        <v>1</v>
      </c>
      <c r="O155" s="12" t="s">
        <v>46</v>
      </c>
      <c r="P155" s="9">
        <v>-105857.21</v>
      </c>
      <c r="Q155" s="9">
        <v>-487953.76</v>
      </c>
      <c r="R155" s="9">
        <v>404438.13</v>
      </c>
      <c r="S155" s="9">
        <v>-189372.85</v>
      </c>
      <c r="T155" s="12">
        <v>-12.58</v>
      </c>
      <c r="U155" s="12">
        <v>-8.89</v>
      </c>
      <c r="V155" s="12">
        <v>10.98</v>
      </c>
      <c r="W155" s="12">
        <v>-28.97</v>
      </c>
      <c r="X155" s="12">
        <v>-20.21</v>
      </c>
      <c r="Y155" s="12">
        <v>-67.14</v>
      </c>
      <c r="Z155" s="12">
        <v>-73.21</v>
      </c>
      <c r="AA155" s="12">
        <f t="shared" si="2"/>
        <v>1</v>
      </c>
      <c r="AB155" s="12">
        <v>-25.57</v>
      </c>
      <c r="AC155" s="12">
        <v>0.14</v>
      </c>
      <c r="AD155" s="12">
        <v>-11.13</v>
      </c>
      <c r="AE155" s="12">
        <v>9.09</v>
      </c>
      <c r="AF155" s="12">
        <v>3.36</v>
      </c>
      <c r="AG155" s="12">
        <v>0.82</v>
      </c>
      <c r="AH155" s="12">
        <v>0.35</v>
      </c>
      <c r="AI155" s="12">
        <v>3.75</v>
      </c>
      <c r="AJ155" s="12">
        <v>97.28</v>
      </c>
      <c r="AK155" s="12">
        <v>3.73</v>
      </c>
      <c r="AL155" s="12">
        <v>97.92</v>
      </c>
      <c r="AM155" s="12">
        <v>6.32</v>
      </c>
      <c r="AN155" s="12">
        <v>57.72</v>
      </c>
      <c r="AO155" s="12">
        <v>137.48</v>
      </c>
      <c r="AP155" s="13">
        <f t="shared" si="3"/>
        <v>-3.91904</v>
      </c>
      <c r="AQ155" s="15">
        <v>0.019473406540017633</v>
      </c>
      <c r="AR155" s="13">
        <f t="shared" si="4"/>
        <v>0</v>
      </c>
      <c r="AS155" s="13">
        <f t="shared" si="102"/>
        <v>0</v>
      </c>
      <c r="AT155" s="13">
        <f t="shared" si="103"/>
        <v>0</v>
      </c>
      <c r="AU155" s="13">
        <f t="shared" si="104"/>
        <v>1</v>
      </c>
      <c r="AV155" s="13">
        <f t="shared" si="105"/>
        <v>0</v>
      </c>
      <c r="AW155" s="13">
        <f t="shared" si="101"/>
        <v>0</v>
      </c>
      <c r="AX155" s="13"/>
      <c r="AY155" s="13"/>
      <c r="AZ155" s="13"/>
    </row>
    <row r="156">
      <c r="A156" s="8" t="s">
        <v>198</v>
      </c>
      <c r="B156" s="9">
        <v>843729.36</v>
      </c>
      <c r="C156" s="9">
        <v>205125.78</v>
      </c>
      <c r="D156" s="9">
        <v>100000.0</v>
      </c>
      <c r="E156" s="9">
        <v>638603.58</v>
      </c>
      <c r="F156" s="9">
        <v>562572.23</v>
      </c>
      <c r="G156" s="9">
        <v>425060.62</v>
      </c>
      <c r="H156" s="9">
        <v>170893.08</v>
      </c>
      <c r="I156" s="9">
        <v>137511.61</v>
      </c>
      <c r="J156" s="9">
        <v>109645.14</v>
      </c>
      <c r="K156" s="9" t="e">
        <v>#N/A</v>
      </c>
      <c r="L156" s="9" t="e">
        <v>#N/A</v>
      </c>
      <c r="M156" s="9" t="e">
        <v>#N/A</v>
      </c>
      <c r="N156" s="11" t="str">
        <f t="shared" si="1"/>
        <v>#N/A</v>
      </c>
      <c r="O156" s="12">
        <v>1.23</v>
      </c>
      <c r="P156" s="9">
        <v>154945.63</v>
      </c>
      <c r="Q156" s="9">
        <v>-416101.61</v>
      </c>
      <c r="R156" s="9">
        <v>258262.35</v>
      </c>
      <c r="S156" s="9">
        <v>-2893.63</v>
      </c>
      <c r="T156" s="12">
        <v>24.8</v>
      </c>
      <c r="U156" s="12">
        <v>20.65</v>
      </c>
      <c r="V156" s="12">
        <v>35.05</v>
      </c>
      <c r="W156" s="12">
        <v>19.49</v>
      </c>
      <c r="X156" s="12" t="e">
        <v>#N/A</v>
      </c>
      <c r="Y156" s="12" t="e">
        <v>#N/A</v>
      </c>
      <c r="Z156" s="12" t="e">
        <v>#N/A</v>
      </c>
      <c r="AA156" s="12" t="str">
        <f t="shared" si="2"/>
        <v>#N/A</v>
      </c>
      <c r="AB156" s="12">
        <v>24.44</v>
      </c>
      <c r="AC156" s="12">
        <v>0.32</v>
      </c>
      <c r="AD156" s="12">
        <v>26.47</v>
      </c>
      <c r="AE156" s="12">
        <v>6.18</v>
      </c>
      <c r="AF156" s="12">
        <v>5.48</v>
      </c>
      <c r="AG156" s="12">
        <v>1.89</v>
      </c>
      <c r="AH156" s="12">
        <v>0.84</v>
      </c>
      <c r="AI156" s="12">
        <v>6.24</v>
      </c>
      <c r="AJ156" s="12">
        <v>58.47</v>
      </c>
      <c r="AK156" s="12">
        <v>5.11</v>
      </c>
      <c r="AL156" s="12">
        <v>71.47</v>
      </c>
      <c r="AM156" s="12">
        <v>5.8</v>
      </c>
      <c r="AN156" s="12">
        <v>62.93</v>
      </c>
      <c r="AO156" s="12">
        <v>67.01</v>
      </c>
      <c r="AP156" s="13">
        <f t="shared" si="3"/>
        <v>-10.79865</v>
      </c>
      <c r="AQ156" s="15">
        <v>2.0426644081880797E-5</v>
      </c>
      <c r="AR156" s="13">
        <f t="shared" si="4"/>
        <v>0</v>
      </c>
      <c r="AS156" s="13"/>
      <c r="AT156" s="13"/>
      <c r="AU156" s="13"/>
      <c r="AV156" s="13" t="str">
        <f t="shared" si="105"/>
        <v/>
      </c>
      <c r="AW156" s="13" t="str">
        <f t="shared" si="101"/>
        <v/>
      </c>
      <c r="AX156" s="13"/>
      <c r="AY156" s="13"/>
      <c r="AZ156" s="13"/>
    </row>
    <row r="157">
      <c r="A157" s="8" t="s">
        <v>199</v>
      </c>
      <c r="B157" s="9">
        <v>1273543.91</v>
      </c>
      <c r="C157" s="9">
        <v>554122.33</v>
      </c>
      <c r="D157" s="9">
        <v>226696.48</v>
      </c>
      <c r="E157" s="9">
        <v>692182.8</v>
      </c>
      <c r="F157" s="9">
        <v>1696795.16</v>
      </c>
      <c r="G157" s="9">
        <v>1639837.63</v>
      </c>
      <c r="H157" s="9">
        <v>103238.11</v>
      </c>
      <c r="I157" s="9">
        <v>56957.53</v>
      </c>
      <c r="J157" s="9">
        <v>17256.02</v>
      </c>
      <c r="K157" s="9">
        <v>146200.76</v>
      </c>
      <c r="L157" s="9">
        <v>67678.89</v>
      </c>
      <c r="M157" s="9">
        <v>171302.75</v>
      </c>
      <c r="N157" s="11">
        <f t="shared" si="1"/>
        <v>0</v>
      </c>
      <c r="O157" s="12">
        <v>0.04</v>
      </c>
      <c r="P157" s="9">
        <v>25527.4</v>
      </c>
      <c r="Q157" s="9">
        <v>-36209.87</v>
      </c>
      <c r="R157" s="9">
        <v>65589.79</v>
      </c>
      <c r="S157" s="9">
        <v>54907.32</v>
      </c>
      <c r="T157" s="12">
        <v>2.49</v>
      </c>
      <c r="U157" s="12">
        <v>4.57</v>
      </c>
      <c r="V157" s="12">
        <v>33.43</v>
      </c>
      <c r="W157" s="12">
        <v>1.39</v>
      </c>
      <c r="X157" s="12">
        <v>8.27</v>
      </c>
      <c r="Y157" s="12">
        <v>5.43</v>
      </c>
      <c r="Z157" s="12">
        <v>10.4</v>
      </c>
      <c r="AA157" s="12">
        <f t="shared" si="2"/>
        <v>0</v>
      </c>
      <c r="AB157" s="12">
        <v>3.36</v>
      </c>
      <c r="AC157" s="12">
        <v>0.77</v>
      </c>
      <c r="AD157" s="12">
        <v>29.32</v>
      </c>
      <c r="AE157" s="12">
        <v>1.75</v>
      </c>
      <c r="AF157" s="12">
        <v>1.14</v>
      </c>
      <c r="AG157" s="12">
        <v>4.67</v>
      </c>
      <c r="AH157" s="12">
        <v>1.36</v>
      </c>
      <c r="AI157" s="12">
        <v>4.37</v>
      </c>
      <c r="AJ157" s="12">
        <v>83.48</v>
      </c>
      <c r="AK157" s="12">
        <v>6.02</v>
      </c>
      <c r="AL157" s="12">
        <v>60.6</v>
      </c>
      <c r="AM157" s="12">
        <v>3.52</v>
      </c>
      <c r="AN157" s="12">
        <v>103.56</v>
      </c>
      <c r="AO157" s="12">
        <v>40.52</v>
      </c>
      <c r="AP157" s="13">
        <f t="shared" si="3"/>
        <v>-3.04683</v>
      </c>
      <c r="AQ157" s="15">
        <v>0.0453545289017472</v>
      </c>
      <c r="AR157" s="13">
        <f t="shared" si="4"/>
        <v>0</v>
      </c>
      <c r="AS157" s="13">
        <f t="shared" ref="AS157:AS164" si="106">IF(AR157=N157,1,0)</f>
        <v>1</v>
      </c>
      <c r="AT157" s="13">
        <f t="shared" ref="AT157:AT164" si="107">IF(AND(AR157=0,AS157=1),1,0)</f>
        <v>1</v>
      </c>
      <c r="AU157" s="13">
        <f t="shared" ref="AU157:AU164" si="108">IF(AND(AR157=0,AS157=0),1,0)</f>
        <v>0</v>
      </c>
      <c r="AV157" s="13">
        <f t="shared" si="105"/>
        <v>0</v>
      </c>
      <c r="AW157" s="13">
        <f t="shared" si="101"/>
        <v>0</v>
      </c>
      <c r="AX157" s="13"/>
      <c r="AY157" s="13"/>
      <c r="AZ157" s="13"/>
    </row>
    <row r="158">
      <c r="A158" s="8" t="s">
        <v>200</v>
      </c>
      <c r="B158" s="9">
        <v>1178700.79</v>
      </c>
      <c r="C158" s="9">
        <v>415806.84</v>
      </c>
      <c r="D158" s="9">
        <v>152000.0</v>
      </c>
      <c r="E158" s="9">
        <v>762893.96</v>
      </c>
      <c r="F158" s="9">
        <v>1533428.19</v>
      </c>
      <c r="G158" s="9">
        <v>1240126.72</v>
      </c>
      <c r="H158" s="9">
        <v>317507.99</v>
      </c>
      <c r="I158" s="9">
        <v>295727.14</v>
      </c>
      <c r="J158" s="9">
        <v>235152.96</v>
      </c>
      <c r="K158" s="9">
        <v>214239.36</v>
      </c>
      <c r="L158" s="9">
        <v>188380.57</v>
      </c>
      <c r="M158" s="9">
        <v>162090.66</v>
      </c>
      <c r="N158" s="11">
        <f t="shared" si="1"/>
        <v>0</v>
      </c>
      <c r="O158" s="12">
        <v>0.39</v>
      </c>
      <c r="P158" s="9">
        <v>271809.09</v>
      </c>
      <c r="Q158" s="9">
        <v>-67219.61</v>
      </c>
      <c r="R158" s="9">
        <v>-190285.28</v>
      </c>
      <c r="S158" s="9">
        <v>14304.21</v>
      </c>
      <c r="T158" s="12">
        <v>31.24</v>
      </c>
      <c r="U158" s="12">
        <v>26.37</v>
      </c>
      <c r="V158" s="12">
        <v>35.2</v>
      </c>
      <c r="W158" s="12">
        <v>15.34</v>
      </c>
      <c r="X158" s="12">
        <v>15.91</v>
      </c>
      <c r="Y158" s="12">
        <v>14.29</v>
      </c>
      <c r="Z158" s="12">
        <v>10.59</v>
      </c>
      <c r="AA158" s="12">
        <f t="shared" si="2"/>
        <v>0</v>
      </c>
      <c r="AB158" s="12">
        <v>19.29</v>
      </c>
      <c r="AC158" s="12">
        <v>0.55</v>
      </c>
      <c r="AD158" s="12">
        <v>256.6</v>
      </c>
      <c r="AE158" s="12">
        <v>2.71</v>
      </c>
      <c r="AF158" s="12">
        <v>1.22</v>
      </c>
      <c r="AG158" s="12">
        <v>13.6</v>
      </c>
      <c r="AH158" s="12">
        <v>1.37</v>
      </c>
      <c r="AI158" s="12">
        <v>18.36</v>
      </c>
      <c r="AJ158" s="12">
        <v>19.88</v>
      </c>
      <c r="AK158" s="12">
        <v>5.33</v>
      </c>
      <c r="AL158" s="12">
        <v>68.51</v>
      </c>
      <c r="AM158" s="12">
        <v>3.68</v>
      </c>
      <c r="AN158" s="12">
        <v>99.1</v>
      </c>
      <c r="AO158" s="12">
        <v>-10.7</v>
      </c>
      <c r="AP158" s="13">
        <f t="shared" si="3"/>
        <v>-8.36047</v>
      </c>
      <c r="AQ158" s="15">
        <v>2.3387964629334676E-4</v>
      </c>
      <c r="AR158" s="13">
        <f t="shared" si="4"/>
        <v>0</v>
      </c>
      <c r="AS158" s="13">
        <f t="shared" si="106"/>
        <v>1</v>
      </c>
      <c r="AT158" s="13">
        <f t="shared" si="107"/>
        <v>1</v>
      </c>
      <c r="AU158" s="13">
        <f t="shared" si="108"/>
        <v>0</v>
      </c>
      <c r="AV158" s="13">
        <f t="shared" si="105"/>
        <v>0</v>
      </c>
      <c r="AW158" s="13">
        <f t="shared" si="101"/>
        <v>0</v>
      </c>
      <c r="AX158" s="13"/>
      <c r="AY158" s="13"/>
      <c r="AZ158" s="13"/>
    </row>
    <row r="159">
      <c r="A159" s="8" t="s">
        <v>201</v>
      </c>
      <c r="B159" s="9">
        <v>3179364.38</v>
      </c>
      <c r="C159" s="9">
        <v>1587287.71</v>
      </c>
      <c r="D159" s="9">
        <v>400000.12</v>
      </c>
      <c r="E159" s="9">
        <v>1037458.7</v>
      </c>
      <c r="F159" s="9">
        <v>3930467.06</v>
      </c>
      <c r="G159" s="9">
        <v>3583054.97</v>
      </c>
      <c r="H159" s="9">
        <v>443678.69</v>
      </c>
      <c r="I159" s="9">
        <v>342178.59</v>
      </c>
      <c r="J159" s="9">
        <v>127808.26</v>
      </c>
      <c r="K159" s="9">
        <v>63150.57</v>
      </c>
      <c r="L159" s="9">
        <v>32255.63</v>
      </c>
      <c r="M159" s="9">
        <v>27158.51</v>
      </c>
      <c r="N159" s="11">
        <f t="shared" si="1"/>
        <v>0</v>
      </c>
      <c r="O159" s="12">
        <v>0.16</v>
      </c>
      <c r="P159" s="9">
        <v>315182.59</v>
      </c>
      <c r="Q159" s="9">
        <v>-220672.69</v>
      </c>
      <c r="R159" s="9">
        <v>-444977.19</v>
      </c>
      <c r="S159" s="9">
        <v>-350467.29</v>
      </c>
      <c r="T159" s="12">
        <v>13.02</v>
      </c>
      <c r="U159" s="12">
        <v>11.6</v>
      </c>
      <c r="V159" s="12">
        <v>11.18</v>
      </c>
      <c r="W159" s="12">
        <v>6.59</v>
      </c>
      <c r="X159" s="12">
        <v>5.48</v>
      </c>
      <c r="Y159" s="12">
        <v>2.39</v>
      </c>
      <c r="Z159" s="12">
        <v>2.38</v>
      </c>
      <c r="AA159" s="12">
        <f t="shared" si="2"/>
        <v>0</v>
      </c>
      <c r="AB159" s="12">
        <v>8.71</v>
      </c>
      <c r="AC159" s="12">
        <v>1.0</v>
      </c>
      <c r="AD159" s="12">
        <v>22.73</v>
      </c>
      <c r="AE159" s="12">
        <v>1.11</v>
      </c>
      <c r="AF159" s="12">
        <v>0.51</v>
      </c>
      <c r="AG159" s="12">
        <v>5.71</v>
      </c>
      <c r="AH159" s="12">
        <v>1.33</v>
      </c>
      <c r="AI159" s="12">
        <v>44.99</v>
      </c>
      <c r="AJ159" s="12">
        <v>8.11</v>
      </c>
      <c r="AK159" s="12">
        <v>7.76</v>
      </c>
      <c r="AL159" s="12">
        <v>47.06</v>
      </c>
      <c r="AM159" s="12">
        <v>7.36</v>
      </c>
      <c r="AN159" s="12">
        <v>49.61</v>
      </c>
      <c r="AO159" s="12">
        <v>5.56</v>
      </c>
      <c r="AP159" s="13">
        <f t="shared" si="3"/>
        <v>-4.02979</v>
      </c>
      <c r="AQ159" s="15">
        <v>0.017467524209832462</v>
      </c>
      <c r="AR159" s="13">
        <f t="shared" si="4"/>
        <v>0</v>
      </c>
      <c r="AS159" s="13">
        <f t="shared" si="106"/>
        <v>1</v>
      </c>
      <c r="AT159" s="13">
        <f t="shared" si="107"/>
        <v>1</v>
      </c>
      <c r="AU159" s="13">
        <f t="shared" si="108"/>
        <v>0</v>
      </c>
      <c r="AV159" s="13">
        <f t="shared" si="105"/>
        <v>0</v>
      </c>
      <c r="AW159" s="13">
        <f t="shared" si="101"/>
        <v>0</v>
      </c>
      <c r="AX159" s="13"/>
      <c r="AY159" s="13"/>
      <c r="AZ159" s="13"/>
    </row>
    <row r="160">
      <c r="A160" s="8" t="s">
        <v>202</v>
      </c>
      <c r="B160" s="9">
        <v>2170593.0</v>
      </c>
      <c r="C160" s="9">
        <v>1178566.0</v>
      </c>
      <c r="D160" s="9">
        <v>411864.0</v>
      </c>
      <c r="E160" s="9">
        <v>940538.0</v>
      </c>
      <c r="F160" s="9">
        <v>2522519.0</v>
      </c>
      <c r="G160" s="9">
        <v>2512397.0</v>
      </c>
      <c r="H160" s="9">
        <v>272896.0</v>
      </c>
      <c r="I160" s="9">
        <v>159672.0</v>
      </c>
      <c r="J160" s="9">
        <v>63562.0</v>
      </c>
      <c r="K160" s="9">
        <v>3304.0</v>
      </c>
      <c r="L160" s="9">
        <v>-55437.0</v>
      </c>
      <c r="M160" s="9">
        <v>86487.0</v>
      </c>
      <c r="N160" s="11">
        <f t="shared" si="1"/>
        <v>0</v>
      </c>
      <c r="O160" s="12">
        <v>0.16</v>
      </c>
      <c r="P160" s="9">
        <v>205282.0</v>
      </c>
      <c r="Q160" s="9">
        <v>229349.0</v>
      </c>
      <c r="R160" s="9">
        <v>-300909.0</v>
      </c>
      <c r="S160" s="9">
        <v>133722.0</v>
      </c>
      <c r="T160" s="12">
        <v>6.85</v>
      </c>
      <c r="U160" s="12">
        <v>6.73</v>
      </c>
      <c r="V160" s="12">
        <v>10.12</v>
      </c>
      <c r="W160" s="12">
        <v>3.06</v>
      </c>
      <c r="X160" s="12">
        <v>0.1</v>
      </c>
      <c r="Y160" s="12">
        <v>-2.88</v>
      </c>
      <c r="Z160" s="12">
        <v>4.75</v>
      </c>
      <c r="AA160" s="12">
        <f t="shared" si="2"/>
        <v>0</v>
      </c>
      <c r="AB160" s="12">
        <v>6.33</v>
      </c>
      <c r="AC160" s="12">
        <v>1.19</v>
      </c>
      <c r="AD160" s="12">
        <v>3.95</v>
      </c>
      <c r="AE160" s="12">
        <v>1.25</v>
      </c>
      <c r="AF160" s="12">
        <v>0.44</v>
      </c>
      <c r="AG160" s="12">
        <v>4.7</v>
      </c>
      <c r="AH160" s="12">
        <v>1.06</v>
      </c>
      <c r="AI160" s="12">
        <v>2.61</v>
      </c>
      <c r="AJ160" s="12">
        <v>139.9</v>
      </c>
      <c r="AK160" s="12">
        <v>6.5</v>
      </c>
      <c r="AL160" s="12">
        <v>56.14</v>
      </c>
      <c r="AM160" s="12">
        <v>5.45</v>
      </c>
      <c r="AN160" s="12">
        <v>66.97</v>
      </c>
      <c r="AO160" s="12">
        <v>129.07</v>
      </c>
      <c r="AP160" s="13">
        <f t="shared" si="3"/>
        <v>-2.5428</v>
      </c>
      <c r="AQ160" s="15">
        <v>0.07291167935438111</v>
      </c>
      <c r="AR160" s="13">
        <f t="shared" si="4"/>
        <v>0</v>
      </c>
      <c r="AS160" s="13">
        <f t="shared" si="106"/>
        <v>1</v>
      </c>
      <c r="AT160" s="13">
        <f t="shared" si="107"/>
        <v>1</v>
      </c>
      <c r="AU160" s="13">
        <f t="shared" si="108"/>
        <v>0</v>
      </c>
      <c r="AV160" s="13">
        <f t="shared" si="105"/>
        <v>0</v>
      </c>
      <c r="AW160" s="13">
        <f t="shared" si="101"/>
        <v>0</v>
      </c>
      <c r="AX160" s="13"/>
      <c r="AY160" s="13"/>
      <c r="AZ160" s="13"/>
    </row>
    <row r="161">
      <c r="A161" s="8" t="s">
        <v>203</v>
      </c>
      <c r="B161" s="9">
        <v>1102510.08</v>
      </c>
      <c r="C161" s="9">
        <v>554891.17</v>
      </c>
      <c r="D161" s="9">
        <v>277375.42</v>
      </c>
      <c r="E161" s="9">
        <v>539311.97</v>
      </c>
      <c r="F161" s="9">
        <v>702555.59</v>
      </c>
      <c r="G161" s="9">
        <v>615239.72</v>
      </c>
      <c r="H161" s="9">
        <v>111415.35</v>
      </c>
      <c r="I161" s="9">
        <v>108994.2</v>
      </c>
      <c r="J161" s="9">
        <v>84371.58</v>
      </c>
      <c r="K161" s="9">
        <v>23006.5</v>
      </c>
      <c r="L161" s="9">
        <v>-16632.63</v>
      </c>
      <c r="M161" s="9">
        <v>-60733.04</v>
      </c>
      <c r="N161" s="11">
        <f t="shared" si="1"/>
        <v>0</v>
      </c>
      <c r="O161" s="12">
        <v>0.33</v>
      </c>
      <c r="P161" s="9">
        <v>-24019.81</v>
      </c>
      <c r="Q161" s="9">
        <v>87674.84</v>
      </c>
      <c r="R161" s="9">
        <v>-18038.28</v>
      </c>
      <c r="S161" s="9">
        <v>45616.75</v>
      </c>
      <c r="T161" s="12">
        <v>17.99</v>
      </c>
      <c r="U161" s="12">
        <v>10.49</v>
      </c>
      <c r="V161" s="12">
        <v>32.13</v>
      </c>
      <c r="W161" s="12">
        <v>11.45</v>
      </c>
      <c r="X161" s="12">
        <v>6.34</v>
      </c>
      <c r="Y161" s="12">
        <v>-6.23</v>
      </c>
      <c r="Z161" s="12">
        <v>-16.44</v>
      </c>
      <c r="AA161" s="12">
        <f t="shared" si="2"/>
        <v>0</v>
      </c>
      <c r="AB161" s="12">
        <v>15.51</v>
      </c>
      <c r="AC161" s="12">
        <v>1.01</v>
      </c>
      <c r="AD161" s="12">
        <v>10.93</v>
      </c>
      <c r="AE161" s="12">
        <v>2.21</v>
      </c>
      <c r="AF161" s="12">
        <v>0.18</v>
      </c>
      <c r="AG161" s="12">
        <v>75.86</v>
      </c>
      <c r="AH161" s="12">
        <v>0.68</v>
      </c>
      <c r="AI161" s="12">
        <v>0.63</v>
      </c>
      <c r="AJ161" s="12">
        <v>582.0</v>
      </c>
      <c r="AK161" s="12">
        <v>11.6</v>
      </c>
      <c r="AL161" s="12">
        <v>31.46</v>
      </c>
      <c r="AM161" s="12">
        <v>6.63</v>
      </c>
      <c r="AN161" s="12">
        <v>55.03</v>
      </c>
      <c r="AO161" s="12">
        <v>558.43</v>
      </c>
      <c r="AP161" s="13">
        <f t="shared" si="3"/>
        <v>-3.21604</v>
      </c>
      <c r="AQ161" s="15">
        <v>0.03856655101606822</v>
      </c>
      <c r="AR161" s="13">
        <f t="shared" si="4"/>
        <v>0</v>
      </c>
      <c r="AS161" s="13">
        <f t="shared" si="106"/>
        <v>1</v>
      </c>
      <c r="AT161" s="13">
        <f t="shared" si="107"/>
        <v>1</v>
      </c>
      <c r="AU161" s="13">
        <f t="shared" si="108"/>
        <v>0</v>
      </c>
      <c r="AV161" s="13">
        <f t="shared" si="105"/>
        <v>0</v>
      </c>
      <c r="AW161" s="13">
        <f t="shared" si="101"/>
        <v>0</v>
      </c>
      <c r="AX161" s="13"/>
      <c r="AY161" s="13"/>
      <c r="AZ161" s="13"/>
    </row>
    <row r="162">
      <c r="A162" s="8" t="s">
        <v>204</v>
      </c>
      <c r="B162" s="9">
        <v>663826.26</v>
      </c>
      <c r="C162" s="9">
        <v>291274.73</v>
      </c>
      <c r="D162" s="9">
        <v>170000.0</v>
      </c>
      <c r="E162" s="9">
        <v>364151.29</v>
      </c>
      <c r="F162" s="9">
        <v>379954.86</v>
      </c>
      <c r="G162" s="9">
        <v>378601.29</v>
      </c>
      <c r="H162" s="9">
        <v>20398.94</v>
      </c>
      <c r="I162" s="9">
        <v>1353.57</v>
      </c>
      <c r="J162" s="9">
        <v>-4557.6</v>
      </c>
      <c r="K162" s="9">
        <v>501.63</v>
      </c>
      <c r="L162" s="9">
        <v>-12189.8</v>
      </c>
      <c r="M162" s="9">
        <v>-15137.91</v>
      </c>
      <c r="N162" s="11">
        <f t="shared" si="1"/>
        <v>0</v>
      </c>
      <c r="O162" s="12">
        <v>-0.01</v>
      </c>
      <c r="P162" s="9">
        <v>-11348.91</v>
      </c>
      <c r="Q162" s="9">
        <v>-2752.9</v>
      </c>
      <c r="R162" s="9">
        <v>-15766.97</v>
      </c>
      <c r="S162" s="9">
        <v>-29868.79</v>
      </c>
      <c r="T162" s="12">
        <v>-1.24</v>
      </c>
      <c r="U162" s="12">
        <v>0.21</v>
      </c>
      <c r="V162" s="12">
        <v>37.5</v>
      </c>
      <c r="W162" s="12">
        <v>-1.47</v>
      </c>
      <c r="X162" s="12">
        <v>-0.22</v>
      </c>
      <c r="Y162" s="12">
        <v>-3.34</v>
      </c>
      <c r="Z162" s="12">
        <v>-4.53</v>
      </c>
      <c r="AA162" s="12">
        <f t="shared" si="2"/>
        <v>1</v>
      </c>
      <c r="AB162" s="12">
        <v>0.36</v>
      </c>
      <c r="AC162" s="12">
        <v>0.78</v>
      </c>
      <c r="AD162" s="12">
        <v>0.17</v>
      </c>
      <c r="AE162" s="12">
        <v>2.4</v>
      </c>
      <c r="AF162" s="12">
        <v>0.75</v>
      </c>
      <c r="AG162" s="12">
        <v>3.59</v>
      </c>
      <c r="AH162" s="12">
        <v>0.58</v>
      </c>
      <c r="AI162" s="12">
        <v>0.89</v>
      </c>
      <c r="AJ162" s="12">
        <v>408.6</v>
      </c>
      <c r="AK162" s="12">
        <v>3.31</v>
      </c>
      <c r="AL162" s="12">
        <v>110.24</v>
      </c>
      <c r="AM162" s="12">
        <v>2.76</v>
      </c>
      <c r="AN162" s="12">
        <v>132.17</v>
      </c>
      <c r="AO162" s="12">
        <v>386.67</v>
      </c>
      <c r="AP162" s="13">
        <f t="shared" si="3"/>
        <v>-1.58091</v>
      </c>
      <c r="AQ162" s="15">
        <v>0.17066664243786492</v>
      </c>
      <c r="AR162" s="13">
        <f t="shared" si="4"/>
        <v>0</v>
      </c>
      <c r="AS162" s="13">
        <f t="shared" si="106"/>
        <v>1</v>
      </c>
      <c r="AT162" s="13">
        <f t="shared" si="107"/>
        <v>1</v>
      </c>
      <c r="AU162" s="13">
        <f t="shared" si="108"/>
        <v>0</v>
      </c>
      <c r="AV162" s="13">
        <f t="shared" si="105"/>
        <v>0</v>
      </c>
      <c r="AW162" s="13">
        <f t="shared" si="101"/>
        <v>0</v>
      </c>
      <c r="AX162" s="13"/>
      <c r="AY162" s="13"/>
      <c r="AZ162" s="13"/>
    </row>
    <row r="163">
      <c r="A163" s="8" t="s">
        <v>205</v>
      </c>
      <c r="B163" s="9">
        <v>827905.84</v>
      </c>
      <c r="C163" s="9">
        <v>244777.38</v>
      </c>
      <c r="D163" s="9">
        <v>230000.0</v>
      </c>
      <c r="E163" s="9">
        <v>583934.51</v>
      </c>
      <c r="F163" s="9">
        <v>667405.23</v>
      </c>
      <c r="G163" s="9">
        <v>656170.04</v>
      </c>
      <c r="H163" s="9">
        <v>28186.13</v>
      </c>
      <c r="I163" s="9">
        <v>10687.15</v>
      </c>
      <c r="J163" s="9">
        <v>6144.28</v>
      </c>
      <c r="K163" s="9">
        <v>31175.19</v>
      </c>
      <c r="L163" s="9">
        <v>45422.0</v>
      </c>
      <c r="M163" s="9">
        <v>79243.62</v>
      </c>
      <c r="N163" s="11">
        <f t="shared" si="1"/>
        <v>0</v>
      </c>
      <c r="O163" s="12">
        <v>0.01</v>
      </c>
      <c r="P163" s="9">
        <v>59930.57</v>
      </c>
      <c r="Q163" s="9">
        <v>7862.94</v>
      </c>
      <c r="R163" s="9">
        <v>-37275.73</v>
      </c>
      <c r="S163" s="9">
        <v>30517.79</v>
      </c>
      <c r="T163" s="12">
        <v>1.04</v>
      </c>
      <c r="U163" s="12">
        <v>1.29</v>
      </c>
      <c r="V163" s="12">
        <v>8.9</v>
      </c>
      <c r="W163" s="12">
        <v>0.82</v>
      </c>
      <c r="X163" s="12">
        <v>4.17</v>
      </c>
      <c r="Y163" s="12">
        <v>5.05</v>
      </c>
      <c r="Z163" s="12">
        <v>8.0</v>
      </c>
      <c r="AA163" s="12">
        <f t="shared" si="2"/>
        <v>0</v>
      </c>
      <c r="AB163" s="12">
        <v>1.6</v>
      </c>
      <c r="AC163" s="12">
        <v>0.42</v>
      </c>
      <c r="AD163" s="12">
        <v>4.21</v>
      </c>
      <c r="AE163" s="12">
        <v>2.95</v>
      </c>
      <c r="AF163" s="12">
        <v>0.96</v>
      </c>
      <c r="AG163" s="12">
        <v>9.92</v>
      </c>
      <c r="AH163" s="12">
        <v>0.8</v>
      </c>
      <c r="AI163" s="12">
        <v>197.29</v>
      </c>
      <c r="AJ163" s="12">
        <v>1.85</v>
      </c>
      <c r="AK163" s="12">
        <v>3.54</v>
      </c>
      <c r="AL163" s="12">
        <v>103.11</v>
      </c>
      <c r="AM163" s="12">
        <v>4.71</v>
      </c>
      <c r="AN163" s="12">
        <v>77.51</v>
      </c>
      <c r="AO163" s="12">
        <v>27.45</v>
      </c>
      <c r="AP163" s="13">
        <f t="shared" si="3"/>
        <v>-2.69629</v>
      </c>
      <c r="AQ163" s="15">
        <v>0.06319262994265053</v>
      </c>
      <c r="AR163" s="13">
        <f t="shared" si="4"/>
        <v>0</v>
      </c>
      <c r="AS163" s="13">
        <f t="shared" si="106"/>
        <v>1</v>
      </c>
      <c r="AT163" s="13">
        <f t="shared" si="107"/>
        <v>1</v>
      </c>
      <c r="AU163" s="13">
        <f t="shared" si="108"/>
        <v>0</v>
      </c>
      <c r="AV163" s="13">
        <f t="shared" si="105"/>
        <v>0</v>
      </c>
      <c r="AW163" s="13">
        <f t="shared" si="101"/>
        <v>0</v>
      </c>
      <c r="AX163" s="13"/>
      <c r="AY163" s="13"/>
      <c r="AZ163" s="13"/>
    </row>
    <row r="164">
      <c r="A164" s="8" t="s">
        <v>206</v>
      </c>
      <c r="B164" s="9">
        <v>1236981.32</v>
      </c>
      <c r="C164" s="9">
        <v>574530.78</v>
      </c>
      <c r="D164" s="9">
        <v>360948.75</v>
      </c>
      <c r="E164" s="9">
        <v>662450.54</v>
      </c>
      <c r="F164" s="9">
        <v>595964.09</v>
      </c>
      <c r="G164" s="9">
        <v>506702.03</v>
      </c>
      <c r="H164" s="9">
        <v>100430.92</v>
      </c>
      <c r="I164" s="9">
        <v>89262.06</v>
      </c>
      <c r="J164" s="9">
        <v>61186.65</v>
      </c>
      <c r="K164" s="9">
        <v>-114069.52</v>
      </c>
      <c r="L164" s="9">
        <v>-48202.83</v>
      </c>
      <c r="M164" s="9">
        <v>234321.18</v>
      </c>
      <c r="N164" s="11">
        <f t="shared" si="1"/>
        <v>0</v>
      </c>
      <c r="O164" s="12">
        <v>0.08</v>
      </c>
      <c r="P164" s="9">
        <v>488199.79</v>
      </c>
      <c r="Q164" s="9">
        <v>-7185.85</v>
      </c>
      <c r="R164" s="9">
        <v>-463187.04</v>
      </c>
      <c r="S164" s="9">
        <v>17826.9</v>
      </c>
      <c r="T164" s="12">
        <v>9.74</v>
      </c>
      <c r="U164" s="12">
        <v>6.57</v>
      </c>
      <c r="V164" s="12">
        <v>44.37</v>
      </c>
      <c r="W164" s="12">
        <v>10.27</v>
      </c>
      <c r="X164" s="12">
        <v>-150.01</v>
      </c>
      <c r="Y164" s="12">
        <v>-54.17</v>
      </c>
      <c r="Z164" s="12">
        <v>18.11</v>
      </c>
      <c r="AA164" s="12">
        <f t="shared" si="2"/>
        <v>0</v>
      </c>
      <c r="AB164" s="12">
        <v>14.98</v>
      </c>
      <c r="AC164" s="12">
        <v>0.87</v>
      </c>
      <c r="AD164" s="12">
        <v>7.93</v>
      </c>
      <c r="AE164" s="12">
        <v>1.05</v>
      </c>
      <c r="AF164" s="12">
        <v>0.17</v>
      </c>
      <c r="AG164" s="12">
        <v>8.94</v>
      </c>
      <c r="AH164" s="12">
        <v>0.44</v>
      </c>
      <c r="AI164" s="12">
        <v>0.58</v>
      </c>
      <c r="AJ164" s="12">
        <v>633.25</v>
      </c>
      <c r="AK164" s="9">
        <v>3753.99</v>
      </c>
      <c r="AL164" s="12">
        <v>0.1</v>
      </c>
      <c r="AM164" s="12">
        <v>26.73</v>
      </c>
      <c r="AN164" s="12">
        <v>13.65</v>
      </c>
      <c r="AO164" s="12">
        <v>619.7</v>
      </c>
      <c r="AP164" s="13">
        <f t="shared" si="3"/>
        <v>-2.66216</v>
      </c>
      <c r="AQ164" s="15">
        <v>0.06524347823879077</v>
      </c>
      <c r="AR164" s="13">
        <f t="shared" si="4"/>
        <v>0</v>
      </c>
      <c r="AS164" s="13">
        <f t="shared" si="106"/>
        <v>1</v>
      </c>
      <c r="AT164" s="13">
        <f t="shared" si="107"/>
        <v>1</v>
      </c>
      <c r="AU164" s="13">
        <f t="shared" si="108"/>
        <v>0</v>
      </c>
      <c r="AV164" s="13">
        <f t="shared" si="105"/>
        <v>0</v>
      </c>
      <c r="AW164" s="13">
        <f t="shared" si="101"/>
        <v>0</v>
      </c>
      <c r="AX164" s="13"/>
      <c r="AY164" s="13"/>
      <c r="AZ164" s="13"/>
    </row>
    <row r="165">
      <c r="A165" s="8" t="s">
        <v>207</v>
      </c>
      <c r="B165" s="9">
        <v>929755.86</v>
      </c>
      <c r="C165" s="9">
        <v>440996.52</v>
      </c>
      <c r="D165" s="9">
        <v>153999.99</v>
      </c>
      <c r="E165" s="9">
        <v>431584.71</v>
      </c>
      <c r="F165" s="9">
        <v>645039.19</v>
      </c>
      <c r="G165" s="9">
        <v>626482.45</v>
      </c>
      <c r="H165" s="9">
        <v>43581.19</v>
      </c>
      <c r="I165" s="9">
        <v>23244.69</v>
      </c>
      <c r="J165" s="9">
        <v>12989.31</v>
      </c>
      <c r="K165" s="9">
        <v>30499.92</v>
      </c>
      <c r="L165" s="9">
        <v>41072.69</v>
      </c>
      <c r="M165" s="9" t="e">
        <v>#N/A</v>
      </c>
      <c r="N165" s="11" t="str">
        <f t="shared" si="1"/>
        <v>#N/A</v>
      </c>
      <c r="O165" s="12">
        <v>0.04</v>
      </c>
      <c r="P165" s="9">
        <v>15528.78</v>
      </c>
      <c r="Q165" s="9">
        <v>-127133.18</v>
      </c>
      <c r="R165" s="9">
        <v>55583.64</v>
      </c>
      <c r="S165" s="9">
        <v>-56020.76</v>
      </c>
      <c r="T165" s="12">
        <v>2.96</v>
      </c>
      <c r="U165" s="12">
        <v>2.63</v>
      </c>
      <c r="V165" s="12">
        <v>35.55</v>
      </c>
      <c r="W165" s="12">
        <v>1.72</v>
      </c>
      <c r="X165" s="12">
        <v>4.4</v>
      </c>
      <c r="Y165" s="12">
        <v>6.48</v>
      </c>
      <c r="Z165" s="12" t="e">
        <v>#N/A</v>
      </c>
      <c r="AA165" s="12" t="str">
        <f t="shared" si="2"/>
        <v>#N/A</v>
      </c>
      <c r="AB165" s="12">
        <v>3.6</v>
      </c>
      <c r="AC165" s="12">
        <v>0.9</v>
      </c>
      <c r="AD165" s="12">
        <v>3.7</v>
      </c>
      <c r="AE165" s="12">
        <v>1.54</v>
      </c>
      <c r="AF165" s="12">
        <v>0.91</v>
      </c>
      <c r="AG165" s="12">
        <v>1.93</v>
      </c>
      <c r="AH165" s="12">
        <v>0.73</v>
      </c>
      <c r="AI165" s="12">
        <v>2.33</v>
      </c>
      <c r="AJ165" s="12">
        <v>156.61</v>
      </c>
      <c r="AK165" s="12">
        <v>3.21</v>
      </c>
      <c r="AL165" s="12">
        <v>113.83</v>
      </c>
      <c r="AM165" s="12">
        <v>6.15</v>
      </c>
      <c r="AN165" s="12">
        <v>59.33</v>
      </c>
      <c r="AO165" s="12">
        <v>211.11</v>
      </c>
      <c r="AP165" s="13">
        <f t="shared" si="3"/>
        <v>-2.38979</v>
      </c>
      <c r="AQ165" s="15">
        <v>0.0839545807905</v>
      </c>
      <c r="AR165" s="13">
        <f t="shared" si="4"/>
        <v>0</v>
      </c>
      <c r="AS165" s="13"/>
      <c r="AT165" s="13"/>
      <c r="AU165" s="13"/>
      <c r="AV165" s="13"/>
      <c r="AW165" s="13" t="str">
        <f t="shared" si="101"/>
        <v/>
      </c>
      <c r="AX165" s="13"/>
      <c r="AY165" s="13"/>
      <c r="AZ165" s="13"/>
    </row>
    <row r="166">
      <c r="A166" s="8" t="s">
        <v>208</v>
      </c>
      <c r="B166" s="9">
        <v>734533.49</v>
      </c>
      <c r="C166" s="9">
        <v>139371.39</v>
      </c>
      <c r="D166" s="9">
        <v>458773.72</v>
      </c>
      <c r="E166" s="9">
        <v>595162.1</v>
      </c>
      <c r="F166" s="9">
        <v>364087.58</v>
      </c>
      <c r="G166" s="9">
        <v>258236.5</v>
      </c>
      <c r="H166" s="9">
        <v>299037.25</v>
      </c>
      <c r="I166" s="9">
        <v>277291.25</v>
      </c>
      <c r="J166" s="9">
        <v>266639.65</v>
      </c>
      <c r="K166" s="9">
        <v>-41022.28</v>
      </c>
      <c r="L166" s="9">
        <v>-53849.43</v>
      </c>
      <c r="M166" s="9">
        <v>-59172.16</v>
      </c>
      <c r="N166" s="11">
        <f t="shared" si="1"/>
        <v>0</v>
      </c>
      <c r="O166" s="12">
        <v>0.58</v>
      </c>
      <c r="P166" s="9">
        <v>28724.12</v>
      </c>
      <c r="Q166" s="9">
        <v>314599.52</v>
      </c>
      <c r="R166" s="9">
        <v>-245037.87</v>
      </c>
      <c r="S166" s="9">
        <v>98285.77</v>
      </c>
      <c r="T166" s="12">
        <v>57.73</v>
      </c>
      <c r="U166" s="12">
        <v>38.42</v>
      </c>
      <c r="V166" s="12">
        <v>21.78</v>
      </c>
      <c r="W166" s="12">
        <v>73.24</v>
      </c>
      <c r="X166" s="12">
        <v>-13.51</v>
      </c>
      <c r="Y166" s="12">
        <v>-17.3</v>
      </c>
      <c r="Z166" s="12">
        <v>-10.87</v>
      </c>
      <c r="AA166" s="12">
        <f t="shared" si="2"/>
        <v>0</v>
      </c>
      <c r="AB166" s="12">
        <v>76.16</v>
      </c>
      <c r="AC166" s="12">
        <v>0.23</v>
      </c>
      <c r="AD166" s="12">
        <v>26.03</v>
      </c>
      <c r="AE166" s="12">
        <v>5.65</v>
      </c>
      <c r="AF166" s="12">
        <v>1.49</v>
      </c>
      <c r="AG166" s="12">
        <v>2.37</v>
      </c>
      <c r="AH166" s="12">
        <v>0.5</v>
      </c>
      <c r="AI166" s="12">
        <v>2.37</v>
      </c>
      <c r="AJ166" s="12">
        <v>153.72</v>
      </c>
      <c r="AK166" s="12">
        <v>7.71</v>
      </c>
      <c r="AL166" s="12">
        <v>47.37</v>
      </c>
      <c r="AM166" s="12">
        <v>2.94</v>
      </c>
      <c r="AN166" s="12">
        <v>124.24</v>
      </c>
      <c r="AO166" s="12">
        <v>76.85</v>
      </c>
      <c r="AP166" s="13">
        <f t="shared" si="3"/>
        <v>-9.41211</v>
      </c>
      <c r="AQ166" s="15">
        <v>8.172163956774021E-5</v>
      </c>
      <c r="AR166" s="13">
        <f t="shared" si="4"/>
        <v>0</v>
      </c>
      <c r="AS166" s="13">
        <f t="shared" ref="AS166:AS170" si="109">IF(AR166=N166,1,0)</f>
        <v>1</v>
      </c>
      <c r="AT166" s="13">
        <f t="shared" ref="AT166:AT170" si="110">IF(AND(AR166=0,AS166=1),1,0)</f>
        <v>1</v>
      </c>
      <c r="AU166" s="13">
        <f t="shared" ref="AU166:AU170" si="111">IF(AND(AR166=0,AS166=0),1,0)</f>
        <v>0</v>
      </c>
      <c r="AV166" s="13">
        <f t="shared" ref="AV166:AV170" si="112">IFERROR(IFS(AND(AR166=1,AS166=0),1,AS166="",""),0)</f>
        <v>0</v>
      </c>
      <c r="AW166" s="13">
        <f t="shared" si="101"/>
        <v>0</v>
      </c>
      <c r="AX166" s="13"/>
      <c r="AY166" s="13"/>
      <c r="AZ166" s="13"/>
    </row>
    <row r="167">
      <c r="A167" s="8" t="s">
        <v>209</v>
      </c>
      <c r="B167" s="9">
        <v>761802.16</v>
      </c>
      <c r="C167" s="9">
        <v>508885.55</v>
      </c>
      <c r="D167" s="9">
        <v>167860.22</v>
      </c>
      <c r="E167" s="9">
        <v>226082.14</v>
      </c>
      <c r="F167" s="9">
        <v>568886.41</v>
      </c>
      <c r="G167" s="9">
        <v>526901.14</v>
      </c>
      <c r="H167" s="9">
        <v>68939.28</v>
      </c>
      <c r="I167" s="9">
        <v>41985.27</v>
      </c>
      <c r="J167" s="9">
        <v>30208.98</v>
      </c>
      <c r="K167" s="9">
        <v>552.8</v>
      </c>
      <c r="L167" s="9">
        <v>14389.97</v>
      </c>
      <c r="M167" s="9">
        <v>-8383.41</v>
      </c>
      <c r="N167" s="11">
        <f t="shared" si="1"/>
        <v>0</v>
      </c>
      <c r="O167" s="12">
        <v>0.04</v>
      </c>
      <c r="P167" s="9">
        <v>29221.38</v>
      </c>
      <c r="Q167" s="9">
        <v>-99302.79</v>
      </c>
      <c r="R167" s="9">
        <v>69481.9</v>
      </c>
      <c r="S167" s="12">
        <v>-599.51</v>
      </c>
      <c r="T167" s="12">
        <v>14.32</v>
      </c>
      <c r="U167" s="12">
        <v>6.05</v>
      </c>
      <c r="V167" s="12">
        <v>33.05</v>
      </c>
      <c r="W167" s="12">
        <v>4.25</v>
      </c>
      <c r="X167" s="12">
        <v>-0.49</v>
      </c>
      <c r="Y167" s="12">
        <v>3.13</v>
      </c>
      <c r="Z167" s="12">
        <v>-2.18</v>
      </c>
      <c r="AA167" s="12">
        <f t="shared" si="2"/>
        <v>0</v>
      </c>
      <c r="AB167" s="12">
        <v>7.38</v>
      </c>
      <c r="AC167" s="12">
        <v>2.01</v>
      </c>
      <c r="AD167" s="12">
        <v>2.92</v>
      </c>
      <c r="AE167" s="12">
        <v>0.6</v>
      </c>
      <c r="AF167" s="12">
        <v>0.36</v>
      </c>
      <c r="AG167" s="12">
        <v>1.6</v>
      </c>
      <c r="AH167" s="12">
        <v>0.82</v>
      </c>
      <c r="AI167" s="12">
        <v>3.61</v>
      </c>
      <c r="AJ167" s="12">
        <v>101.23</v>
      </c>
      <c r="AK167" s="12">
        <v>3.71</v>
      </c>
      <c r="AL167" s="12">
        <v>98.34</v>
      </c>
      <c r="AM167" s="12">
        <v>3.96</v>
      </c>
      <c r="AN167" s="12">
        <v>92.09</v>
      </c>
      <c r="AO167" s="12">
        <v>107.48</v>
      </c>
      <c r="AP167" s="13">
        <f t="shared" si="3"/>
        <v>-1.00398</v>
      </c>
      <c r="AQ167" s="15">
        <v>0.2681596258571185</v>
      </c>
      <c r="AR167" s="13">
        <f t="shared" si="4"/>
        <v>0</v>
      </c>
      <c r="AS167" s="13">
        <f t="shared" si="109"/>
        <v>1</v>
      </c>
      <c r="AT167" s="13">
        <f t="shared" si="110"/>
        <v>1</v>
      </c>
      <c r="AU167" s="13">
        <f t="shared" si="111"/>
        <v>0</v>
      </c>
      <c r="AV167" s="13">
        <f t="shared" si="112"/>
        <v>0</v>
      </c>
      <c r="AW167" s="13">
        <f t="shared" si="101"/>
        <v>0</v>
      </c>
      <c r="AX167" s="13"/>
      <c r="AY167" s="13"/>
      <c r="AZ167" s="13"/>
    </row>
    <row r="168">
      <c r="A168" s="8" t="s">
        <v>210</v>
      </c>
      <c r="B168" s="9">
        <v>2097510.23</v>
      </c>
      <c r="C168" s="9">
        <v>1012060.9</v>
      </c>
      <c r="D168" s="9">
        <v>398664.06</v>
      </c>
      <c r="E168" s="9">
        <v>1085449.32</v>
      </c>
      <c r="F168" s="9">
        <v>1966037.56</v>
      </c>
      <c r="G168" s="9">
        <v>1818028.69</v>
      </c>
      <c r="H168" s="9">
        <v>213345.86</v>
      </c>
      <c r="I168" s="9">
        <v>152612.77</v>
      </c>
      <c r="J168" s="9">
        <v>109403.56</v>
      </c>
      <c r="K168" s="9">
        <v>112681.61</v>
      </c>
      <c r="L168" s="9">
        <v>105519.52</v>
      </c>
      <c r="M168" s="9">
        <v>101280.87</v>
      </c>
      <c r="N168" s="11">
        <f t="shared" si="1"/>
        <v>0</v>
      </c>
      <c r="O168" s="12">
        <v>0.27</v>
      </c>
      <c r="P168" s="9">
        <v>271882.56</v>
      </c>
      <c r="Q168" s="9">
        <v>-5971.98</v>
      </c>
      <c r="R168" s="9">
        <v>-249176.32</v>
      </c>
      <c r="S168" s="9">
        <v>16734.26</v>
      </c>
      <c r="T168" s="12">
        <v>10.2</v>
      </c>
      <c r="U168" s="12">
        <v>7.78</v>
      </c>
      <c r="V168" s="12">
        <v>15.12</v>
      </c>
      <c r="W168" s="12">
        <v>5.56</v>
      </c>
      <c r="X168" s="12">
        <v>7.58</v>
      </c>
      <c r="Y168" s="12">
        <v>7.18</v>
      </c>
      <c r="Z168" s="12">
        <v>6.85</v>
      </c>
      <c r="AA168" s="12">
        <f t="shared" si="2"/>
        <v>0</v>
      </c>
      <c r="AB168" s="12">
        <v>7.76</v>
      </c>
      <c r="AC168" s="12">
        <v>0.93</v>
      </c>
      <c r="AD168" s="12">
        <v>10.64</v>
      </c>
      <c r="AE168" s="12">
        <v>1.75</v>
      </c>
      <c r="AF168" s="12">
        <v>0.46</v>
      </c>
      <c r="AG168" s="12">
        <v>2.59</v>
      </c>
      <c r="AH168" s="12">
        <v>1.0</v>
      </c>
      <c r="AI168" s="12">
        <v>1.91</v>
      </c>
      <c r="AJ168" s="12">
        <v>191.43</v>
      </c>
      <c r="AK168" s="12">
        <v>8.57</v>
      </c>
      <c r="AL168" s="12">
        <v>42.58</v>
      </c>
      <c r="AM168" s="12">
        <v>6.54</v>
      </c>
      <c r="AN168" s="12">
        <v>55.82</v>
      </c>
      <c r="AO168" s="12">
        <v>178.19</v>
      </c>
      <c r="AP168" s="13">
        <f t="shared" si="3"/>
        <v>-3.12747</v>
      </c>
      <c r="AQ168" s="15">
        <v>0.04198825908259392</v>
      </c>
      <c r="AR168" s="13">
        <f t="shared" si="4"/>
        <v>0</v>
      </c>
      <c r="AS168" s="13">
        <f t="shared" si="109"/>
        <v>1</v>
      </c>
      <c r="AT168" s="13">
        <f t="shared" si="110"/>
        <v>1</v>
      </c>
      <c r="AU168" s="13">
        <f t="shared" si="111"/>
        <v>0</v>
      </c>
      <c r="AV168" s="13">
        <f t="shared" si="112"/>
        <v>0</v>
      </c>
      <c r="AW168" s="13">
        <f t="shared" si="101"/>
        <v>0</v>
      </c>
      <c r="AX168" s="13"/>
      <c r="AY168" s="13"/>
      <c r="AZ168" s="13"/>
    </row>
    <row r="169">
      <c r="A169" s="8" t="s">
        <v>211</v>
      </c>
      <c r="B169" s="9">
        <v>3516029.0</v>
      </c>
      <c r="C169" s="9">
        <v>829279.0</v>
      </c>
      <c r="D169" s="9">
        <v>199500.0</v>
      </c>
      <c r="E169" s="9">
        <v>2686750.0</v>
      </c>
      <c r="F169" s="9">
        <v>3555203.29</v>
      </c>
      <c r="G169" s="9">
        <v>3355484.64</v>
      </c>
      <c r="H169" s="9">
        <v>454433.62</v>
      </c>
      <c r="I169" s="9">
        <v>199718.65</v>
      </c>
      <c r="J169" s="9">
        <v>175993.79</v>
      </c>
      <c r="K169" s="9">
        <v>137823.17</v>
      </c>
      <c r="L169" s="9">
        <v>68037.51</v>
      </c>
      <c r="M169" s="9">
        <v>279287.46</v>
      </c>
      <c r="N169" s="11">
        <f t="shared" si="1"/>
        <v>0</v>
      </c>
      <c r="O169" s="12">
        <v>4.41</v>
      </c>
      <c r="P169" s="9">
        <v>485401.29</v>
      </c>
      <c r="Q169" s="9">
        <v>-298880.42</v>
      </c>
      <c r="R169" s="9">
        <v>-102207.19</v>
      </c>
      <c r="S169" s="9">
        <v>84313.68</v>
      </c>
      <c r="T169" s="12">
        <v>6.73</v>
      </c>
      <c r="U169" s="12">
        <v>5.93</v>
      </c>
      <c r="V169" s="12">
        <v>14.93</v>
      </c>
      <c r="W169" s="12">
        <v>4.95</v>
      </c>
      <c r="X169" s="12">
        <v>4.55</v>
      </c>
      <c r="Y169" s="12">
        <v>2.84</v>
      </c>
      <c r="Z169" s="12">
        <v>9.07</v>
      </c>
      <c r="AA169" s="12">
        <f t="shared" si="2"/>
        <v>0</v>
      </c>
      <c r="AB169" s="12">
        <v>5.62</v>
      </c>
      <c r="AC169" s="12">
        <v>0.31</v>
      </c>
      <c r="AD169" s="12">
        <v>180.37</v>
      </c>
      <c r="AE169" s="12">
        <v>2.27</v>
      </c>
      <c r="AF169" s="12">
        <v>1.86</v>
      </c>
      <c r="AG169" s="12">
        <v>1.86</v>
      </c>
      <c r="AH169" s="12">
        <v>1.06</v>
      </c>
      <c r="AI169" s="12">
        <v>11.28</v>
      </c>
      <c r="AJ169" s="12">
        <v>32.36</v>
      </c>
      <c r="AK169" s="12">
        <v>5.77</v>
      </c>
      <c r="AL169" s="12">
        <v>63.22</v>
      </c>
      <c r="AM169" s="12">
        <v>5.18</v>
      </c>
      <c r="AN169" s="12">
        <v>70.5</v>
      </c>
      <c r="AO169" s="12">
        <v>25.08</v>
      </c>
      <c r="AP169" s="13">
        <f t="shared" si="3"/>
        <v>-4.63455</v>
      </c>
      <c r="AQ169" s="15">
        <v>0.009617089257203316</v>
      </c>
      <c r="AR169" s="13">
        <f t="shared" si="4"/>
        <v>0</v>
      </c>
      <c r="AS169" s="13">
        <f t="shared" si="109"/>
        <v>1</v>
      </c>
      <c r="AT169" s="13">
        <f t="shared" si="110"/>
        <v>1</v>
      </c>
      <c r="AU169" s="13">
        <f t="shared" si="111"/>
        <v>0</v>
      </c>
      <c r="AV169" s="13">
        <f t="shared" si="112"/>
        <v>0</v>
      </c>
      <c r="AW169" s="13">
        <f t="shared" si="101"/>
        <v>0</v>
      </c>
      <c r="AX169" s="13"/>
      <c r="AY169" s="13"/>
      <c r="AZ169" s="13"/>
    </row>
    <row r="170">
      <c r="A170" s="8" t="s">
        <v>212</v>
      </c>
      <c r="B170" s="9">
        <v>1145445.52</v>
      </c>
      <c r="C170" s="9">
        <v>651069.37</v>
      </c>
      <c r="D170" s="9">
        <v>403035.0</v>
      </c>
      <c r="E170" s="9">
        <v>506505.44</v>
      </c>
      <c r="F170" s="9">
        <v>252965.92</v>
      </c>
      <c r="G170" s="9">
        <v>265495.84</v>
      </c>
      <c r="H170" s="9">
        <v>15547.94</v>
      </c>
      <c r="I170" s="9">
        <v>-12529.92</v>
      </c>
      <c r="J170" s="9">
        <v>-55352.06</v>
      </c>
      <c r="K170" s="9">
        <v>-26902.68</v>
      </c>
      <c r="L170" s="9">
        <v>19326.35</v>
      </c>
      <c r="M170" s="9">
        <v>21763.28</v>
      </c>
      <c r="N170" s="11">
        <f t="shared" si="1"/>
        <v>0</v>
      </c>
      <c r="O170" s="12">
        <v>-0.08</v>
      </c>
      <c r="P170" s="9">
        <v>14369.2</v>
      </c>
      <c r="Q170" s="9">
        <v>-54120.47</v>
      </c>
      <c r="R170" s="9">
        <v>41621.73</v>
      </c>
      <c r="S170" s="9">
        <v>1870.45</v>
      </c>
      <c r="T170" s="12">
        <v>-11.07</v>
      </c>
      <c r="U170" s="12">
        <v>-1.08</v>
      </c>
      <c r="V170" s="12">
        <v>29.0</v>
      </c>
      <c r="W170" s="12">
        <v>-21.92</v>
      </c>
      <c r="X170" s="12">
        <v>-8.33</v>
      </c>
      <c r="Y170" s="12">
        <v>5.35</v>
      </c>
      <c r="Z170" s="12">
        <v>5.76</v>
      </c>
      <c r="AA170" s="12">
        <f t="shared" si="2"/>
        <v>0</v>
      </c>
      <c r="AB170" s="12">
        <v>-4.95</v>
      </c>
      <c r="AC170" s="12">
        <v>1.32</v>
      </c>
      <c r="AD170" s="12">
        <v>-0.3</v>
      </c>
      <c r="AE170" s="12">
        <v>0.51</v>
      </c>
      <c r="AF170" s="12">
        <v>0.16</v>
      </c>
      <c r="AG170" s="12">
        <v>0.39</v>
      </c>
      <c r="AH170" s="12">
        <v>0.22</v>
      </c>
      <c r="AI170" s="12">
        <v>33.27</v>
      </c>
      <c r="AJ170" s="12">
        <v>10.97</v>
      </c>
      <c r="AK170" s="12">
        <v>4.68</v>
      </c>
      <c r="AL170" s="12">
        <v>78.07</v>
      </c>
      <c r="AM170" s="12">
        <v>40.06</v>
      </c>
      <c r="AN170" s="12">
        <v>9.11</v>
      </c>
      <c r="AO170" s="12">
        <v>79.93</v>
      </c>
      <c r="AP170" s="13">
        <f t="shared" si="3"/>
        <v>-1.53457</v>
      </c>
      <c r="AQ170" s="15">
        <v>0.1773260239220744</v>
      </c>
      <c r="AR170" s="13">
        <f t="shared" si="4"/>
        <v>0</v>
      </c>
      <c r="AS170" s="13">
        <f t="shared" si="109"/>
        <v>1</v>
      </c>
      <c r="AT170" s="13">
        <f t="shared" si="110"/>
        <v>1</v>
      </c>
      <c r="AU170" s="13">
        <f t="shared" si="111"/>
        <v>0</v>
      </c>
      <c r="AV170" s="13">
        <f t="shared" si="112"/>
        <v>0</v>
      </c>
      <c r="AW170" s="13">
        <f t="shared" si="101"/>
        <v>0</v>
      </c>
      <c r="AX170" s="13"/>
      <c r="AY170" s="13"/>
      <c r="AZ170" s="13"/>
    </row>
    <row r="171">
      <c r="A171" s="8" t="s">
        <v>213</v>
      </c>
      <c r="B171" s="9">
        <v>3037754.0</v>
      </c>
      <c r="C171" s="9">
        <v>500711.0</v>
      </c>
      <c r="D171" s="9">
        <v>180000.0</v>
      </c>
      <c r="E171" s="9">
        <v>2537043.0</v>
      </c>
      <c r="F171" s="9">
        <v>2435933.58</v>
      </c>
      <c r="G171" s="9">
        <v>2041395.83</v>
      </c>
      <c r="H171" s="9">
        <v>503982.04</v>
      </c>
      <c r="I171" s="9">
        <v>402888.17</v>
      </c>
      <c r="J171" s="9">
        <v>326316.1</v>
      </c>
      <c r="K171" s="9" t="e">
        <v>#N/A</v>
      </c>
      <c r="L171" s="9" t="e">
        <v>#N/A</v>
      </c>
      <c r="M171" s="9" t="e">
        <v>#N/A</v>
      </c>
      <c r="N171" s="11" t="str">
        <f t="shared" si="1"/>
        <v>#N/A</v>
      </c>
      <c r="O171" s="12">
        <v>1.81</v>
      </c>
      <c r="P171" s="9">
        <v>541581.39</v>
      </c>
      <c r="Q171" s="9">
        <v>130488.39</v>
      </c>
      <c r="R171" s="9">
        <v>-107999.7</v>
      </c>
      <c r="S171" s="9">
        <v>564070.08</v>
      </c>
      <c r="T171" s="12">
        <v>13.44</v>
      </c>
      <c r="U171" s="12">
        <v>13.82</v>
      </c>
      <c r="V171" s="12">
        <v>26.67</v>
      </c>
      <c r="W171" s="12">
        <v>13.4</v>
      </c>
      <c r="X171" s="12" t="e">
        <v>#N/A</v>
      </c>
      <c r="Y171" s="12" t="e">
        <v>#N/A</v>
      </c>
      <c r="Z171" s="12" t="e">
        <v>#N/A</v>
      </c>
      <c r="AA171" s="12" t="str">
        <f t="shared" si="2"/>
        <v>#N/A</v>
      </c>
      <c r="AB171" s="12">
        <v>16.54</v>
      </c>
      <c r="AC171" s="12">
        <v>0.2</v>
      </c>
      <c r="AD171" s="12" t="s">
        <v>47</v>
      </c>
      <c r="AE171" s="12">
        <v>3.98</v>
      </c>
      <c r="AF171" s="12">
        <v>3.3</v>
      </c>
      <c r="AG171" s="12">
        <v>1.82</v>
      </c>
      <c r="AH171" s="12">
        <v>0.84</v>
      </c>
      <c r="AI171" s="12">
        <v>43.03</v>
      </c>
      <c r="AJ171" s="12">
        <v>8.48</v>
      </c>
      <c r="AK171" s="12">
        <v>6.96</v>
      </c>
      <c r="AL171" s="12">
        <v>52.44</v>
      </c>
      <c r="AM171" s="12">
        <v>8.32</v>
      </c>
      <c r="AN171" s="12">
        <v>43.85</v>
      </c>
      <c r="AO171" s="12">
        <v>17.08</v>
      </c>
      <c r="AP171" s="13" t="str">
        <f t="shared" si="3"/>
        <v>#VALUE!</v>
      </c>
      <c r="AQ171" s="15" t="e">
        <v>#VALUE!</v>
      </c>
      <c r="AR171" s="13" t="str">
        <f t="shared" si="4"/>
        <v>#VALUE!</v>
      </c>
      <c r="AS171" s="13"/>
      <c r="AT171" s="13"/>
      <c r="AU171" s="13"/>
      <c r="AV171" s="13"/>
      <c r="AW171" s="13"/>
      <c r="AX171" s="13"/>
      <c r="AY171" s="13"/>
      <c r="AZ171" s="13"/>
    </row>
    <row r="172">
      <c r="A172" s="8" t="s">
        <v>214</v>
      </c>
      <c r="B172" s="9">
        <v>1249514.79</v>
      </c>
      <c r="C172" s="9">
        <v>258955.34</v>
      </c>
      <c r="D172" s="9">
        <v>200000.0</v>
      </c>
      <c r="E172" s="9">
        <v>990559.45</v>
      </c>
      <c r="F172" s="9">
        <v>2448726.41</v>
      </c>
      <c r="G172" s="9">
        <v>2262272.68</v>
      </c>
      <c r="H172" s="9">
        <v>237218.9</v>
      </c>
      <c r="I172" s="9">
        <v>186453.73</v>
      </c>
      <c r="J172" s="9">
        <v>149014.87</v>
      </c>
      <c r="K172" s="9">
        <v>192097.37</v>
      </c>
      <c r="L172" s="9">
        <v>133863.27</v>
      </c>
      <c r="M172" s="9">
        <v>88600.68</v>
      </c>
      <c r="N172" s="11">
        <f t="shared" si="1"/>
        <v>0</v>
      </c>
      <c r="O172" s="12">
        <v>0.19</v>
      </c>
      <c r="P172" s="9">
        <v>112274.01</v>
      </c>
      <c r="Q172" s="9">
        <v>-116215.39</v>
      </c>
      <c r="R172" s="9">
        <v>-71815.02</v>
      </c>
      <c r="S172" s="9">
        <v>-75756.4</v>
      </c>
      <c r="T172" s="12">
        <v>15.68</v>
      </c>
      <c r="U172" s="12">
        <v>15.29</v>
      </c>
      <c r="V172" s="12">
        <v>17.15</v>
      </c>
      <c r="W172" s="12">
        <v>6.09</v>
      </c>
      <c r="X172" s="12">
        <v>7.28</v>
      </c>
      <c r="Y172" s="12">
        <v>6.06</v>
      </c>
      <c r="Z172" s="12">
        <v>4.51</v>
      </c>
      <c r="AA172" s="12">
        <f t="shared" si="2"/>
        <v>0</v>
      </c>
      <c r="AB172" s="12">
        <v>7.61</v>
      </c>
      <c r="AC172" s="12">
        <v>0.26</v>
      </c>
      <c r="AD172" s="12">
        <v>82.03</v>
      </c>
      <c r="AE172" s="12">
        <v>2.42</v>
      </c>
      <c r="AF172" s="12">
        <v>0.45</v>
      </c>
      <c r="AG172" s="12">
        <v>3.23</v>
      </c>
      <c r="AH172" s="12">
        <v>2.01</v>
      </c>
      <c r="AI172" s="12">
        <v>6.12</v>
      </c>
      <c r="AJ172" s="12">
        <v>59.67</v>
      </c>
      <c r="AK172" s="12">
        <v>126.06</v>
      </c>
      <c r="AL172" s="12">
        <v>2.9</v>
      </c>
      <c r="AM172" s="12">
        <v>11.71</v>
      </c>
      <c r="AN172" s="12">
        <v>31.17</v>
      </c>
      <c r="AO172" s="12">
        <v>31.39</v>
      </c>
      <c r="AP172" s="13">
        <f t="shared" si="3"/>
        <v>-6.04243</v>
      </c>
      <c r="AQ172" s="15">
        <v>0.0023701478044074837</v>
      </c>
      <c r="AR172" s="13">
        <f t="shared" si="4"/>
        <v>0</v>
      </c>
      <c r="AS172" s="13">
        <f t="shared" ref="AS172:AS174" si="113">IF(AR172=N172,1,0)</f>
        <v>1</v>
      </c>
      <c r="AT172" s="13">
        <f t="shared" ref="AT172:AT174" si="114">IF(AND(AR172=0,AS172=1),1,0)</f>
        <v>1</v>
      </c>
      <c r="AU172" s="13">
        <f t="shared" ref="AU172:AU174" si="115">IF(AND(AR172=0,AS172=0),1,0)</f>
        <v>0</v>
      </c>
      <c r="AV172" s="13">
        <f t="shared" ref="AV172:AV174" si="116">IFERROR(IFS(AND(AR172=1,AS172=0),1,AS172="",""),0)</f>
        <v>0</v>
      </c>
      <c r="AW172" s="13">
        <f t="shared" ref="AW172:AW193" si="117">IFERROR(IFS(AND(AR172=1,AS172=1),1,AS172="",""),0)</f>
        <v>0</v>
      </c>
      <c r="AX172" s="13"/>
      <c r="AY172" s="13"/>
      <c r="AZ172" s="13"/>
    </row>
    <row r="173">
      <c r="A173" s="8" t="s">
        <v>215</v>
      </c>
      <c r="B173" s="9">
        <v>9258311.09</v>
      </c>
      <c r="C173" s="9">
        <v>5341290.83</v>
      </c>
      <c r="D173" s="9">
        <v>401200.0</v>
      </c>
      <c r="E173" s="9">
        <v>3043884.75</v>
      </c>
      <c r="F173" s="9">
        <v>2758265.59</v>
      </c>
      <c r="G173" s="9">
        <v>2214318.61</v>
      </c>
      <c r="H173" s="9">
        <v>872357.67</v>
      </c>
      <c r="I173" s="9">
        <v>506129.59</v>
      </c>
      <c r="J173" s="9">
        <v>173131.68</v>
      </c>
      <c r="K173" s="9">
        <v>135404.64</v>
      </c>
      <c r="L173" s="9">
        <v>250953.26</v>
      </c>
      <c r="M173" s="9">
        <v>359510.82</v>
      </c>
      <c r="N173" s="11">
        <f t="shared" si="1"/>
        <v>0</v>
      </c>
      <c r="O173" s="12">
        <v>0.43</v>
      </c>
      <c r="P173" s="9">
        <v>728906.0</v>
      </c>
      <c r="Q173" s="9">
        <v>-518039.14</v>
      </c>
      <c r="R173" s="9">
        <v>-525825.28</v>
      </c>
      <c r="S173" s="9">
        <v>-314958.42</v>
      </c>
      <c r="T173" s="12">
        <v>5.84</v>
      </c>
      <c r="U173" s="12">
        <v>5.39</v>
      </c>
      <c r="V173" s="12">
        <v>21.69</v>
      </c>
      <c r="W173" s="12">
        <v>10.61</v>
      </c>
      <c r="X173" s="12">
        <v>11.59</v>
      </c>
      <c r="Y173" s="12">
        <v>23.78</v>
      </c>
      <c r="Z173" s="12">
        <v>34.74</v>
      </c>
      <c r="AA173" s="12">
        <f t="shared" si="2"/>
        <v>0</v>
      </c>
      <c r="AB173" s="12">
        <v>18.35</v>
      </c>
      <c r="AC173" s="12">
        <v>1.36</v>
      </c>
      <c r="AD173" s="12">
        <v>2.53</v>
      </c>
      <c r="AE173" s="12">
        <v>1.14</v>
      </c>
      <c r="AF173" s="12">
        <v>0.57</v>
      </c>
      <c r="AG173" s="12">
        <v>0.38</v>
      </c>
      <c r="AH173" s="12">
        <v>0.29</v>
      </c>
      <c r="AI173" s="12">
        <v>31.57</v>
      </c>
      <c r="AJ173" s="12">
        <v>11.56</v>
      </c>
      <c r="AK173" s="12">
        <v>5.76</v>
      </c>
      <c r="AL173" s="12">
        <v>63.32</v>
      </c>
      <c r="AM173" s="12">
        <v>12.27</v>
      </c>
      <c r="AN173" s="12">
        <v>29.76</v>
      </c>
      <c r="AO173" s="12">
        <v>45.12</v>
      </c>
      <c r="AP173" s="13">
        <f t="shared" si="3"/>
        <v>-1.9331</v>
      </c>
      <c r="AQ173" s="15">
        <v>0.12640785385724537</v>
      </c>
      <c r="AR173" s="13">
        <f t="shared" si="4"/>
        <v>0</v>
      </c>
      <c r="AS173" s="13">
        <f t="shared" si="113"/>
        <v>1</v>
      </c>
      <c r="AT173" s="13">
        <f t="shared" si="114"/>
        <v>1</v>
      </c>
      <c r="AU173" s="13">
        <f t="shared" si="115"/>
        <v>0</v>
      </c>
      <c r="AV173" s="13">
        <f t="shared" si="116"/>
        <v>0</v>
      </c>
      <c r="AW173" s="13">
        <f t="shared" si="117"/>
        <v>0</v>
      </c>
      <c r="AX173" s="13"/>
      <c r="AY173" s="13"/>
      <c r="AZ173" s="13"/>
    </row>
    <row r="174">
      <c r="A174" s="8" t="s">
        <v>216</v>
      </c>
      <c r="B174" s="9">
        <v>383066.48</v>
      </c>
      <c r="C174" s="9">
        <v>58325.88</v>
      </c>
      <c r="D174" s="9">
        <v>135000.0</v>
      </c>
      <c r="E174" s="9">
        <v>324740.6</v>
      </c>
      <c r="F174" s="9">
        <v>566141.95</v>
      </c>
      <c r="G174" s="9">
        <v>529579.29</v>
      </c>
      <c r="H174" s="9">
        <v>48663.09</v>
      </c>
      <c r="I174" s="9">
        <v>36562.67</v>
      </c>
      <c r="J174" s="9">
        <v>29616.33</v>
      </c>
      <c r="K174" s="9">
        <v>33909.92</v>
      </c>
      <c r="L174" s="9">
        <v>34592.49</v>
      </c>
      <c r="M174" s="9">
        <v>33306.7</v>
      </c>
      <c r="N174" s="11">
        <f t="shared" si="1"/>
        <v>0</v>
      </c>
      <c r="O174" s="12">
        <v>0.11</v>
      </c>
      <c r="P174" s="9">
        <v>31404.33</v>
      </c>
      <c r="Q174" s="9">
        <v>-13207.43</v>
      </c>
      <c r="R174" s="9">
        <v>-27283.62</v>
      </c>
      <c r="S174" s="9">
        <v>-9086.72</v>
      </c>
      <c r="T174" s="12">
        <v>9.17</v>
      </c>
      <c r="U174" s="12">
        <v>9.57</v>
      </c>
      <c r="V174" s="12">
        <v>16.59</v>
      </c>
      <c r="W174" s="12">
        <v>5.23</v>
      </c>
      <c r="X174" s="12">
        <v>6.64</v>
      </c>
      <c r="Y174" s="12">
        <v>7.3</v>
      </c>
      <c r="Z174" s="12">
        <v>6.51</v>
      </c>
      <c r="AA174" s="12">
        <f t="shared" si="2"/>
        <v>0</v>
      </c>
      <c r="AB174" s="12">
        <v>6.46</v>
      </c>
      <c r="AC174" s="12">
        <v>0.18</v>
      </c>
      <c r="AD174" s="12">
        <v>809.63</v>
      </c>
      <c r="AE174" s="12">
        <v>4.36</v>
      </c>
      <c r="AF174" s="12">
        <v>2.73</v>
      </c>
      <c r="AG174" s="12">
        <v>2.83</v>
      </c>
      <c r="AH174" s="12">
        <v>1.48</v>
      </c>
      <c r="AI174" s="12">
        <v>8.19</v>
      </c>
      <c r="AJ174" s="12">
        <v>44.54</v>
      </c>
      <c r="AK174" s="12">
        <v>8.76</v>
      </c>
      <c r="AL174" s="12">
        <v>41.66</v>
      </c>
      <c r="AM174" s="12">
        <v>12.37</v>
      </c>
      <c r="AN174" s="12">
        <v>29.52</v>
      </c>
      <c r="AO174" s="12">
        <v>56.69</v>
      </c>
      <c r="AP174" s="13">
        <f t="shared" si="3"/>
        <v>-6.6602</v>
      </c>
      <c r="AQ174" s="15">
        <v>0.0012792515859541302</v>
      </c>
      <c r="AR174" s="13">
        <f t="shared" si="4"/>
        <v>0</v>
      </c>
      <c r="AS174" s="13">
        <f t="shared" si="113"/>
        <v>1</v>
      </c>
      <c r="AT174" s="13">
        <f t="shared" si="114"/>
        <v>1</v>
      </c>
      <c r="AU174" s="13">
        <f t="shared" si="115"/>
        <v>0</v>
      </c>
      <c r="AV174" s="13">
        <f t="shared" si="116"/>
        <v>0</v>
      </c>
      <c r="AW174" s="13">
        <f t="shared" si="117"/>
        <v>0</v>
      </c>
      <c r="AX174" s="13"/>
      <c r="AY174" s="13"/>
      <c r="AZ174" s="13"/>
    </row>
    <row r="175">
      <c r="A175" s="8" t="s">
        <v>217</v>
      </c>
      <c r="B175" s="9">
        <v>890079.11</v>
      </c>
      <c r="C175" s="9">
        <v>435899.42</v>
      </c>
      <c r="D175" s="9">
        <v>167999.94</v>
      </c>
      <c r="E175" s="9">
        <v>454228.77</v>
      </c>
      <c r="F175" s="9">
        <v>986856.99</v>
      </c>
      <c r="G175" s="9">
        <v>892874.03</v>
      </c>
      <c r="H175" s="9">
        <v>108446.14</v>
      </c>
      <c r="I175" s="9">
        <v>93982.96</v>
      </c>
      <c r="J175" s="9">
        <v>75829.0</v>
      </c>
      <c r="K175" s="9">
        <v>38740.7</v>
      </c>
      <c r="L175" s="9">
        <v>53917.44</v>
      </c>
      <c r="M175" s="9" t="e">
        <v>#N/A</v>
      </c>
      <c r="N175" s="11" t="str">
        <f t="shared" si="1"/>
        <v>#N/A</v>
      </c>
      <c r="O175" s="12">
        <v>0.22</v>
      </c>
      <c r="P175" s="9">
        <v>-152984.09</v>
      </c>
      <c r="Q175" s="9">
        <v>-1752.81</v>
      </c>
      <c r="R175" s="9">
        <v>52526.58</v>
      </c>
      <c r="S175" s="9">
        <v>-102210.32</v>
      </c>
      <c r="T175" s="12">
        <v>17.65</v>
      </c>
      <c r="U175" s="12">
        <v>11.29</v>
      </c>
      <c r="V175" s="12">
        <v>26.35</v>
      </c>
      <c r="W175" s="12">
        <v>7.48</v>
      </c>
      <c r="X175" s="12">
        <v>6.27</v>
      </c>
      <c r="Y175" s="12">
        <v>7.3</v>
      </c>
      <c r="Z175" s="12" t="e">
        <v>#N/A</v>
      </c>
      <c r="AA175" s="12" t="str">
        <f t="shared" si="2"/>
        <v>#N/A</v>
      </c>
      <c r="AB175" s="12">
        <v>9.52</v>
      </c>
      <c r="AC175" s="12">
        <v>0.96</v>
      </c>
      <c r="AD175" s="12">
        <v>68.76</v>
      </c>
      <c r="AE175" s="12">
        <v>1.74</v>
      </c>
      <c r="AF175" s="12">
        <v>1.09</v>
      </c>
      <c r="AG175" s="12">
        <v>6.03</v>
      </c>
      <c r="AH175" s="12">
        <v>1.19</v>
      </c>
      <c r="AI175" s="12">
        <v>7.23</v>
      </c>
      <c r="AJ175" s="12">
        <v>50.48</v>
      </c>
      <c r="AK175" s="12">
        <v>4.61</v>
      </c>
      <c r="AL175" s="12">
        <v>79.1</v>
      </c>
      <c r="AM175" s="12">
        <v>3.64</v>
      </c>
      <c r="AN175" s="12">
        <v>100.21</v>
      </c>
      <c r="AO175" s="12">
        <v>29.37</v>
      </c>
      <c r="AP175" s="13">
        <f t="shared" si="3"/>
        <v>-4.20077</v>
      </c>
      <c r="AQ175" s="15">
        <v>0.014762827944861645</v>
      </c>
      <c r="AR175" s="13">
        <f t="shared" si="4"/>
        <v>0</v>
      </c>
      <c r="AS175" s="13"/>
      <c r="AT175" s="13"/>
      <c r="AU175" s="13"/>
      <c r="AV175" s="13"/>
      <c r="AW175" s="13" t="str">
        <f t="shared" si="117"/>
        <v/>
      </c>
      <c r="AX175" s="13"/>
      <c r="AY175" s="13"/>
      <c r="AZ175" s="13"/>
    </row>
    <row r="176">
      <c r="A176" s="8" t="s">
        <v>218</v>
      </c>
      <c r="B176" s="9">
        <v>595323.54</v>
      </c>
      <c r="C176" s="9">
        <v>98519.31</v>
      </c>
      <c r="D176" s="9">
        <v>115000.0</v>
      </c>
      <c r="E176" s="9">
        <v>495436.85</v>
      </c>
      <c r="F176" s="9">
        <v>243495.57</v>
      </c>
      <c r="G176" s="9">
        <v>119758.95</v>
      </c>
      <c r="H176" s="9">
        <v>131547.18</v>
      </c>
      <c r="I176" s="9">
        <v>123736.62</v>
      </c>
      <c r="J176" s="9">
        <v>98226.45</v>
      </c>
      <c r="K176" s="9">
        <v>97482.99</v>
      </c>
      <c r="L176" s="9" t="e">
        <v>#N/A</v>
      </c>
      <c r="M176" s="9" t="e">
        <v>#N/A</v>
      </c>
      <c r="N176" s="11" t="str">
        <f t="shared" si="1"/>
        <v>#N/A</v>
      </c>
      <c r="O176" s="12">
        <v>0.43</v>
      </c>
      <c r="P176" s="9">
        <v>90109.24</v>
      </c>
      <c r="Q176" s="9">
        <v>-103986.02</v>
      </c>
      <c r="R176" s="9">
        <v>-70759.59</v>
      </c>
      <c r="S176" s="9">
        <v>-84636.38</v>
      </c>
      <c r="T176" s="12">
        <v>20.61</v>
      </c>
      <c r="U176" s="12">
        <v>21.66</v>
      </c>
      <c r="V176" s="12">
        <v>76.05</v>
      </c>
      <c r="W176" s="12">
        <v>40.36</v>
      </c>
      <c r="X176" s="12">
        <v>38.02</v>
      </c>
      <c r="Y176" s="12" t="e">
        <v>#N/A</v>
      </c>
      <c r="Z176" s="12" t="e">
        <v>#N/A</v>
      </c>
      <c r="AA176" s="12" t="str">
        <f t="shared" si="2"/>
        <v>#N/A</v>
      </c>
      <c r="AB176" s="12">
        <v>50.82</v>
      </c>
      <c r="AC176" s="12">
        <v>0.2</v>
      </c>
      <c r="AD176" s="12">
        <v>177.95</v>
      </c>
      <c r="AE176" s="12">
        <v>7.58</v>
      </c>
      <c r="AF176" s="12">
        <v>5.85</v>
      </c>
      <c r="AG176" s="12">
        <v>15.41</v>
      </c>
      <c r="AH176" s="12">
        <v>0.43</v>
      </c>
      <c r="AI176" s="12" t="s">
        <v>47</v>
      </c>
      <c r="AJ176" s="12" t="s">
        <v>46</v>
      </c>
      <c r="AK176" s="12" t="s">
        <v>47</v>
      </c>
      <c r="AL176" s="12" t="s">
        <v>46</v>
      </c>
      <c r="AM176" s="12">
        <v>1.42</v>
      </c>
      <c r="AN176" s="12">
        <v>256.94</v>
      </c>
      <c r="AO176" s="12">
        <v>-256.94</v>
      </c>
      <c r="AP176" s="13">
        <f t="shared" si="3"/>
        <v>-9.6417</v>
      </c>
      <c r="AQ176" s="15">
        <v>6.495830467631384E-5</v>
      </c>
      <c r="AR176" s="13">
        <f t="shared" si="4"/>
        <v>0</v>
      </c>
      <c r="AS176" s="13"/>
      <c r="AT176" s="13"/>
      <c r="AU176" s="13"/>
      <c r="AV176" s="13"/>
      <c r="AW176" s="13" t="str">
        <f t="shared" si="117"/>
        <v/>
      </c>
      <c r="AX176" s="13"/>
      <c r="AY176" s="13"/>
      <c r="AZ176" s="13"/>
    </row>
    <row r="177">
      <c r="A177" s="8" t="s">
        <v>219</v>
      </c>
      <c r="B177" s="9">
        <v>2825951.97</v>
      </c>
      <c r="C177" s="9">
        <v>1839134.81</v>
      </c>
      <c r="D177" s="9">
        <v>308008.27</v>
      </c>
      <c r="E177" s="9">
        <v>1016075.34</v>
      </c>
      <c r="F177" s="9">
        <v>1719573.79</v>
      </c>
      <c r="G177" s="9">
        <v>1779667.29</v>
      </c>
      <c r="H177" s="9">
        <v>16052.08</v>
      </c>
      <c r="I177" s="9">
        <v>-61257.56</v>
      </c>
      <c r="J177" s="9">
        <v>-92085.38</v>
      </c>
      <c r="K177" s="9">
        <v>72626.06</v>
      </c>
      <c r="L177" s="9">
        <v>11917.08</v>
      </c>
      <c r="M177" s="9">
        <v>75369.87</v>
      </c>
      <c r="N177" s="11">
        <f t="shared" si="1"/>
        <v>0</v>
      </c>
      <c r="O177" s="12">
        <v>-0.3</v>
      </c>
      <c r="P177" s="9">
        <v>-27360.71</v>
      </c>
      <c r="Q177" s="9">
        <v>-111460.14</v>
      </c>
      <c r="R177" s="9">
        <v>145657.83</v>
      </c>
      <c r="S177" s="9">
        <v>6836.98</v>
      </c>
      <c r="T177" s="12">
        <v>-8.52</v>
      </c>
      <c r="U177" s="12">
        <v>-2.17</v>
      </c>
      <c r="V177" s="12">
        <v>11.25</v>
      </c>
      <c r="W177" s="12">
        <v>-5.52</v>
      </c>
      <c r="X177" s="12">
        <v>3.4</v>
      </c>
      <c r="Y177" s="12">
        <v>0.33</v>
      </c>
      <c r="Z177" s="12">
        <v>2.84</v>
      </c>
      <c r="AA177" s="12">
        <f t="shared" si="2"/>
        <v>0</v>
      </c>
      <c r="AB177" s="12">
        <v>-3.56</v>
      </c>
      <c r="AC177" s="12">
        <v>1.86</v>
      </c>
      <c r="AD177" s="12">
        <v>-1.37</v>
      </c>
      <c r="AE177" s="12">
        <v>1.26</v>
      </c>
      <c r="AF177" s="12">
        <v>0.58</v>
      </c>
      <c r="AG177" s="12">
        <v>1.91</v>
      </c>
      <c r="AH177" s="12">
        <v>0.61</v>
      </c>
      <c r="AI177" s="12">
        <v>1.88</v>
      </c>
      <c r="AJ177" s="12">
        <v>194.45</v>
      </c>
      <c r="AK177" s="12">
        <v>2.91</v>
      </c>
      <c r="AL177" s="12">
        <v>125.28</v>
      </c>
      <c r="AM177" s="12">
        <v>5.95</v>
      </c>
      <c r="AN177" s="12">
        <v>61.33</v>
      </c>
      <c r="AO177" s="12">
        <v>258.41</v>
      </c>
      <c r="AP177" s="13">
        <f t="shared" si="3"/>
        <v>0.11037</v>
      </c>
      <c r="AQ177" s="15">
        <v>0.5275645241569729</v>
      </c>
      <c r="AR177" s="13">
        <f t="shared" si="4"/>
        <v>1</v>
      </c>
      <c r="AS177" s="13">
        <f>IF(AR177=N177,1,0)</f>
        <v>0</v>
      </c>
      <c r="AT177" s="13">
        <f>IF(AND(AR177=0,AS177=1),1,0)</f>
        <v>0</v>
      </c>
      <c r="AU177" s="13">
        <f>IF(AND(AR177=0,AS177=0),1,0)</f>
        <v>0</v>
      </c>
      <c r="AV177" s="13">
        <f>IFERROR(IFS(AND(AR177=1,AS177=0),1,AS177="",""),0)</f>
        <v>1</v>
      </c>
      <c r="AW177" s="13">
        <f t="shared" si="117"/>
        <v>0</v>
      </c>
      <c r="AX177" s="13"/>
      <c r="AY177" s="13"/>
      <c r="AZ177" s="13"/>
    </row>
    <row r="178">
      <c r="A178" s="8" t="s">
        <v>220</v>
      </c>
      <c r="B178" s="9">
        <v>372524.19</v>
      </c>
      <c r="C178" s="9">
        <v>57837.51</v>
      </c>
      <c r="D178" s="9">
        <v>105000.0</v>
      </c>
      <c r="E178" s="9">
        <v>314686.48</v>
      </c>
      <c r="F178" s="9">
        <v>218968.83</v>
      </c>
      <c r="G178" s="9">
        <v>153518.94</v>
      </c>
      <c r="H178" s="9">
        <v>77772.89</v>
      </c>
      <c r="I178" s="9">
        <v>65449.89</v>
      </c>
      <c r="J178" s="9">
        <v>50650.63</v>
      </c>
      <c r="K178" s="9" t="e">
        <v>#N/A</v>
      </c>
      <c r="L178" s="9" t="e">
        <v>#N/A</v>
      </c>
      <c r="M178" s="9" t="e">
        <v>#N/A</v>
      </c>
      <c r="N178" s="11" t="str">
        <f t="shared" si="1"/>
        <v>#N/A</v>
      </c>
      <c r="O178" s="12">
        <v>0.24</v>
      </c>
      <c r="P178" s="9">
        <v>29210.93</v>
      </c>
      <c r="Q178" s="9">
        <v>88331.34</v>
      </c>
      <c r="R178" s="9">
        <v>-46966.09</v>
      </c>
      <c r="S178" s="9">
        <v>70576.18</v>
      </c>
      <c r="T178" s="12">
        <v>16.49</v>
      </c>
      <c r="U178" s="12">
        <v>17.7</v>
      </c>
      <c r="V178" s="12">
        <v>32.23</v>
      </c>
      <c r="W178" s="12">
        <v>23.13</v>
      </c>
      <c r="X178" s="12" t="e">
        <v>#N/A</v>
      </c>
      <c r="Y178" s="12" t="e">
        <v>#N/A</v>
      </c>
      <c r="Z178" s="12" t="e">
        <v>#N/A</v>
      </c>
      <c r="AA178" s="12" t="str">
        <f t="shared" si="2"/>
        <v>#N/A</v>
      </c>
      <c r="AB178" s="12">
        <v>29.89</v>
      </c>
      <c r="AC178" s="12">
        <v>0.18</v>
      </c>
      <c r="AD178" s="12">
        <v>44.62</v>
      </c>
      <c r="AE178" s="12">
        <v>6.15</v>
      </c>
      <c r="AF178" s="12">
        <v>5.79</v>
      </c>
      <c r="AG178" s="12">
        <v>1.52</v>
      </c>
      <c r="AH178" s="12">
        <v>0.59</v>
      </c>
      <c r="AI178" s="12">
        <v>8.65</v>
      </c>
      <c r="AJ178" s="12">
        <v>42.21</v>
      </c>
      <c r="AK178" s="12">
        <v>4.92</v>
      </c>
      <c r="AL178" s="12">
        <v>74.15</v>
      </c>
      <c r="AM178" s="12">
        <v>4.94</v>
      </c>
      <c r="AN178" s="12">
        <v>73.89</v>
      </c>
      <c r="AO178" s="12">
        <v>42.47</v>
      </c>
      <c r="AP178" s="13">
        <f t="shared" si="3"/>
        <v>-10.28617</v>
      </c>
      <c r="AQ178" s="15">
        <v>3.410030938333763E-5</v>
      </c>
      <c r="AR178" s="13">
        <f t="shared" si="4"/>
        <v>0</v>
      </c>
      <c r="AS178" s="13"/>
      <c r="AT178" s="13"/>
      <c r="AU178" s="13"/>
      <c r="AV178" s="13"/>
      <c r="AW178" s="13" t="str">
        <f t="shared" si="117"/>
        <v/>
      </c>
      <c r="AX178" s="13"/>
      <c r="AY178" s="13"/>
      <c r="AZ178" s="13"/>
    </row>
    <row r="179">
      <c r="A179" s="8" t="s">
        <v>221</v>
      </c>
      <c r="B179" s="9">
        <v>4439144.25</v>
      </c>
      <c r="C179" s="9">
        <v>249426.1</v>
      </c>
      <c r="D179" s="9">
        <v>1589549.29</v>
      </c>
      <c r="E179" s="9">
        <v>4189717.9</v>
      </c>
      <c r="F179" s="9">
        <v>276478.45</v>
      </c>
      <c r="G179" s="9">
        <v>465868.24</v>
      </c>
      <c r="H179" s="9">
        <v>-151415.39</v>
      </c>
      <c r="I179" s="9">
        <v>-189420.26</v>
      </c>
      <c r="J179" s="9">
        <v>-181578.63</v>
      </c>
      <c r="K179" s="9">
        <v>43118.52</v>
      </c>
      <c r="L179" s="9">
        <v>-26441.5</v>
      </c>
      <c r="M179" s="9">
        <v>-98950.04</v>
      </c>
      <c r="N179" s="11">
        <f t="shared" si="1"/>
        <v>0</v>
      </c>
      <c r="O179" s="12">
        <v>-0.17</v>
      </c>
      <c r="P179" s="9">
        <v>-120478.0</v>
      </c>
      <c r="Q179" s="9">
        <v>-1189458.36</v>
      </c>
      <c r="R179" s="9">
        <v>3949939.73</v>
      </c>
      <c r="S179" s="9">
        <v>2640003.37</v>
      </c>
      <c r="T179" s="12">
        <v>-8.02</v>
      </c>
      <c r="U179" s="12">
        <v>-7.67</v>
      </c>
      <c r="V179" s="12">
        <v>-12.27</v>
      </c>
      <c r="W179" s="12">
        <v>-65.68</v>
      </c>
      <c r="X179" s="12">
        <v>36.99</v>
      </c>
      <c r="Y179" s="12">
        <v>-32.74</v>
      </c>
      <c r="Z179" s="12">
        <v>-92.25</v>
      </c>
      <c r="AA179" s="12">
        <f t="shared" si="2"/>
        <v>0</v>
      </c>
      <c r="AB179" s="12">
        <v>-68.51</v>
      </c>
      <c r="AC179" s="12">
        <v>0.06</v>
      </c>
      <c r="AD179" s="12">
        <v>22.75</v>
      </c>
      <c r="AE179" s="12">
        <v>20.02</v>
      </c>
      <c r="AF179" s="12">
        <v>14.47</v>
      </c>
      <c r="AG179" s="12">
        <v>1.95</v>
      </c>
      <c r="AH179" s="12">
        <v>0.11</v>
      </c>
      <c r="AI179" s="12">
        <v>9.8</v>
      </c>
      <c r="AJ179" s="12">
        <v>37.24</v>
      </c>
      <c r="AK179" s="12">
        <v>3.3</v>
      </c>
      <c r="AL179" s="12">
        <v>110.44</v>
      </c>
      <c r="AM179" s="12">
        <v>2.87</v>
      </c>
      <c r="AN179" s="12">
        <v>127.35</v>
      </c>
      <c r="AO179" s="12">
        <v>20.33</v>
      </c>
      <c r="AP179" s="13">
        <f t="shared" si="3"/>
        <v>-14.93777</v>
      </c>
      <c r="AQ179" s="15">
        <v>3.255433105762317E-7</v>
      </c>
      <c r="AR179" s="13">
        <f t="shared" si="4"/>
        <v>0</v>
      </c>
      <c r="AS179" s="13">
        <f t="shared" ref="AS179:AS181" si="118">IF(AR179=N179,1,0)</f>
        <v>1</v>
      </c>
      <c r="AT179" s="13">
        <f t="shared" ref="AT179:AT181" si="119">IF(AND(AR179=0,AS179=1),1,0)</f>
        <v>1</v>
      </c>
      <c r="AU179" s="13">
        <f t="shared" ref="AU179:AU181" si="120">IF(AND(AR179=0,AS179=0),1,0)</f>
        <v>0</v>
      </c>
      <c r="AV179" s="13">
        <f t="shared" ref="AV179:AV181" si="121">IFERROR(IFS(AND(AR179=1,AS179=0),1,AS179="",""),0)</f>
        <v>0</v>
      </c>
      <c r="AW179" s="13">
        <f t="shared" si="117"/>
        <v>0</v>
      </c>
      <c r="AX179" s="13"/>
      <c r="AY179" s="13"/>
      <c r="AZ179" s="13"/>
    </row>
    <row r="180">
      <c r="A180" s="8" t="s">
        <v>222</v>
      </c>
      <c r="B180" s="9">
        <v>1972384.89</v>
      </c>
      <c r="C180" s="9">
        <v>989949.63</v>
      </c>
      <c r="D180" s="9">
        <v>855799.07</v>
      </c>
      <c r="E180" s="9">
        <v>1004648.04</v>
      </c>
      <c r="F180" s="9">
        <v>2146952.41</v>
      </c>
      <c r="G180" s="9">
        <v>2621925.79</v>
      </c>
      <c r="H180" s="9">
        <v>-291441.83</v>
      </c>
      <c r="I180" s="9">
        <v>-474687.44</v>
      </c>
      <c r="J180" s="9">
        <v>-348605.41</v>
      </c>
      <c r="K180" s="9">
        <v>-259815.62</v>
      </c>
      <c r="L180" s="9">
        <v>28336.02</v>
      </c>
      <c r="M180" s="9">
        <v>13379.22</v>
      </c>
      <c r="N180" s="11">
        <f t="shared" si="1"/>
        <v>0</v>
      </c>
      <c r="O180" s="12">
        <v>-0.23</v>
      </c>
      <c r="P180" s="9">
        <v>-184671.66</v>
      </c>
      <c r="Q180" s="9">
        <v>-320107.8</v>
      </c>
      <c r="R180" s="9">
        <v>808110.71</v>
      </c>
      <c r="S180" s="9">
        <v>303331.26</v>
      </c>
      <c r="T180" s="12">
        <v>-45.02</v>
      </c>
      <c r="U180" s="12">
        <v>-28.32</v>
      </c>
      <c r="V180" s="12">
        <v>43.58</v>
      </c>
      <c r="W180" s="12">
        <v>-18.44</v>
      </c>
      <c r="X180" s="12">
        <v>-9.64</v>
      </c>
      <c r="Y180" s="12">
        <v>0.79</v>
      </c>
      <c r="Z180" s="12">
        <v>0.67</v>
      </c>
      <c r="AA180" s="12">
        <f t="shared" si="2"/>
        <v>0</v>
      </c>
      <c r="AB180" s="12">
        <v>-22.11</v>
      </c>
      <c r="AC180" s="12">
        <v>1.01</v>
      </c>
      <c r="AD180" s="12">
        <v>-31.17</v>
      </c>
      <c r="AE180" s="12">
        <v>1.0</v>
      </c>
      <c r="AF180" s="12">
        <v>0.65</v>
      </c>
      <c r="AG180" s="12">
        <v>4.3</v>
      </c>
      <c r="AH180" s="12">
        <v>1.28</v>
      </c>
      <c r="AI180" s="12">
        <v>5.12</v>
      </c>
      <c r="AJ180" s="12">
        <v>71.36</v>
      </c>
      <c r="AK180" s="12">
        <v>12.31</v>
      </c>
      <c r="AL180" s="12">
        <v>29.65</v>
      </c>
      <c r="AM180" s="12">
        <v>3.83</v>
      </c>
      <c r="AN180" s="12">
        <v>95.19</v>
      </c>
      <c r="AO180" s="12">
        <v>5.82</v>
      </c>
      <c r="AP180" s="13">
        <f t="shared" si="3"/>
        <v>5.13254</v>
      </c>
      <c r="AQ180" s="15">
        <v>0.9941330724951264</v>
      </c>
      <c r="AR180" s="13">
        <f t="shared" si="4"/>
        <v>1</v>
      </c>
      <c r="AS180" s="13">
        <f t="shared" si="118"/>
        <v>0</v>
      </c>
      <c r="AT180" s="13">
        <f t="shared" si="119"/>
        <v>0</v>
      </c>
      <c r="AU180" s="13">
        <f t="shared" si="120"/>
        <v>0</v>
      </c>
      <c r="AV180" s="13">
        <f t="shared" si="121"/>
        <v>1</v>
      </c>
      <c r="AW180" s="13">
        <f t="shared" si="117"/>
        <v>0</v>
      </c>
      <c r="AX180" s="13"/>
      <c r="AY180" s="13"/>
      <c r="AZ180" s="13"/>
    </row>
    <row r="181">
      <c r="A181" s="8" t="s">
        <v>223</v>
      </c>
      <c r="B181" s="9">
        <v>675633.98</v>
      </c>
      <c r="C181" s="9">
        <v>74021.67</v>
      </c>
      <c r="D181" s="9">
        <v>200007.52</v>
      </c>
      <c r="E181" s="9">
        <v>600229.09</v>
      </c>
      <c r="F181" s="9">
        <v>313101.76</v>
      </c>
      <c r="G181" s="9">
        <v>320860.79</v>
      </c>
      <c r="H181" s="9">
        <v>6529.96</v>
      </c>
      <c r="I181" s="9">
        <v>-7759.03</v>
      </c>
      <c r="J181" s="9">
        <v>-9917.44</v>
      </c>
      <c r="K181" s="9">
        <v>22032.16</v>
      </c>
      <c r="L181" s="9">
        <v>-3703.14</v>
      </c>
      <c r="M181" s="9">
        <v>7701.34</v>
      </c>
      <c r="N181" s="11">
        <f t="shared" si="1"/>
        <v>0</v>
      </c>
      <c r="O181" s="12">
        <v>-0.01</v>
      </c>
      <c r="P181" s="9">
        <v>2693.26</v>
      </c>
      <c r="Q181" s="9">
        <v>33624.67</v>
      </c>
      <c r="R181" s="9">
        <v>-26212.36</v>
      </c>
      <c r="S181" s="9">
        <v>10105.58</v>
      </c>
      <c r="T181" s="12">
        <v>-1.61</v>
      </c>
      <c r="U181" s="12">
        <v>-1.09</v>
      </c>
      <c r="V181" s="12">
        <v>25.83</v>
      </c>
      <c r="W181" s="12">
        <v>-3.09</v>
      </c>
      <c r="X181" s="12">
        <v>7.44</v>
      </c>
      <c r="Y181" s="12">
        <v>-1.52</v>
      </c>
      <c r="Z181" s="12">
        <v>1.01</v>
      </c>
      <c r="AA181" s="12">
        <f t="shared" si="2"/>
        <v>0</v>
      </c>
      <c r="AB181" s="12">
        <v>-2.48</v>
      </c>
      <c r="AC181" s="12">
        <v>0.12</v>
      </c>
      <c r="AD181" s="12">
        <v>-6.69</v>
      </c>
      <c r="AE181" s="12">
        <v>3.9</v>
      </c>
      <c r="AF181" s="12">
        <v>3.32</v>
      </c>
      <c r="AG181" s="12">
        <v>0.81</v>
      </c>
      <c r="AH181" s="12">
        <v>0.44</v>
      </c>
      <c r="AI181" s="12">
        <v>6.3</v>
      </c>
      <c r="AJ181" s="12">
        <v>57.91</v>
      </c>
      <c r="AK181" s="12">
        <v>6.21</v>
      </c>
      <c r="AL181" s="12">
        <v>58.81</v>
      </c>
      <c r="AM181" s="12">
        <v>5.76</v>
      </c>
      <c r="AN181" s="12">
        <v>63.42</v>
      </c>
      <c r="AO181" s="12">
        <v>53.3</v>
      </c>
      <c r="AP181" s="13">
        <f t="shared" si="3"/>
        <v>-4.72676</v>
      </c>
      <c r="AQ181" s="15">
        <v>0.008777390381505589</v>
      </c>
      <c r="AR181" s="13">
        <f t="shared" si="4"/>
        <v>0</v>
      </c>
      <c r="AS181" s="13">
        <f t="shared" si="118"/>
        <v>1</v>
      </c>
      <c r="AT181" s="13">
        <f t="shared" si="119"/>
        <v>1</v>
      </c>
      <c r="AU181" s="13">
        <f t="shared" si="120"/>
        <v>0</v>
      </c>
      <c r="AV181" s="13">
        <f t="shared" si="121"/>
        <v>0</v>
      </c>
      <c r="AW181" s="13">
        <f t="shared" si="117"/>
        <v>0</v>
      </c>
      <c r="AX181" s="13"/>
      <c r="AY181" s="13"/>
      <c r="AZ181" s="13"/>
    </row>
    <row r="182">
      <c r="A182" s="8" t="s">
        <v>224</v>
      </c>
      <c r="B182" s="9">
        <v>806847.78</v>
      </c>
      <c r="C182" s="9">
        <v>246167.64</v>
      </c>
      <c r="D182" s="9">
        <v>300000.0</v>
      </c>
      <c r="E182" s="9">
        <v>560680.14</v>
      </c>
      <c r="F182" s="9">
        <v>664058.01</v>
      </c>
      <c r="G182" s="9">
        <v>571866.48</v>
      </c>
      <c r="H182" s="9">
        <v>95479.45</v>
      </c>
      <c r="I182" s="9">
        <v>92191.54</v>
      </c>
      <c r="J182" s="9">
        <v>68010.44</v>
      </c>
      <c r="K182" s="9" t="e">
        <v>#N/A</v>
      </c>
      <c r="L182" s="9" t="e">
        <v>#N/A</v>
      </c>
      <c r="M182" s="9" t="e">
        <v>#N/A</v>
      </c>
      <c r="N182" s="11" t="str">
        <f t="shared" si="1"/>
        <v>#N/A</v>
      </c>
      <c r="O182" s="12">
        <v>0.15</v>
      </c>
      <c r="P182" s="9">
        <v>90324.35</v>
      </c>
      <c r="Q182" s="9">
        <v>-2919.89</v>
      </c>
      <c r="R182" s="9">
        <v>217779.67</v>
      </c>
      <c r="S182" s="9">
        <v>305184.13</v>
      </c>
      <c r="T182" s="12">
        <v>16.92</v>
      </c>
      <c r="U182" s="12">
        <v>13.59</v>
      </c>
      <c r="V182" s="12">
        <v>19.38</v>
      </c>
      <c r="W182" s="12">
        <v>10.24</v>
      </c>
      <c r="X182" s="12" t="e">
        <v>#N/A</v>
      </c>
      <c r="Y182" s="12" t="e">
        <v>#N/A</v>
      </c>
      <c r="Z182" s="12" t="e">
        <v>#N/A</v>
      </c>
      <c r="AA182" s="12" t="str">
        <f t="shared" si="2"/>
        <v>#N/A</v>
      </c>
      <c r="AB182" s="12">
        <v>13.88</v>
      </c>
      <c r="AC182" s="12">
        <v>0.44</v>
      </c>
      <c r="AD182" s="12">
        <v>12.43</v>
      </c>
      <c r="AE182" s="12">
        <v>4.03</v>
      </c>
      <c r="AF182" s="12">
        <v>3.15</v>
      </c>
      <c r="AG182" s="12">
        <v>51.98</v>
      </c>
      <c r="AH182" s="12">
        <v>0.98</v>
      </c>
      <c r="AI182" s="12">
        <v>47.26</v>
      </c>
      <c r="AJ182" s="12">
        <v>7.72</v>
      </c>
      <c r="AK182" s="12">
        <v>2.76</v>
      </c>
      <c r="AL182" s="12">
        <v>132.4</v>
      </c>
      <c r="AM182" s="12">
        <v>7.29</v>
      </c>
      <c r="AN182" s="12">
        <v>50.1</v>
      </c>
      <c r="AO182" s="12">
        <v>90.03</v>
      </c>
      <c r="AP182" s="13">
        <f t="shared" si="3"/>
        <v>-7.35532</v>
      </c>
      <c r="AQ182" s="15">
        <v>6.387745526104648E-4</v>
      </c>
      <c r="AR182" s="13">
        <f t="shared" si="4"/>
        <v>0</v>
      </c>
      <c r="AS182" s="13"/>
      <c r="AT182" s="13"/>
      <c r="AU182" s="13"/>
      <c r="AV182" s="13"/>
      <c r="AW182" s="13" t="str">
        <f t="shared" si="117"/>
        <v/>
      </c>
      <c r="AX182" s="13"/>
      <c r="AY182" s="13"/>
      <c r="AZ182" s="13"/>
    </row>
    <row r="183">
      <c r="A183" s="8" t="s">
        <v>225</v>
      </c>
      <c r="B183" s="9">
        <v>1220208.0</v>
      </c>
      <c r="C183" s="9">
        <v>514010.0</v>
      </c>
      <c r="D183" s="9">
        <v>285000.0</v>
      </c>
      <c r="E183" s="9">
        <v>706198.0</v>
      </c>
      <c r="F183" s="9">
        <v>1048379.0</v>
      </c>
      <c r="G183" s="9">
        <v>1051039.0</v>
      </c>
      <c r="H183" s="9">
        <v>12755.0</v>
      </c>
      <c r="I183" s="9">
        <v>-7911.0</v>
      </c>
      <c r="J183" s="9">
        <v>-20113.0</v>
      </c>
      <c r="K183" s="9">
        <v>54695.74</v>
      </c>
      <c r="L183" s="9">
        <v>120016.58</v>
      </c>
      <c r="M183" s="9">
        <v>106678.18</v>
      </c>
      <c r="N183" s="11">
        <f t="shared" si="1"/>
        <v>0</v>
      </c>
      <c r="O183" s="12">
        <v>-0.07</v>
      </c>
      <c r="P183" s="9">
        <v>-83833.0</v>
      </c>
      <c r="Q183" s="9">
        <v>-31217.0</v>
      </c>
      <c r="R183" s="9">
        <v>330307.0</v>
      </c>
      <c r="S183" s="9">
        <v>215257.0</v>
      </c>
      <c r="T183" s="12">
        <v>-3.34</v>
      </c>
      <c r="U183" s="12">
        <v>-0.72</v>
      </c>
      <c r="V183" s="12">
        <v>20.92</v>
      </c>
      <c r="W183" s="12">
        <v>-1.92</v>
      </c>
      <c r="X183" s="12">
        <v>4.68</v>
      </c>
      <c r="Y183" s="12">
        <v>11.64</v>
      </c>
      <c r="Z183" s="12">
        <v>11.64</v>
      </c>
      <c r="AA183" s="12">
        <f t="shared" si="2"/>
        <v>0</v>
      </c>
      <c r="AB183" s="12">
        <v>-0.75</v>
      </c>
      <c r="AC183" s="12">
        <v>0.73</v>
      </c>
      <c r="AD183" s="12">
        <v>-1.26</v>
      </c>
      <c r="AE183" s="12">
        <v>2.01</v>
      </c>
      <c r="AF183" s="12">
        <v>1.31</v>
      </c>
      <c r="AG183" s="12">
        <v>3.55</v>
      </c>
      <c r="AH183" s="12">
        <v>0.95</v>
      </c>
      <c r="AI183" s="12">
        <v>2.86</v>
      </c>
      <c r="AJ183" s="12">
        <v>127.63</v>
      </c>
      <c r="AK183" s="12">
        <v>3.05</v>
      </c>
      <c r="AL183" s="12">
        <v>119.48</v>
      </c>
      <c r="AM183" s="12">
        <v>5.54</v>
      </c>
      <c r="AN183" s="12">
        <v>65.86</v>
      </c>
      <c r="AO183" s="12">
        <v>181.24</v>
      </c>
      <c r="AP183" s="13">
        <f t="shared" si="3"/>
        <v>-2.23479</v>
      </c>
      <c r="AQ183" s="15">
        <v>0.09666954754310994</v>
      </c>
      <c r="AR183" s="13">
        <f t="shared" si="4"/>
        <v>0</v>
      </c>
      <c r="AS183" s="13">
        <f t="shared" ref="AS183:AS189" si="122">IF(AR183=N183,1,0)</f>
        <v>1</v>
      </c>
      <c r="AT183" s="13">
        <f t="shared" ref="AT183:AT189" si="123">IF(AND(AR183=0,AS183=1),1,0)</f>
        <v>1</v>
      </c>
      <c r="AU183" s="13">
        <f t="shared" ref="AU183:AU189" si="124">IF(AND(AR183=0,AS183=0),1,0)</f>
        <v>0</v>
      </c>
      <c r="AV183" s="13">
        <f t="shared" ref="AV183:AV189" si="125">IFERROR(IFS(AND(AR183=1,AS183=0),1,AS183="",""),0)</f>
        <v>0</v>
      </c>
      <c r="AW183" s="13">
        <f t="shared" si="117"/>
        <v>0</v>
      </c>
      <c r="AX183" s="13"/>
      <c r="AY183" s="13"/>
      <c r="AZ183" s="13"/>
    </row>
    <row r="184" ht="14.25" customHeight="1">
      <c r="A184" s="8" t="s">
        <v>226</v>
      </c>
      <c r="B184" s="9">
        <v>1438139.79</v>
      </c>
      <c r="C184" s="9">
        <v>199262.69</v>
      </c>
      <c r="D184" s="9">
        <v>142627.65</v>
      </c>
      <c r="E184" s="9">
        <v>1238877.11</v>
      </c>
      <c r="F184" s="9">
        <v>710801.68</v>
      </c>
      <c r="G184" s="9">
        <v>725874.47</v>
      </c>
      <c r="H184" s="9">
        <v>25637.79</v>
      </c>
      <c r="I184" s="9">
        <v>-15429.19</v>
      </c>
      <c r="J184" s="9">
        <v>-14257.4</v>
      </c>
      <c r="K184" s="9">
        <v>13665.87</v>
      </c>
      <c r="L184" s="9">
        <v>35875.0</v>
      </c>
      <c r="M184" s="9">
        <v>-151882.0</v>
      </c>
      <c r="N184" s="11">
        <f t="shared" si="1"/>
        <v>0</v>
      </c>
      <c r="O184" s="12">
        <v>-0.02</v>
      </c>
      <c r="P184" s="9">
        <v>-102881.33</v>
      </c>
      <c r="Q184" s="9">
        <v>-4892.59</v>
      </c>
      <c r="R184" s="9">
        <v>-52059.9</v>
      </c>
      <c r="S184" s="9">
        <v>-159833.83</v>
      </c>
      <c r="T184" s="12">
        <v>-1.12</v>
      </c>
      <c r="U184" s="12">
        <v>-1.09</v>
      </c>
      <c r="V184" s="12">
        <v>16.77</v>
      </c>
      <c r="W184" s="12">
        <v>-2.01</v>
      </c>
      <c r="X184" s="12">
        <v>2.91</v>
      </c>
      <c r="Y184" s="12">
        <v>4.49</v>
      </c>
      <c r="Z184" s="12">
        <v>-16.97</v>
      </c>
      <c r="AA184" s="12">
        <f t="shared" si="2"/>
        <v>0</v>
      </c>
      <c r="AB184" s="12">
        <v>-2.17</v>
      </c>
      <c r="AC184" s="12">
        <v>0.16</v>
      </c>
      <c r="AD184" s="12">
        <v>-40.88</v>
      </c>
      <c r="AE184" s="12">
        <v>6.62</v>
      </c>
      <c r="AF184" s="12">
        <v>4.24</v>
      </c>
      <c r="AG184" s="12">
        <v>1.41</v>
      </c>
      <c r="AH184" s="12">
        <v>0.5</v>
      </c>
      <c r="AI184" s="12">
        <v>4.74</v>
      </c>
      <c r="AJ184" s="12">
        <v>76.93</v>
      </c>
      <c r="AK184" s="12">
        <v>5.0</v>
      </c>
      <c r="AL184" s="12">
        <v>72.93</v>
      </c>
      <c r="AM184" s="12">
        <v>7.24</v>
      </c>
      <c r="AN184" s="12">
        <v>50.4</v>
      </c>
      <c r="AO184" s="12">
        <v>99.46</v>
      </c>
      <c r="AP184" s="13">
        <f t="shared" si="3"/>
        <v>-5.46246</v>
      </c>
      <c r="AQ184" s="13">
        <v>0.004225176988540543</v>
      </c>
      <c r="AR184" s="13">
        <f t="shared" si="4"/>
        <v>0</v>
      </c>
      <c r="AS184" s="13">
        <f t="shared" si="122"/>
        <v>1</v>
      </c>
      <c r="AT184" s="13">
        <f t="shared" si="123"/>
        <v>1</v>
      </c>
      <c r="AU184" s="13">
        <f t="shared" si="124"/>
        <v>0</v>
      </c>
      <c r="AV184" s="13">
        <f t="shared" si="125"/>
        <v>0</v>
      </c>
      <c r="AW184" s="13">
        <f t="shared" si="117"/>
        <v>0</v>
      </c>
      <c r="AX184" s="16"/>
      <c r="AY184" s="16"/>
      <c r="AZ184" s="16"/>
    </row>
    <row r="185">
      <c r="A185" s="8" t="s">
        <v>227</v>
      </c>
      <c r="B185" s="9">
        <v>2051708.54</v>
      </c>
      <c r="C185" s="9">
        <v>1041421.55</v>
      </c>
      <c r="D185" s="9">
        <v>290513.06</v>
      </c>
      <c r="E185" s="9">
        <v>832440.73</v>
      </c>
      <c r="F185" s="9">
        <v>3077696.64</v>
      </c>
      <c r="G185" s="9">
        <v>3112184.04</v>
      </c>
      <c r="H185" s="9">
        <v>-14176.1</v>
      </c>
      <c r="I185" s="9">
        <v>-58923.08</v>
      </c>
      <c r="J185" s="9">
        <v>-71035.37</v>
      </c>
      <c r="K185" s="9">
        <v>116201.24</v>
      </c>
      <c r="L185" s="9">
        <v>97111.49</v>
      </c>
      <c r="M185" s="9">
        <v>70181.34</v>
      </c>
      <c r="N185" s="11">
        <f t="shared" si="1"/>
        <v>0</v>
      </c>
      <c r="O185" s="12">
        <v>-0.06</v>
      </c>
      <c r="P185" s="9">
        <v>155805.44</v>
      </c>
      <c r="Q185" s="9">
        <v>-73976.04</v>
      </c>
      <c r="R185" s="9">
        <v>-145858.86</v>
      </c>
      <c r="S185" s="9">
        <v>-64029.46</v>
      </c>
      <c r="T185" s="12">
        <v>-7.62</v>
      </c>
      <c r="U185" s="12">
        <v>-2.7</v>
      </c>
      <c r="V185" s="12">
        <v>7.45</v>
      </c>
      <c r="W185" s="12">
        <v>-2.4</v>
      </c>
      <c r="X185" s="12">
        <v>3.5</v>
      </c>
      <c r="Y185" s="12">
        <v>3.99</v>
      </c>
      <c r="Z185" s="12">
        <v>4.21</v>
      </c>
      <c r="AA185" s="12">
        <f t="shared" si="2"/>
        <v>0</v>
      </c>
      <c r="AB185" s="12">
        <v>-1.91</v>
      </c>
      <c r="AC185" s="12">
        <v>1.03</v>
      </c>
      <c r="AD185" s="12">
        <v>-4.76</v>
      </c>
      <c r="AE185" s="12">
        <v>1.91</v>
      </c>
      <c r="AF185" s="12">
        <v>0.94</v>
      </c>
      <c r="AG185" s="12">
        <v>16.86</v>
      </c>
      <c r="AH185" s="12">
        <v>1.41</v>
      </c>
      <c r="AI185" s="12">
        <v>5.85</v>
      </c>
      <c r="AJ185" s="12">
        <v>62.43</v>
      </c>
      <c r="AK185" s="12">
        <v>3.82</v>
      </c>
      <c r="AL185" s="12">
        <v>95.58</v>
      </c>
      <c r="AM185" s="12">
        <v>9.06</v>
      </c>
      <c r="AN185" s="12">
        <v>40.28</v>
      </c>
      <c r="AO185" s="12">
        <v>117.73</v>
      </c>
      <c r="AP185" s="13">
        <f t="shared" si="3"/>
        <v>-1.15999</v>
      </c>
      <c r="AQ185" s="13">
        <v>0.23866910221395965</v>
      </c>
      <c r="AR185" s="13">
        <f t="shared" si="4"/>
        <v>0</v>
      </c>
      <c r="AS185" s="13">
        <f t="shared" si="122"/>
        <v>1</v>
      </c>
      <c r="AT185" s="13">
        <f t="shared" si="123"/>
        <v>1</v>
      </c>
      <c r="AU185" s="13">
        <f t="shared" si="124"/>
        <v>0</v>
      </c>
      <c r="AV185" s="13">
        <f t="shared" si="125"/>
        <v>0</v>
      </c>
      <c r="AW185" s="13">
        <f t="shared" si="117"/>
        <v>0</v>
      </c>
      <c r="AX185" s="13"/>
      <c r="AY185" s="13"/>
      <c r="AZ185" s="13"/>
    </row>
    <row r="186">
      <c r="A186" s="8" t="s">
        <v>228</v>
      </c>
      <c r="B186" s="9">
        <v>778267.38</v>
      </c>
      <c r="C186" s="9">
        <v>676028.05</v>
      </c>
      <c r="D186" s="9">
        <v>572599.8</v>
      </c>
      <c r="E186" s="9">
        <v>102239.34</v>
      </c>
      <c r="F186" s="9">
        <v>366875.76</v>
      </c>
      <c r="G186" s="9">
        <v>440301.3</v>
      </c>
      <c r="H186" s="9">
        <v>-11186.17</v>
      </c>
      <c r="I186" s="9">
        <v>-47821.55</v>
      </c>
      <c r="J186" s="9">
        <v>-71650.02</v>
      </c>
      <c r="K186" s="9">
        <v>-51557.82</v>
      </c>
      <c r="L186" s="9">
        <v>-56652.12</v>
      </c>
      <c r="M186" s="9">
        <v>-41776.31</v>
      </c>
      <c r="N186" s="11">
        <f t="shared" si="1"/>
        <v>1</v>
      </c>
      <c r="O186" s="12">
        <v>-0.06</v>
      </c>
      <c r="P186" s="9">
        <v>38961.0</v>
      </c>
      <c r="Q186" s="9">
        <v>-177232.37</v>
      </c>
      <c r="R186" s="9">
        <v>151244.38</v>
      </c>
      <c r="S186" s="9">
        <v>12973.0</v>
      </c>
      <c r="T186" s="12">
        <v>-51.9</v>
      </c>
      <c r="U186" s="12">
        <v>-6.67</v>
      </c>
      <c r="V186" s="12">
        <v>8.98</v>
      </c>
      <c r="W186" s="12">
        <v>-19.53</v>
      </c>
      <c r="X186" s="12">
        <v>-25.97</v>
      </c>
      <c r="Y186" s="12">
        <v>-46.53</v>
      </c>
      <c r="Z186" s="12">
        <v>-32.88</v>
      </c>
      <c r="AA186" s="12">
        <f t="shared" si="2"/>
        <v>1</v>
      </c>
      <c r="AB186" s="12">
        <v>-13.03</v>
      </c>
      <c r="AC186" s="12">
        <v>6.61</v>
      </c>
      <c r="AD186" s="12">
        <v>-2.01</v>
      </c>
      <c r="AE186" s="12">
        <v>0.17</v>
      </c>
      <c r="AF186" s="12">
        <v>0.11</v>
      </c>
      <c r="AG186" s="12">
        <v>0.9</v>
      </c>
      <c r="AH186" s="12">
        <v>0.51</v>
      </c>
      <c r="AI186" s="12">
        <v>34.16</v>
      </c>
      <c r="AJ186" s="12">
        <v>10.68</v>
      </c>
      <c r="AK186" s="12">
        <v>7.39</v>
      </c>
      <c r="AL186" s="12">
        <v>49.41</v>
      </c>
      <c r="AM186" s="12">
        <v>12.11</v>
      </c>
      <c r="AN186" s="12">
        <v>30.15</v>
      </c>
      <c r="AO186" s="12">
        <v>29.94</v>
      </c>
      <c r="AP186" s="13">
        <f t="shared" si="3"/>
        <v>7.36908</v>
      </c>
      <c r="AQ186" s="13">
        <v>0.9993699492896982</v>
      </c>
      <c r="AR186" s="13">
        <f t="shared" si="4"/>
        <v>1</v>
      </c>
      <c r="AS186" s="13">
        <f t="shared" si="122"/>
        <v>1</v>
      </c>
      <c r="AT186" s="13">
        <f t="shared" si="123"/>
        <v>0</v>
      </c>
      <c r="AU186" s="13">
        <f t="shared" si="124"/>
        <v>0</v>
      </c>
      <c r="AV186" s="13">
        <f t="shared" si="125"/>
        <v>0</v>
      </c>
      <c r="AW186" s="13">
        <f t="shared" si="117"/>
        <v>1</v>
      </c>
      <c r="AX186" s="16"/>
      <c r="AY186" s="16"/>
      <c r="AZ186" s="16"/>
    </row>
    <row r="187">
      <c r="A187" s="8" t="s">
        <v>229</v>
      </c>
      <c r="B187" s="9">
        <v>1691847.85</v>
      </c>
      <c r="C187" s="9">
        <v>363519.35</v>
      </c>
      <c r="D187" s="9">
        <v>441384.7</v>
      </c>
      <c r="E187" s="9">
        <v>1326245.11</v>
      </c>
      <c r="F187" s="9">
        <v>298495.11</v>
      </c>
      <c r="G187" s="9">
        <v>188022.95</v>
      </c>
      <c r="H187" s="9">
        <v>129013.72</v>
      </c>
      <c r="I187" s="9">
        <v>110472.16</v>
      </c>
      <c r="J187" s="9">
        <v>72463.34</v>
      </c>
      <c r="K187" s="9">
        <v>20986.89</v>
      </c>
      <c r="L187" s="9">
        <v>-106086.0</v>
      </c>
      <c r="M187" s="9">
        <v>-17198.42</v>
      </c>
      <c r="N187" s="11">
        <f t="shared" si="1"/>
        <v>0</v>
      </c>
      <c r="O187" s="12">
        <v>0.05</v>
      </c>
      <c r="P187" s="9">
        <v>94084.09</v>
      </c>
      <c r="Q187" s="9">
        <v>-750199.34</v>
      </c>
      <c r="R187" s="9">
        <v>600570.65</v>
      </c>
      <c r="S187" s="9">
        <v>-55544.6</v>
      </c>
      <c r="T187" s="12">
        <v>6.95</v>
      </c>
      <c r="U187" s="12">
        <v>7.93</v>
      </c>
      <c r="V187" s="12">
        <v>53.35</v>
      </c>
      <c r="W187" s="12">
        <v>23.75</v>
      </c>
      <c r="X187" s="12">
        <v>12.3</v>
      </c>
      <c r="Y187" s="12">
        <v>-305.7</v>
      </c>
      <c r="Z187" s="12">
        <v>-7.39</v>
      </c>
      <c r="AA187" s="12">
        <f t="shared" si="2"/>
        <v>0</v>
      </c>
      <c r="AB187" s="12">
        <v>37.01</v>
      </c>
      <c r="AC187" s="12">
        <v>0.27</v>
      </c>
      <c r="AD187" s="12">
        <v>2.9</v>
      </c>
      <c r="AE187" s="12">
        <v>1.62</v>
      </c>
      <c r="AF187" s="12">
        <v>1.14</v>
      </c>
      <c r="AG187" s="12">
        <v>0.35</v>
      </c>
      <c r="AH187" s="12">
        <v>0.21</v>
      </c>
      <c r="AI187" s="12">
        <v>12.82</v>
      </c>
      <c r="AJ187" s="12">
        <v>28.47</v>
      </c>
      <c r="AK187" s="12">
        <v>3.41</v>
      </c>
      <c r="AL187" s="12">
        <v>106.99</v>
      </c>
      <c r="AM187" s="12">
        <v>1.25</v>
      </c>
      <c r="AN187" s="12">
        <v>292.02</v>
      </c>
      <c r="AO187" s="12">
        <v>-156.56</v>
      </c>
      <c r="AP187" s="13">
        <f t="shared" si="3"/>
        <v>-2.65763</v>
      </c>
      <c r="AQ187" s="13">
        <v>0.0655202929909532</v>
      </c>
      <c r="AR187" s="13">
        <f t="shared" si="4"/>
        <v>0</v>
      </c>
      <c r="AS187" s="13">
        <f t="shared" si="122"/>
        <v>1</v>
      </c>
      <c r="AT187" s="13">
        <f t="shared" si="123"/>
        <v>1</v>
      </c>
      <c r="AU187" s="13">
        <f t="shared" si="124"/>
        <v>0</v>
      </c>
      <c r="AV187" s="13">
        <f t="shared" si="125"/>
        <v>0</v>
      </c>
      <c r="AW187" s="13">
        <f t="shared" si="117"/>
        <v>0</v>
      </c>
      <c r="AX187" s="7"/>
      <c r="AY187" s="7"/>
      <c r="AZ187" s="7"/>
    </row>
    <row r="188">
      <c r="A188" s="8" t="s">
        <v>230</v>
      </c>
      <c r="B188" s="9">
        <v>1446118.84</v>
      </c>
      <c r="C188" s="9">
        <v>808170.53</v>
      </c>
      <c r="D188" s="9">
        <v>153502.6</v>
      </c>
      <c r="E188" s="9">
        <v>585465.32</v>
      </c>
      <c r="F188" s="9">
        <v>2042170.31</v>
      </c>
      <c r="G188" s="9">
        <v>1866948.94</v>
      </c>
      <c r="H188" s="9">
        <v>198852.64</v>
      </c>
      <c r="I188" s="9">
        <v>173845.61</v>
      </c>
      <c r="J188" s="9">
        <v>111909.18</v>
      </c>
      <c r="K188" s="9">
        <v>126540.44</v>
      </c>
      <c r="L188" s="9">
        <v>89722.09</v>
      </c>
      <c r="M188" s="9">
        <v>66778.2</v>
      </c>
      <c r="N188" s="11">
        <f t="shared" si="1"/>
        <v>0</v>
      </c>
      <c r="O188" s="12">
        <v>0.36</v>
      </c>
      <c r="P188" s="9">
        <v>143165.13</v>
      </c>
      <c r="Q188" s="9">
        <v>10806.45</v>
      </c>
      <c r="R188" s="9">
        <v>-109443.01</v>
      </c>
      <c r="S188" s="9">
        <v>44528.58</v>
      </c>
      <c r="T188" s="12">
        <v>19.52</v>
      </c>
      <c r="U188" s="12">
        <v>12.73</v>
      </c>
      <c r="V188" s="12">
        <v>20.12</v>
      </c>
      <c r="W188" s="12">
        <v>6.71</v>
      </c>
      <c r="X188" s="12">
        <v>7.87</v>
      </c>
      <c r="Y188" s="12">
        <v>4.62</v>
      </c>
      <c r="Z188" s="12">
        <v>4.57</v>
      </c>
      <c r="AA188" s="12">
        <f t="shared" si="2"/>
        <v>0</v>
      </c>
      <c r="AB188" s="12">
        <v>8.51</v>
      </c>
      <c r="AC188" s="12">
        <v>1.27</v>
      </c>
      <c r="AD188" s="12">
        <v>19.06</v>
      </c>
      <c r="AE188" s="12">
        <v>1.38</v>
      </c>
      <c r="AF188" s="12">
        <v>1.23</v>
      </c>
      <c r="AG188" s="12">
        <v>39.54</v>
      </c>
      <c r="AH188" s="12">
        <v>1.5</v>
      </c>
      <c r="AI188" s="12">
        <v>81.57</v>
      </c>
      <c r="AJ188" s="12">
        <v>4.47</v>
      </c>
      <c r="AK188" s="12">
        <v>3.59</v>
      </c>
      <c r="AL188" s="12">
        <v>101.81</v>
      </c>
      <c r="AM188" s="12">
        <v>4.55</v>
      </c>
      <c r="AN188" s="12">
        <v>80.2</v>
      </c>
      <c r="AO188" s="12">
        <v>26.08</v>
      </c>
      <c r="AP188" s="13">
        <f t="shared" si="3"/>
        <v>-4.39429</v>
      </c>
      <c r="AQ188" s="13">
        <v>0.012197039341072304</v>
      </c>
      <c r="AR188" s="13">
        <f t="shared" si="4"/>
        <v>0</v>
      </c>
      <c r="AS188" s="13">
        <f t="shared" si="122"/>
        <v>1</v>
      </c>
      <c r="AT188" s="13">
        <f t="shared" si="123"/>
        <v>1</v>
      </c>
      <c r="AU188" s="13">
        <f t="shared" si="124"/>
        <v>0</v>
      </c>
      <c r="AV188" s="13">
        <f t="shared" si="125"/>
        <v>0</v>
      </c>
      <c r="AW188" s="13">
        <f t="shared" si="117"/>
        <v>0</v>
      </c>
    </row>
    <row r="189">
      <c r="A189" s="8" t="s">
        <v>231</v>
      </c>
      <c r="B189" s="9">
        <v>1882096.41</v>
      </c>
      <c r="C189" s="9">
        <v>944269.02</v>
      </c>
      <c r="D189" s="9">
        <v>538995.23</v>
      </c>
      <c r="E189" s="9">
        <v>937827.39</v>
      </c>
      <c r="F189" s="9">
        <v>729489.33</v>
      </c>
      <c r="G189" s="9">
        <v>667368.81</v>
      </c>
      <c r="H189" s="9">
        <v>178574.69</v>
      </c>
      <c r="I189" s="9">
        <v>62120.52</v>
      </c>
      <c r="J189" s="9">
        <v>23332.05</v>
      </c>
      <c r="K189" s="9">
        <v>23110.02</v>
      </c>
      <c r="L189" s="9">
        <v>84400.95</v>
      </c>
      <c r="M189" s="9">
        <v>80759.01</v>
      </c>
      <c r="N189" s="11">
        <f t="shared" si="1"/>
        <v>0</v>
      </c>
      <c r="O189" s="12">
        <v>0.02</v>
      </c>
      <c r="P189" s="9">
        <v>201864.13</v>
      </c>
      <c r="Q189" s="9">
        <v>-23134.75</v>
      </c>
      <c r="R189" s="9">
        <v>-163549.23</v>
      </c>
      <c r="S189" s="9">
        <v>15180.15</v>
      </c>
      <c r="T189" s="12">
        <v>2.55</v>
      </c>
      <c r="U189" s="12">
        <v>3.24</v>
      </c>
      <c r="V189" s="12">
        <v>15.88</v>
      </c>
      <c r="W189" s="12">
        <v>3.2</v>
      </c>
      <c r="X189" s="12">
        <v>3.45</v>
      </c>
      <c r="Y189" s="12">
        <v>13.0</v>
      </c>
      <c r="Z189" s="12">
        <v>11.33</v>
      </c>
      <c r="AA189" s="12">
        <f t="shared" si="2"/>
        <v>0</v>
      </c>
      <c r="AB189" s="12">
        <v>8.52</v>
      </c>
      <c r="AC189" s="12">
        <v>1.01</v>
      </c>
      <c r="AD189" s="12">
        <v>1.76</v>
      </c>
      <c r="AE189" s="12">
        <v>1.63</v>
      </c>
      <c r="AF189" s="12">
        <v>1.1</v>
      </c>
      <c r="AG189" s="12">
        <v>0.48</v>
      </c>
      <c r="AH189" s="12">
        <v>0.38</v>
      </c>
      <c r="AI189" s="12">
        <v>25.19</v>
      </c>
      <c r="AJ189" s="12">
        <v>14.49</v>
      </c>
      <c r="AK189" s="12">
        <v>8.82</v>
      </c>
      <c r="AL189" s="12">
        <v>41.36</v>
      </c>
      <c r="AM189" s="12">
        <v>9.72</v>
      </c>
      <c r="AN189" s="12">
        <v>37.56</v>
      </c>
      <c r="AO189" s="12">
        <v>18.29</v>
      </c>
      <c r="AP189" s="13">
        <f t="shared" si="3"/>
        <v>-2.59769</v>
      </c>
      <c r="AQ189" s="13">
        <v>0.069287236063103</v>
      </c>
      <c r="AR189" s="13">
        <f t="shared" si="4"/>
        <v>0</v>
      </c>
      <c r="AS189" s="13">
        <f t="shared" si="122"/>
        <v>1</v>
      </c>
      <c r="AT189" s="13">
        <f t="shared" si="123"/>
        <v>1</v>
      </c>
      <c r="AU189" s="13">
        <f t="shared" si="124"/>
        <v>0</v>
      </c>
      <c r="AV189" s="13">
        <f t="shared" si="125"/>
        <v>0</v>
      </c>
      <c r="AW189" s="13">
        <f t="shared" si="117"/>
        <v>0</v>
      </c>
    </row>
    <row r="190">
      <c r="A190" s="8" t="s">
        <v>232</v>
      </c>
      <c r="B190" s="9">
        <v>1878872.63</v>
      </c>
      <c r="C190" s="9">
        <v>438380.05</v>
      </c>
      <c r="D190" s="9">
        <v>300000.0</v>
      </c>
      <c r="E190" s="9">
        <v>1440492.58</v>
      </c>
      <c r="F190" s="9">
        <v>1074622.02</v>
      </c>
      <c r="G190" s="9">
        <v>906431.96</v>
      </c>
      <c r="H190" s="9">
        <v>196554.1</v>
      </c>
      <c r="I190" s="9">
        <v>168190.06</v>
      </c>
      <c r="J190" s="9">
        <v>128489.48</v>
      </c>
      <c r="K190" s="9" t="e">
        <v>#N/A</v>
      </c>
      <c r="L190" s="9" t="e">
        <v>#N/A</v>
      </c>
      <c r="M190" s="9" t="e">
        <v>#N/A</v>
      </c>
      <c r="N190" s="11" t="str">
        <f t="shared" si="1"/>
        <v>#N/A</v>
      </c>
      <c r="O190" s="12">
        <v>0.35</v>
      </c>
      <c r="P190" s="9">
        <v>49375.44</v>
      </c>
      <c r="Q190" s="9">
        <v>-256364.81</v>
      </c>
      <c r="R190" s="9">
        <v>726101.4</v>
      </c>
      <c r="S190" s="9">
        <v>519112.03</v>
      </c>
      <c r="T190" s="12">
        <v>15.9</v>
      </c>
      <c r="U190" s="12">
        <v>12.81</v>
      </c>
      <c r="V190" s="12">
        <v>46.27</v>
      </c>
      <c r="W190" s="12">
        <v>11.96</v>
      </c>
      <c r="X190" s="12" t="e">
        <v>#N/A</v>
      </c>
      <c r="Y190" s="12" t="e">
        <v>#N/A</v>
      </c>
      <c r="Z190" s="12" t="e">
        <v>#N/A</v>
      </c>
      <c r="AA190" s="12" t="str">
        <f t="shared" si="2"/>
        <v>#N/A</v>
      </c>
      <c r="AB190" s="12">
        <v>15.65</v>
      </c>
      <c r="AC190" s="12">
        <v>0.3</v>
      </c>
      <c r="AD190" s="12">
        <v>10.24</v>
      </c>
      <c r="AE190" s="12">
        <v>3.7</v>
      </c>
      <c r="AF190" s="12">
        <v>2.47</v>
      </c>
      <c r="AG190" s="12">
        <v>10.37</v>
      </c>
      <c r="AH190" s="12">
        <v>0.82</v>
      </c>
      <c r="AI190" s="12">
        <v>1.44</v>
      </c>
      <c r="AJ190" s="12">
        <v>253.29</v>
      </c>
      <c r="AK190" s="12">
        <v>4.43</v>
      </c>
      <c r="AL190" s="12">
        <v>82.35</v>
      </c>
      <c r="AM190" s="12">
        <v>2.47</v>
      </c>
      <c r="AN190" s="12">
        <v>147.94</v>
      </c>
      <c r="AO190" s="12">
        <v>187.71</v>
      </c>
      <c r="AP190" s="13">
        <f t="shared" si="3"/>
        <v>-6.2125</v>
      </c>
      <c r="AQ190" s="15">
        <v>0.002000211778309286</v>
      </c>
      <c r="AR190" s="13">
        <f t="shared" si="4"/>
        <v>0</v>
      </c>
      <c r="AS190" s="13"/>
      <c r="AT190" s="13"/>
      <c r="AU190" s="13"/>
      <c r="AV190" s="13"/>
      <c r="AW190" s="13" t="str">
        <f t="shared" si="117"/>
        <v/>
      </c>
    </row>
    <row r="191">
      <c r="A191" s="8" t="s">
        <v>233</v>
      </c>
      <c r="B191" s="9">
        <v>848243.42</v>
      </c>
      <c r="C191" s="9">
        <v>253322.08</v>
      </c>
      <c r="D191" s="9">
        <v>200000.0</v>
      </c>
      <c r="E191" s="9">
        <v>594921.34</v>
      </c>
      <c r="F191" s="9">
        <v>721626.34</v>
      </c>
      <c r="G191" s="9">
        <v>645228.99</v>
      </c>
      <c r="H191" s="9">
        <v>117185.35</v>
      </c>
      <c r="I191" s="9">
        <v>76397.34</v>
      </c>
      <c r="J191" s="9">
        <v>60669.82</v>
      </c>
      <c r="K191" s="9">
        <v>65206.21</v>
      </c>
      <c r="L191" s="9" t="e">
        <v>#N/A</v>
      </c>
      <c r="M191" s="9" t="e">
        <v>#N/A</v>
      </c>
      <c r="N191" s="11" t="str">
        <f t="shared" si="1"/>
        <v>#N/A</v>
      </c>
      <c r="O191" s="12">
        <v>0.15</v>
      </c>
      <c r="P191" s="9">
        <v>-74514.16</v>
      </c>
      <c r="Q191" s="9">
        <v>-49738.98</v>
      </c>
      <c r="R191" s="9">
        <v>69452.27</v>
      </c>
      <c r="S191" s="9">
        <v>-54800.87</v>
      </c>
      <c r="T191" s="12">
        <v>10.4</v>
      </c>
      <c r="U191" s="12">
        <v>9.53</v>
      </c>
      <c r="V191" s="12">
        <v>37.23</v>
      </c>
      <c r="W191" s="12">
        <v>8.41</v>
      </c>
      <c r="X191" s="12">
        <v>11.67</v>
      </c>
      <c r="Y191" s="12" t="e">
        <v>#N/A</v>
      </c>
      <c r="Z191" s="12" t="e">
        <v>#N/A</v>
      </c>
      <c r="AA191" s="12" t="str">
        <f t="shared" si="2"/>
        <v>#N/A</v>
      </c>
      <c r="AB191" s="12">
        <v>10.59</v>
      </c>
      <c r="AC191" s="12">
        <v>0.43</v>
      </c>
      <c r="AD191" s="12">
        <v>11.11</v>
      </c>
      <c r="AE191" s="12">
        <v>2.8</v>
      </c>
      <c r="AF191" s="12">
        <v>1.6</v>
      </c>
      <c r="AG191" s="12">
        <v>2.65</v>
      </c>
      <c r="AH191" s="12">
        <v>0.9</v>
      </c>
      <c r="AI191" s="12">
        <v>5.63</v>
      </c>
      <c r="AJ191" s="12">
        <v>64.8</v>
      </c>
      <c r="AK191" s="12">
        <v>3.68</v>
      </c>
      <c r="AL191" s="12">
        <v>99.06</v>
      </c>
      <c r="AM191" s="12">
        <v>6.17</v>
      </c>
      <c r="AN191" s="12">
        <v>59.18</v>
      </c>
      <c r="AO191" s="12">
        <v>104.68</v>
      </c>
      <c r="AP191" s="13">
        <f t="shared" si="3"/>
        <v>-5.07087</v>
      </c>
      <c r="AQ191" s="15">
        <v>0.00623780239592907</v>
      </c>
      <c r="AR191" s="13">
        <f t="shared" si="4"/>
        <v>0</v>
      </c>
      <c r="AS191" s="13"/>
      <c r="AT191" s="13"/>
      <c r="AU191" s="13"/>
      <c r="AV191" s="13"/>
      <c r="AW191" s="13" t="str">
        <f t="shared" si="117"/>
        <v/>
      </c>
    </row>
    <row r="192">
      <c r="A192" s="8" t="s">
        <v>234</v>
      </c>
      <c r="B192" s="9">
        <v>1320561.2</v>
      </c>
      <c r="C192" s="9">
        <v>734039.08</v>
      </c>
      <c r="D192" s="9">
        <v>149993.67</v>
      </c>
      <c r="E192" s="9">
        <v>586522.12</v>
      </c>
      <c r="F192" s="9">
        <v>2040177.61</v>
      </c>
      <c r="G192" s="9">
        <v>1982061.28</v>
      </c>
      <c r="H192" s="9">
        <v>95004.02</v>
      </c>
      <c r="I192" s="9">
        <v>57204.48</v>
      </c>
      <c r="J192" s="9">
        <v>9403.64</v>
      </c>
      <c r="K192" s="9">
        <v>108676.21</v>
      </c>
      <c r="L192" s="9">
        <v>84525.61</v>
      </c>
      <c r="M192" s="9">
        <v>84317.75</v>
      </c>
      <c r="N192" s="11">
        <f t="shared" si="1"/>
        <v>0</v>
      </c>
      <c r="O192" s="12">
        <v>0.02</v>
      </c>
      <c r="P192" s="9">
        <v>-4934.19</v>
      </c>
      <c r="Q192" s="9">
        <v>-21188.58</v>
      </c>
      <c r="R192" s="9">
        <v>22162.71</v>
      </c>
      <c r="S192" s="9">
        <v>-3960.06</v>
      </c>
      <c r="T192" s="12">
        <v>1.48</v>
      </c>
      <c r="U192" s="12">
        <v>4.4</v>
      </c>
      <c r="V192" s="12">
        <v>21.49</v>
      </c>
      <c r="W192" s="12">
        <v>0.46</v>
      </c>
      <c r="X192" s="12">
        <v>6.01</v>
      </c>
      <c r="Y192" s="12">
        <v>4.98</v>
      </c>
      <c r="Z192" s="12">
        <v>5.12</v>
      </c>
      <c r="AA192" s="12">
        <f t="shared" si="2"/>
        <v>0</v>
      </c>
      <c r="AB192" s="12">
        <v>2.8</v>
      </c>
      <c r="AC192" s="12">
        <v>1.25</v>
      </c>
      <c r="AD192" s="12">
        <v>9.91</v>
      </c>
      <c r="AE192" s="12">
        <v>1.35</v>
      </c>
      <c r="AF192" s="12">
        <v>0.61</v>
      </c>
      <c r="AG192" s="12">
        <v>5.88</v>
      </c>
      <c r="AH192" s="12">
        <v>1.57</v>
      </c>
      <c r="AI192" s="12">
        <v>3.62</v>
      </c>
      <c r="AJ192" s="12">
        <v>100.73</v>
      </c>
      <c r="AK192" s="12">
        <v>5.53</v>
      </c>
      <c r="AL192" s="12">
        <v>66.05</v>
      </c>
      <c r="AM192" s="12">
        <v>6.87</v>
      </c>
      <c r="AN192" s="12">
        <v>53.11</v>
      </c>
      <c r="AO192" s="12">
        <v>113.67</v>
      </c>
      <c r="AP192" s="13">
        <f t="shared" si="3"/>
        <v>-2.19546</v>
      </c>
      <c r="AQ192" s="15">
        <v>0.10015892409256327</v>
      </c>
      <c r="AR192" s="13">
        <f t="shared" si="4"/>
        <v>0</v>
      </c>
      <c r="AS192" s="13">
        <f t="shared" ref="AS192:AS193" si="126">IF(AR192=N192,1,0)</f>
        <v>1</v>
      </c>
      <c r="AT192" s="13">
        <f t="shared" ref="AT192:AT193" si="127">IF(AND(AR192=0,AS192=1),1,0)</f>
        <v>1</v>
      </c>
      <c r="AU192" s="13">
        <f t="shared" ref="AU192:AU193" si="128">IF(AND(AR192=0,AS192=0),1,0)</f>
        <v>0</v>
      </c>
      <c r="AV192" s="13">
        <f t="shared" ref="AV192:AV193" si="129">IFERROR(IFS(AND(AR192=1,AS192=0),1,AS192="",""),0)</f>
        <v>0</v>
      </c>
      <c r="AW192" s="13">
        <f t="shared" si="117"/>
        <v>0</v>
      </c>
    </row>
    <row r="193">
      <c r="A193" s="8" t="s">
        <v>235</v>
      </c>
      <c r="B193" s="9">
        <v>1569634.61</v>
      </c>
      <c r="C193" s="9">
        <v>331131.03</v>
      </c>
      <c r="D193" s="9">
        <v>212803.69</v>
      </c>
      <c r="E193" s="9">
        <v>1238503.57</v>
      </c>
      <c r="F193" s="9">
        <v>1480371.69</v>
      </c>
      <c r="G193" s="9">
        <v>1112502.12</v>
      </c>
      <c r="H193" s="9">
        <v>415578.13</v>
      </c>
      <c r="I193" s="9">
        <v>355816.96</v>
      </c>
      <c r="J193" s="9">
        <v>340157.68</v>
      </c>
      <c r="K193" s="9">
        <v>462294.58</v>
      </c>
      <c r="L193" s="9">
        <v>318481.67</v>
      </c>
      <c r="M193" s="9">
        <v>121989.02</v>
      </c>
      <c r="N193" s="11">
        <f t="shared" si="1"/>
        <v>0</v>
      </c>
      <c r="O193" s="12">
        <v>0.8</v>
      </c>
      <c r="P193" s="9">
        <v>464317.97</v>
      </c>
      <c r="Q193" s="9">
        <v>-200585.4</v>
      </c>
      <c r="R193" s="9">
        <v>-160577.71</v>
      </c>
      <c r="S193" s="9">
        <v>103154.85</v>
      </c>
      <c r="T193" s="12">
        <v>28.67</v>
      </c>
      <c r="U193" s="12">
        <v>24.2</v>
      </c>
      <c r="V193" s="12">
        <v>41.35</v>
      </c>
      <c r="W193" s="12">
        <v>22.98</v>
      </c>
      <c r="X193" s="12">
        <v>30.07</v>
      </c>
      <c r="Y193" s="12">
        <v>24.98</v>
      </c>
      <c r="Z193" s="12">
        <v>12.24</v>
      </c>
      <c r="AA193" s="12">
        <f t="shared" si="2"/>
        <v>0</v>
      </c>
      <c r="AB193" s="12">
        <v>24.04</v>
      </c>
      <c r="AC193" s="12">
        <v>0.27</v>
      </c>
      <c r="AD193" s="12">
        <v>170.72</v>
      </c>
      <c r="AE193" s="12">
        <v>3.15</v>
      </c>
      <c r="AF193" s="12">
        <v>1.31</v>
      </c>
      <c r="AG193" s="12">
        <v>2.14</v>
      </c>
      <c r="AH193" s="12">
        <v>1.01</v>
      </c>
      <c r="AI193" s="12">
        <v>6.83</v>
      </c>
      <c r="AJ193" s="12">
        <v>53.46</v>
      </c>
      <c r="AK193" s="12">
        <v>18.14</v>
      </c>
      <c r="AL193" s="12">
        <v>20.12</v>
      </c>
      <c r="AM193" s="12">
        <v>9.88</v>
      </c>
      <c r="AN193" s="12">
        <v>36.95</v>
      </c>
      <c r="AO193" s="12">
        <v>36.63</v>
      </c>
      <c r="AP193" s="13">
        <f t="shared" si="3"/>
        <v>-8.24224</v>
      </c>
      <c r="AQ193" s="15">
        <v>2.632245048918525E-4</v>
      </c>
      <c r="AR193" s="13">
        <f t="shared" si="4"/>
        <v>0</v>
      </c>
      <c r="AS193" s="13">
        <f t="shared" si="126"/>
        <v>1</v>
      </c>
      <c r="AT193" s="13">
        <f t="shared" si="127"/>
        <v>1</v>
      </c>
      <c r="AU193" s="13">
        <f t="shared" si="128"/>
        <v>0</v>
      </c>
      <c r="AV193" s="13">
        <f t="shared" si="129"/>
        <v>0</v>
      </c>
      <c r="AW193" s="13">
        <f t="shared" si="117"/>
        <v>0</v>
      </c>
    </row>
    <row r="194">
      <c r="A194" s="8" t="s">
        <v>236</v>
      </c>
      <c r="B194" s="9">
        <v>641769.95</v>
      </c>
      <c r="C194" s="9">
        <v>46040.22</v>
      </c>
      <c r="D194" s="9">
        <v>300998.59</v>
      </c>
      <c r="E194" s="9">
        <v>595729.72</v>
      </c>
      <c r="F194" s="9">
        <v>336899.41</v>
      </c>
      <c r="G194" s="9">
        <v>208336.16</v>
      </c>
      <c r="H194" s="9">
        <v>142604.77</v>
      </c>
      <c r="I194" s="9">
        <v>124190.67</v>
      </c>
      <c r="J194" s="9">
        <v>122129.38</v>
      </c>
      <c r="K194" s="9" t="e">
        <v>#N/A</v>
      </c>
      <c r="L194" s="9" t="e">
        <v>#N/A</v>
      </c>
      <c r="M194" s="9" t="e">
        <v>#N/A</v>
      </c>
      <c r="N194" s="11" t="str">
        <f t="shared" si="1"/>
        <v>#N/A</v>
      </c>
      <c r="O194" s="12">
        <v>0.24</v>
      </c>
      <c r="P194" s="9">
        <v>34392.74</v>
      </c>
      <c r="Q194" s="9">
        <v>-95422.93</v>
      </c>
      <c r="R194" s="9">
        <v>58538.33</v>
      </c>
      <c r="S194" s="9">
        <v>-2491.87</v>
      </c>
      <c r="T194" s="12">
        <v>24.24</v>
      </c>
      <c r="U194" s="12">
        <v>22.66</v>
      </c>
      <c r="V194" s="12">
        <v>46.37</v>
      </c>
      <c r="W194" s="12">
        <v>36.25</v>
      </c>
      <c r="X194" s="12" t="e">
        <v>#N/A</v>
      </c>
      <c r="Y194" s="12" t="e">
        <v>#N/A</v>
      </c>
      <c r="Z194" s="12" t="e">
        <v>#N/A</v>
      </c>
      <c r="AA194" s="12" t="str">
        <f t="shared" si="2"/>
        <v>#N/A</v>
      </c>
      <c r="AB194" s="12">
        <v>36.86</v>
      </c>
      <c r="AC194" s="12">
        <v>0.08</v>
      </c>
      <c r="AD194" s="12">
        <v>393.38</v>
      </c>
      <c r="AE194" s="12">
        <v>10.05</v>
      </c>
      <c r="AF194" s="12">
        <v>4.91</v>
      </c>
      <c r="AG194" s="12">
        <v>5.29</v>
      </c>
      <c r="AH194" s="12">
        <v>0.61</v>
      </c>
      <c r="AI194" s="12" t="s">
        <v>47</v>
      </c>
      <c r="AJ194" s="12" t="s">
        <v>46</v>
      </c>
      <c r="AK194" s="12">
        <v>15.28</v>
      </c>
      <c r="AL194" s="12">
        <v>23.88</v>
      </c>
      <c r="AM194" s="12">
        <v>9.95</v>
      </c>
      <c r="AN194" s="12">
        <v>36.7</v>
      </c>
      <c r="AO194" s="12">
        <v>-12.82</v>
      </c>
      <c r="AP194" s="13">
        <f t="shared" si="3"/>
        <v>-10.55218</v>
      </c>
      <c r="AQ194" s="15">
        <v>2.613575817949796E-5</v>
      </c>
      <c r="AR194" s="13">
        <f t="shared" si="4"/>
        <v>0</v>
      </c>
      <c r="AS194" s="13"/>
      <c r="AT194" s="13"/>
      <c r="AU194" s="13"/>
      <c r="AV194" s="13"/>
      <c r="AW194" s="13"/>
    </row>
    <row r="195">
      <c r="A195" s="8" t="s">
        <v>237</v>
      </c>
      <c r="B195" s="9">
        <v>1333333.32</v>
      </c>
      <c r="C195" s="9">
        <v>497446.2</v>
      </c>
      <c r="D195" s="9">
        <v>340000.0</v>
      </c>
      <c r="E195" s="9">
        <v>835887.12</v>
      </c>
      <c r="F195" s="9">
        <v>1030200.42</v>
      </c>
      <c r="G195" s="9">
        <v>894056.03</v>
      </c>
      <c r="H195" s="9">
        <v>196569.07</v>
      </c>
      <c r="I195" s="9">
        <v>136144.39</v>
      </c>
      <c r="J195" s="9">
        <v>100980.24</v>
      </c>
      <c r="K195" s="9" t="e">
        <v>#N/A</v>
      </c>
      <c r="L195" s="9" t="e">
        <v>#N/A</v>
      </c>
      <c r="M195" s="9" t="e">
        <v>#N/A</v>
      </c>
      <c r="N195" s="11" t="str">
        <f t="shared" si="1"/>
        <v>#N/A</v>
      </c>
      <c r="O195" s="12">
        <v>0.17</v>
      </c>
      <c r="P195" s="9">
        <v>161939.18</v>
      </c>
      <c r="Q195" s="9">
        <v>-102765.4</v>
      </c>
      <c r="R195" s="9">
        <v>60312.98</v>
      </c>
      <c r="S195" s="9">
        <v>119486.76</v>
      </c>
      <c r="T195" s="12">
        <v>15.91</v>
      </c>
      <c r="U195" s="12">
        <v>11.18</v>
      </c>
      <c r="V195" s="12">
        <v>29.62</v>
      </c>
      <c r="W195" s="12">
        <v>9.8</v>
      </c>
      <c r="X195" s="12" t="e">
        <v>#N/A</v>
      </c>
      <c r="Y195" s="12" t="e">
        <v>#N/A</v>
      </c>
      <c r="Z195" s="12" t="e">
        <v>#N/A</v>
      </c>
      <c r="AA195" s="12" t="str">
        <f t="shared" si="2"/>
        <v>#N/A</v>
      </c>
      <c r="AB195" s="12">
        <v>13.22</v>
      </c>
      <c r="AC195" s="12">
        <v>0.6</v>
      </c>
      <c r="AD195" s="12">
        <v>9.55</v>
      </c>
      <c r="AE195" s="12">
        <v>1.53</v>
      </c>
      <c r="AF195" s="12">
        <v>0.99</v>
      </c>
      <c r="AG195" s="12">
        <v>1.39</v>
      </c>
      <c r="AH195" s="12">
        <v>0.85</v>
      </c>
      <c r="AI195" s="12">
        <v>5.09</v>
      </c>
      <c r="AJ195" s="12">
        <v>71.69</v>
      </c>
      <c r="AK195" s="12">
        <v>8.09</v>
      </c>
      <c r="AL195" s="12">
        <v>45.11</v>
      </c>
      <c r="AM195" s="12">
        <v>7.99</v>
      </c>
      <c r="AN195" s="12">
        <v>45.71</v>
      </c>
      <c r="AO195" s="12">
        <v>71.1</v>
      </c>
      <c r="AP195" s="13">
        <f t="shared" si="3"/>
        <v>-4.75137</v>
      </c>
      <c r="AQ195" s="15">
        <v>0.008565842894189761</v>
      </c>
      <c r="AR195" s="13">
        <f t="shared" si="4"/>
        <v>0</v>
      </c>
      <c r="AS195" s="13"/>
      <c r="AT195" s="13"/>
      <c r="AU195" s="13"/>
      <c r="AV195" s="13"/>
      <c r="AW195" s="13"/>
    </row>
    <row r="196">
      <c r="A196" s="8" t="s">
        <v>238</v>
      </c>
      <c r="B196" s="9">
        <v>1578421.27</v>
      </c>
      <c r="C196" s="9">
        <v>555937.37</v>
      </c>
      <c r="D196" s="9">
        <v>107625.0</v>
      </c>
      <c r="E196" s="9">
        <v>1022483.9</v>
      </c>
      <c r="F196" s="9">
        <v>2589000.89</v>
      </c>
      <c r="G196" s="9">
        <v>2448408.27</v>
      </c>
      <c r="H196" s="9">
        <v>191791.65</v>
      </c>
      <c r="I196" s="9">
        <v>140592.62</v>
      </c>
      <c r="J196" s="9">
        <v>109415.91</v>
      </c>
      <c r="K196" s="9">
        <v>97682.14</v>
      </c>
      <c r="L196" s="9">
        <v>158177.31</v>
      </c>
      <c r="M196" s="9">
        <v>138919.74</v>
      </c>
      <c r="N196" s="11">
        <f t="shared" si="1"/>
        <v>0</v>
      </c>
      <c r="O196" s="12">
        <v>1.02</v>
      </c>
      <c r="P196" s="9">
        <v>142647.05</v>
      </c>
      <c r="Q196" s="9">
        <v>-62117.57</v>
      </c>
      <c r="R196" s="9">
        <v>-35270.56</v>
      </c>
      <c r="S196" s="9">
        <v>45258.92</v>
      </c>
      <c r="T196" s="12">
        <v>11.15</v>
      </c>
      <c r="U196" s="12">
        <v>9.23</v>
      </c>
      <c r="V196" s="12">
        <v>21.72</v>
      </c>
      <c r="W196" s="12">
        <v>4.23</v>
      </c>
      <c r="X196" s="12">
        <v>4.32</v>
      </c>
      <c r="Y196" s="12">
        <v>7.62</v>
      </c>
      <c r="Z196" s="12">
        <v>6.15</v>
      </c>
      <c r="AA196" s="12">
        <f t="shared" si="2"/>
        <v>0</v>
      </c>
      <c r="AB196" s="12">
        <v>5.43</v>
      </c>
      <c r="AC196" s="12">
        <v>0.54</v>
      </c>
      <c r="AD196" s="12">
        <v>169.59</v>
      </c>
      <c r="AE196" s="12">
        <v>2.52</v>
      </c>
      <c r="AF196" s="12">
        <v>1.8</v>
      </c>
      <c r="AG196" s="12">
        <v>6.3</v>
      </c>
      <c r="AH196" s="12">
        <v>1.7</v>
      </c>
      <c r="AI196" s="12">
        <v>6.66</v>
      </c>
      <c r="AJ196" s="12">
        <v>54.8</v>
      </c>
      <c r="AK196" s="12">
        <v>6.78</v>
      </c>
      <c r="AL196" s="12">
        <v>53.84</v>
      </c>
      <c r="AM196" s="12">
        <v>5.19</v>
      </c>
      <c r="AN196" s="12">
        <v>70.38</v>
      </c>
      <c r="AO196" s="12">
        <v>38.25</v>
      </c>
      <c r="AP196" s="13">
        <f t="shared" si="3"/>
        <v>-5.14022</v>
      </c>
      <c r="AQ196" s="15">
        <v>0.005822303418829008</v>
      </c>
      <c r="AR196" s="13">
        <f t="shared" si="4"/>
        <v>0</v>
      </c>
      <c r="AS196" s="13">
        <f>IF(AR196=N196,1,0)</f>
        <v>1</v>
      </c>
      <c r="AT196" s="13">
        <f>IF(AND(AR196=0,AS196=1),1,0)</f>
        <v>1</v>
      </c>
      <c r="AU196" s="13">
        <f>IF(AND(AR196=0,AS196=0),1,0)</f>
        <v>0</v>
      </c>
      <c r="AV196" s="13">
        <f>IFERROR(IFS(AND(AR196=1,AS196=0),1,AS196="",""),0)</f>
        <v>0</v>
      </c>
      <c r="AW196" s="13">
        <f>IFERROR(IFS(AND(AR196=1,AS196=1),1,AS196="",""),0)</f>
        <v>0</v>
      </c>
    </row>
    <row r="197">
      <c r="A197" s="8" t="s">
        <v>239</v>
      </c>
      <c r="B197" s="9">
        <v>1312549.47</v>
      </c>
      <c r="C197" s="9">
        <v>602619.01</v>
      </c>
      <c r="D197" s="9">
        <v>353130.98</v>
      </c>
      <c r="E197" s="9">
        <v>709614.63</v>
      </c>
      <c r="F197" s="9">
        <v>1158815.62</v>
      </c>
      <c r="G197" s="9">
        <v>1497495.94</v>
      </c>
      <c r="H197" s="9">
        <v>-283919.46</v>
      </c>
      <c r="I197" s="9">
        <v>-366975.06</v>
      </c>
      <c r="J197" s="9">
        <v>-380881.84</v>
      </c>
      <c r="K197" s="9">
        <v>204227.96</v>
      </c>
      <c r="L197" s="9" t="e">
        <v>#N/A</v>
      </c>
      <c r="M197" s="9" t="e">
        <v>#N/A</v>
      </c>
      <c r="N197" s="11" t="str">
        <f t="shared" si="1"/>
        <v>#N/A</v>
      </c>
      <c r="O197" s="12">
        <v>-0.56</v>
      </c>
      <c r="P197" s="9">
        <v>240111.87</v>
      </c>
      <c r="Q197" s="9">
        <v>-170435.3</v>
      </c>
      <c r="R197" s="9">
        <v>-161986.39</v>
      </c>
      <c r="S197" s="9">
        <v>-92309.82</v>
      </c>
      <c r="T197" s="12">
        <v>-44.67</v>
      </c>
      <c r="U197" s="12">
        <v>-23.5</v>
      </c>
      <c r="V197" s="12">
        <v>-0.15</v>
      </c>
      <c r="W197" s="12">
        <v>-32.87</v>
      </c>
      <c r="X197" s="12">
        <v>16.88</v>
      </c>
      <c r="Y197" s="12" t="e">
        <v>#N/A</v>
      </c>
      <c r="Z197" s="12" t="e">
        <v>#N/A</v>
      </c>
      <c r="AA197" s="12" t="str">
        <f t="shared" si="2"/>
        <v>#N/A</v>
      </c>
      <c r="AB197" s="12">
        <v>-31.67</v>
      </c>
      <c r="AC197" s="12">
        <v>0.85</v>
      </c>
      <c r="AD197" s="12">
        <v>-11.59</v>
      </c>
      <c r="AE197" s="12">
        <v>1.93</v>
      </c>
      <c r="AF197" s="12">
        <v>0.95</v>
      </c>
      <c r="AG197" s="12">
        <v>1.54</v>
      </c>
      <c r="AH197" s="12">
        <v>0.74</v>
      </c>
      <c r="AI197" s="12">
        <v>2.73</v>
      </c>
      <c r="AJ197" s="12">
        <v>133.53</v>
      </c>
      <c r="AK197" s="12">
        <v>6.85</v>
      </c>
      <c r="AL197" s="12">
        <v>53.28</v>
      </c>
      <c r="AM197" s="12">
        <v>12.53</v>
      </c>
      <c r="AN197" s="12">
        <v>29.12</v>
      </c>
      <c r="AO197" s="12">
        <v>157.69</v>
      </c>
      <c r="AP197" s="13">
        <f t="shared" si="3"/>
        <v>2.47227</v>
      </c>
      <c r="AQ197" s="15">
        <v>0.9221748353641117</v>
      </c>
      <c r="AR197" s="13">
        <f t="shared" si="4"/>
        <v>1</v>
      </c>
      <c r="AS197" s="13"/>
      <c r="AT197" s="13"/>
      <c r="AU197" s="13"/>
      <c r="AV197" s="13"/>
      <c r="AW197" s="13"/>
    </row>
    <row r="198">
      <c r="AS198" s="13"/>
      <c r="AT198" s="13"/>
    </row>
    <row r="201">
      <c r="AQ201" s="19" t="s">
        <v>35</v>
      </c>
      <c r="AR201" s="16" t="s">
        <v>240</v>
      </c>
      <c r="AS201" s="16" t="s">
        <v>241</v>
      </c>
    </row>
    <row r="202">
      <c r="AQ202" s="19">
        <v>0.5</v>
      </c>
      <c r="AR202" s="13">
        <f>COUNT(AS2:AS197)</f>
        <v>129</v>
      </c>
      <c r="AS202" s="13">
        <f>SUM(AS2:AS197)</f>
        <v>113</v>
      </c>
      <c r="AT202" s="13">
        <f t="shared" ref="AT202:AW202" si="130">COUNT(AT2:AT183)</f>
        <v>120</v>
      </c>
      <c r="AU202" s="13">
        <f t="shared" si="130"/>
        <v>120</v>
      </c>
      <c r="AV202" s="13">
        <f t="shared" si="130"/>
        <v>124</v>
      </c>
      <c r="AW202" s="13">
        <f t="shared" si="130"/>
        <v>124</v>
      </c>
    </row>
    <row r="203">
      <c r="AR203" s="13"/>
      <c r="AS203" s="16" t="s">
        <v>242</v>
      </c>
    </row>
    <row r="204">
      <c r="AR204" s="13"/>
      <c r="AS204" s="6">
        <f>AS202/AR202%</f>
        <v>87.59689922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4" max="5" width="12.25"/>
    <col customWidth="1" min="14" max="14" width="18.13"/>
    <col customWidth="1" min="18" max="18" width="21.75"/>
  </cols>
  <sheetData>
    <row r="1">
      <c r="A1" s="19" t="s">
        <v>243</v>
      </c>
      <c r="B1" s="19" t="s">
        <v>244</v>
      </c>
      <c r="C1" s="19" t="s">
        <v>245</v>
      </c>
      <c r="D1" s="19">
        <v>0.5</v>
      </c>
      <c r="E1" s="19" t="s">
        <v>246</v>
      </c>
      <c r="G1" s="2" t="s">
        <v>2</v>
      </c>
      <c r="H1" s="2" t="s">
        <v>5</v>
      </c>
      <c r="I1" s="2" t="s">
        <v>16</v>
      </c>
      <c r="J1" s="2" t="s">
        <v>18</v>
      </c>
      <c r="K1" s="2" t="s">
        <v>20</v>
      </c>
      <c r="L1" s="2" t="s">
        <v>21</v>
      </c>
      <c r="M1" s="2" t="s">
        <v>23</v>
      </c>
      <c r="N1" s="2" t="s">
        <v>31</v>
      </c>
      <c r="Q1" s="19" t="s">
        <v>247</v>
      </c>
      <c r="R1" s="19" t="s">
        <v>248</v>
      </c>
      <c r="S1" s="19" t="s">
        <v>249</v>
      </c>
      <c r="T1" s="20" t="s">
        <v>250</v>
      </c>
      <c r="V1" s="2"/>
      <c r="X1" s="19" t="s">
        <v>251</v>
      </c>
      <c r="Y1" s="19" t="s">
        <v>252</v>
      </c>
      <c r="Z1" s="19" t="s">
        <v>253</v>
      </c>
      <c r="AA1" s="20" t="s">
        <v>250</v>
      </c>
      <c r="AB1" s="20">
        <v>0.5</v>
      </c>
      <c r="AC1" s="21">
        <f>AB186</f>
        <v>0.6062992126</v>
      </c>
      <c r="AD1" s="19" t="s">
        <v>254</v>
      </c>
      <c r="AE1" s="19" t="s">
        <v>248</v>
      </c>
      <c r="AF1" s="19" t="s">
        <v>255</v>
      </c>
      <c r="AG1" s="19" t="s">
        <v>256</v>
      </c>
      <c r="AH1" s="20" t="s">
        <v>250</v>
      </c>
      <c r="AI1" s="20"/>
    </row>
    <row r="2">
      <c r="A2" s="15">
        <f>(1.5519626-('2021'!E2*0.0000017073983)+('2021'!H2*0.0000013113498)+('2021'!U2*0.1451093)-('2021'!W2*0.0246584)-('2021'!AC2*0.790069)-('2021'!AD2*0.0024787)+('2021'!AF2*0.4651953)-('2021'!AN2*0.002701))</f>
        <v>2.664656423</v>
      </c>
      <c r="B2" s="22">
        <f t="shared" ref="B2:B183" si="1">C2*A2</f>
        <v>2.664451244</v>
      </c>
      <c r="C2" s="23">
        <v>0.999923</v>
      </c>
      <c r="D2" s="15">
        <f t="shared" ref="D2:D183" si="2">IF(C2&lt;$D$1,1,0)</f>
        <v>0</v>
      </c>
      <c r="E2" s="15" t="str">
        <f>IF('temp result 2022'!B2=D2,1,0)</f>
        <v>#REF!</v>
      </c>
      <c r="G2" s="9">
        <v>604692.31</v>
      </c>
      <c r="H2" s="9">
        <v>662350.79</v>
      </c>
      <c r="I2" s="12">
        <v>12.62</v>
      </c>
      <c r="J2" s="12">
        <v>15.85</v>
      </c>
      <c r="K2" s="12">
        <v>0.34</v>
      </c>
      <c r="L2" s="12">
        <v>13.27</v>
      </c>
      <c r="M2" s="12">
        <v>1.04</v>
      </c>
      <c r="N2" s="12">
        <v>128.16</v>
      </c>
      <c r="Q2" s="15">
        <f t="shared" ref="Q2:Q183" si="3">1.5519626 + (-0.0000017073983*G2) + (0.0000013113498*H2) + (0.1451093*I2) + (0.0246584*J2) +(- 0.790069*K2) +(- 0.0024787*L2) + (0.4651953*M2) +(-0.002701*N2)</f>
        <v>3.446327703</v>
      </c>
      <c r="R2" s="24">
        <f t="shared" ref="R2:R183" si="4">_xlfn.NORM.S.DIST(Q2)</f>
        <v>0.9997158696</v>
      </c>
      <c r="S2" s="19">
        <f t="shared" ref="S2:S183" si="5">if(R2&gt;0.5,1,0)</f>
        <v>1</v>
      </c>
      <c r="T2" s="15" t="e">
        <v>#N/A</v>
      </c>
      <c r="V2" s="15">
        <v>0.3004506268758672</v>
      </c>
      <c r="W2" s="15">
        <v>0.3004506268758672</v>
      </c>
      <c r="X2" s="15">
        <f t="shared" ref="X2:X183" si="6">0.935+(-0.0000000029639*G2)+(-0.0000006029956*H2)+(-0.077*I2)+(0.002*J2)+(-0.063*K2)+(-0.029*L2)+(-0.237*M2)+(0.006*N2)
</f>
        <v>-0.2899968596</v>
      </c>
      <c r="Y2" s="24">
        <f t="shared" ref="Y2:Y183" si="7">_xlfn.NORM.S.DIST(X2)</f>
        <v>0.3859093201</v>
      </c>
      <c r="AB2" s="14"/>
      <c r="AD2" s="15">
        <f t="shared" ref="AD2:AD4" si="8">(X2-$W$185)/$V$186</f>
        <v>-0.2677519405</v>
      </c>
      <c r="AE2" s="15">
        <f t="shared" ref="AE2:AE4" si="9">NORMSDIST(AD2)</f>
        <v>0.3944451331</v>
      </c>
      <c r="AF2" s="15">
        <f t="shared" ref="AF2:AF183" si="10">IF(AE2&gt;=0.5,1,0)</f>
        <v>0</v>
      </c>
      <c r="AG2" s="14"/>
    </row>
    <row r="3">
      <c r="A3" s="15">
        <f>(1.5519626-('2021'!E3*0.0000017073983)+('2021'!H3*0.0000013113498)+('2021'!U3*0.1451093)-('2021'!W3*0.0246584)-('2021'!AC3*0.790069)-('2021'!AD3*0.0024787)+('2021'!AF3*0.4651953)-('2021'!AN3*0.002701))</f>
        <v>3.929353769</v>
      </c>
      <c r="B3" s="22">
        <f t="shared" si="1"/>
        <v>3.929290899</v>
      </c>
      <c r="C3" s="23">
        <v>0.999984</v>
      </c>
      <c r="D3" s="15">
        <f t="shared" si="2"/>
        <v>0</v>
      </c>
      <c r="G3" s="9">
        <v>244397.24</v>
      </c>
      <c r="H3" s="9">
        <v>2208969.73</v>
      </c>
      <c r="I3" s="12">
        <v>3.61</v>
      </c>
      <c r="J3" s="12">
        <v>1.99</v>
      </c>
      <c r="K3" s="12">
        <v>0.98</v>
      </c>
      <c r="L3" s="12">
        <v>4.22</v>
      </c>
      <c r="M3" s="12">
        <v>0.78</v>
      </c>
      <c r="N3" s="12">
        <v>57.37</v>
      </c>
      <c r="Q3" s="15">
        <f t="shared" si="3"/>
        <v>4.027494201</v>
      </c>
      <c r="R3" s="24">
        <f t="shared" si="4"/>
        <v>0.9999718128</v>
      </c>
      <c r="S3" s="19">
        <f t="shared" si="5"/>
        <v>1</v>
      </c>
      <c r="T3" s="25">
        <v>0.0</v>
      </c>
      <c r="V3" s="15">
        <v>0.041161157802388965</v>
      </c>
      <c r="W3" s="15">
        <v>0.041161157802388965</v>
      </c>
      <c r="X3" s="15">
        <f t="shared" si="6"/>
        <v>-0.6964733967</v>
      </c>
      <c r="Y3" s="24">
        <f t="shared" si="7"/>
        <v>0.243066206</v>
      </c>
      <c r="Z3" s="15">
        <f t="shared" ref="Z3:Z183" si="11">if(Y3&gt;=$AB$1,1,0)</f>
        <v>0</v>
      </c>
      <c r="AA3" s="25">
        <v>0.0</v>
      </c>
      <c r="AB3" s="14">
        <f>if(Z3=AA3,1,0)</f>
        <v>1</v>
      </c>
      <c r="AD3" s="15">
        <f t="shared" si="8"/>
        <v>-0.3613843266</v>
      </c>
      <c r="AE3" s="15">
        <f t="shared" si="9"/>
        <v>0.3589060815</v>
      </c>
      <c r="AF3" s="15">
        <f t="shared" si="10"/>
        <v>0</v>
      </c>
      <c r="AG3" s="14">
        <f t="shared" ref="AG3:AG4" si="12">if(AF3=AH3,1,0)</f>
        <v>1</v>
      </c>
      <c r="AH3" s="25">
        <v>0.0</v>
      </c>
      <c r="AI3" s="19">
        <v>1.0</v>
      </c>
    </row>
    <row r="4">
      <c r="A4" s="15">
        <f>(1.5519626-('2021'!E4*0.0000017073983)+('2021'!H4*0.0000013113498)+('2021'!U4*0.1451093)-('2021'!W4*0.0246584)-('2021'!AC4*0.790069)-('2021'!AD4*0.0024787)+('2021'!AF4*0.4651953)-('2021'!AN4*0.002701))</f>
        <v>3.061861794</v>
      </c>
      <c r="B4" s="15">
        <f t="shared" si="1"/>
        <v>3.058668272</v>
      </c>
      <c r="C4" s="26">
        <v>0.998957</v>
      </c>
      <c r="D4" s="15">
        <f t="shared" si="2"/>
        <v>0</v>
      </c>
      <c r="E4" s="15" t="str">
        <f t="shared" ref="E4:E6" si="13">IF('temp result 2022'!B4=D4,1,0)</f>
        <v>#REF!</v>
      </c>
      <c r="G4" s="9">
        <v>150000.0</v>
      </c>
      <c r="H4" s="9">
        <v>1884243.36</v>
      </c>
      <c r="I4" s="12">
        <v>4.58</v>
      </c>
      <c r="J4" s="12">
        <v>1.15</v>
      </c>
      <c r="K4" s="12">
        <v>1.89</v>
      </c>
      <c r="L4" s="12">
        <v>3.32</v>
      </c>
      <c r="M4" s="12">
        <v>0.42</v>
      </c>
      <c r="N4" s="12">
        <v>12.98</v>
      </c>
      <c r="P4" s="15">
        <f>1.5519626- 0.0000017073983 + 0.0000013113498 + 0.1451093 + 0.0246584 - 0.790069 - 0.0024787 + 0.4651953 -0.002701</f>
        <v>1.391676504</v>
      </c>
      <c r="Q4" s="15">
        <f t="shared" si="3"/>
        <v>3.118576114</v>
      </c>
      <c r="R4" s="24">
        <f t="shared" si="4"/>
        <v>0.999091364</v>
      </c>
      <c r="S4" s="19">
        <f t="shared" si="5"/>
        <v>1</v>
      </c>
      <c r="T4" s="25">
        <v>1.0</v>
      </c>
      <c r="V4" s="15">
        <v>0.15515138293623484</v>
      </c>
      <c r="W4" s="15">
        <v>0.15515138293623484</v>
      </c>
      <c r="X4" s="15">
        <f t="shared" si="6"/>
        <v>-0.7890050404</v>
      </c>
      <c r="Y4" s="24">
        <f t="shared" si="7"/>
        <v>0.2150545303</v>
      </c>
      <c r="Z4" s="15">
        <f t="shared" si="11"/>
        <v>0</v>
      </c>
      <c r="AA4" s="25">
        <v>1.0</v>
      </c>
      <c r="AB4" s="14"/>
      <c r="AD4" s="15">
        <f t="shared" si="8"/>
        <v>-0.3826991082</v>
      </c>
      <c r="AE4" s="15">
        <f t="shared" si="9"/>
        <v>0.3509714379</v>
      </c>
      <c r="AF4" s="15">
        <f t="shared" si="10"/>
        <v>0</v>
      </c>
      <c r="AG4" s="14">
        <f t="shared" si="12"/>
        <v>0</v>
      </c>
      <c r="AH4" s="25">
        <v>1.0</v>
      </c>
      <c r="AI4" s="19">
        <v>1.0</v>
      </c>
    </row>
    <row r="5">
      <c r="A5" s="15" t="str">
        <f>(1.5519626-('2021'!E5*0.0000017073983)+('2021'!H5*0.0000013113498)+('2021'!U5*0.1451093)-('2021'!W5*0.0246584)-('2021'!AC5*0.790069)-('2021'!AD5*0.0024787)+('2021'!AF5*0.4651953)-('2021'!AN5*0.002701))</f>
        <v>#VALUE!</v>
      </c>
      <c r="B5" s="15" t="str">
        <f t="shared" si="1"/>
        <v>#VALUE!</v>
      </c>
      <c r="C5" s="27"/>
      <c r="D5" s="15">
        <f t="shared" si="2"/>
        <v>1</v>
      </c>
      <c r="E5" s="15" t="str">
        <f t="shared" si="13"/>
        <v>#REF!</v>
      </c>
      <c r="G5" s="9">
        <v>158205.58</v>
      </c>
      <c r="H5" s="9">
        <v>-203876.35</v>
      </c>
      <c r="I5" s="12">
        <v>6.52</v>
      </c>
      <c r="J5" s="12">
        <v>-869.74</v>
      </c>
      <c r="K5" s="12">
        <v>30.08</v>
      </c>
      <c r="L5" s="12">
        <v>0.57</v>
      </c>
      <c r="M5" s="12">
        <v>0.0</v>
      </c>
      <c r="N5" s="12" t="s">
        <v>46</v>
      </c>
      <c r="Q5" s="15" t="str">
        <f t="shared" si="3"/>
        <v>#VALUE!</v>
      </c>
      <c r="R5" s="24" t="str">
        <f t="shared" si="4"/>
        <v>#VALUE!</v>
      </c>
      <c r="S5" s="19" t="str">
        <f t="shared" si="5"/>
        <v>#VALUE!</v>
      </c>
      <c r="T5" s="25">
        <v>0.0</v>
      </c>
      <c r="X5" s="15" t="str">
        <f t="shared" si="6"/>
        <v>#VALUE!</v>
      </c>
      <c r="Y5" s="24" t="str">
        <f t="shared" si="7"/>
        <v>#VALUE!</v>
      </c>
      <c r="Z5" s="15" t="str">
        <f t="shared" si="11"/>
        <v>#VALUE!</v>
      </c>
      <c r="AA5" s="25">
        <v>0.0</v>
      </c>
      <c r="AB5" s="14"/>
      <c r="AF5" s="15">
        <f t="shared" si="10"/>
        <v>0</v>
      </c>
      <c r="AG5" s="14"/>
      <c r="AH5" s="25"/>
    </row>
    <row r="6">
      <c r="A6" s="15">
        <f>(1.5519626-('2021'!E6*0.0000017073983)+('2021'!H6*0.0000013113498)+('2021'!U6*0.1451093)-('2021'!W6*0.0246584)-('2021'!AC6*0.790069)-('2021'!AD6*0.0024787)+('2021'!AF6*0.4651953)-('2021'!AN6*0.002701))</f>
        <v>3.225785152</v>
      </c>
      <c r="B6" s="15">
        <f t="shared" si="1"/>
        <v>3.225288382</v>
      </c>
      <c r="C6" s="26">
        <v>0.999846</v>
      </c>
      <c r="D6" s="15">
        <f t="shared" si="2"/>
        <v>0</v>
      </c>
      <c r="E6" s="15" t="str">
        <f t="shared" si="13"/>
        <v>#REF!</v>
      </c>
      <c r="G6" s="9">
        <v>362999.96</v>
      </c>
      <c r="H6" s="9">
        <v>1597305.33</v>
      </c>
      <c r="I6" s="12">
        <v>7.62</v>
      </c>
      <c r="J6" s="12">
        <v>4.48</v>
      </c>
      <c r="K6" s="12">
        <v>1.13</v>
      </c>
      <c r="L6" s="12">
        <v>13.9</v>
      </c>
      <c r="M6" s="12">
        <v>0.66</v>
      </c>
      <c r="N6" s="12">
        <v>65.19</v>
      </c>
      <c r="Q6" s="15">
        <f t="shared" si="3"/>
        <v>3.446724416</v>
      </c>
      <c r="R6" s="24">
        <f t="shared" si="4"/>
        <v>0.9997162865</v>
      </c>
      <c r="S6" s="19">
        <f t="shared" si="5"/>
        <v>1</v>
      </c>
      <c r="T6" s="25" t="e">
        <v>#N/A</v>
      </c>
      <c r="V6" s="15">
        <v>0.2036762260367329</v>
      </c>
      <c r="W6" s="15">
        <v>0.2036762260367329</v>
      </c>
      <c r="X6" s="15">
        <f t="shared" si="6"/>
        <v>-0.8465939814</v>
      </c>
      <c r="Y6" s="24">
        <f t="shared" si="7"/>
        <v>0.1986107349</v>
      </c>
      <c r="Z6" s="15">
        <f t="shared" si="11"/>
        <v>0</v>
      </c>
      <c r="AA6" s="25"/>
      <c r="AB6" s="14"/>
      <c r="AD6" s="15">
        <f t="shared" ref="AD6:AD7" si="14">(X6-$W$185)/$V$186</f>
        <v>-0.3959647938</v>
      </c>
      <c r="AE6" s="15">
        <f t="shared" ref="AE6:AE7" si="15">NORMSDIST(AD6)</f>
        <v>0.3460655003</v>
      </c>
      <c r="AF6" s="15">
        <f t="shared" si="10"/>
        <v>0</v>
      </c>
      <c r="AG6" s="14"/>
      <c r="AH6" s="25"/>
    </row>
    <row r="7">
      <c r="A7" s="15">
        <f>(1.5519626-('2021'!E7*0.0000017073983)+('2021'!H7*0.0000013113498)+('2021'!U7*0.1451093)-('2021'!W7*0.0246584)-('2021'!AC7*0.790069)-('2021'!AD7*0.0024787)+('2021'!AF7*0.4651953)-('2021'!AN7*0.002701))</f>
        <v>7.362797331</v>
      </c>
      <c r="B7" s="22">
        <f t="shared" si="1"/>
        <v>7.362797331</v>
      </c>
      <c r="C7" s="23">
        <v>1.0</v>
      </c>
      <c r="D7" s="15">
        <f t="shared" si="2"/>
        <v>0</v>
      </c>
      <c r="G7" s="9">
        <v>80000.0</v>
      </c>
      <c r="H7" s="9">
        <v>402116.89</v>
      </c>
      <c r="I7" s="12">
        <v>27.31</v>
      </c>
      <c r="J7" s="12">
        <v>19.15</v>
      </c>
      <c r="K7" s="12">
        <v>0.18</v>
      </c>
      <c r="L7" s="12">
        <v>335.6</v>
      </c>
      <c r="M7" s="12">
        <v>6.73</v>
      </c>
      <c r="N7" s="12">
        <v>84.16</v>
      </c>
      <c r="Q7" s="15">
        <f t="shared" si="3"/>
        <v>8.307214051</v>
      </c>
      <c r="R7" s="24">
        <f t="shared" si="4"/>
        <v>1</v>
      </c>
      <c r="S7" s="19">
        <f t="shared" si="5"/>
        <v>1</v>
      </c>
      <c r="T7" s="25">
        <v>0.0</v>
      </c>
      <c r="V7" s="15">
        <v>-1.377902096009776</v>
      </c>
      <c r="W7" s="15">
        <v>-1.377902096009776</v>
      </c>
      <c r="X7" s="15">
        <f t="shared" si="6"/>
        <v>-12.20607183</v>
      </c>
      <c r="Y7" s="24">
        <f t="shared" si="7"/>
        <v>0</v>
      </c>
      <c r="Z7" s="15">
        <f t="shared" si="11"/>
        <v>0</v>
      </c>
      <c r="AA7" s="25">
        <v>0.0</v>
      </c>
      <c r="AB7" s="14">
        <f>if(Z7=AA7,1,0)</f>
        <v>1</v>
      </c>
      <c r="AD7" s="15">
        <f t="shared" si="14"/>
        <v>-3.012634929</v>
      </c>
      <c r="AE7" s="15">
        <f t="shared" si="15"/>
        <v>0.001294951366</v>
      </c>
      <c r="AF7" s="15">
        <f t="shared" si="10"/>
        <v>0</v>
      </c>
      <c r="AG7" s="14">
        <f>if(AF7=AH7,1,0)</f>
        <v>1</v>
      </c>
      <c r="AH7" s="25">
        <v>0.0</v>
      </c>
      <c r="AI7" s="19">
        <v>1.0</v>
      </c>
    </row>
    <row r="8">
      <c r="A8" s="15" t="str">
        <f>(1.5519626-('2021'!E8*0.0000017073983)+('2021'!H8*0.0000013113498)+('2021'!U8*0.1451093)-('2021'!W8*0.0246584)-('2021'!AC8*0.790069)-('2021'!AD8*0.0024787)+('2021'!AF8*0.4651953)-('2021'!AN8*0.002701))</f>
        <v>#VALUE!</v>
      </c>
      <c r="B8" s="15" t="str">
        <f t="shared" si="1"/>
        <v>#VALUE!</v>
      </c>
      <c r="C8" s="27"/>
      <c r="D8" s="15">
        <f t="shared" si="2"/>
        <v>1</v>
      </c>
      <c r="E8" s="15" t="str">
        <f t="shared" ref="E8:E21" si="16">IF('temp result 2022'!B8=D8,1,0)</f>
        <v>#REF!</v>
      </c>
      <c r="G8" s="9">
        <v>400000.0</v>
      </c>
      <c r="H8" s="9">
        <v>98483.9</v>
      </c>
      <c r="I8" s="12">
        <v>4.43</v>
      </c>
      <c r="J8" s="12">
        <v>25.03</v>
      </c>
      <c r="K8" s="12">
        <v>3.36</v>
      </c>
      <c r="L8" s="12">
        <v>2.86</v>
      </c>
      <c r="M8" s="12">
        <v>0.06</v>
      </c>
      <c r="N8" s="12" t="s">
        <v>46</v>
      </c>
      <c r="Q8" s="15" t="str">
        <f t="shared" si="3"/>
        <v>#VALUE!</v>
      </c>
      <c r="R8" s="24" t="str">
        <f t="shared" si="4"/>
        <v>#VALUE!</v>
      </c>
      <c r="S8" s="19" t="str">
        <f t="shared" si="5"/>
        <v>#VALUE!</v>
      </c>
      <c r="T8" s="25">
        <v>0.0</v>
      </c>
      <c r="X8" s="15" t="str">
        <f t="shared" si="6"/>
        <v>#VALUE!</v>
      </c>
      <c r="Y8" s="24" t="str">
        <f t="shared" si="7"/>
        <v>#VALUE!</v>
      </c>
      <c r="Z8" s="15" t="str">
        <f t="shared" si="11"/>
        <v>#VALUE!</v>
      </c>
      <c r="AA8" s="25"/>
      <c r="AB8" s="14"/>
      <c r="AF8" s="15">
        <f t="shared" si="10"/>
        <v>0</v>
      </c>
      <c r="AG8" s="14"/>
      <c r="AH8" s="25"/>
    </row>
    <row r="9">
      <c r="A9" s="15" t="str">
        <f>(1.5519626-('2021'!E9*0.0000017073983)+('2021'!H9*0.0000013113498)+('2021'!U9*0.1451093)-('2021'!W9*0.0246584)-('2021'!AC9*0.790069)-('2021'!AD9*0.0024787)+('2021'!AF9*0.4651953)-('2021'!AN9*0.002701))</f>
        <v>#VALUE!</v>
      </c>
      <c r="B9" s="15" t="str">
        <f t="shared" si="1"/>
        <v>#VALUE!</v>
      </c>
      <c r="C9" s="27"/>
      <c r="D9" s="15">
        <f t="shared" si="2"/>
        <v>1</v>
      </c>
      <c r="E9" s="15" t="str">
        <f t="shared" si="16"/>
        <v>#REF!</v>
      </c>
      <c r="G9" s="9">
        <v>1578719.63</v>
      </c>
      <c r="H9" s="9">
        <v>874909.54</v>
      </c>
      <c r="I9" s="12">
        <v>3.1</v>
      </c>
      <c r="J9" s="12">
        <v>10.67</v>
      </c>
      <c r="K9" s="12">
        <v>1.24</v>
      </c>
      <c r="L9" s="12">
        <v>2.05</v>
      </c>
      <c r="M9" s="12">
        <v>0.14</v>
      </c>
      <c r="N9" s="12" t="s">
        <v>46</v>
      </c>
      <c r="Q9" s="15" t="str">
        <f t="shared" si="3"/>
        <v>#VALUE!</v>
      </c>
      <c r="R9" s="24" t="str">
        <f t="shared" si="4"/>
        <v>#VALUE!</v>
      </c>
      <c r="S9" s="19" t="str">
        <f t="shared" si="5"/>
        <v>#VALUE!</v>
      </c>
      <c r="T9" s="25">
        <v>0.0</v>
      </c>
      <c r="X9" s="15" t="str">
        <f t="shared" si="6"/>
        <v>#VALUE!</v>
      </c>
      <c r="Y9" s="24" t="str">
        <f t="shared" si="7"/>
        <v>#VALUE!</v>
      </c>
      <c r="Z9" s="15" t="str">
        <f t="shared" si="11"/>
        <v>#VALUE!</v>
      </c>
      <c r="AA9" s="25"/>
      <c r="AB9" s="14"/>
      <c r="AF9" s="15">
        <f t="shared" si="10"/>
        <v>0</v>
      </c>
      <c r="AG9" s="14"/>
      <c r="AH9" s="25"/>
    </row>
    <row r="10">
      <c r="A10" s="15">
        <f>(1.5519626-('2021'!E10*0.0000017073983)+('2021'!H10*0.0000013113498)+('2021'!U10*0.1451093)-('2021'!W10*0.0246584)-('2021'!AC10*0.790069)-('2021'!AD10*0.0024787)+('2021'!AF10*0.4651953)-('2021'!AN10*0.002701))</f>
        <v>4.387910035</v>
      </c>
      <c r="B10" s="22">
        <f t="shared" si="1"/>
        <v>4.387910035</v>
      </c>
      <c r="C10" s="23">
        <v>1.0</v>
      </c>
      <c r="D10" s="15">
        <f t="shared" si="2"/>
        <v>0</v>
      </c>
      <c r="E10" s="15" t="str">
        <f t="shared" si="16"/>
        <v>#REF!</v>
      </c>
      <c r="G10" s="9">
        <v>202000.0</v>
      </c>
      <c r="H10" s="9">
        <v>344378.79</v>
      </c>
      <c r="I10" s="12">
        <v>8.51</v>
      </c>
      <c r="J10" s="12">
        <v>11.97</v>
      </c>
      <c r="K10" s="12">
        <v>0.22</v>
      </c>
      <c r="L10" s="12">
        <v>12.64</v>
      </c>
      <c r="M10" s="12">
        <v>4.69</v>
      </c>
      <c r="N10" s="12">
        <v>69.27</v>
      </c>
      <c r="Q10" s="15">
        <f t="shared" si="3"/>
        <v>4.978232131</v>
      </c>
      <c r="R10" s="24">
        <f t="shared" si="4"/>
        <v>0.9999996792</v>
      </c>
      <c r="S10" s="19">
        <f t="shared" si="5"/>
        <v>1</v>
      </c>
      <c r="T10" s="25">
        <v>0.0</v>
      </c>
      <c r="V10" s="15">
        <v>-0.461438639438878</v>
      </c>
      <c r="W10" s="15">
        <v>-0.461438639438878</v>
      </c>
      <c r="X10" s="15">
        <f t="shared" si="6"/>
        <v>-0.9809176029</v>
      </c>
      <c r="Y10" s="24">
        <f t="shared" si="7"/>
        <v>0.1633166881</v>
      </c>
      <c r="Z10" s="15">
        <f t="shared" si="11"/>
        <v>0</v>
      </c>
      <c r="AA10" s="25">
        <v>0.0</v>
      </c>
      <c r="AB10" s="14">
        <f t="shared" ref="AB10:AB20" si="17">if(Z10=AA10,1,0)</f>
        <v>1</v>
      </c>
      <c r="AD10" s="15">
        <f t="shared" ref="AD10:AD56" si="18">(X10-$W$185)/$V$186</f>
        <v>-0.4269064104</v>
      </c>
      <c r="AE10" s="15">
        <f t="shared" ref="AE10:AE183" si="19">NORMSDIST(AD10)</f>
        <v>0.3347237481</v>
      </c>
      <c r="AF10" s="15">
        <f t="shared" si="10"/>
        <v>0</v>
      </c>
      <c r="AG10" s="14">
        <f t="shared" ref="AG10:AG20" si="20">if(AF10=AH10,1,0)</f>
        <v>1</v>
      </c>
      <c r="AH10" s="25">
        <v>0.0</v>
      </c>
      <c r="AI10" s="19">
        <v>1.0</v>
      </c>
    </row>
    <row r="11">
      <c r="A11" s="15">
        <f>(1.5519626-('2021'!E11*0.0000017073983)+('2021'!H11*0.0000013113498)+('2021'!U11*0.1451093)-('2021'!W11*0.0246584)-('2021'!AC11*0.790069)-('2021'!AD11*0.0024787)+('2021'!AF11*0.4651953)-('2021'!AN11*0.002701))</f>
        <v>-0.4132177575</v>
      </c>
      <c r="B11" s="15">
        <f t="shared" si="1"/>
        <v>-0.06251075592</v>
      </c>
      <c r="C11" s="26">
        <v>0.151278</v>
      </c>
      <c r="D11" s="15">
        <f t="shared" si="2"/>
        <v>1</v>
      </c>
      <c r="E11" s="15" t="str">
        <f t="shared" si="16"/>
        <v>#REF!</v>
      </c>
      <c r="G11" s="9">
        <v>671632.22</v>
      </c>
      <c r="H11" s="9">
        <v>1277985.35</v>
      </c>
      <c r="I11" s="12">
        <v>-1.06</v>
      </c>
      <c r="J11" s="12">
        <v>-26.91</v>
      </c>
      <c r="K11" s="12">
        <v>2.93</v>
      </c>
      <c r="L11" s="12">
        <v>-0.27</v>
      </c>
      <c r="M11" s="12">
        <v>0.05</v>
      </c>
      <c r="N11" s="12">
        <v>264.01</v>
      </c>
      <c r="Q11" s="15">
        <f t="shared" si="3"/>
        <v>-1.740332846</v>
      </c>
      <c r="R11" s="24">
        <f t="shared" si="4"/>
        <v>0.04090029491</v>
      </c>
      <c r="S11" s="19">
        <f t="shared" si="5"/>
        <v>0</v>
      </c>
      <c r="T11" s="25">
        <v>0.0</v>
      </c>
      <c r="V11" s="15">
        <v>1.871874440284135</v>
      </c>
      <c r="W11" s="15">
        <v>1.871874440284135</v>
      </c>
      <c r="X11" s="15">
        <f t="shared" si="6"/>
        <v>1.585639806</v>
      </c>
      <c r="Y11" s="24">
        <f t="shared" si="7"/>
        <v>0.9435894795</v>
      </c>
      <c r="Z11" s="15">
        <f t="shared" si="11"/>
        <v>1</v>
      </c>
      <c r="AA11" s="25">
        <v>0.0</v>
      </c>
      <c r="AB11" s="14">
        <f t="shared" si="17"/>
        <v>0</v>
      </c>
      <c r="AD11" s="15">
        <f t="shared" si="18"/>
        <v>0.1643033454</v>
      </c>
      <c r="AE11" s="15">
        <f t="shared" si="19"/>
        <v>0.5652538259</v>
      </c>
      <c r="AF11" s="15">
        <f t="shared" si="10"/>
        <v>1</v>
      </c>
      <c r="AG11" s="14">
        <f t="shared" si="20"/>
        <v>0</v>
      </c>
      <c r="AH11" s="25">
        <v>0.0</v>
      </c>
      <c r="AI11" s="19">
        <v>1.0</v>
      </c>
    </row>
    <row r="12">
      <c r="A12" s="15">
        <f>(1.5519626-('2021'!E12*0.0000017073983)+('2021'!H12*0.0000013113498)+('2021'!U12*0.1451093)-('2021'!W12*0.0246584)-('2021'!AC12*0.790069)-('2021'!AD12*0.0024787)+('2021'!AF12*0.4651953)-('2021'!AN12*0.002701))</f>
        <v>-0.2919569198</v>
      </c>
      <c r="B12" s="15">
        <f t="shared" si="1"/>
        <v>-0.1863709917</v>
      </c>
      <c r="C12" s="26">
        <v>0.638351</v>
      </c>
      <c r="D12" s="15">
        <f t="shared" si="2"/>
        <v>0</v>
      </c>
      <c r="E12" s="15" t="str">
        <f t="shared" si="16"/>
        <v>#REF!</v>
      </c>
      <c r="G12" s="9">
        <v>301612.26</v>
      </c>
      <c r="H12" s="9">
        <v>466990.71</v>
      </c>
      <c r="I12" s="12">
        <v>4.25</v>
      </c>
      <c r="J12" s="12">
        <v>5.12</v>
      </c>
      <c r="K12" s="12">
        <v>0.4</v>
      </c>
      <c r="L12" s="12">
        <v>793.49</v>
      </c>
      <c r="M12" s="12">
        <v>0.54</v>
      </c>
      <c r="N12" s="12">
        <v>148.15</v>
      </c>
      <c r="Q12" s="15">
        <f t="shared" si="3"/>
        <v>-0.03945490382</v>
      </c>
      <c r="R12" s="24">
        <f t="shared" si="4"/>
        <v>0.4842638535</v>
      </c>
      <c r="S12" s="19">
        <f t="shared" si="5"/>
        <v>0</v>
      </c>
      <c r="T12" s="25">
        <v>0.0</v>
      </c>
      <c r="V12" s="15">
        <v>1.2014979231629035</v>
      </c>
      <c r="W12" s="15">
        <v>1.2014979231629035</v>
      </c>
      <c r="X12" s="15">
        <f t="shared" si="6"/>
        <v>-21.93998729</v>
      </c>
      <c r="Y12" s="24">
        <f t="shared" si="7"/>
        <v>0</v>
      </c>
      <c r="Z12" s="15">
        <f t="shared" si="11"/>
        <v>0</v>
      </c>
      <c r="AA12" s="25">
        <v>0.0</v>
      </c>
      <c r="AB12" s="14">
        <f t="shared" si="17"/>
        <v>1</v>
      </c>
      <c r="AD12" s="15">
        <f t="shared" si="18"/>
        <v>-5.254854707</v>
      </c>
      <c r="AE12" s="15">
        <f t="shared" si="19"/>
        <v>0.00000007407068703</v>
      </c>
      <c r="AF12" s="15">
        <f t="shared" si="10"/>
        <v>0</v>
      </c>
      <c r="AG12" s="14">
        <f t="shared" si="20"/>
        <v>1</v>
      </c>
      <c r="AH12" s="25">
        <v>0.0</v>
      </c>
      <c r="AI12" s="19">
        <v>1.0</v>
      </c>
    </row>
    <row r="13">
      <c r="A13" s="15">
        <f>(1.5519626-('2021'!E13*0.0000017073983)+('2021'!H13*0.0000013113498)+('2021'!U13*0.1451093)-('2021'!W13*0.0246584)-('2021'!AC13*0.790069)-('2021'!AD13*0.0024787)+('2021'!AF13*0.4651953)-('2021'!AN13*0.002701))</f>
        <v>3.808068226</v>
      </c>
      <c r="B13" s="22">
        <f t="shared" si="1"/>
        <v>3.808014913</v>
      </c>
      <c r="C13" s="23">
        <v>0.999986</v>
      </c>
      <c r="D13" s="15">
        <f t="shared" si="2"/>
        <v>0</v>
      </c>
      <c r="E13" s="15" t="str">
        <f t="shared" si="16"/>
        <v>#REF!</v>
      </c>
      <c r="G13" s="9">
        <v>258958.39</v>
      </c>
      <c r="H13" s="9">
        <v>1876152.25</v>
      </c>
      <c r="I13" s="12">
        <v>5.9</v>
      </c>
      <c r="J13" s="12">
        <v>7.42</v>
      </c>
      <c r="K13" s="12">
        <v>0.7</v>
      </c>
      <c r="L13" s="12">
        <v>5.55</v>
      </c>
      <c r="M13" s="12">
        <v>0.42</v>
      </c>
      <c r="N13" s="12">
        <v>23.62</v>
      </c>
      <c r="Q13" s="15">
        <f t="shared" si="3"/>
        <v>4.173998882</v>
      </c>
      <c r="R13" s="24">
        <f t="shared" si="4"/>
        <v>0.999985035</v>
      </c>
      <c r="S13" s="19">
        <f t="shared" si="5"/>
        <v>1</v>
      </c>
      <c r="T13" s="25">
        <v>0.0</v>
      </c>
      <c r="V13" s="15">
        <v>-0.03334117351230132</v>
      </c>
      <c r="W13" s="15">
        <v>-0.03334117351230132</v>
      </c>
      <c r="X13" s="15">
        <f t="shared" si="6"/>
        <v>-0.7994090785</v>
      </c>
      <c r="Y13" s="24">
        <f t="shared" si="7"/>
        <v>0.212026624</v>
      </c>
      <c r="Z13" s="15">
        <f t="shared" si="11"/>
        <v>0</v>
      </c>
      <c r="AA13" s="25">
        <v>0.0</v>
      </c>
      <c r="AB13" s="14">
        <f t="shared" si="17"/>
        <v>1</v>
      </c>
      <c r="AD13" s="15">
        <f t="shared" si="18"/>
        <v>-0.3850956915</v>
      </c>
      <c r="AE13" s="15">
        <f t="shared" si="19"/>
        <v>0.35008326</v>
      </c>
      <c r="AF13" s="15">
        <f t="shared" si="10"/>
        <v>0</v>
      </c>
      <c r="AG13" s="14">
        <f t="shared" si="20"/>
        <v>1</v>
      </c>
      <c r="AH13" s="25">
        <v>0.0</v>
      </c>
      <c r="AI13" s="19">
        <v>1.0</v>
      </c>
    </row>
    <row r="14">
      <c r="A14" s="15">
        <f>(1.5519626-('2021'!E14*0.0000017073983)+('2021'!H14*0.0000013113498)+('2021'!U14*0.1451093)-('2021'!W14*0.0246584)-('2021'!AC14*0.790069)-('2021'!AD14*0.0024787)+('2021'!AF14*0.4651953)-('2021'!AN14*0.002701))</f>
        <v>2.785697505</v>
      </c>
      <c r="B14" s="15">
        <f t="shared" si="1"/>
        <v>2.784677939</v>
      </c>
      <c r="C14" s="26">
        <v>0.999634</v>
      </c>
      <c r="D14" s="15">
        <f t="shared" si="2"/>
        <v>0</v>
      </c>
      <c r="E14" s="15" t="str">
        <f t="shared" si="16"/>
        <v>#REF!</v>
      </c>
      <c r="G14" s="9">
        <v>140000.0</v>
      </c>
      <c r="H14" s="9">
        <v>717042.21</v>
      </c>
      <c r="I14" s="12">
        <v>11.75</v>
      </c>
      <c r="J14" s="12">
        <v>7.35</v>
      </c>
      <c r="K14" s="12">
        <v>1.05</v>
      </c>
      <c r="L14" s="12">
        <v>248.02</v>
      </c>
      <c r="M14" s="12">
        <v>1.49</v>
      </c>
      <c r="N14" s="12">
        <v>88.9</v>
      </c>
      <c r="Q14" s="15">
        <f t="shared" si="3"/>
        <v>3.148175985</v>
      </c>
      <c r="R14" s="24">
        <f t="shared" si="4"/>
        <v>0.9991785362</v>
      </c>
      <c r="S14" s="19">
        <f t="shared" si="5"/>
        <v>1</v>
      </c>
      <c r="T14" s="25">
        <v>1.0</v>
      </c>
      <c r="V14" s="15">
        <v>0.25779780476870223</v>
      </c>
      <c r="W14" s="15">
        <v>0.25779780476870223</v>
      </c>
      <c r="X14" s="15">
        <f t="shared" si="6"/>
        <v>-7.466298244</v>
      </c>
      <c r="Y14" s="24">
        <f t="shared" si="7"/>
        <v>0</v>
      </c>
      <c r="Z14" s="15">
        <f t="shared" si="11"/>
        <v>0</v>
      </c>
      <c r="AA14" s="25">
        <v>1.0</v>
      </c>
      <c r="AB14" s="14">
        <f t="shared" si="17"/>
        <v>0</v>
      </c>
      <c r="AD14" s="15">
        <f t="shared" si="18"/>
        <v>-1.92082207</v>
      </c>
      <c r="AE14" s="15">
        <f t="shared" si="19"/>
        <v>0.02737707154</v>
      </c>
      <c r="AF14" s="15">
        <f t="shared" si="10"/>
        <v>0</v>
      </c>
      <c r="AG14" s="14">
        <f t="shared" si="20"/>
        <v>0</v>
      </c>
      <c r="AH14" s="25">
        <v>1.0</v>
      </c>
      <c r="AI14" s="19">
        <v>1.0</v>
      </c>
    </row>
    <row r="15">
      <c r="A15" s="15">
        <f>(1.5519626-('2021'!E15*0.0000017073983)+('2021'!H15*0.0000013113498)+('2021'!U15*0.1451093)-('2021'!W15*0.0246584)-('2021'!AC15*0.790069)-('2021'!AD15*0.0024787)+('2021'!AF15*0.4651953)-('2021'!AN15*0.002701))</f>
        <v>-0.04894862101</v>
      </c>
      <c r="B15" s="15">
        <f t="shared" si="1"/>
        <v>-0.008151022267</v>
      </c>
      <c r="C15" s="26">
        <v>0.166522</v>
      </c>
      <c r="D15" s="15">
        <f t="shared" si="2"/>
        <v>1</v>
      </c>
      <c r="E15" s="15" t="str">
        <f t="shared" si="16"/>
        <v>#REF!</v>
      </c>
      <c r="G15" s="9">
        <v>300000.0</v>
      </c>
      <c r="H15" s="9">
        <v>216243.81</v>
      </c>
      <c r="I15" s="12">
        <v>-3.02</v>
      </c>
      <c r="J15" s="12">
        <v>-29.31</v>
      </c>
      <c r="K15" s="12">
        <v>1.44</v>
      </c>
      <c r="L15" s="12">
        <v>-1.24</v>
      </c>
      <c r="M15" s="12">
        <v>0.02</v>
      </c>
      <c r="N15" s="12">
        <v>196.76</v>
      </c>
      <c r="Q15" s="15">
        <f t="shared" si="3"/>
        <v>-1.494424029</v>
      </c>
      <c r="R15" s="24">
        <f t="shared" si="4"/>
        <v>0.06753241247</v>
      </c>
      <c r="S15" s="19">
        <f t="shared" si="5"/>
        <v>0</v>
      </c>
      <c r="T15" s="25">
        <v>0.0</v>
      </c>
      <c r="V15" s="15">
        <v>1.6815644327955666</v>
      </c>
      <c r="W15" s="15">
        <v>1.6815644327955666</v>
      </c>
      <c r="X15" s="15">
        <f t="shared" si="6"/>
        <v>2.098696764</v>
      </c>
      <c r="Y15" s="24">
        <f t="shared" si="7"/>
        <v>0.9820781799</v>
      </c>
      <c r="Z15" s="15">
        <f t="shared" si="11"/>
        <v>1</v>
      </c>
      <c r="AA15" s="25">
        <v>0.0</v>
      </c>
      <c r="AB15" s="14">
        <f t="shared" si="17"/>
        <v>0</v>
      </c>
      <c r="AD15" s="15">
        <f t="shared" si="18"/>
        <v>0.2824866666</v>
      </c>
      <c r="AE15" s="15">
        <f t="shared" si="19"/>
        <v>0.6112148155</v>
      </c>
      <c r="AF15" s="15">
        <f t="shared" si="10"/>
        <v>1</v>
      </c>
      <c r="AG15" s="14">
        <f t="shared" si="20"/>
        <v>0</v>
      </c>
      <c r="AH15" s="25">
        <v>0.0</v>
      </c>
      <c r="AI15" s="19">
        <v>1.0</v>
      </c>
    </row>
    <row r="16">
      <c r="A16" s="15">
        <f>(1.5519626-('2021'!E16*0.0000017073983)+('2021'!H16*0.0000013113498)+('2021'!U16*0.1451093)-('2021'!W16*0.0246584)-('2021'!AC16*0.790069)-('2021'!AD16*0.0024787)+('2021'!AF16*0.4651953)-('2021'!AN16*0.002701))</f>
        <v>3.611476814</v>
      </c>
      <c r="B16" s="22">
        <f t="shared" si="1"/>
        <v>3.611361246</v>
      </c>
      <c r="C16" s="23">
        <v>0.999968</v>
      </c>
      <c r="D16" s="15">
        <f t="shared" si="2"/>
        <v>0</v>
      </c>
      <c r="E16" s="15" t="str">
        <f t="shared" si="16"/>
        <v>#REF!</v>
      </c>
      <c r="G16" s="9">
        <v>116500.0</v>
      </c>
      <c r="H16" s="9">
        <v>163025.82</v>
      </c>
      <c r="I16" s="12">
        <v>2.44</v>
      </c>
      <c r="J16" s="12">
        <v>3.07</v>
      </c>
      <c r="K16" s="12">
        <v>0.21</v>
      </c>
      <c r="L16" s="12">
        <v>-16.74</v>
      </c>
      <c r="M16" s="12">
        <v>4.59</v>
      </c>
      <c r="N16" s="12">
        <v>90.54</v>
      </c>
      <c r="Q16" s="15">
        <f t="shared" si="3"/>
        <v>3.76287939</v>
      </c>
      <c r="R16" s="24">
        <f t="shared" si="4"/>
        <v>0.9999160159</v>
      </c>
      <c r="S16" s="19">
        <f t="shared" si="5"/>
        <v>1</v>
      </c>
      <c r="T16" s="25">
        <v>0.0</v>
      </c>
      <c r="V16" s="15">
        <v>-0.12314282569266952</v>
      </c>
      <c r="W16" s="15">
        <v>-0.12314282569266952</v>
      </c>
      <c r="X16" s="15">
        <f t="shared" si="6"/>
        <v>0.5822508535</v>
      </c>
      <c r="Y16" s="24">
        <f t="shared" si="7"/>
        <v>0.7198011379</v>
      </c>
      <c r="Z16" s="15">
        <f t="shared" si="11"/>
        <v>1</v>
      </c>
      <c r="AA16" s="25">
        <v>0.0</v>
      </c>
      <c r="AB16" s="14">
        <f t="shared" si="17"/>
        <v>0</v>
      </c>
      <c r="AD16" s="15">
        <f t="shared" si="18"/>
        <v>-0.06682857306</v>
      </c>
      <c r="AE16" s="15">
        <f t="shared" si="19"/>
        <v>0.4733590881</v>
      </c>
      <c r="AF16" s="15">
        <f t="shared" si="10"/>
        <v>0</v>
      </c>
      <c r="AG16" s="14">
        <f t="shared" si="20"/>
        <v>1</v>
      </c>
      <c r="AH16" s="25">
        <v>0.0</v>
      </c>
      <c r="AI16" s="19">
        <v>1.0</v>
      </c>
    </row>
    <row r="17">
      <c r="A17" s="15">
        <f>(1.5519626-('2021'!E17*0.0000017073983)+('2021'!H17*0.0000013113498)+('2021'!U17*0.1451093)-('2021'!W17*0.0246584)-('2021'!AC17*0.790069)-('2021'!AD17*0.0024787)+('2021'!AF17*0.4651953)-('2021'!AN17*0.002701))</f>
        <v>3.849758441</v>
      </c>
      <c r="B17" s="22">
        <f t="shared" si="1"/>
        <v>3.849746892</v>
      </c>
      <c r="C17" s="23">
        <v>0.999997</v>
      </c>
      <c r="D17" s="15">
        <f t="shared" si="2"/>
        <v>0</v>
      </c>
      <c r="E17" s="15" t="str">
        <f t="shared" si="16"/>
        <v>#REF!</v>
      </c>
      <c r="G17" s="9">
        <v>256896.9</v>
      </c>
      <c r="H17" s="9">
        <v>911840.19</v>
      </c>
      <c r="I17" s="12">
        <v>10.9</v>
      </c>
      <c r="J17" s="12">
        <v>11.81</v>
      </c>
      <c r="K17" s="12">
        <v>0.29</v>
      </c>
      <c r="L17" s="12">
        <v>26.77</v>
      </c>
      <c r="M17" s="12">
        <v>1.38</v>
      </c>
      <c r="N17" s="12">
        <v>35.65</v>
      </c>
      <c r="Q17" s="15">
        <f t="shared" si="3"/>
        <v>4.432189849</v>
      </c>
      <c r="R17" s="24">
        <f t="shared" si="4"/>
        <v>0.999995336</v>
      </c>
      <c r="S17" s="19">
        <f t="shared" si="5"/>
        <v>1</v>
      </c>
      <c r="T17" s="25">
        <v>0.0</v>
      </c>
      <c r="V17" s="15">
        <v>-0.14440516535639736</v>
      </c>
      <c r="W17" s="15">
        <v>-0.14440516535639736</v>
      </c>
      <c r="X17" s="15">
        <f t="shared" si="6"/>
        <v>-1.339037039</v>
      </c>
      <c r="Y17" s="24">
        <f t="shared" si="7"/>
        <v>0.09027930762</v>
      </c>
      <c r="Z17" s="15">
        <f t="shared" si="11"/>
        <v>0</v>
      </c>
      <c r="AA17" s="25">
        <v>0.0</v>
      </c>
      <c r="AB17" s="14">
        <f t="shared" si="17"/>
        <v>1</v>
      </c>
      <c r="AD17" s="15">
        <f t="shared" si="18"/>
        <v>-0.509399677</v>
      </c>
      <c r="AE17" s="15">
        <f t="shared" si="19"/>
        <v>0.3052360514</v>
      </c>
      <c r="AF17" s="15">
        <f t="shared" si="10"/>
        <v>0</v>
      </c>
      <c r="AG17" s="14">
        <f t="shared" si="20"/>
        <v>1</v>
      </c>
      <c r="AH17" s="25">
        <v>0.0</v>
      </c>
      <c r="AI17" s="19">
        <v>1.0</v>
      </c>
    </row>
    <row r="18">
      <c r="A18" s="15">
        <f>(1.5519626-('2021'!E18*0.0000017073983)+('2021'!H18*0.0000013113498)+('2021'!U18*0.1451093)-('2021'!W18*0.0246584)-('2021'!AC18*0.790069)-('2021'!AD18*0.0024787)+('2021'!AF18*0.4651953)-('2021'!AN18*0.002701))</f>
        <v>2.381390636</v>
      </c>
      <c r="B18" s="15">
        <f t="shared" si="1"/>
        <v>2.380464275</v>
      </c>
      <c r="C18" s="26">
        <v>0.999611</v>
      </c>
      <c r="D18" s="15">
        <f t="shared" si="2"/>
        <v>0</v>
      </c>
      <c r="E18" s="15" t="str">
        <f t="shared" si="16"/>
        <v>#REF!</v>
      </c>
      <c r="G18" s="9">
        <v>93599.98</v>
      </c>
      <c r="H18" s="9">
        <v>127830.83</v>
      </c>
      <c r="I18" s="12">
        <v>4.44</v>
      </c>
      <c r="J18" s="12">
        <v>9.88</v>
      </c>
      <c r="K18" s="12">
        <v>0.96</v>
      </c>
      <c r="L18" s="12">
        <v>6.79</v>
      </c>
      <c r="M18" s="12">
        <v>3.64</v>
      </c>
      <c r="N18" s="12">
        <v>184.03</v>
      </c>
      <c r="Q18" s="15">
        <f t="shared" si="3"/>
        <v>2.86864062</v>
      </c>
      <c r="R18" s="24">
        <f t="shared" si="4"/>
        <v>0.9979388005</v>
      </c>
      <c r="S18" s="19">
        <f t="shared" si="5"/>
        <v>1</v>
      </c>
      <c r="T18" s="25">
        <v>0.0</v>
      </c>
      <c r="V18" s="15">
        <v>0.34889570876690024</v>
      </c>
      <c r="W18" s="15">
        <v>0.34889570876690024</v>
      </c>
      <c r="X18" s="15">
        <f t="shared" si="6"/>
        <v>0.519631151</v>
      </c>
      <c r="Y18" s="24">
        <f t="shared" si="7"/>
        <v>0.698339659</v>
      </c>
      <c r="Z18" s="15">
        <f t="shared" si="11"/>
        <v>1</v>
      </c>
      <c r="AA18" s="25">
        <v>0.0</v>
      </c>
      <c r="AB18" s="14">
        <f t="shared" si="17"/>
        <v>0</v>
      </c>
      <c r="AD18" s="15">
        <f t="shared" si="18"/>
        <v>-0.08125310099</v>
      </c>
      <c r="AE18" s="15">
        <f t="shared" si="19"/>
        <v>0.4676203353</v>
      </c>
      <c r="AF18" s="15">
        <f t="shared" si="10"/>
        <v>0</v>
      </c>
      <c r="AG18" s="14">
        <f t="shared" si="20"/>
        <v>1</v>
      </c>
      <c r="AH18" s="25">
        <v>0.0</v>
      </c>
      <c r="AI18" s="19">
        <v>1.0</v>
      </c>
    </row>
    <row r="19">
      <c r="A19" s="15">
        <f>(1.5519626-('2021'!E19*0.0000017073983)+('2021'!H19*0.0000013113498)+('2021'!U19*0.1451093)-('2021'!W19*0.0246584)-('2021'!AC19*0.790069)-('2021'!AD19*0.0024787)+('2021'!AF19*0.4651953)-('2021'!AN19*0.002701))</f>
        <v>1.681283577</v>
      </c>
      <c r="B19" s="15">
        <f t="shared" si="1"/>
        <v>1.651171788</v>
      </c>
      <c r="C19" s="26">
        <v>0.98209</v>
      </c>
      <c r="D19" s="15">
        <f t="shared" si="2"/>
        <v>0</v>
      </c>
      <c r="E19" s="15" t="str">
        <f t="shared" si="16"/>
        <v>#REF!</v>
      </c>
      <c r="G19" s="9">
        <v>170577.51</v>
      </c>
      <c r="H19" s="9">
        <v>441655.41</v>
      </c>
      <c r="I19" s="12">
        <v>5.6</v>
      </c>
      <c r="J19" s="12">
        <v>6.68</v>
      </c>
      <c r="K19" s="12">
        <v>1.22</v>
      </c>
      <c r="L19" s="12">
        <v>3.92</v>
      </c>
      <c r="M19" s="12">
        <v>0.6</v>
      </c>
      <c r="N19" s="12">
        <v>41.47</v>
      </c>
      <c r="Q19" s="15">
        <f t="shared" si="3"/>
        <v>2.010719801</v>
      </c>
      <c r="R19" s="24">
        <f t="shared" si="4"/>
        <v>0.9778224693</v>
      </c>
      <c r="S19" s="19">
        <f t="shared" si="5"/>
        <v>1</v>
      </c>
      <c r="T19" s="25">
        <v>0.0</v>
      </c>
      <c r="V19" s="15">
        <v>0.50106397462501</v>
      </c>
      <c r="W19" s="15">
        <v>0.50106397462501</v>
      </c>
      <c r="X19" s="15">
        <f t="shared" si="6"/>
        <v>0.1664181564</v>
      </c>
      <c r="Y19" s="24">
        <f t="shared" si="7"/>
        <v>0.5660860568</v>
      </c>
      <c r="Z19" s="15">
        <f t="shared" si="11"/>
        <v>1</v>
      </c>
      <c r="AA19" s="25">
        <v>0.0</v>
      </c>
      <c r="AB19" s="14">
        <f t="shared" si="17"/>
        <v>0</v>
      </c>
      <c r="AD19" s="15">
        <f t="shared" si="18"/>
        <v>-0.1626161625</v>
      </c>
      <c r="AE19" s="15">
        <f t="shared" si="19"/>
        <v>0.4354103303</v>
      </c>
      <c r="AF19" s="15">
        <f t="shared" si="10"/>
        <v>0</v>
      </c>
      <c r="AG19" s="14">
        <f t="shared" si="20"/>
        <v>1</v>
      </c>
      <c r="AH19" s="25">
        <v>0.0</v>
      </c>
      <c r="AI19" s="19">
        <v>1.0</v>
      </c>
    </row>
    <row r="20">
      <c r="A20" s="15">
        <f>(1.5519626-('2021'!E20*0.0000017073983)+('2021'!H20*0.0000013113498)+('2021'!U20*0.1451093)-('2021'!W20*0.0246584)-('2021'!AC20*0.790069)-('2021'!AD20*0.0024787)+('2021'!AF20*0.4651953)-('2021'!AN20*0.002701))</f>
        <v>2.609159366</v>
      </c>
      <c r="B20" s="15">
        <f t="shared" si="1"/>
        <v>2.604074115</v>
      </c>
      <c r="C20" s="26">
        <v>0.998051</v>
      </c>
      <c r="D20" s="15">
        <f t="shared" si="2"/>
        <v>0</v>
      </c>
      <c r="E20" s="15" t="str">
        <f t="shared" si="16"/>
        <v>#REF!</v>
      </c>
      <c r="G20" s="9">
        <v>81562.36</v>
      </c>
      <c r="H20" s="9">
        <v>613611.07</v>
      </c>
      <c r="I20" s="12">
        <v>1.25</v>
      </c>
      <c r="J20" s="12">
        <v>0.7</v>
      </c>
      <c r="K20" s="12">
        <v>0.4</v>
      </c>
      <c r="L20" s="12">
        <v>1.32</v>
      </c>
      <c r="M20" s="12">
        <v>1.72</v>
      </c>
      <c r="N20" s="12">
        <v>93.73</v>
      </c>
      <c r="Q20" s="15">
        <f t="shared" si="3"/>
        <v>2.643681126</v>
      </c>
      <c r="R20" s="24">
        <f t="shared" si="4"/>
        <v>0.9958995063</v>
      </c>
      <c r="S20" s="19">
        <f t="shared" si="5"/>
        <v>1</v>
      </c>
      <c r="T20" s="25">
        <v>0.0</v>
      </c>
      <c r="V20" s="15">
        <v>0.3694421730086709</v>
      </c>
      <c r="W20" s="15">
        <v>0.3694421730086709</v>
      </c>
      <c r="X20" s="15">
        <f t="shared" si="6"/>
        <v>0.561163482</v>
      </c>
      <c r="Y20" s="24">
        <f t="shared" si="7"/>
        <v>0.7126569525</v>
      </c>
      <c r="Z20" s="15">
        <f t="shared" si="11"/>
        <v>1</v>
      </c>
      <c r="AA20" s="25">
        <v>0.0</v>
      </c>
      <c r="AB20" s="14">
        <f t="shared" si="17"/>
        <v>0</v>
      </c>
      <c r="AD20" s="15">
        <f t="shared" si="18"/>
        <v>-0.07168607584</v>
      </c>
      <c r="AE20" s="15">
        <f t="shared" si="19"/>
        <v>0.4714258688</v>
      </c>
      <c r="AF20" s="15">
        <f t="shared" si="10"/>
        <v>0</v>
      </c>
      <c r="AG20" s="14">
        <f t="shared" si="20"/>
        <v>1</v>
      </c>
      <c r="AH20" s="25">
        <v>0.0</v>
      </c>
      <c r="AI20" s="19">
        <v>1.0</v>
      </c>
    </row>
    <row r="21">
      <c r="A21" s="15">
        <f>(1.5519626-('2021'!E21*0.0000017073983)+('2021'!H21*0.0000013113498)+('2021'!U21*0.1451093)-('2021'!W21*0.0246584)-('2021'!AC21*0.790069)-('2021'!AD21*0.0024787)+('2021'!AF21*0.4651953)-('2021'!AN21*0.002701))</f>
        <v>2.021136942</v>
      </c>
      <c r="B21" s="22">
        <f t="shared" si="1"/>
        <v>2.021120773</v>
      </c>
      <c r="C21" s="23">
        <v>0.999992</v>
      </c>
      <c r="D21" s="15">
        <f t="shared" si="2"/>
        <v>0</v>
      </c>
      <c r="E21" s="15" t="str">
        <f t="shared" si="16"/>
        <v>#REF!</v>
      </c>
      <c r="G21" s="9">
        <v>137500.0</v>
      </c>
      <c r="H21" s="9">
        <v>556554.05</v>
      </c>
      <c r="I21" s="12">
        <v>19.15</v>
      </c>
      <c r="J21" s="12">
        <v>28.4</v>
      </c>
      <c r="K21" s="12">
        <v>2.38</v>
      </c>
      <c r="L21" s="12">
        <v>14.96</v>
      </c>
      <c r="M21" s="12">
        <v>1.51</v>
      </c>
      <c r="N21" s="12">
        <v>329.3</v>
      </c>
      <c r="Q21" s="15">
        <f t="shared" si="3"/>
        <v>3.421734062</v>
      </c>
      <c r="R21" s="24">
        <f t="shared" si="4"/>
        <v>0.9996888843</v>
      </c>
      <c r="S21" s="19">
        <f t="shared" si="5"/>
        <v>1</v>
      </c>
      <c r="T21" s="25" t="e">
        <v>#N/A</v>
      </c>
      <c r="V21" s="15">
        <v>0.672368132765599</v>
      </c>
      <c r="W21" s="15">
        <v>0.672368132765599</v>
      </c>
      <c r="X21" s="15">
        <f t="shared" si="6"/>
        <v>0.2153928204</v>
      </c>
      <c r="Y21" s="24">
        <f t="shared" si="7"/>
        <v>0.5852694664</v>
      </c>
      <c r="Z21" s="15">
        <f t="shared" si="11"/>
        <v>1</v>
      </c>
      <c r="AA21" s="25"/>
      <c r="AB21" s="14"/>
      <c r="AD21" s="15">
        <f t="shared" si="18"/>
        <v>-0.1513347865</v>
      </c>
      <c r="AE21" s="15">
        <f t="shared" si="19"/>
        <v>0.4398558148</v>
      </c>
      <c r="AF21" s="15">
        <f t="shared" si="10"/>
        <v>0</v>
      </c>
      <c r="AG21" s="14"/>
      <c r="AH21" s="25"/>
    </row>
    <row r="22">
      <c r="A22" s="15">
        <f>(1.5519626-('2021'!E22*0.0000017073983)+('2021'!H22*0.0000013113498)+('2021'!U22*0.1451093)-('2021'!W22*0.0246584)-('2021'!AC22*0.790069)-('2021'!AD22*0.0024787)+('2021'!AF22*0.4651953)-('2021'!AN22*0.002701))</f>
        <v>5.74362732</v>
      </c>
      <c r="B22" s="22">
        <f t="shared" si="1"/>
        <v>5.74362732</v>
      </c>
      <c r="C22" s="23">
        <v>1.0</v>
      </c>
      <c r="D22" s="15">
        <f t="shared" si="2"/>
        <v>0</v>
      </c>
      <c r="G22" s="9">
        <v>50000.0</v>
      </c>
      <c r="H22" s="9">
        <v>229265.08</v>
      </c>
      <c r="I22" s="12">
        <v>19.75</v>
      </c>
      <c r="J22" s="12">
        <v>21.71</v>
      </c>
      <c r="K22" s="12">
        <v>0.2</v>
      </c>
      <c r="L22" s="12">
        <v>141.23</v>
      </c>
      <c r="M22" s="12">
        <v>5.56</v>
      </c>
      <c r="N22" s="12">
        <v>160.16</v>
      </c>
      <c r="Q22" s="15">
        <f t="shared" si="3"/>
        <v>6.814295048</v>
      </c>
      <c r="R22" s="24">
        <f t="shared" si="4"/>
        <v>1</v>
      </c>
      <c r="S22" s="19">
        <f t="shared" si="5"/>
        <v>1</v>
      </c>
      <c r="T22" s="25">
        <v>1.0</v>
      </c>
      <c r="V22" s="15">
        <v>-0.7818730879911777</v>
      </c>
      <c r="W22" s="15">
        <v>-0.7818730879911777</v>
      </c>
      <c r="X22" s="15">
        <f t="shared" si="6"/>
        <v>-5.145754029</v>
      </c>
      <c r="Y22" s="24">
        <f t="shared" si="7"/>
        <v>0.0000001332241816</v>
      </c>
      <c r="Z22" s="15">
        <f t="shared" si="11"/>
        <v>0</v>
      </c>
      <c r="AA22" s="25">
        <v>1.0</v>
      </c>
      <c r="AB22" s="14">
        <f>if(Z22=AA22,1,0)</f>
        <v>0</v>
      </c>
      <c r="AD22" s="15">
        <f t="shared" si="18"/>
        <v>-1.386281766</v>
      </c>
      <c r="AE22" s="15">
        <f t="shared" si="19"/>
        <v>0.08283044123</v>
      </c>
      <c r="AF22" s="15">
        <f t="shared" si="10"/>
        <v>0</v>
      </c>
      <c r="AG22" s="14">
        <f>if(AF22=AH22,1,0)</f>
        <v>0</v>
      </c>
      <c r="AH22" s="25">
        <v>1.0</v>
      </c>
      <c r="AI22" s="19">
        <v>1.0</v>
      </c>
    </row>
    <row r="23">
      <c r="A23" s="15">
        <f>(1.5519626-('2021'!E23*0.0000017073983)+('2021'!H23*0.0000013113498)+('2021'!U23*0.1451093)-('2021'!W23*0.0246584)-('2021'!AC23*0.790069)-('2021'!AD23*0.0024787)+('2021'!AF23*0.4651953)-('2021'!AN23*0.002701))</f>
        <v>-1.172552596</v>
      </c>
      <c r="B23" s="22">
        <f t="shared" si="1"/>
        <v>0</v>
      </c>
      <c r="C23" s="23">
        <v>2.03E-15</v>
      </c>
      <c r="D23" s="15">
        <f t="shared" si="2"/>
        <v>1</v>
      </c>
      <c r="E23" s="15" t="str">
        <f>IF('temp result 2022'!B23=D23,1,0)</f>
        <v>#REF!</v>
      </c>
      <c r="G23" s="9">
        <v>507000.0</v>
      </c>
      <c r="H23" s="9">
        <v>330168.05</v>
      </c>
      <c r="I23" s="12">
        <v>-2.66</v>
      </c>
      <c r="J23" s="12">
        <v>-173.92</v>
      </c>
      <c r="K23" s="12">
        <v>5.77</v>
      </c>
      <c r="L23" s="12">
        <v>-0.74</v>
      </c>
      <c r="M23" s="12">
        <v>0.56</v>
      </c>
      <c r="N23" s="12">
        <v>702.73</v>
      </c>
      <c r="Q23" s="15">
        <f t="shared" si="3"/>
        <v>-9.749730452</v>
      </c>
      <c r="R23" s="24">
        <f t="shared" si="4"/>
        <v>0</v>
      </c>
      <c r="S23" s="19">
        <f t="shared" si="5"/>
        <v>0</v>
      </c>
      <c r="T23" s="25" t="e">
        <v>#N/A</v>
      </c>
      <c r="V23" s="15">
        <v>4.608026546183609</v>
      </c>
      <c r="W23" s="15">
        <v>4.608026546183609</v>
      </c>
      <c r="X23" s="15">
        <f t="shared" si="6"/>
        <v>4.332997421</v>
      </c>
      <c r="Y23" s="24">
        <f t="shared" si="7"/>
        <v>0.9999926454</v>
      </c>
      <c r="Z23" s="15">
        <f t="shared" si="11"/>
        <v>1</v>
      </c>
      <c r="AA23" s="25"/>
      <c r="AB23" s="14"/>
      <c r="AD23" s="15">
        <f t="shared" si="18"/>
        <v>0.797160658</v>
      </c>
      <c r="AE23" s="15">
        <f t="shared" si="19"/>
        <v>0.7873211342</v>
      </c>
      <c r="AF23" s="15">
        <f t="shared" si="10"/>
        <v>1</v>
      </c>
      <c r="AG23" s="14"/>
      <c r="AH23" s="25"/>
    </row>
    <row r="24">
      <c r="A24" s="15">
        <f>(1.5519626-('2021'!E24*0.0000017073983)+('2021'!H24*0.0000013113498)+('2021'!U24*0.1451093)-('2021'!W24*0.0246584)-('2021'!AC24*0.790069)-('2021'!AD24*0.0024787)+('2021'!AF24*0.4651953)-('2021'!AN24*0.002701))</f>
        <v>6.067448218</v>
      </c>
      <c r="B24" s="22">
        <f t="shared" si="1"/>
        <v>6.067448218</v>
      </c>
      <c r="C24" s="23">
        <v>1.0</v>
      </c>
      <c r="D24" s="15">
        <f t="shared" si="2"/>
        <v>0</v>
      </c>
      <c r="G24" s="9">
        <v>100000.0</v>
      </c>
      <c r="H24" s="9">
        <v>294966.39</v>
      </c>
      <c r="I24" s="12">
        <v>16.17</v>
      </c>
      <c r="J24" s="12">
        <v>21.67</v>
      </c>
      <c r="K24" s="12">
        <v>0.23</v>
      </c>
      <c r="L24" s="12">
        <v>43.43</v>
      </c>
      <c r="M24" s="12">
        <v>6.73</v>
      </c>
      <c r="N24" s="12">
        <v>131.08</v>
      </c>
      <c r="Q24" s="15">
        <f t="shared" si="3"/>
        <v>7.136143274</v>
      </c>
      <c r="R24" s="24">
        <f t="shared" si="4"/>
        <v>1</v>
      </c>
      <c r="S24" s="19">
        <f t="shared" si="5"/>
        <v>1</v>
      </c>
      <c r="T24" s="25">
        <v>1.0</v>
      </c>
      <c r="V24" s="15">
        <v>-1.0063421446079817</v>
      </c>
      <c r="W24" s="15">
        <v>-1.0063421446079817</v>
      </c>
      <c r="X24" s="15">
        <f t="shared" si="6"/>
        <v>-2.527399825</v>
      </c>
      <c r="Y24" s="24">
        <f t="shared" si="7"/>
        <v>0.005745530018</v>
      </c>
      <c r="Z24" s="15">
        <f t="shared" si="11"/>
        <v>0</v>
      </c>
      <c r="AA24" s="25">
        <v>1.0</v>
      </c>
      <c r="AB24" s="14">
        <f>if(Z24=AA24,1,0)</f>
        <v>0</v>
      </c>
      <c r="AD24" s="15">
        <f t="shared" si="18"/>
        <v>-0.7831405526</v>
      </c>
      <c r="AE24" s="15">
        <f t="shared" si="19"/>
        <v>0.2167722898</v>
      </c>
      <c r="AF24" s="15">
        <f t="shared" si="10"/>
        <v>0</v>
      </c>
      <c r="AG24" s="14">
        <f>if(AF24=AH24,1,0)</f>
        <v>0</v>
      </c>
      <c r="AH24" s="25">
        <v>1.0</v>
      </c>
      <c r="AI24" s="19">
        <v>1.0</v>
      </c>
    </row>
    <row r="25">
      <c r="A25" s="15">
        <f>(1.5519626-('2021'!E25*0.0000017073983)+('2021'!H25*0.0000013113498)+('2021'!U25*0.1451093)-('2021'!W25*0.0246584)-('2021'!AC25*0.790069)-('2021'!AD25*0.0024787)+('2021'!AF25*0.4651953)-('2021'!AN25*0.002701))</f>
        <v>1.081522397</v>
      </c>
      <c r="B25" s="15">
        <f t="shared" si="1"/>
        <v>0.8959720882</v>
      </c>
      <c r="C25" s="26">
        <v>0.828436</v>
      </c>
      <c r="D25" s="15">
        <f t="shared" si="2"/>
        <v>0</v>
      </c>
      <c r="E25" s="15" t="str">
        <f>IF('temp result 2022'!B25=D25,1,0)</f>
        <v>#REF!</v>
      </c>
      <c r="G25" s="9">
        <v>181759.95</v>
      </c>
      <c r="H25" s="9">
        <v>355734.58</v>
      </c>
      <c r="I25" s="12">
        <v>-0.29</v>
      </c>
      <c r="J25" s="12">
        <v>-4.92</v>
      </c>
      <c r="K25" s="12">
        <v>1.56</v>
      </c>
      <c r="L25" s="12">
        <v>-0.16</v>
      </c>
      <c r="M25" s="12">
        <v>1.41</v>
      </c>
      <c r="N25" s="12">
        <v>48.0</v>
      </c>
      <c r="Q25" s="15">
        <f t="shared" si="3"/>
        <v>0.8388837407</v>
      </c>
      <c r="R25" s="24">
        <f t="shared" si="4"/>
        <v>0.7992327237</v>
      </c>
      <c r="S25" s="19">
        <f t="shared" si="5"/>
        <v>1</v>
      </c>
      <c r="T25" s="15" t="e">
        <v>#N/A</v>
      </c>
      <c r="V25" s="15">
        <v>0.7284100416521373</v>
      </c>
      <c r="W25" s="15">
        <v>0.7284100416521373</v>
      </c>
      <c r="X25" s="15">
        <f t="shared" si="6"/>
        <v>0.5926348952</v>
      </c>
      <c r="Y25" s="24">
        <f t="shared" si="7"/>
        <v>0.7232872397</v>
      </c>
      <c r="Z25" s="15">
        <f t="shared" si="11"/>
        <v>1</v>
      </c>
      <c r="AB25" s="14"/>
      <c r="AD25" s="15">
        <f t="shared" si="18"/>
        <v>-0.06443659588</v>
      </c>
      <c r="AE25" s="15">
        <f t="shared" si="19"/>
        <v>0.4743112956</v>
      </c>
      <c r="AF25" s="15">
        <f t="shared" si="10"/>
        <v>0</v>
      </c>
      <c r="AG25" s="14"/>
    </row>
    <row r="26">
      <c r="A26" s="15">
        <f>(1.5519626-('2021'!E26*0.0000017073983)+('2021'!H26*0.0000013113498)+('2021'!U26*0.1451093)-('2021'!W26*0.0246584)-('2021'!AC26*0.790069)-('2021'!AD26*0.0024787)+('2021'!AF26*0.4651953)-('2021'!AN26*0.002701))</f>
        <v>7.625705403</v>
      </c>
      <c r="B26" s="22">
        <f t="shared" si="1"/>
        <v>7.625705403</v>
      </c>
      <c r="C26" s="23">
        <v>1.0</v>
      </c>
      <c r="D26" s="15">
        <f t="shared" si="2"/>
        <v>0</v>
      </c>
      <c r="G26" s="9">
        <v>200000.0</v>
      </c>
      <c r="H26" s="9">
        <v>2383636.41</v>
      </c>
      <c r="I26" s="12">
        <v>28.67</v>
      </c>
      <c r="J26" s="12">
        <v>14.26</v>
      </c>
      <c r="K26" s="12">
        <v>1.15</v>
      </c>
      <c r="L26" s="12">
        <v>22.74</v>
      </c>
      <c r="M26" s="12">
        <v>1.58</v>
      </c>
      <c r="N26" s="12">
        <v>107.1</v>
      </c>
      <c r="Q26" s="15">
        <f t="shared" si="3"/>
        <v>8.328962971</v>
      </c>
      <c r="R26" s="24">
        <f t="shared" si="4"/>
        <v>1</v>
      </c>
      <c r="S26" s="19">
        <f t="shared" si="5"/>
        <v>1</v>
      </c>
      <c r="T26" s="25" t="e">
        <v>#N/A</v>
      </c>
      <c r="V26" s="15">
        <v>-0.9404379395431428</v>
      </c>
      <c r="W26" s="15">
        <v>-0.9404379395431428</v>
      </c>
      <c r="X26" s="15">
        <f t="shared" si="6"/>
        <v>-3.145755047</v>
      </c>
      <c r="Y26" s="24">
        <f t="shared" si="7"/>
        <v>0.0008282934301</v>
      </c>
      <c r="Z26" s="15">
        <f t="shared" si="11"/>
        <v>0</v>
      </c>
      <c r="AA26" s="25"/>
      <c r="AB26" s="14"/>
      <c r="AD26" s="15">
        <f t="shared" si="18"/>
        <v>-0.9255794626</v>
      </c>
      <c r="AE26" s="15">
        <f t="shared" si="19"/>
        <v>0.1773322852</v>
      </c>
      <c r="AF26" s="15">
        <f t="shared" si="10"/>
        <v>0</v>
      </c>
      <c r="AG26" s="14"/>
      <c r="AH26" s="25"/>
    </row>
    <row r="27">
      <c r="A27" s="15">
        <f>(1.5519626-('2021'!E27*0.0000017073983)+('2021'!H27*0.0000013113498)+('2021'!U27*0.1451093)-('2021'!W27*0.0246584)-('2021'!AC27*0.790069)-('2021'!AD27*0.0024787)+('2021'!AF27*0.4651953)-('2021'!AN27*0.002701))</f>
        <v>2.735328098</v>
      </c>
      <c r="B27" s="15">
        <f t="shared" si="1"/>
        <v>2.733908463</v>
      </c>
      <c r="C27" s="26">
        <v>0.999481</v>
      </c>
      <c r="D27" s="15">
        <f t="shared" si="2"/>
        <v>0</v>
      </c>
      <c r="G27" s="9">
        <v>235945.88</v>
      </c>
      <c r="H27" s="9">
        <v>1050542.1</v>
      </c>
      <c r="I27" s="12">
        <v>6.32</v>
      </c>
      <c r="J27" s="12">
        <v>6.52</v>
      </c>
      <c r="K27" s="12">
        <v>0.71</v>
      </c>
      <c r="L27" s="12">
        <v>6.97</v>
      </c>
      <c r="M27" s="12">
        <v>0.57</v>
      </c>
      <c r="N27" s="12">
        <v>86.88</v>
      </c>
      <c r="Q27" s="15">
        <f t="shared" si="3"/>
        <v>3.056873634</v>
      </c>
      <c r="R27" s="24">
        <f t="shared" si="4"/>
        <v>0.9988817073</v>
      </c>
      <c r="S27" s="19">
        <f t="shared" si="5"/>
        <v>1</v>
      </c>
      <c r="T27" s="25">
        <v>0.0</v>
      </c>
      <c r="V27" s="15">
        <v>0.3463800339255697</v>
      </c>
      <c r="W27" s="15">
        <v>0.3463800339255697</v>
      </c>
      <c r="X27" s="15">
        <f t="shared" si="6"/>
        <v>-0.03344158391</v>
      </c>
      <c r="Y27" s="24">
        <f t="shared" si="7"/>
        <v>0.4866612245</v>
      </c>
      <c r="Z27" s="15">
        <f t="shared" si="11"/>
        <v>0</v>
      </c>
      <c r="AA27" s="25">
        <v>0.0</v>
      </c>
      <c r="AB27" s="14">
        <f t="shared" ref="AB27:AB38" si="21">if(Z27=AA27,1,0)</f>
        <v>1</v>
      </c>
      <c r="AD27" s="15">
        <f t="shared" si="18"/>
        <v>-0.2086541072</v>
      </c>
      <c r="AE27" s="15">
        <f t="shared" si="19"/>
        <v>0.4173591343</v>
      </c>
      <c r="AF27" s="15">
        <f t="shared" si="10"/>
        <v>0</v>
      </c>
      <c r="AG27" s="14">
        <f t="shared" ref="AG27:AG38" si="22">if(AF27=AH27,1,0)</f>
        <v>1</v>
      </c>
      <c r="AH27" s="25">
        <v>0.0</v>
      </c>
      <c r="AI27" s="19">
        <v>1.0</v>
      </c>
    </row>
    <row r="28">
      <c r="A28" s="15">
        <f>(1.5519626-('2021'!E28*0.0000017073983)+('2021'!H28*0.0000013113498)+('2021'!U28*0.1451093)-('2021'!W28*0.0246584)-('2021'!AC28*0.790069)-('2021'!AD28*0.0024787)+('2021'!AF28*0.4651953)-('2021'!AN28*0.002701))</f>
        <v>3.897052012</v>
      </c>
      <c r="B28" s="22">
        <f t="shared" si="1"/>
        <v>3.897052012</v>
      </c>
      <c r="C28" s="23">
        <v>1.0</v>
      </c>
      <c r="D28" s="15">
        <f t="shared" si="2"/>
        <v>0</v>
      </c>
      <c r="E28" s="15" t="str">
        <f t="shared" ref="E28:E39" si="23">IF('temp result 2022'!B28=D28,1,0)</f>
        <v>#REF!</v>
      </c>
      <c r="G28" s="9">
        <v>82050.55</v>
      </c>
      <c r="H28" s="9">
        <v>374547.64</v>
      </c>
      <c r="I28" s="12">
        <v>26.73</v>
      </c>
      <c r="J28" s="12">
        <v>35.85</v>
      </c>
      <c r="K28" s="12">
        <v>0.38</v>
      </c>
      <c r="L28" s="12">
        <v>167.63</v>
      </c>
      <c r="M28" s="12">
        <v>1.07</v>
      </c>
      <c r="N28" s="12">
        <v>289.81</v>
      </c>
      <c r="Q28" s="15">
        <f t="shared" si="3"/>
        <v>5.665059292</v>
      </c>
      <c r="R28" s="24">
        <f t="shared" si="4"/>
        <v>0.9999999927</v>
      </c>
      <c r="S28" s="19">
        <f t="shared" si="5"/>
        <v>1</v>
      </c>
      <c r="T28" s="25">
        <v>0.0</v>
      </c>
      <c r="V28" s="15">
        <v>0.09550986642096165</v>
      </c>
      <c r="W28" s="15">
        <v>0.09550986642096165</v>
      </c>
      <c r="X28" s="15">
        <f t="shared" si="6"/>
        <v>-4.677543769</v>
      </c>
      <c r="Y28" s="24">
        <f t="shared" si="7"/>
        <v>0.000001451658086</v>
      </c>
      <c r="Z28" s="15">
        <f t="shared" si="11"/>
        <v>0</v>
      </c>
      <c r="AA28" s="25">
        <v>0.0</v>
      </c>
      <c r="AB28" s="14">
        <f t="shared" si="21"/>
        <v>1</v>
      </c>
      <c r="AD28" s="15">
        <f t="shared" si="18"/>
        <v>-1.278428938</v>
      </c>
      <c r="AE28" s="15">
        <f t="shared" si="19"/>
        <v>0.100549113</v>
      </c>
      <c r="AF28" s="15">
        <f t="shared" si="10"/>
        <v>0</v>
      </c>
      <c r="AG28" s="14">
        <f t="shared" si="22"/>
        <v>1</v>
      </c>
      <c r="AH28" s="25">
        <v>0.0</v>
      </c>
      <c r="AI28" s="19">
        <v>1.0</v>
      </c>
    </row>
    <row r="29">
      <c r="A29" s="15">
        <f>(1.5519626-('2021'!E29*0.0000017073983)+('2021'!H29*0.0000013113498)+('2021'!U29*0.1451093)-('2021'!W29*0.0246584)-('2021'!AC29*0.790069)-('2021'!AD29*0.0024787)+('2021'!AF29*0.4651953)-('2021'!AN29*0.002701))</f>
        <v>1.466270307</v>
      </c>
      <c r="B29" s="22">
        <f t="shared" si="1"/>
        <v>1.466246846</v>
      </c>
      <c r="C29" s="23">
        <v>0.999984</v>
      </c>
      <c r="D29" s="15">
        <f t="shared" si="2"/>
        <v>0</v>
      </c>
      <c r="E29" s="15" t="str">
        <f t="shared" si="23"/>
        <v>#REF!</v>
      </c>
      <c r="G29" s="9">
        <v>1031660.15</v>
      </c>
      <c r="H29" s="9">
        <v>413540.51</v>
      </c>
      <c r="I29" s="12">
        <v>15.79</v>
      </c>
      <c r="J29" s="12">
        <v>48.2</v>
      </c>
      <c r="K29" s="12">
        <v>0.17</v>
      </c>
      <c r="L29" s="12">
        <v>61.89</v>
      </c>
      <c r="M29" s="12">
        <v>1.38</v>
      </c>
      <c r="N29" s="12">
        <v>119.78</v>
      </c>
      <c r="Q29" s="15">
        <f t="shared" si="3"/>
        <v>3.843340067</v>
      </c>
      <c r="R29" s="24">
        <f t="shared" si="4"/>
        <v>0.9999393144</v>
      </c>
      <c r="S29" s="19">
        <f t="shared" si="5"/>
        <v>1</v>
      </c>
      <c r="T29" s="25">
        <v>0.0</v>
      </c>
      <c r="V29" s="15">
        <v>0.16339072015527964</v>
      </c>
      <c r="W29" s="15">
        <v>0.16339072015527964</v>
      </c>
      <c r="X29" s="15">
        <f t="shared" si="6"/>
        <v>-1.850750845</v>
      </c>
      <c r="Y29" s="24">
        <f t="shared" si="7"/>
        <v>0.03210270278</v>
      </c>
      <c r="Z29" s="15">
        <f t="shared" si="11"/>
        <v>0</v>
      </c>
      <c r="AA29" s="25">
        <v>0.0</v>
      </c>
      <c r="AB29" s="14">
        <f t="shared" si="21"/>
        <v>1</v>
      </c>
      <c r="AD29" s="15">
        <f t="shared" si="18"/>
        <v>-0.6272736016</v>
      </c>
      <c r="AE29" s="15">
        <f t="shared" si="19"/>
        <v>0.2652399523</v>
      </c>
      <c r="AF29" s="15">
        <f t="shared" si="10"/>
        <v>0</v>
      </c>
      <c r="AG29" s="14">
        <f t="shared" si="22"/>
        <v>1</v>
      </c>
      <c r="AH29" s="25">
        <v>0.0</v>
      </c>
      <c r="AI29" s="19">
        <v>1.0</v>
      </c>
    </row>
    <row r="30">
      <c r="A30" s="15">
        <f>(1.5519626-('2021'!E30*0.0000017073983)+('2021'!H30*0.0000013113498)+('2021'!U30*0.1451093)-('2021'!W30*0.0246584)-('2021'!AC30*0.790069)-('2021'!AD30*0.0024787)+('2021'!AF30*0.4651953)-('2021'!AN30*0.002701))</f>
        <v>-0.04761429091</v>
      </c>
      <c r="B30" s="15">
        <f t="shared" si="1"/>
        <v>-0.0157077165</v>
      </c>
      <c r="C30" s="26">
        <v>0.329895</v>
      </c>
      <c r="D30" s="15">
        <f t="shared" si="2"/>
        <v>1</v>
      </c>
      <c r="E30" s="15" t="str">
        <f t="shared" si="23"/>
        <v>#REF!</v>
      </c>
      <c r="G30" s="9">
        <v>213050.62</v>
      </c>
      <c r="H30" s="9">
        <v>664208.84</v>
      </c>
      <c r="I30" s="12">
        <v>-2.96</v>
      </c>
      <c r="J30" s="12">
        <v>-13.68</v>
      </c>
      <c r="K30" s="12">
        <v>2.28</v>
      </c>
      <c r="L30" s="12">
        <v>-1.42</v>
      </c>
      <c r="M30" s="12">
        <v>0.16</v>
      </c>
      <c r="N30" s="12">
        <v>107.82</v>
      </c>
      <c r="Q30" s="15">
        <f t="shared" si="3"/>
        <v>-0.7222681149</v>
      </c>
      <c r="R30" s="24">
        <f t="shared" si="4"/>
        <v>0.2350648262</v>
      </c>
      <c r="S30" s="19">
        <f t="shared" si="5"/>
        <v>0</v>
      </c>
      <c r="T30" s="25">
        <v>0.0</v>
      </c>
      <c r="V30" s="15">
        <v>1.3109087816866383</v>
      </c>
      <c r="W30" s="15">
        <v>1.3109087816866383</v>
      </c>
      <c r="X30" s="15">
        <f t="shared" si="6"/>
        <v>1.240953531</v>
      </c>
      <c r="Y30" s="24">
        <f t="shared" si="7"/>
        <v>0.8926885422</v>
      </c>
      <c r="Z30" s="15">
        <f t="shared" si="11"/>
        <v>1</v>
      </c>
      <c r="AA30" s="25">
        <v>0.0</v>
      </c>
      <c r="AB30" s="14">
        <f t="shared" si="21"/>
        <v>0</v>
      </c>
      <c r="AD30" s="15">
        <f t="shared" si="18"/>
        <v>0.08490442456</v>
      </c>
      <c r="AE30" s="15">
        <f t="shared" si="19"/>
        <v>0.5338313129</v>
      </c>
      <c r="AF30" s="15">
        <f t="shared" si="10"/>
        <v>1</v>
      </c>
      <c r="AG30" s="14">
        <f t="shared" si="22"/>
        <v>0</v>
      </c>
      <c r="AH30" s="25">
        <v>0.0</v>
      </c>
      <c r="AI30" s="19">
        <v>1.0</v>
      </c>
    </row>
    <row r="31">
      <c r="A31" s="15">
        <f>(1.5519626-('2021'!E31*0.0000017073983)+('2021'!H31*0.0000013113498)+('2021'!U31*0.1451093)-('2021'!W31*0.0246584)-('2021'!AC31*0.790069)-('2021'!AD31*0.0024787)+('2021'!AF31*0.4651953)-('2021'!AN31*0.002701))</f>
        <v>1.542778934</v>
      </c>
      <c r="B31" s="15">
        <f t="shared" si="1"/>
        <v>1.326590865</v>
      </c>
      <c r="C31" s="26">
        <v>0.859871</v>
      </c>
      <c r="D31" s="15">
        <f t="shared" si="2"/>
        <v>0</v>
      </c>
      <c r="E31" s="15" t="str">
        <f t="shared" si="23"/>
        <v>#REF!</v>
      </c>
      <c r="G31" s="9">
        <v>378000.0</v>
      </c>
      <c r="H31" s="9">
        <v>1398178.25</v>
      </c>
      <c r="I31" s="12">
        <v>-7.32</v>
      </c>
      <c r="J31" s="12">
        <v>-11.26</v>
      </c>
      <c r="K31" s="12">
        <v>0.64</v>
      </c>
      <c r="L31" s="12">
        <v>-8.95</v>
      </c>
      <c r="M31" s="12">
        <v>0.4</v>
      </c>
      <c r="N31" s="12">
        <v>42.71</v>
      </c>
      <c r="Q31" s="15">
        <f t="shared" si="3"/>
        <v>0.9874717661</v>
      </c>
      <c r="R31" s="24">
        <f t="shared" si="4"/>
        <v>0.8382942913</v>
      </c>
      <c r="S31" s="19">
        <f t="shared" si="5"/>
        <v>1</v>
      </c>
      <c r="T31" s="25">
        <v>0.0</v>
      </c>
      <c r="V31" s="15">
        <v>0.760624352095246</v>
      </c>
      <c r="W31" s="15">
        <v>0.760624352095246</v>
      </c>
      <c r="X31" s="15">
        <f t="shared" si="6"/>
        <v>1.012594313</v>
      </c>
      <c r="Y31" s="24">
        <f t="shared" si="7"/>
        <v>0.8443730113</v>
      </c>
      <c r="Z31" s="15">
        <f t="shared" si="11"/>
        <v>1</v>
      </c>
      <c r="AA31" s="25">
        <v>0.0</v>
      </c>
      <c r="AB31" s="14">
        <f t="shared" si="21"/>
        <v>0</v>
      </c>
      <c r="AD31" s="15">
        <f t="shared" si="18"/>
        <v>0.03230158889</v>
      </c>
      <c r="AE31" s="15">
        <f t="shared" si="19"/>
        <v>0.5128842289</v>
      </c>
      <c r="AF31" s="15">
        <f t="shared" si="10"/>
        <v>1</v>
      </c>
      <c r="AG31" s="14">
        <f t="shared" si="22"/>
        <v>0</v>
      </c>
      <c r="AH31" s="25">
        <v>0.0</v>
      </c>
      <c r="AI31" s="19">
        <v>1.0</v>
      </c>
    </row>
    <row r="32">
      <c r="A32" s="15">
        <f>(1.5519626-('2021'!E32*0.0000017073983)+('2021'!H32*0.0000013113498)+('2021'!U32*0.1451093)-('2021'!W32*0.0246584)-('2021'!AC32*0.790069)-('2021'!AD32*0.0024787)+('2021'!AF32*0.4651953)-('2021'!AN32*0.002701))</f>
        <v>3.873177709</v>
      </c>
      <c r="B32" s="22">
        <f t="shared" si="1"/>
        <v>3.873150596</v>
      </c>
      <c r="C32" s="23">
        <v>0.999993</v>
      </c>
      <c r="D32" s="15">
        <f t="shared" si="2"/>
        <v>0</v>
      </c>
      <c r="E32" s="15" t="str">
        <f t="shared" si="23"/>
        <v>#REF!</v>
      </c>
      <c r="G32" s="9">
        <v>146999.88</v>
      </c>
      <c r="H32" s="9">
        <v>1994775.39</v>
      </c>
      <c r="I32" s="12">
        <v>11.21</v>
      </c>
      <c r="J32" s="12">
        <v>6.28</v>
      </c>
      <c r="K32" s="12">
        <v>1.98</v>
      </c>
      <c r="L32" s="12">
        <v>6.78</v>
      </c>
      <c r="M32" s="12">
        <v>0.5</v>
      </c>
      <c r="N32" s="12">
        <v>61.8</v>
      </c>
      <c r="Q32" s="15">
        <f t="shared" si="3"/>
        <v>4.182887213</v>
      </c>
      <c r="R32" s="24">
        <f t="shared" si="4"/>
        <v>0.9999856085</v>
      </c>
      <c r="S32" s="19">
        <f t="shared" si="5"/>
        <v>1</v>
      </c>
      <c r="T32" s="25">
        <v>0.0</v>
      </c>
      <c r="V32" s="15">
        <v>0.03475155010756358</v>
      </c>
      <c r="W32" s="15">
        <v>0.03475155010756358</v>
      </c>
      <c r="X32" s="15">
        <f t="shared" si="6"/>
        <v>-1.187946476</v>
      </c>
      <c r="Y32" s="24">
        <f t="shared" si="7"/>
        <v>0.1174272488</v>
      </c>
      <c r="Z32" s="15">
        <f t="shared" si="11"/>
        <v>0</v>
      </c>
      <c r="AA32" s="25">
        <v>0.0</v>
      </c>
      <c r="AB32" s="14">
        <f t="shared" si="21"/>
        <v>1</v>
      </c>
      <c r="AD32" s="15">
        <f t="shared" si="18"/>
        <v>-0.4745957741</v>
      </c>
      <c r="AE32" s="15">
        <f t="shared" si="19"/>
        <v>0.3175375595</v>
      </c>
      <c r="AF32" s="15">
        <f t="shared" si="10"/>
        <v>0</v>
      </c>
      <c r="AG32" s="14">
        <f t="shared" si="22"/>
        <v>1</v>
      </c>
      <c r="AH32" s="25">
        <v>0.0</v>
      </c>
      <c r="AI32" s="19">
        <v>1.0</v>
      </c>
    </row>
    <row r="33">
      <c r="A33" s="15">
        <f>(1.5519626-('2021'!E33*0.0000017073983)+('2021'!H33*0.0000013113498)+('2021'!U33*0.1451093)-('2021'!W33*0.0246584)-('2021'!AC33*0.790069)-('2021'!AD33*0.0024787)+('2021'!AF33*0.4651953)-('2021'!AN33*0.002701))</f>
        <v>0.03149197</v>
      </c>
      <c r="B33" s="15">
        <f t="shared" si="1"/>
        <v>0.02122247008</v>
      </c>
      <c r="C33" s="26">
        <v>0.673901</v>
      </c>
      <c r="D33" s="15">
        <f t="shared" si="2"/>
        <v>0</v>
      </c>
      <c r="E33" s="15" t="str">
        <f t="shared" si="23"/>
        <v>#REF!</v>
      </c>
      <c r="G33" s="9">
        <v>1275027.88</v>
      </c>
      <c r="H33" s="9">
        <v>1956881.07</v>
      </c>
      <c r="I33" s="12">
        <v>2.52</v>
      </c>
      <c r="J33" s="12">
        <v>3.28</v>
      </c>
      <c r="K33" s="12">
        <v>2.55</v>
      </c>
      <c r="L33" s="12">
        <v>2.17</v>
      </c>
      <c r="M33" s="12">
        <v>0.2</v>
      </c>
      <c r="N33" s="12">
        <v>99.01</v>
      </c>
      <c r="Q33" s="15">
        <f t="shared" si="3"/>
        <v>0.193251074</v>
      </c>
      <c r="R33" s="24">
        <f t="shared" si="4"/>
        <v>0.5766188294</v>
      </c>
      <c r="S33" s="19">
        <f t="shared" si="5"/>
        <v>1</v>
      </c>
      <c r="T33" s="25">
        <v>0.0</v>
      </c>
      <c r="V33" s="15">
        <v>1.0752778923789363</v>
      </c>
      <c r="W33" s="15">
        <v>1.0752778923789363</v>
      </c>
      <c r="X33" s="15">
        <f t="shared" si="6"/>
        <v>-0.1131697301</v>
      </c>
      <c r="Y33" s="24">
        <f t="shared" si="7"/>
        <v>0.4549479967</v>
      </c>
      <c r="Z33" s="15">
        <f t="shared" si="11"/>
        <v>0</v>
      </c>
      <c r="AA33" s="25">
        <v>0.0</v>
      </c>
      <c r="AB33" s="14">
        <f t="shared" si="21"/>
        <v>1</v>
      </c>
      <c r="AD33" s="15">
        <f t="shared" si="18"/>
        <v>-0.2270195869</v>
      </c>
      <c r="AE33" s="15">
        <f t="shared" si="19"/>
        <v>0.4102042558</v>
      </c>
      <c r="AF33" s="15">
        <f t="shared" si="10"/>
        <v>0</v>
      </c>
      <c r="AG33" s="14">
        <f t="shared" si="22"/>
        <v>1</v>
      </c>
      <c r="AH33" s="25">
        <v>0.0</v>
      </c>
      <c r="AI33" s="19">
        <v>1.0</v>
      </c>
    </row>
    <row r="34">
      <c r="A34" s="15">
        <f>(1.5519626-('2021'!E34*0.0000017073983)+('2021'!H34*0.0000013113498)+('2021'!U34*0.1451093)-('2021'!W34*0.0246584)-('2021'!AC34*0.790069)-('2021'!AD34*0.0024787)+('2021'!AF34*0.4651953)-('2021'!AN34*0.002701))</f>
        <v>0.6039279318</v>
      </c>
      <c r="B34" s="22">
        <f t="shared" si="1"/>
        <v>0.000007247135182</v>
      </c>
      <c r="C34" s="23">
        <v>1.2E-5</v>
      </c>
      <c r="D34" s="15">
        <f t="shared" si="2"/>
        <v>1</v>
      </c>
      <c r="E34" s="15" t="str">
        <f t="shared" si="23"/>
        <v>#REF!</v>
      </c>
      <c r="G34" s="9">
        <v>448877.0</v>
      </c>
      <c r="H34" s="9">
        <v>709547.0</v>
      </c>
      <c r="I34" s="12">
        <v>-8.46</v>
      </c>
      <c r="J34" s="12">
        <v>-107.86</v>
      </c>
      <c r="K34" s="12">
        <v>2.66</v>
      </c>
      <c r="L34" s="12">
        <v>-1.29</v>
      </c>
      <c r="M34" s="12">
        <v>0.11</v>
      </c>
      <c r="N34" s="12">
        <v>183.97</v>
      </c>
      <c r="Q34" s="15">
        <f t="shared" si="3"/>
        <v>-4.715382116</v>
      </c>
      <c r="R34" s="24">
        <f t="shared" si="4"/>
        <v>0.000001206287719</v>
      </c>
      <c r="S34" s="19">
        <f t="shared" si="5"/>
        <v>0</v>
      </c>
      <c r="T34" s="25">
        <v>0.0</v>
      </c>
      <c r="V34" s="15">
        <v>2.4120163387500106</v>
      </c>
      <c r="W34" s="15">
        <v>2.4120163387500106</v>
      </c>
      <c r="X34" s="15">
        <f t="shared" si="6"/>
        <v>1.889095854</v>
      </c>
      <c r="Y34" s="24">
        <f t="shared" si="7"/>
        <v>0.9705605071</v>
      </c>
      <c r="Z34" s="15">
        <f t="shared" si="11"/>
        <v>1</v>
      </c>
      <c r="AA34" s="25">
        <v>0.0</v>
      </c>
      <c r="AB34" s="14">
        <f t="shared" si="21"/>
        <v>0</v>
      </c>
      <c r="AD34" s="15">
        <f t="shared" si="18"/>
        <v>0.2342048311</v>
      </c>
      <c r="AE34" s="15">
        <f t="shared" si="19"/>
        <v>0.5925870177</v>
      </c>
      <c r="AF34" s="15">
        <f t="shared" si="10"/>
        <v>1</v>
      </c>
      <c r="AG34" s="14">
        <f t="shared" si="22"/>
        <v>0</v>
      </c>
      <c r="AH34" s="25">
        <v>0.0</v>
      </c>
      <c r="AI34" s="19">
        <v>1.0</v>
      </c>
    </row>
    <row r="35">
      <c r="A35" s="15">
        <f>(1.5519626-('2021'!E35*0.0000017073983)+('2021'!H35*0.0000013113498)+('2021'!U35*0.1451093)-('2021'!W35*0.0246584)-('2021'!AC35*0.790069)-('2021'!AD35*0.0024787)+('2021'!AF35*0.4651953)-('2021'!AN35*0.002701))</f>
        <v>-9.508422938</v>
      </c>
      <c r="B35" s="22">
        <f t="shared" si="1"/>
        <v>0</v>
      </c>
      <c r="C35" s="23">
        <v>1.22E-19</v>
      </c>
      <c r="D35" s="15">
        <f t="shared" si="2"/>
        <v>1</v>
      </c>
      <c r="E35" s="15" t="str">
        <f t="shared" si="23"/>
        <v>#REF!</v>
      </c>
      <c r="G35" s="9">
        <v>800000.0</v>
      </c>
      <c r="H35" s="9">
        <v>333634.4</v>
      </c>
      <c r="I35" s="12">
        <v>0.24</v>
      </c>
      <c r="J35" s="12">
        <v>-35.79</v>
      </c>
      <c r="K35" s="12">
        <v>11.13</v>
      </c>
      <c r="L35" s="12">
        <v>0.14</v>
      </c>
      <c r="M35" s="12">
        <v>0.06</v>
      </c>
      <c r="N35" s="12">
        <v>845.4</v>
      </c>
      <c r="Q35" s="15">
        <f t="shared" si="3"/>
        <v>-11.27347121</v>
      </c>
      <c r="R35" s="24">
        <f t="shared" si="4"/>
        <v>0</v>
      </c>
      <c r="S35" s="19">
        <f t="shared" si="5"/>
        <v>0</v>
      </c>
      <c r="T35" s="25">
        <v>1.0</v>
      </c>
      <c r="V35" s="15">
        <v>5.292992559430399</v>
      </c>
      <c r="W35" s="15">
        <v>5.292992559430399</v>
      </c>
      <c r="X35" s="15">
        <f t="shared" si="6"/>
        <v>4.994318805</v>
      </c>
      <c r="Y35" s="24">
        <f t="shared" si="7"/>
        <v>0.9999997048</v>
      </c>
      <c r="Z35" s="15">
        <f t="shared" si="11"/>
        <v>1</v>
      </c>
      <c r="AA35" s="25">
        <v>1.0</v>
      </c>
      <c r="AB35" s="14">
        <f t="shared" si="21"/>
        <v>1</v>
      </c>
      <c r="AD35" s="15">
        <f t="shared" si="18"/>
        <v>0.9494968778</v>
      </c>
      <c r="AE35" s="15">
        <f t="shared" si="19"/>
        <v>0.8288160204</v>
      </c>
      <c r="AF35" s="15">
        <f t="shared" si="10"/>
        <v>1</v>
      </c>
      <c r="AG35" s="14">
        <f t="shared" si="22"/>
        <v>1</v>
      </c>
      <c r="AH35" s="25">
        <v>1.0</v>
      </c>
      <c r="AI35" s="19">
        <v>1.0</v>
      </c>
    </row>
    <row r="36">
      <c r="A36" s="15">
        <f>(1.5519626-('2021'!E36*0.0000017073983)+('2021'!H36*0.0000013113498)+('2021'!U36*0.1451093)-('2021'!W36*0.0246584)-('2021'!AC36*0.790069)-('2021'!AD36*0.0024787)+('2021'!AF36*0.4651953)-('2021'!AN36*0.002701))</f>
        <v>-1.076034339</v>
      </c>
      <c r="B36" s="15">
        <f t="shared" si="1"/>
        <v>-0.0743722654</v>
      </c>
      <c r="C36" s="26">
        <v>0.069117</v>
      </c>
      <c r="D36" s="15">
        <f t="shared" si="2"/>
        <v>1</v>
      </c>
      <c r="E36" s="15" t="str">
        <f t="shared" si="23"/>
        <v>#REF!</v>
      </c>
      <c r="G36" s="9">
        <v>432394.34</v>
      </c>
      <c r="H36" s="9">
        <v>1207884.12</v>
      </c>
      <c r="I36" s="12">
        <v>-11.48</v>
      </c>
      <c r="J36" s="12">
        <v>-12.83</v>
      </c>
      <c r="K36" s="12">
        <v>2.6</v>
      </c>
      <c r="L36" s="12">
        <v>-3.79</v>
      </c>
      <c r="M36" s="12">
        <v>0.34</v>
      </c>
      <c r="N36" s="12">
        <v>87.96</v>
      </c>
      <c r="Q36" s="15">
        <f t="shared" si="3"/>
        <v>-1.708768883</v>
      </c>
      <c r="R36" s="24">
        <f t="shared" si="4"/>
        <v>0.04374688442</v>
      </c>
      <c r="S36" s="19">
        <f t="shared" si="5"/>
        <v>0</v>
      </c>
      <c r="T36" s="25">
        <v>0.0</v>
      </c>
      <c r="V36" s="15">
        <v>1.4899829841916248</v>
      </c>
      <c r="W36" s="15">
        <v>1.4899829841916248</v>
      </c>
      <c r="X36" s="15">
        <f t="shared" si="6"/>
        <v>1.456959617</v>
      </c>
      <c r="Y36" s="24">
        <f t="shared" si="7"/>
        <v>0.9274362361</v>
      </c>
      <c r="Z36" s="15">
        <f t="shared" si="11"/>
        <v>1</v>
      </c>
      <c r="AA36" s="25">
        <v>0.0</v>
      </c>
      <c r="AB36" s="14">
        <f t="shared" si="21"/>
        <v>0</v>
      </c>
      <c r="AD36" s="15">
        <f t="shared" si="18"/>
        <v>0.1346617004</v>
      </c>
      <c r="AE36" s="15">
        <f t="shared" si="19"/>
        <v>0.553560322</v>
      </c>
      <c r="AF36" s="15">
        <f t="shared" si="10"/>
        <v>1</v>
      </c>
      <c r="AG36" s="14">
        <f t="shared" si="22"/>
        <v>0</v>
      </c>
      <c r="AH36" s="25">
        <v>0.0</v>
      </c>
      <c r="AI36" s="19">
        <v>1.0</v>
      </c>
    </row>
    <row r="37">
      <c r="A37" s="15">
        <f>(1.5519626-('2021'!E37*0.0000017073983)+('2021'!H37*0.0000013113498)+('2021'!U37*0.1451093)-('2021'!W37*0.0246584)-('2021'!AC37*0.790069)-('2021'!AD37*0.0024787)+('2021'!AF37*0.4651953)-('2021'!AN37*0.002701))</f>
        <v>-0.2287762006</v>
      </c>
      <c r="B37" s="15">
        <f t="shared" si="1"/>
        <v>-0.03302933519</v>
      </c>
      <c r="C37" s="26">
        <v>0.144374</v>
      </c>
      <c r="D37" s="15">
        <f t="shared" si="2"/>
        <v>1</v>
      </c>
      <c r="E37" s="15" t="str">
        <f t="shared" si="23"/>
        <v>#REF!</v>
      </c>
      <c r="G37" s="9">
        <v>255462.73</v>
      </c>
      <c r="H37" s="9">
        <v>600075.18</v>
      </c>
      <c r="I37" s="12">
        <v>-9.39</v>
      </c>
      <c r="J37" s="12">
        <v>-23.69</v>
      </c>
      <c r="K37" s="12">
        <v>1.54</v>
      </c>
      <c r="L37" s="12">
        <v>-4.94</v>
      </c>
      <c r="M37" s="12">
        <v>0.42</v>
      </c>
      <c r="N37" s="12">
        <v>127.35</v>
      </c>
      <c r="Q37" s="15">
        <f t="shared" si="3"/>
        <v>-1.397091193</v>
      </c>
      <c r="R37" s="24">
        <f t="shared" si="4"/>
        <v>0.08119307498</v>
      </c>
      <c r="S37" s="19">
        <f t="shared" si="5"/>
        <v>0</v>
      </c>
      <c r="T37" s="25">
        <v>0.0</v>
      </c>
      <c r="V37" s="15">
        <v>1.4889607453388294</v>
      </c>
      <c r="W37" s="15">
        <v>1.4889607453388294</v>
      </c>
      <c r="X37" s="15">
        <f t="shared" si="6"/>
        <v>1.958850141</v>
      </c>
      <c r="Y37" s="24">
        <f t="shared" si="7"/>
        <v>0.9749348302</v>
      </c>
      <c r="Z37" s="15">
        <f t="shared" si="11"/>
        <v>1</v>
      </c>
      <c r="AA37" s="25">
        <v>0.0</v>
      </c>
      <c r="AB37" s="14">
        <f t="shared" si="21"/>
        <v>0</v>
      </c>
      <c r="AD37" s="15">
        <f t="shared" si="18"/>
        <v>0.2502728195</v>
      </c>
      <c r="AE37" s="15">
        <f t="shared" si="19"/>
        <v>0.5988118127</v>
      </c>
      <c r="AF37" s="15">
        <f t="shared" si="10"/>
        <v>1</v>
      </c>
      <c r="AG37" s="14">
        <f t="shared" si="22"/>
        <v>0</v>
      </c>
      <c r="AH37" s="25">
        <v>0.0</v>
      </c>
      <c r="AI37" s="19">
        <v>1.0</v>
      </c>
    </row>
    <row r="38">
      <c r="A38" s="15">
        <f>(1.5519626-('2021'!E38*0.0000017073983)+('2021'!H38*0.0000013113498)+('2021'!U38*0.1451093)-('2021'!W38*0.0246584)-('2021'!AC38*0.790069)-('2021'!AD38*0.0024787)+('2021'!AF38*0.4651953)-('2021'!AN38*0.002701))</f>
        <v>2.135832161</v>
      </c>
      <c r="B38" s="15">
        <f t="shared" si="1"/>
        <v>2.124311482</v>
      </c>
      <c r="C38" s="26">
        <v>0.994606</v>
      </c>
      <c r="D38" s="15">
        <f t="shared" si="2"/>
        <v>0</v>
      </c>
      <c r="E38" s="15" t="str">
        <f t="shared" si="23"/>
        <v>#REF!</v>
      </c>
      <c r="G38" s="9">
        <v>588964.62</v>
      </c>
      <c r="H38" s="9">
        <v>1120312.16</v>
      </c>
      <c r="I38" s="12">
        <v>5.39</v>
      </c>
      <c r="J38" s="12">
        <v>4.84</v>
      </c>
      <c r="K38" s="12">
        <v>0.72</v>
      </c>
      <c r="L38" s="12">
        <v>12.55</v>
      </c>
      <c r="M38" s="12">
        <v>0.53</v>
      </c>
      <c r="N38" s="12">
        <v>69.99</v>
      </c>
      <c r="Q38" s="15">
        <f t="shared" si="3"/>
        <v>2.374525473</v>
      </c>
      <c r="R38" s="24">
        <f t="shared" si="4"/>
        <v>0.9912142381</v>
      </c>
      <c r="S38" s="19">
        <f t="shared" si="5"/>
        <v>1</v>
      </c>
      <c r="T38" s="25">
        <v>0.0</v>
      </c>
      <c r="V38" s="15">
        <v>0.47734717859774967</v>
      </c>
      <c r="W38" s="15">
        <v>0.47734717859774967</v>
      </c>
      <c r="X38" s="15">
        <f t="shared" si="6"/>
        <v>-0.2626189353</v>
      </c>
      <c r="Y38" s="24">
        <f t="shared" si="7"/>
        <v>0.396422152</v>
      </c>
      <c r="Z38" s="15">
        <f t="shared" si="11"/>
        <v>0</v>
      </c>
      <c r="AA38" s="25">
        <v>0.0</v>
      </c>
      <c r="AB38" s="14">
        <f t="shared" si="21"/>
        <v>1</v>
      </c>
      <c r="AD38" s="15">
        <f t="shared" si="18"/>
        <v>-0.2614454009</v>
      </c>
      <c r="AE38" s="15">
        <f t="shared" si="19"/>
        <v>0.3968745246</v>
      </c>
      <c r="AF38" s="15">
        <f t="shared" si="10"/>
        <v>0</v>
      </c>
      <c r="AG38" s="14">
        <f t="shared" si="22"/>
        <v>1</v>
      </c>
      <c r="AH38" s="25">
        <v>0.0</v>
      </c>
      <c r="AI38" s="19">
        <v>1.0</v>
      </c>
    </row>
    <row r="39">
      <c r="A39" s="15">
        <f>(1.5519626-('2021'!E39*0.0000017073983)+('2021'!H39*0.0000013113498)+('2021'!U39*0.1451093)-('2021'!W39*0.0246584)-('2021'!AC39*0.790069)-('2021'!AD39*0.0024787)+('2021'!AF39*0.4651953)-('2021'!AN39*0.002701))</f>
        <v>5.092261121</v>
      </c>
      <c r="B39" s="22">
        <f t="shared" si="1"/>
        <v>5.092256029</v>
      </c>
      <c r="C39" s="23">
        <v>0.999999</v>
      </c>
      <c r="D39" s="15">
        <f t="shared" si="2"/>
        <v>0</v>
      </c>
      <c r="E39" s="15" t="str">
        <f t="shared" si="23"/>
        <v>#REF!</v>
      </c>
      <c r="G39" s="9">
        <v>67000.0</v>
      </c>
      <c r="H39" s="9">
        <v>133975.25</v>
      </c>
      <c r="I39" s="12">
        <v>-4.07</v>
      </c>
      <c r="J39" s="12">
        <v>-18.14</v>
      </c>
      <c r="K39" s="12">
        <v>0.17</v>
      </c>
      <c r="L39" s="12">
        <v>-49.61</v>
      </c>
      <c r="M39" s="12">
        <v>8.86</v>
      </c>
      <c r="N39" s="12">
        <v>180.67</v>
      </c>
      <c r="Q39" s="15">
        <f t="shared" si="3"/>
        <v>4.197654369</v>
      </c>
      <c r="R39" s="24">
        <f t="shared" si="4"/>
        <v>0.9999865153</v>
      </c>
      <c r="S39" s="19">
        <f t="shared" si="5"/>
        <v>1</v>
      </c>
      <c r="T39" s="25" t="e">
        <v>#N/A</v>
      </c>
      <c r="V39" s="15">
        <v>-0.3746942522989023</v>
      </c>
      <c r="W39" s="15">
        <v>-0.3746942522989023</v>
      </c>
      <c r="X39" s="15">
        <f t="shared" si="6"/>
        <v>1.543304932</v>
      </c>
      <c r="Y39" s="24">
        <f t="shared" si="7"/>
        <v>0.9386215963</v>
      </c>
      <c r="Z39" s="15">
        <f t="shared" si="11"/>
        <v>1</v>
      </c>
      <c r="AA39" s="25"/>
      <c r="AB39" s="14"/>
      <c r="AD39" s="15">
        <f t="shared" si="18"/>
        <v>0.1545514535</v>
      </c>
      <c r="AE39" s="15">
        <f t="shared" si="19"/>
        <v>0.5614125277</v>
      </c>
      <c r="AF39" s="15">
        <f t="shared" si="10"/>
        <v>1</v>
      </c>
      <c r="AG39" s="14"/>
      <c r="AH39" s="25"/>
    </row>
    <row r="40">
      <c r="A40" s="15">
        <f>(1.5519626-('2021'!E40*0.0000017073983)+('2021'!H40*0.0000013113498)+('2021'!U40*0.1451093)-('2021'!W40*0.0246584)-('2021'!AC40*0.790069)-('2021'!AD40*0.0024787)+('2021'!AF40*0.4651953)-('2021'!AN40*0.002701))</f>
        <v>2.430702205</v>
      </c>
      <c r="B40" s="15">
        <f t="shared" si="1"/>
        <v>2.42823018</v>
      </c>
      <c r="C40" s="26">
        <v>0.998983</v>
      </c>
      <c r="D40" s="15">
        <f t="shared" si="2"/>
        <v>0</v>
      </c>
      <c r="G40" s="9">
        <v>150000.0</v>
      </c>
      <c r="H40" s="9">
        <v>264929.48</v>
      </c>
      <c r="I40" s="12">
        <v>8.3</v>
      </c>
      <c r="J40" s="12">
        <v>10.18</v>
      </c>
      <c r="K40" s="12">
        <v>0.57</v>
      </c>
      <c r="L40" s="12">
        <v>3.18</v>
      </c>
      <c r="M40" s="12">
        <v>0.99</v>
      </c>
      <c r="N40" s="12">
        <v>62.3</v>
      </c>
      <c r="Q40" s="15">
        <f t="shared" si="3"/>
        <v>2.932747229</v>
      </c>
      <c r="R40" s="24">
        <f t="shared" si="4"/>
        <v>0.9983201135</v>
      </c>
      <c r="S40" s="19">
        <f t="shared" si="5"/>
        <v>1</v>
      </c>
      <c r="T40" s="25">
        <v>0.0</v>
      </c>
      <c r="V40" s="15">
        <v>0.2942969082842929</v>
      </c>
      <c r="W40" s="15">
        <v>0.2942969082842929</v>
      </c>
      <c r="X40" s="15">
        <f t="shared" si="6"/>
        <v>0.1671041042</v>
      </c>
      <c r="Y40" s="24">
        <f t="shared" si="7"/>
        <v>0.5663559317</v>
      </c>
      <c r="Z40" s="15">
        <f t="shared" si="11"/>
        <v>1</v>
      </c>
      <c r="AA40" s="25">
        <v>0.0</v>
      </c>
      <c r="AB40" s="14">
        <f>if(Z40=AA40,1,0)</f>
        <v>0</v>
      </c>
      <c r="AD40" s="15">
        <f t="shared" si="18"/>
        <v>-0.1624581535</v>
      </c>
      <c r="AE40" s="15">
        <f t="shared" si="19"/>
        <v>0.4354725396</v>
      </c>
      <c r="AF40" s="15">
        <f t="shared" si="10"/>
        <v>0</v>
      </c>
      <c r="AG40" s="14">
        <f>if(AF40=AH40,1,0)</f>
        <v>1</v>
      </c>
      <c r="AH40" s="25">
        <v>0.0</v>
      </c>
      <c r="AI40" s="19">
        <v>1.0</v>
      </c>
    </row>
    <row r="41">
      <c r="A41" s="15">
        <f>(1.5519626-('2021'!E41*0.0000017073983)+('2021'!H41*0.0000013113498)+('2021'!U41*0.1451093)-('2021'!W41*0.0246584)-('2021'!AC41*0.790069)-('2021'!AD41*0.0024787)+('2021'!AF41*0.4651953)-('2021'!AN41*0.002701))</f>
        <v>4.495289137</v>
      </c>
      <c r="B41" s="22">
        <f t="shared" si="1"/>
        <v>4.495289137</v>
      </c>
      <c r="C41" s="23">
        <v>1.0</v>
      </c>
      <c r="D41" s="15">
        <f t="shared" si="2"/>
        <v>0</v>
      </c>
      <c r="E41" s="15" t="str">
        <f>IF('temp result 2022'!B41=D41,1,0)</f>
        <v>#REF!</v>
      </c>
      <c r="G41" s="9">
        <v>199000.0</v>
      </c>
      <c r="H41" s="9">
        <v>397417.73</v>
      </c>
      <c r="I41" s="12">
        <v>12.75</v>
      </c>
      <c r="J41" s="12">
        <v>14.43</v>
      </c>
      <c r="K41" s="12">
        <v>0.15</v>
      </c>
      <c r="L41" s="12">
        <v>315.3</v>
      </c>
      <c r="M41" s="12">
        <v>4.95</v>
      </c>
      <c r="N41" s="12">
        <v>50.0</v>
      </c>
      <c r="Q41" s="15">
        <f t="shared" si="3"/>
        <v>5.206930561</v>
      </c>
      <c r="R41" s="24">
        <f t="shared" si="4"/>
        <v>0.999999904</v>
      </c>
      <c r="S41" s="19">
        <f t="shared" si="5"/>
        <v>1</v>
      </c>
      <c r="T41" s="25" t="e">
        <v>#N/A</v>
      </c>
      <c r="V41" s="15">
        <v>-0.574382668502548</v>
      </c>
      <c r="W41" s="15">
        <v>-0.574382668502548</v>
      </c>
      <c r="X41" s="15">
        <f t="shared" si="6"/>
        <v>-10.28442096</v>
      </c>
      <c r="Y41" s="24">
        <f t="shared" si="7"/>
        <v>0</v>
      </c>
      <c r="Z41" s="15">
        <f t="shared" si="11"/>
        <v>0</v>
      </c>
      <c r="AA41" s="25"/>
      <c r="AB41" s="14"/>
      <c r="AD41" s="15">
        <f t="shared" si="18"/>
        <v>-2.569980213</v>
      </c>
      <c r="AE41" s="15">
        <f t="shared" si="19"/>
        <v>0.005085216191</v>
      </c>
      <c r="AF41" s="15">
        <f t="shared" si="10"/>
        <v>0</v>
      </c>
      <c r="AG41" s="14"/>
      <c r="AH41" s="25"/>
    </row>
    <row r="42">
      <c r="A42" s="15">
        <f>(1.5519626-('2021'!E42*0.0000017073983)+('2021'!H42*0.0000013113498)+('2021'!U42*0.1451093)-('2021'!W42*0.0246584)-('2021'!AC42*0.790069)-('2021'!AD42*0.0024787)+('2021'!AF42*0.4651953)-('2021'!AN42*0.002701))</f>
        <v>1.293908354</v>
      </c>
      <c r="B42" s="15">
        <f t="shared" si="1"/>
        <v>1.199627722</v>
      </c>
      <c r="C42" s="26">
        <v>0.927135</v>
      </c>
      <c r="D42" s="15">
        <f t="shared" si="2"/>
        <v>0</v>
      </c>
      <c r="G42" s="9">
        <v>250000.0</v>
      </c>
      <c r="H42" s="9">
        <v>875292.55</v>
      </c>
      <c r="I42" s="12">
        <v>2.26</v>
      </c>
      <c r="J42" s="12">
        <v>1.04</v>
      </c>
      <c r="K42" s="12">
        <v>1.85</v>
      </c>
      <c r="L42" s="12">
        <v>2.41</v>
      </c>
      <c r="M42" s="12">
        <v>0.68</v>
      </c>
      <c r="N42" s="12">
        <v>48.15</v>
      </c>
      <c r="Q42" s="15">
        <f t="shared" si="3"/>
        <v>1.345197826</v>
      </c>
      <c r="R42" s="24">
        <f t="shared" si="4"/>
        <v>0.910719321</v>
      </c>
      <c r="S42" s="19">
        <f t="shared" si="5"/>
        <v>1</v>
      </c>
      <c r="T42" s="25">
        <v>0.0</v>
      </c>
      <c r="V42" s="15">
        <v>0.6655909723704401</v>
      </c>
      <c r="W42" s="15">
        <v>0.6655909723704401</v>
      </c>
      <c r="X42" s="15">
        <f t="shared" si="6"/>
        <v>0.1758214686</v>
      </c>
      <c r="Y42" s="24">
        <f t="shared" si="7"/>
        <v>0.5697828986</v>
      </c>
      <c r="Z42" s="15">
        <f t="shared" si="11"/>
        <v>1</v>
      </c>
      <c r="AA42" s="25">
        <v>0.0</v>
      </c>
      <c r="AB42" s="14">
        <f>if(Z42=AA42,1,0)</f>
        <v>0</v>
      </c>
      <c r="AD42" s="15">
        <f t="shared" si="18"/>
        <v>-0.1604500976</v>
      </c>
      <c r="AE42" s="15">
        <f t="shared" si="19"/>
        <v>0.4362632643</v>
      </c>
      <c r="AF42" s="15">
        <f t="shared" si="10"/>
        <v>0</v>
      </c>
      <c r="AG42" s="14">
        <f>if(AF42=AH42,1,0)</f>
        <v>1</v>
      </c>
      <c r="AH42" s="25">
        <v>0.0</v>
      </c>
      <c r="AI42" s="19">
        <v>1.0</v>
      </c>
    </row>
    <row r="43">
      <c r="A43" s="15">
        <f>(1.5519626-('2021'!E43*0.0000017073983)+('2021'!H43*0.0000013113498)+('2021'!U43*0.1451093)-('2021'!W43*0.0246584)-('2021'!AC43*0.790069)-('2021'!AD43*0.0024787)+('2021'!AF43*0.4651953)-('2021'!AN43*0.002701))</f>
        <v>0.9481176499</v>
      </c>
      <c r="B43" s="15">
        <f t="shared" si="1"/>
        <v>0.7820690653</v>
      </c>
      <c r="C43" s="26">
        <v>0.824865</v>
      </c>
      <c r="D43" s="15">
        <f t="shared" si="2"/>
        <v>0</v>
      </c>
      <c r="E43" s="15" t="str">
        <f>IF('temp result 2022'!B43=D43,1,0)</f>
        <v>#REF!</v>
      </c>
      <c r="G43" s="9">
        <v>143999.86</v>
      </c>
      <c r="H43" s="9">
        <v>544147.57</v>
      </c>
      <c r="I43" s="12">
        <v>-0.87</v>
      </c>
      <c r="J43" s="12">
        <v>-4.53</v>
      </c>
      <c r="K43" s="12">
        <v>1.46</v>
      </c>
      <c r="L43" s="12">
        <v>-0.62</v>
      </c>
      <c r="M43" s="12">
        <v>0.68</v>
      </c>
      <c r="N43" s="12">
        <v>81.96</v>
      </c>
      <c r="Q43" s="15">
        <f t="shared" si="3"/>
        <v>0.7247125459</v>
      </c>
      <c r="R43" s="24">
        <f t="shared" si="4"/>
        <v>0.7656858016</v>
      </c>
      <c r="S43" s="19">
        <f t="shared" si="5"/>
        <v>1</v>
      </c>
      <c r="T43" s="25" t="e">
        <v>#N/A</v>
      </c>
      <c r="V43" s="15">
        <v>0.8793976109552085</v>
      </c>
      <c r="W43" s="15">
        <v>0.8793976109552085</v>
      </c>
      <c r="X43" s="15">
        <f t="shared" si="6"/>
        <v>0.9209846084</v>
      </c>
      <c r="Y43" s="24">
        <f t="shared" si="7"/>
        <v>0.8214707685</v>
      </c>
      <c r="Z43" s="15">
        <f t="shared" si="11"/>
        <v>1</v>
      </c>
      <c r="AA43" s="25"/>
      <c r="AB43" s="14"/>
      <c r="AD43" s="15">
        <f t="shared" si="18"/>
        <v>0.01119917718</v>
      </c>
      <c r="AE43" s="15">
        <f t="shared" si="19"/>
        <v>0.5044677319</v>
      </c>
      <c r="AF43" s="15">
        <f t="shared" si="10"/>
        <v>1</v>
      </c>
      <c r="AG43" s="14"/>
      <c r="AH43" s="25"/>
    </row>
    <row r="44">
      <c r="A44" s="15">
        <f>(1.5519626-('2021'!E44*0.0000017073983)+('2021'!H44*0.0000013113498)+('2021'!U44*0.1451093)-('2021'!W44*0.0246584)-('2021'!AC44*0.790069)-('2021'!AD44*0.0024787)+('2021'!AF44*0.4651953)-('2021'!AN44*0.002701))</f>
        <v>0.6333563759</v>
      </c>
      <c r="B44" s="15">
        <f t="shared" si="1"/>
        <v>0.3367017498</v>
      </c>
      <c r="C44" s="26">
        <v>0.531615</v>
      </c>
      <c r="D44" s="15">
        <f t="shared" si="2"/>
        <v>0</v>
      </c>
      <c r="G44" s="9">
        <v>420000.0</v>
      </c>
      <c r="H44" s="9">
        <v>66566.89</v>
      </c>
      <c r="I44" s="12">
        <v>-0.58</v>
      </c>
      <c r="J44" s="12">
        <v>-11.01</v>
      </c>
      <c r="K44" s="12">
        <v>0.63</v>
      </c>
      <c r="L44" s="12">
        <v>-1.16</v>
      </c>
      <c r="M44" s="12">
        <v>0.14</v>
      </c>
      <c r="N44" s="12">
        <v>17.17</v>
      </c>
      <c r="Q44" s="15">
        <f t="shared" si="3"/>
        <v>0.09037840789</v>
      </c>
      <c r="R44" s="24">
        <f t="shared" si="4"/>
        <v>0.5360067428</v>
      </c>
      <c r="S44" s="19">
        <f t="shared" si="5"/>
        <v>1</v>
      </c>
      <c r="T44" s="25">
        <v>1.0</v>
      </c>
      <c r="V44" s="15">
        <v>0.940357055394737</v>
      </c>
      <c r="W44" s="15">
        <v>0.940357055394737</v>
      </c>
      <c r="X44" s="15">
        <f t="shared" si="6"/>
        <v>0.9800456202</v>
      </c>
      <c r="Y44" s="24">
        <f t="shared" si="7"/>
        <v>0.8364681999</v>
      </c>
      <c r="Z44" s="15">
        <f t="shared" si="11"/>
        <v>1</v>
      </c>
      <c r="AA44" s="25">
        <v>1.0</v>
      </c>
      <c r="AB44" s="14">
        <f>if(Z44=AA44,1,0)</f>
        <v>1</v>
      </c>
      <c r="AD44" s="15">
        <f t="shared" si="18"/>
        <v>0.0248039562</v>
      </c>
      <c r="AE44" s="15">
        <f t="shared" si="19"/>
        <v>0.5098943323</v>
      </c>
      <c r="AF44" s="15">
        <f t="shared" si="10"/>
        <v>1</v>
      </c>
      <c r="AG44" s="14">
        <f>if(AF44=AH44,1,0)</f>
        <v>1</v>
      </c>
      <c r="AH44" s="25">
        <v>1.0</v>
      </c>
      <c r="AI44" s="19">
        <v>1.0</v>
      </c>
    </row>
    <row r="45">
      <c r="A45" s="15">
        <f>(1.5519626-('2021'!E45*0.0000017073983)+('2021'!H45*0.0000013113498)+('2021'!U45*0.1451093)-('2021'!W45*0.0246584)-('2021'!AC45*0.790069)-('2021'!AD45*0.0024787)+('2021'!AF45*0.4651953)-('2021'!AN45*0.002701))</f>
        <v>-1.332291395</v>
      </c>
      <c r="B45" s="22">
        <f t="shared" si="1"/>
        <v>-0.00005822113396</v>
      </c>
      <c r="C45" s="23">
        <v>4.37E-5</v>
      </c>
      <c r="D45" s="15">
        <f t="shared" si="2"/>
        <v>1</v>
      </c>
      <c r="E45" s="15" t="str">
        <f>IF('temp result 2022'!B45=D45,1,0)</f>
        <v>#REF!</v>
      </c>
      <c r="G45" s="9">
        <v>932561.78</v>
      </c>
      <c r="H45" s="9">
        <v>230647.57</v>
      </c>
      <c r="I45" s="12">
        <v>-23.62</v>
      </c>
      <c r="J45" s="12">
        <v>-61.32</v>
      </c>
      <c r="K45" s="12">
        <v>0.41</v>
      </c>
      <c r="L45" s="12">
        <v>-22.69</v>
      </c>
      <c r="M45" s="12">
        <v>2.21</v>
      </c>
      <c r="N45" s="12">
        <v>162.69</v>
      </c>
      <c r="Q45" s="15">
        <f t="shared" si="3"/>
        <v>-4.356397571</v>
      </c>
      <c r="R45" s="24">
        <f t="shared" si="4"/>
        <v>0.000006611026181</v>
      </c>
      <c r="S45" s="19">
        <f t="shared" si="5"/>
        <v>0</v>
      </c>
      <c r="T45" s="25" t="e">
        <v>#N/A</v>
      </c>
      <c r="V45" s="15">
        <v>2.122689944754518</v>
      </c>
      <c r="W45" s="15">
        <v>2.122689944754518</v>
      </c>
      <c r="X45" s="15">
        <f t="shared" si="6"/>
        <v>3.57380651</v>
      </c>
      <c r="Y45" s="24">
        <f t="shared" si="7"/>
        <v>0.9998240855</v>
      </c>
      <c r="Z45" s="15">
        <f t="shared" si="11"/>
        <v>1</v>
      </c>
      <c r="AA45" s="25"/>
      <c r="AB45" s="14"/>
      <c r="AD45" s="15">
        <f t="shared" si="18"/>
        <v>0.6222800683</v>
      </c>
      <c r="AE45" s="15">
        <f t="shared" si="19"/>
        <v>0.7331211375</v>
      </c>
      <c r="AF45" s="15">
        <f t="shared" si="10"/>
        <v>1</v>
      </c>
      <c r="AG45" s="14"/>
      <c r="AH45" s="25"/>
    </row>
    <row r="46">
      <c r="A46" s="15">
        <f>(1.5519626-('2021'!E46*0.0000017073983)+('2021'!H46*0.0000013113498)+('2021'!U46*0.1451093)-('2021'!W46*0.0246584)-('2021'!AC46*0.790069)-('2021'!AD46*0.0024787)+('2021'!AF46*0.4651953)-('2021'!AN46*0.002701))</f>
        <v>6.030812274</v>
      </c>
      <c r="B46" s="22">
        <f t="shared" si="1"/>
        <v>6.030812274</v>
      </c>
      <c r="C46" s="23">
        <v>1.0</v>
      </c>
      <c r="D46" s="15">
        <f t="shared" si="2"/>
        <v>0</v>
      </c>
      <c r="G46" s="9">
        <v>220000.0</v>
      </c>
      <c r="H46" s="9">
        <v>889269.89</v>
      </c>
      <c r="I46" s="12">
        <v>23.86</v>
      </c>
      <c r="J46" s="12">
        <v>18.35</v>
      </c>
      <c r="K46" s="12">
        <v>0.3</v>
      </c>
      <c r="L46" s="12">
        <v>42.54</v>
      </c>
      <c r="M46" s="12">
        <v>2.46</v>
      </c>
      <c r="N46" s="12">
        <v>45.69</v>
      </c>
      <c r="Q46" s="15">
        <f t="shared" si="3"/>
        <v>6.935775554</v>
      </c>
      <c r="R46" s="24">
        <f t="shared" si="4"/>
        <v>1</v>
      </c>
      <c r="S46" s="19">
        <f t="shared" si="5"/>
        <v>1</v>
      </c>
      <c r="T46" s="25">
        <v>0.0</v>
      </c>
      <c r="V46" s="15">
        <v>-0.8008444587142185</v>
      </c>
      <c r="W46" s="15">
        <v>-0.8008444587142185</v>
      </c>
      <c r="X46" s="15">
        <f t="shared" si="6"/>
        <v>-2.963837889</v>
      </c>
      <c r="Y46" s="24">
        <f t="shared" si="7"/>
        <v>0.001519141498</v>
      </c>
      <c r="Z46" s="15">
        <f t="shared" si="11"/>
        <v>0</v>
      </c>
      <c r="AA46" s="25">
        <v>0.0</v>
      </c>
      <c r="AB46" s="14">
        <f>if(Z46=AA46,1,0)</f>
        <v>1</v>
      </c>
      <c r="AD46" s="15">
        <f t="shared" si="18"/>
        <v>-0.8836746144</v>
      </c>
      <c r="AE46" s="15">
        <f t="shared" si="19"/>
        <v>0.1884359439</v>
      </c>
      <c r="AF46" s="15">
        <f t="shared" si="10"/>
        <v>0</v>
      </c>
      <c r="AG46" s="14">
        <f>if(AF46=AH46,1,0)</f>
        <v>1</v>
      </c>
      <c r="AH46" s="25">
        <v>0.0</v>
      </c>
      <c r="AI46" s="19">
        <v>1.0</v>
      </c>
    </row>
    <row r="47">
      <c r="A47" s="15">
        <f>(1.5519626-('2021'!E47*0.0000017073983)+('2021'!H47*0.0000013113498)+('2021'!U47*0.1451093)-('2021'!W47*0.0246584)-('2021'!AC47*0.790069)-('2021'!AD47*0.0024787)+('2021'!AF47*0.4651953)-('2021'!AN47*0.002701))</f>
        <v>4.724375155</v>
      </c>
      <c r="B47" s="22">
        <f t="shared" si="1"/>
        <v>4.724375155</v>
      </c>
      <c r="C47" s="23">
        <v>1.0</v>
      </c>
      <c r="D47" s="15">
        <f t="shared" si="2"/>
        <v>0</v>
      </c>
      <c r="E47" s="15" t="str">
        <f>IF('temp result 2022'!B47=D47,1,0)</f>
        <v>#REF!</v>
      </c>
      <c r="G47" s="9">
        <v>205000.25</v>
      </c>
      <c r="H47" s="9">
        <v>746822.52</v>
      </c>
      <c r="I47" s="12">
        <v>16.17</v>
      </c>
      <c r="J47" s="12">
        <v>1.9</v>
      </c>
      <c r="K47" s="12">
        <v>0.29</v>
      </c>
      <c r="L47" s="12">
        <v>40.47</v>
      </c>
      <c r="M47" s="12">
        <v>1.93</v>
      </c>
      <c r="N47" s="12">
        <v>120.28</v>
      </c>
      <c r="Q47" s="15">
        <f t="shared" si="3"/>
        <v>4.818077075</v>
      </c>
      <c r="R47" s="24">
        <f t="shared" si="4"/>
        <v>0.9999992753</v>
      </c>
      <c r="S47" s="19">
        <f t="shared" si="5"/>
        <v>1</v>
      </c>
      <c r="T47" s="25" t="e">
        <v>#N/A</v>
      </c>
      <c r="V47" s="15">
        <v>-0.10895867518835163</v>
      </c>
      <c r="W47" s="15">
        <v>-0.10895867518835163</v>
      </c>
      <c r="X47" s="15">
        <f t="shared" si="6"/>
        <v>-1.684858294</v>
      </c>
      <c r="Y47" s="24">
        <f t="shared" si="7"/>
        <v>0.0460079574</v>
      </c>
      <c r="Z47" s="15">
        <f t="shared" si="11"/>
        <v>0</v>
      </c>
      <c r="AA47" s="25"/>
      <c r="AB47" s="14"/>
      <c r="AD47" s="15">
        <f t="shared" si="18"/>
        <v>-0.5890600418</v>
      </c>
      <c r="AE47" s="15">
        <f t="shared" si="19"/>
        <v>0.2779104985</v>
      </c>
      <c r="AF47" s="15">
        <f t="shared" si="10"/>
        <v>0</v>
      </c>
      <c r="AG47" s="14"/>
      <c r="AH47" s="25"/>
    </row>
    <row r="48">
      <c r="A48" s="15">
        <f>(1.5519626-('2021'!E48*0.0000017073983)+('2021'!H48*0.0000013113498)+('2021'!U48*0.1451093)-('2021'!W48*0.0246584)-('2021'!AC48*0.790069)-('2021'!AD48*0.0024787)+('2021'!AF48*0.4651953)-('2021'!AN48*0.002701))</f>
        <v>2.89265954</v>
      </c>
      <c r="B48" s="22">
        <f t="shared" si="1"/>
        <v>2.892428127</v>
      </c>
      <c r="C48" s="23">
        <v>0.99992</v>
      </c>
      <c r="D48" s="15">
        <f t="shared" si="2"/>
        <v>0</v>
      </c>
      <c r="G48" s="9">
        <v>230000.0</v>
      </c>
      <c r="H48" s="9">
        <v>683696.9</v>
      </c>
      <c r="I48" s="12">
        <v>9.26</v>
      </c>
      <c r="J48" s="12">
        <v>6.95</v>
      </c>
      <c r="K48" s="12">
        <v>0.66</v>
      </c>
      <c r="L48" s="12">
        <v>9.94</v>
      </c>
      <c r="M48" s="12">
        <v>1.62</v>
      </c>
      <c r="N48" s="12">
        <v>201.05</v>
      </c>
      <c r="Q48" s="15">
        <f t="shared" si="3"/>
        <v>3.2354113</v>
      </c>
      <c r="R48" s="24">
        <f t="shared" si="4"/>
        <v>0.9993926619</v>
      </c>
      <c r="S48" s="19">
        <f t="shared" si="5"/>
        <v>1</v>
      </c>
      <c r="T48" s="25">
        <v>0.0</v>
      </c>
      <c r="V48" s="15">
        <v>0.4515578821210687</v>
      </c>
      <c r="W48" s="15">
        <v>0.4515578821210687</v>
      </c>
      <c r="X48" s="15">
        <f t="shared" si="6"/>
        <v>0.3154520806</v>
      </c>
      <c r="Y48" s="24">
        <f t="shared" si="7"/>
        <v>0.6237907854</v>
      </c>
      <c r="Z48" s="15">
        <f t="shared" si="11"/>
        <v>1</v>
      </c>
      <c r="AA48" s="25">
        <v>0.0</v>
      </c>
      <c r="AB48" s="14">
        <f t="shared" ref="AB48:AB51" si="24">if(Z48=AA48,1,0)</f>
        <v>0</v>
      </c>
      <c r="AD48" s="15">
        <f t="shared" si="18"/>
        <v>-0.1282860089</v>
      </c>
      <c r="AE48" s="15">
        <f t="shared" si="19"/>
        <v>0.4489613184</v>
      </c>
      <c r="AF48" s="15">
        <f t="shared" si="10"/>
        <v>0</v>
      </c>
      <c r="AG48" s="14">
        <f t="shared" ref="AG48:AG51" si="25">if(AF48=AH48,1,0)</f>
        <v>1</v>
      </c>
      <c r="AH48" s="25">
        <v>0.0</v>
      </c>
      <c r="AI48" s="19">
        <v>1.0</v>
      </c>
    </row>
    <row r="49">
      <c r="A49" s="15">
        <f>(1.5519626-('2021'!E49*0.0000017073983)+('2021'!H49*0.0000013113498)+('2021'!U49*0.1451093)-('2021'!W49*0.0246584)-('2021'!AC49*0.790069)-('2021'!AD49*0.0024787)+('2021'!AF49*0.4651953)-('2021'!AN49*0.002701))</f>
        <v>1.453669773</v>
      </c>
      <c r="B49" s="15">
        <f t="shared" si="1"/>
        <v>1.079130302</v>
      </c>
      <c r="C49" s="26">
        <v>0.742349</v>
      </c>
      <c r="D49" s="15">
        <f t="shared" si="2"/>
        <v>0</v>
      </c>
      <c r="E49" s="15" t="str">
        <f t="shared" ref="E49:E52" si="26">IF('temp result 2022'!B49=D49,1,0)</f>
        <v>#REF!</v>
      </c>
      <c r="G49" s="9">
        <v>1430416.19</v>
      </c>
      <c r="H49" s="9">
        <v>245748.03</v>
      </c>
      <c r="I49" s="12">
        <v>-7.53</v>
      </c>
      <c r="J49" s="12">
        <v>-22.81</v>
      </c>
      <c r="K49" s="12">
        <v>0.17</v>
      </c>
      <c r="L49" s="12">
        <v>-21.34</v>
      </c>
      <c r="M49" s="12">
        <v>6.37</v>
      </c>
      <c r="N49" s="12">
        <v>122.15</v>
      </c>
      <c r="Q49" s="15">
        <f t="shared" si="3"/>
        <v>0.3287535649</v>
      </c>
      <c r="R49" s="24">
        <f t="shared" si="4"/>
        <v>0.6288290182</v>
      </c>
      <c r="S49" s="19">
        <f t="shared" si="5"/>
        <v>1</v>
      </c>
      <c r="T49" s="25">
        <v>0.0</v>
      </c>
      <c r="V49" s="15">
        <v>0.6146812466517911</v>
      </c>
      <c r="W49" s="15">
        <v>0.6146812466517911</v>
      </c>
      <c r="X49" s="15">
        <f t="shared" si="6"/>
        <v>1.148125409</v>
      </c>
      <c r="Y49" s="24">
        <f t="shared" si="7"/>
        <v>0.8745416018</v>
      </c>
      <c r="Z49" s="15">
        <f t="shared" si="11"/>
        <v>1</v>
      </c>
      <c r="AA49" s="25">
        <v>0.0</v>
      </c>
      <c r="AB49" s="14">
        <f t="shared" si="24"/>
        <v>0</v>
      </c>
      <c r="AD49" s="15">
        <f t="shared" si="18"/>
        <v>0.06352134873</v>
      </c>
      <c r="AE49" s="15">
        <f t="shared" si="19"/>
        <v>0.5253243201</v>
      </c>
      <c r="AF49" s="15">
        <f t="shared" si="10"/>
        <v>1</v>
      </c>
      <c r="AG49" s="14">
        <f t="shared" si="25"/>
        <v>0</v>
      </c>
      <c r="AH49" s="25">
        <v>0.0</v>
      </c>
      <c r="AI49" s="19">
        <v>1.0</v>
      </c>
    </row>
    <row r="50">
      <c r="A50" s="15">
        <f>(1.5519626-('2021'!E50*0.0000017073983)+('2021'!H50*0.0000013113498)+('2021'!U50*0.1451093)-('2021'!W50*0.0246584)-('2021'!AC50*0.790069)-('2021'!AD50*0.0024787)+('2021'!AF50*0.4651953)-('2021'!AN50*0.002701))</f>
        <v>2.183873675</v>
      </c>
      <c r="B50" s="15">
        <f t="shared" si="1"/>
        <v>2.171622144</v>
      </c>
      <c r="C50" s="26">
        <v>0.99439</v>
      </c>
      <c r="D50" s="15">
        <f t="shared" si="2"/>
        <v>0</v>
      </c>
      <c r="E50" s="15" t="str">
        <f t="shared" si="26"/>
        <v>#REF!</v>
      </c>
      <c r="G50" s="9">
        <v>239871.9</v>
      </c>
      <c r="H50" s="9">
        <v>1445707.83</v>
      </c>
      <c r="I50" s="12">
        <v>5.14</v>
      </c>
      <c r="J50" s="12">
        <v>3.2</v>
      </c>
      <c r="K50" s="12">
        <v>1.83</v>
      </c>
      <c r="L50" s="12">
        <v>1.39</v>
      </c>
      <c r="M50" s="12">
        <v>0.29</v>
      </c>
      <c r="N50" s="12">
        <v>76.62</v>
      </c>
      <c r="Q50" s="15">
        <f t="shared" si="3"/>
        <v>2.341687435</v>
      </c>
      <c r="R50" s="24">
        <f t="shared" si="4"/>
        <v>0.9904016079</v>
      </c>
      <c r="S50" s="19">
        <f t="shared" si="5"/>
        <v>1</v>
      </c>
      <c r="T50" s="25">
        <v>0.0</v>
      </c>
      <c r="V50" s="15">
        <v>0.5168716438579163</v>
      </c>
      <c r="W50" s="15">
        <v>0.5168716438579163</v>
      </c>
      <c r="X50" s="15">
        <f t="shared" si="6"/>
        <v>-0.0914564167</v>
      </c>
      <c r="Y50" s="24">
        <f t="shared" si="7"/>
        <v>0.4635649677</v>
      </c>
      <c r="Z50" s="15">
        <f t="shared" si="11"/>
        <v>0</v>
      </c>
      <c r="AA50" s="25">
        <v>0.0</v>
      </c>
      <c r="AB50" s="14">
        <f t="shared" si="24"/>
        <v>1</v>
      </c>
      <c r="AD50" s="15">
        <f t="shared" si="18"/>
        <v>-0.2220178976</v>
      </c>
      <c r="AE50" s="15">
        <f t="shared" si="19"/>
        <v>0.4121499754</v>
      </c>
      <c r="AF50" s="15">
        <f t="shared" si="10"/>
        <v>0</v>
      </c>
      <c r="AG50" s="14">
        <f t="shared" si="25"/>
        <v>1</v>
      </c>
      <c r="AH50" s="25">
        <v>0.0</v>
      </c>
      <c r="AI50" s="19">
        <v>1.0</v>
      </c>
    </row>
    <row r="51">
      <c r="A51" s="15">
        <f>(1.5519626-('2021'!E51*0.0000017073983)+('2021'!H51*0.0000013113498)+('2021'!U51*0.1451093)-('2021'!W51*0.0246584)-('2021'!AC51*0.790069)-('2021'!AD51*0.0024787)+('2021'!AF51*0.4651953)-('2021'!AN51*0.002701))</f>
        <v>2.837463251</v>
      </c>
      <c r="B51" s="22">
        <f t="shared" si="1"/>
        <v>2.837463251</v>
      </c>
      <c r="C51" s="23">
        <v>1.0</v>
      </c>
      <c r="D51" s="15">
        <f t="shared" si="2"/>
        <v>0</v>
      </c>
      <c r="E51" s="15" t="str">
        <f t="shared" si="26"/>
        <v>#REF!</v>
      </c>
      <c r="G51" s="9">
        <v>2998399.0</v>
      </c>
      <c r="H51" s="9">
        <v>1904218.0</v>
      </c>
      <c r="I51" s="12">
        <v>51.14</v>
      </c>
      <c r="J51" s="12">
        <v>35.7</v>
      </c>
      <c r="K51" s="12">
        <v>3.27</v>
      </c>
      <c r="L51" s="12">
        <v>16.91</v>
      </c>
      <c r="M51" s="12">
        <v>0.76</v>
      </c>
      <c r="N51" s="12">
        <v>133.59</v>
      </c>
      <c r="Q51" s="15">
        <f t="shared" si="3"/>
        <v>4.598073011</v>
      </c>
      <c r="R51" s="24">
        <f t="shared" si="4"/>
        <v>0.9999978679</v>
      </c>
      <c r="S51" s="19">
        <f t="shared" si="5"/>
        <v>1</v>
      </c>
      <c r="T51" s="25">
        <v>0.0</v>
      </c>
      <c r="V51" s="15">
        <v>0.05990647722103013</v>
      </c>
      <c r="W51" s="15">
        <v>0.05990647722103013</v>
      </c>
      <c r="X51" s="15">
        <f t="shared" si="6"/>
        <v>-4.16348203</v>
      </c>
      <c r="Y51" s="24">
        <f t="shared" si="7"/>
        <v>0.00001567153518</v>
      </c>
      <c r="Z51" s="15">
        <f t="shared" si="11"/>
        <v>0</v>
      </c>
      <c r="AA51" s="25">
        <v>0.0</v>
      </c>
      <c r="AB51" s="14">
        <f t="shared" si="24"/>
        <v>1</v>
      </c>
      <c r="AD51" s="15">
        <f t="shared" si="18"/>
        <v>-1.160014164</v>
      </c>
      <c r="AE51" s="15">
        <f t="shared" si="19"/>
        <v>0.1230215196</v>
      </c>
      <c r="AF51" s="15">
        <f t="shared" si="10"/>
        <v>0</v>
      </c>
      <c r="AG51" s="14">
        <f t="shared" si="25"/>
        <v>1</v>
      </c>
      <c r="AH51" s="25">
        <v>0.0</v>
      </c>
      <c r="AI51" s="19">
        <v>1.0</v>
      </c>
    </row>
    <row r="52">
      <c r="A52" s="15">
        <f>(1.5519626-('2021'!E52*0.0000017073983)+('2021'!H52*0.0000013113498)+('2021'!U52*0.1451093)-('2021'!W52*0.0246584)-('2021'!AC52*0.790069)-('2021'!AD52*0.0024787)+('2021'!AF52*0.4651953)-('2021'!AN52*0.002701))</f>
        <v>2.515283245</v>
      </c>
      <c r="B52" s="15">
        <f t="shared" si="1"/>
        <v>2.507558811</v>
      </c>
      <c r="C52" s="26">
        <v>0.996929</v>
      </c>
      <c r="D52" s="15">
        <f t="shared" si="2"/>
        <v>0</v>
      </c>
      <c r="E52" s="15" t="str">
        <f t="shared" si="26"/>
        <v>#REF!</v>
      </c>
      <c r="G52" s="9">
        <v>280000.0</v>
      </c>
      <c r="H52" s="9">
        <v>1316841.39</v>
      </c>
      <c r="I52" s="12">
        <v>3.7</v>
      </c>
      <c r="J52" s="12">
        <v>1.87</v>
      </c>
      <c r="K52" s="12">
        <v>1.11</v>
      </c>
      <c r="L52" s="12">
        <v>1.93</v>
      </c>
      <c r="M52" s="12">
        <v>0.55</v>
      </c>
      <c r="N52" s="12">
        <v>55.66</v>
      </c>
      <c r="Q52" s="15">
        <f t="shared" si="3"/>
        <v>2.607505661</v>
      </c>
      <c r="R52" s="24">
        <f t="shared" si="4"/>
        <v>0.9954397719</v>
      </c>
      <c r="S52" s="19">
        <f t="shared" si="5"/>
        <v>1</v>
      </c>
      <c r="T52" s="15" t="e">
        <v>#N/A</v>
      </c>
      <c r="V52" s="15">
        <v>0.39196262980612784</v>
      </c>
      <c r="W52" s="15">
        <v>0.39196262980612784</v>
      </c>
      <c r="X52" s="15">
        <f t="shared" si="6"/>
        <v>-0.06332945607</v>
      </c>
      <c r="Y52" s="24">
        <f t="shared" si="7"/>
        <v>0.4747520801</v>
      </c>
      <c r="Z52" s="15">
        <f t="shared" si="11"/>
        <v>0</v>
      </c>
      <c r="AB52" s="14"/>
      <c r="AD52" s="15">
        <f t="shared" si="18"/>
        <v>-0.2155388165</v>
      </c>
      <c r="AE52" s="15">
        <f t="shared" si="19"/>
        <v>0.414673626</v>
      </c>
      <c r="AF52" s="15">
        <f t="shared" si="10"/>
        <v>0</v>
      </c>
      <c r="AG52" s="14"/>
    </row>
    <row r="53">
      <c r="A53" s="15" t="str">
        <f>(1.5519626-('2021'!E53*0.0000017073983)+('2021'!H53*0.0000013113498)+('2021'!U53*0.1451093)-('2021'!W53*0.0246584)-('2021'!AC53*0.790069)-('2021'!AD53*0.0024787)+('2021'!AF53*0.4651953)-('2021'!AN53*0.002701))</f>
        <v>#VALUE!</v>
      </c>
      <c r="B53" s="15" t="str">
        <f t="shared" si="1"/>
        <v>#VALUE!</v>
      </c>
      <c r="C53" s="27"/>
      <c r="D53" s="15">
        <f t="shared" si="2"/>
        <v>1</v>
      </c>
      <c r="G53" s="9">
        <v>180000.0</v>
      </c>
      <c r="H53" s="9">
        <v>376790.51</v>
      </c>
      <c r="I53" s="12">
        <v>1.28</v>
      </c>
      <c r="J53" s="12">
        <v>1.4</v>
      </c>
      <c r="K53" s="12">
        <v>0.2</v>
      </c>
      <c r="L53" s="12"/>
      <c r="M53" s="12">
        <v>4.77</v>
      </c>
      <c r="N53" s="12">
        <v>51.0</v>
      </c>
      <c r="Q53" s="15">
        <f t="shared" si="3"/>
        <v>3.882213511</v>
      </c>
      <c r="R53" s="24">
        <f t="shared" si="4"/>
        <v>0.999948245</v>
      </c>
      <c r="S53" s="19">
        <f t="shared" si="5"/>
        <v>1</v>
      </c>
      <c r="T53" s="25" t="e">
        <v>#N/A</v>
      </c>
      <c r="V53" s="15">
        <v>-0.2443749132130759</v>
      </c>
      <c r="W53" s="15">
        <v>-0.2443749132130759</v>
      </c>
      <c r="X53" s="15">
        <f t="shared" si="6"/>
        <v>-0.2255865217</v>
      </c>
      <c r="Y53" s="24">
        <f t="shared" si="7"/>
        <v>0.4107615124</v>
      </c>
      <c r="Z53" s="15">
        <f t="shared" si="11"/>
        <v>0</v>
      </c>
      <c r="AA53" s="25"/>
      <c r="AB53" s="14"/>
      <c r="AD53" s="15">
        <f t="shared" si="18"/>
        <v>-0.2529149375</v>
      </c>
      <c r="AE53" s="15">
        <f t="shared" si="19"/>
        <v>0.4001669731</v>
      </c>
      <c r="AF53" s="15">
        <f t="shared" si="10"/>
        <v>0</v>
      </c>
      <c r="AG53" s="14"/>
      <c r="AH53" s="25"/>
    </row>
    <row r="54">
      <c r="A54" s="15">
        <f>(1.5519626-('2021'!E54*0.0000017073983)+('2021'!H54*0.0000013113498)+('2021'!U54*0.1451093)-('2021'!W54*0.0246584)-('2021'!AC54*0.790069)-('2021'!AD54*0.0024787)+('2021'!AF54*0.4651953)-('2021'!AN54*0.002701))</f>
        <v>4.418504534</v>
      </c>
      <c r="B54" s="22">
        <f t="shared" si="1"/>
        <v>4.418504534</v>
      </c>
      <c r="C54" s="23">
        <v>1.0</v>
      </c>
      <c r="D54" s="15">
        <f t="shared" si="2"/>
        <v>0</v>
      </c>
      <c r="G54" s="9">
        <v>378257.0</v>
      </c>
      <c r="H54" s="9">
        <v>1755290.0</v>
      </c>
      <c r="I54" s="12">
        <v>13.38</v>
      </c>
      <c r="J54" s="12">
        <v>15.4</v>
      </c>
      <c r="K54" s="12">
        <v>0.73</v>
      </c>
      <c r="L54" s="12">
        <v>24.09</v>
      </c>
      <c r="M54" s="12">
        <v>1.07</v>
      </c>
      <c r="N54" s="12">
        <v>78.69</v>
      </c>
      <c r="Q54" s="15">
        <f t="shared" si="3"/>
        <v>5.177983254</v>
      </c>
      <c r="R54" s="24">
        <f t="shared" si="4"/>
        <v>0.9999998879</v>
      </c>
      <c r="S54" s="19">
        <f t="shared" si="5"/>
        <v>1</v>
      </c>
      <c r="T54" s="25">
        <v>0.0</v>
      </c>
      <c r="V54" s="15">
        <v>-0.21120656012244232</v>
      </c>
      <c r="W54" s="15">
        <v>-0.21120656012244232</v>
      </c>
      <c r="X54" s="15">
        <f t="shared" si="6"/>
        <v>-1.650063263</v>
      </c>
      <c r="Y54" s="24">
        <f t="shared" si="7"/>
        <v>0.04946499882</v>
      </c>
      <c r="Z54" s="15">
        <f t="shared" si="11"/>
        <v>0</v>
      </c>
      <c r="AA54" s="25">
        <v>0.0</v>
      </c>
      <c r="AB54" s="14">
        <f t="shared" ref="AB54:AB56" si="27">if(Z54=AA54,1,0)</f>
        <v>1</v>
      </c>
      <c r="AD54" s="15">
        <f t="shared" si="18"/>
        <v>-0.5810449622</v>
      </c>
      <c r="AE54" s="15">
        <f t="shared" si="19"/>
        <v>0.2806050754</v>
      </c>
      <c r="AF54" s="15">
        <f t="shared" si="10"/>
        <v>0</v>
      </c>
      <c r="AG54" s="14">
        <f t="shared" ref="AG54:AG56" si="28">if(AF54=AH54,1,0)</f>
        <v>1</v>
      </c>
      <c r="AH54" s="25">
        <v>0.0</v>
      </c>
      <c r="AI54" s="19">
        <v>1.0</v>
      </c>
    </row>
    <row r="55">
      <c r="A55" s="15">
        <f>(1.5519626-('2021'!E55*0.0000017073983)+('2021'!H55*0.0000013113498)+('2021'!U55*0.1451093)-('2021'!W55*0.0246584)-('2021'!AC55*0.790069)-('2021'!AD55*0.0024787)+('2021'!AF55*0.4651953)-('2021'!AN55*0.002701))</f>
        <v>4.489458574</v>
      </c>
      <c r="B55" s="22">
        <f t="shared" si="1"/>
        <v>4.489458574</v>
      </c>
      <c r="C55" s="23">
        <v>1.0</v>
      </c>
      <c r="D55" s="15">
        <f t="shared" si="2"/>
        <v>0</v>
      </c>
      <c r="E55" s="15" t="str">
        <f t="shared" ref="E55:E57" si="29">IF('temp result 2022'!B55=D55,1,0)</f>
        <v>#REF!</v>
      </c>
      <c r="G55" s="9">
        <v>390000.0</v>
      </c>
      <c r="H55" s="9">
        <v>2424663.78</v>
      </c>
      <c r="I55" s="12">
        <v>15.73</v>
      </c>
      <c r="J55" s="12">
        <v>13.67</v>
      </c>
      <c r="K55" s="12">
        <v>1.61</v>
      </c>
      <c r="L55" s="12">
        <v>25.27</v>
      </c>
      <c r="M55" s="12">
        <v>0.22</v>
      </c>
      <c r="N55" s="12">
        <v>107.14</v>
      </c>
      <c r="Q55" s="15">
        <f t="shared" si="3"/>
        <v>5.16361923</v>
      </c>
      <c r="R55" s="24">
        <f t="shared" si="4"/>
        <v>0.9999998789</v>
      </c>
      <c r="S55" s="19">
        <f t="shared" si="5"/>
        <v>1</v>
      </c>
      <c r="T55" s="25">
        <v>0.0</v>
      </c>
      <c r="V55" s="15">
        <v>-0.08545300070029895</v>
      </c>
      <c r="W55" s="15">
        <v>-0.08545300070029895</v>
      </c>
      <c r="X55" s="15">
        <f t="shared" si="6"/>
        <v>-1.955647512</v>
      </c>
      <c r="Y55" s="24">
        <f t="shared" si="7"/>
        <v>0.02525334592</v>
      </c>
      <c r="Z55" s="15">
        <f t="shared" si="11"/>
        <v>0</v>
      </c>
      <c r="AA55" s="25">
        <v>0.0</v>
      </c>
      <c r="AB55" s="14">
        <f t="shared" si="27"/>
        <v>1</v>
      </c>
      <c r="AD55" s="15">
        <f t="shared" si="18"/>
        <v>-0.6514366817</v>
      </c>
      <c r="AE55" s="15">
        <f t="shared" si="19"/>
        <v>0.2573823191</v>
      </c>
      <c r="AF55" s="15">
        <f t="shared" si="10"/>
        <v>0</v>
      </c>
      <c r="AG55" s="14">
        <f t="shared" si="28"/>
        <v>1</v>
      </c>
      <c r="AH55" s="25">
        <v>0.0</v>
      </c>
      <c r="AI55" s="19">
        <v>1.0</v>
      </c>
    </row>
    <row r="56">
      <c r="A56" s="15">
        <f>(1.5519626-('2021'!E56*0.0000017073983)+('2021'!H56*0.0000013113498)+('2021'!U56*0.1451093)-('2021'!W56*0.0246584)-('2021'!AC56*0.790069)-('2021'!AD56*0.0024787)+('2021'!AF56*0.4651953)-('2021'!AN56*0.002701))</f>
        <v>2.080072547</v>
      </c>
      <c r="B56" s="15">
        <f t="shared" si="1"/>
        <v>2.073948813</v>
      </c>
      <c r="C56" s="26">
        <v>0.997056</v>
      </c>
      <c r="D56" s="15">
        <f t="shared" si="2"/>
        <v>0</v>
      </c>
      <c r="E56" s="15" t="str">
        <f t="shared" si="29"/>
        <v>#REF!</v>
      </c>
      <c r="G56" s="9">
        <v>282571.48</v>
      </c>
      <c r="H56" s="9">
        <v>595311.94</v>
      </c>
      <c r="I56" s="12">
        <v>7.03</v>
      </c>
      <c r="J56" s="12">
        <v>6.57</v>
      </c>
      <c r="K56" s="12">
        <v>0.93</v>
      </c>
      <c r="L56" s="12">
        <v>8.05</v>
      </c>
      <c r="M56" s="12">
        <v>1.04</v>
      </c>
      <c r="N56" s="12">
        <v>132.28</v>
      </c>
      <c r="Q56" s="15">
        <f t="shared" si="3"/>
        <v>2.404083923</v>
      </c>
      <c r="R56" s="24">
        <f t="shared" si="4"/>
        <v>0.9918934746</v>
      </c>
      <c r="S56" s="19">
        <f t="shared" si="5"/>
        <v>1</v>
      </c>
      <c r="T56" s="25">
        <v>0.0</v>
      </c>
      <c r="V56" s="15">
        <v>0.5556586142550215</v>
      </c>
      <c r="W56" s="15">
        <v>0.5556586142550215</v>
      </c>
      <c r="X56" s="15">
        <f t="shared" si="6"/>
        <v>0.3021820059</v>
      </c>
      <c r="Y56" s="24">
        <f t="shared" si="7"/>
        <v>0.6187433397</v>
      </c>
      <c r="Z56" s="15">
        <f t="shared" si="11"/>
        <v>1</v>
      </c>
      <c r="AA56" s="25">
        <v>0.0</v>
      </c>
      <c r="AB56" s="14">
        <f t="shared" si="27"/>
        <v>0</v>
      </c>
      <c r="AD56" s="15">
        <f t="shared" si="18"/>
        <v>-0.1313427875</v>
      </c>
      <c r="AE56" s="15">
        <f t="shared" si="19"/>
        <v>0.4477520727</v>
      </c>
      <c r="AF56" s="15">
        <f t="shared" si="10"/>
        <v>0</v>
      </c>
      <c r="AG56" s="14">
        <f t="shared" si="28"/>
        <v>1</v>
      </c>
      <c r="AH56" s="25">
        <v>0.0</v>
      </c>
      <c r="AI56" s="19">
        <v>1.0</v>
      </c>
    </row>
    <row r="57">
      <c r="A57" s="15" t="str">
        <f>(1.5519626-('2021'!E57*0.0000017073983)+('2021'!H57*0.0000013113498)+('2021'!U57*0.1451093)-('2021'!W57*0.0246584)-('2021'!AC57*0.790069)-('2021'!AD57*0.0024787)+('2021'!AF57*0.4651953)-('2021'!AN57*0.002701))</f>
        <v>#VALUE!</v>
      </c>
      <c r="B57" s="15" t="str">
        <f t="shared" si="1"/>
        <v>#VALUE!</v>
      </c>
      <c r="C57" s="27"/>
      <c r="D57" s="15">
        <f t="shared" si="2"/>
        <v>1</v>
      </c>
      <c r="E57" s="15" t="str">
        <f t="shared" si="29"/>
        <v>#REF!</v>
      </c>
      <c r="G57" s="9">
        <v>150000.0</v>
      </c>
      <c r="H57" s="9">
        <v>202554.59</v>
      </c>
      <c r="I57" s="12">
        <v>2.4</v>
      </c>
      <c r="J57" s="12">
        <v>-23.1</v>
      </c>
      <c r="K57" s="12">
        <v>3.07</v>
      </c>
      <c r="L57" s="12">
        <v>0.41</v>
      </c>
      <c r="M57" s="12">
        <v>0.05</v>
      </c>
      <c r="N57" s="12" t="s">
        <v>46</v>
      </c>
      <c r="Q57" s="15" t="str">
        <f t="shared" si="3"/>
        <v>#VALUE!</v>
      </c>
      <c r="R57" s="24" t="str">
        <f t="shared" si="4"/>
        <v>#VALUE!</v>
      </c>
      <c r="S57" s="19" t="str">
        <f t="shared" si="5"/>
        <v>#VALUE!</v>
      </c>
      <c r="T57" s="15" t="e">
        <v>#N/A</v>
      </c>
      <c r="X57" s="15" t="str">
        <f t="shared" si="6"/>
        <v>#VALUE!</v>
      </c>
      <c r="Y57" s="24" t="str">
        <f t="shared" si="7"/>
        <v>#VALUE!</v>
      </c>
      <c r="Z57" s="15" t="str">
        <f t="shared" si="11"/>
        <v>#VALUE!</v>
      </c>
      <c r="AB57" s="14"/>
      <c r="AE57" s="15">
        <f t="shared" si="19"/>
        <v>0.5</v>
      </c>
      <c r="AF57" s="15">
        <f t="shared" si="10"/>
        <v>1</v>
      </c>
      <c r="AG57" s="14"/>
    </row>
    <row r="58">
      <c r="A58" s="15" t="str">
        <f>(1.5519626-('2021'!E58*0.0000017073983)+('2021'!H58*0.0000013113498)+('2021'!U58*0.1451093)-('2021'!W58*0.0246584)-('2021'!AC58*0.790069)-('2021'!AD58*0.0024787)+('2021'!AF58*0.4651953)-('2021'!AN58*0.002701))</f>
        <v>#VALUE!</v>
      </c>
      <c r="B58" s="15" t="str">
        <f t="shared" si="1"/>
        <v>#VALUE!</v>
      </c>
      <c r="C58" s="27"/>
      <c r="D58" s="15">
        <f t="shared" si="2"/>
        <v>1</v>
      </c>
      <c r="G58" s="9">
        <v>135000.0</v>
      </c>
      <c r="H58" s="9">
        <v>74803.89</v>
      </c>
      <c r="I58" s="12">
        <v>8.23</v>
      </c>
      <c r="J58" s="12">
        <v>16.14</v>
      </c>
      <c r="K58" s="12">
        <v>0.06</v>
      </c>
      <c r="L58" s="12" t="s">
        <v>46</v>
      </c>
      <c r="M58" s="12">
        <v>11.34</v>
      </c>
      <c r="N58" s="12">
        <v>173.01</v>
      </c>
      <c r="Q58" s="15" t="str">
        <f t="shared" si="3"/>
        <v>#VALUE!</v>
      </c>
      <c r="R58" s="24" t="str">
        <f t="shared" si="4"/>
        <v>#VALUE!</v>
      </c>
      <c r="S58" s="19" t="str">
        <f t="shared" si="5"/>
        <v>#VALUE!</v>
      </c>
      <c r="T58" s="25" t="e">
        <v>#N/A</v>
      </c>
      <c r="X58" s="15" t="str">
        <f t="shared" si="6"/>
        <v>#VALUE!</v>
      </c>
      <c r="Y58" s="24" t="str">
        <f t="shared" si="7"/>
        <v>#VALUE!</v>
      </c>
      <c r="Z58" s="15" t="str">
        <f t="shared" si="11"/>
        <v>#VALUE!</v>
      </c>
      <c r="AA58" s="25"/>
      <c r="AB58" s="14"/>
      <c r="AE58" s="15">
        <f t="shared" si="19"/>
        <v>0.5</v>
      </c>
      <c r="AF58" s="15">
        <f t="shared" si="10"/>
        <v>1</v>
      </c>
      <c r="AG58" s="14"/>
      <c r="AH58" s="25"/>
    </row>
    <row r="59">
      <c r="A59" s="15">
        <f>(1.5519626-('2021'!E59*0.0000017073983)+('2021'!H59*0.0000013113498)+('2021'!U59*0.1451093)-('2021'!W59*0.0246584)-('2021'!AC59*0.790069)-('2021'!AD59*0.0024787)+('2021'!AF59*0.4651953)-('2021'!AN59*0.002701))</f>
        <v>15.84650314</v>
      </c>
      <c r="B59" s="22">
        <f t="shared" si="1"/>
        <v>15.84650314</v>
      </c>
      <c r="C59" s="23">
        <v>1.0</v>
      </c>
      <c r="D59" s="15">
        <f t="shared" si="2"/>
        <v>0</v>
      </c>
      <c r="G59" s="9">
        <v>125000.0</v>
      </c>
      <c r="H59" s="9">
        <v>104860.4</v>
      </c>
      <c r="I59" s="12">
        <v>-5.91</v>
      </c>
      <c r="J59" s="12">
        <v>-17.33</v>
      </c>
      <c r="K59" s="12">
        <v>0.14</v>
      </c>
      <c r="L59" s="12">
        <v>-9.96</v>
      </c>
      <c r="M59" s="12">
        <v>32.07</v>
      </c>
      <c r="N59" s="12">
        <v>11.91</v>
      </c>
      <c r="Q59" s="15">
        <f t="shared" si="3"/>
        <v>14.991843</v>
      </c>
      <c r="R59" s="24">
        <f t="shared" si="4"/>
        <v>1</v>
      </c>
      <c r="S59" s="19">
        <f t="shared" si="5"/>
        <v>1</v>
      </c>
      <c r="T59" s="25">
        <v>0.0</v>
      </c>
      <c r="V59" s="15">
        <v>-5.0576307844098665</v>
      </c>
      <c r="W59" s="15">
        <v>-5.0576307844098665</v>
      </c>
      <c r="X59" s="15">
        <f t="shared" si="6"/>
        <v>-5.957300847</v>
      </c>
      <c r="Y59" s="24">
        <f t="shared" si="7"/>
        <v>0.000000001282189244</v>
      </c>
      <c r="Z59" s="15">
        <f t="shared" si="11"/>
        <v>0</v>
      </c>
      <c r="AA59" s="25">
        <v>0.0</v>
      </c>
      <c r="AB59" s="14">
        <f t="shared" ref="AB59:AB62" si="30">if(Z59=AA59,1,0)</f>
        <v>1</v>
      </c>
      <c r="AD59" s="15">
        <f t="shared" ref="AD59:AD88" si="31">(X59-$W$185)/$V$186</f>
        <v>-1.573222605</v>
      </c>
      <c r="AE59" s="15">
        <f t="shared" si="19"/>
        <v>0.05783364142</v>
      </c>
      <c r="AF59" s="15">
        <f t="shared" si="10"/>
        <v>0</v>
      </c>
      <c r="AG59" s="14">
        <f t="shared" ref="AG59:AG62" si="32">if(AF59=AH59,1,0)</f>
        <v>1</v>
      </c>
      <c r="AH59" s="25">
        <v>0.0</v>
      </c>
      <c r="AI59" s="19">
        <v>1.0</v>
      </c>
    </row>
    <row r="60">
      <c r="A60" s="15">
        <f>(1.5519626-('2021'!E60*0.0000017073983)+('2021'!H60*0.0000013113498)+('2021'!U60*0.1451093)-('2021'!W60*0.0246584)-('2021'!AC60*0.790069)-('2021'!AD60*0.0024787)+('2021'!AF60*0.4651953)-('2021'!AN60*0.002701))</f>
        <v>1.45819243</v>
      </c>
      <c r="B60" s="15">
        <f t="shared" si="1"/>
        <v>1.333726957</v>
      </c>
      <c r="C60" s="26">
        <v>0.914644</v>
      </c>
      <c r="D60" s="15">
        <f t="shared" si="2"/>
        <v>0</v>
      </c>
      <c r="E60" s="15" t="str">
        <f t="shared" ref="E60:E63" si="33">IF('temp result 2022'!B60=D60,1,0)</f>
        <v>#REF!</v>
      </c>
      <c r="G60" s="9">
        <v>240000.0</v>
      </c>
      <c r="H60" s="9">
        <v>962996.87</v>
      </c>
      <c r="I60" s="12">
        <v>-6.6</v>
      </c>
      <c r="J60" s="12">
        <v>-6.58</v>
      </c>
      <c r="K60" s="12">
        <v>0.56</v>
      </c>
      <c r="L60" s="12">
        <v>-29.41</v>
      </c>
      <c r="M60" s="12">
        <v>1.0</v>
      </c>
      <c r="N60" s="12">
        <v>91.45</v>
      </c>
      <c r="Q60" s="15">
        <f t="shared" si="3"/>
        <v>1.133687886</v>
      </c>
      <c r="R60" s="24">
        <f t="shared" si="4"/>
        <v>0.8715372536</v>
      </c>
      <c r="S60" s="19">
        <f t="shared" si="5"/>
        <v>1</v>
      </c>
      <c r="T60" s="25">
        <v>1.0</v>
      </c>
      <c r="V60" s="15">
        <v>0.7774629270097289</v>
      </c>
      <c r="W60" s="15">
        <v>0.7774629270097289</v>
      </c>
      <c r="X60" s="15">
        <f t="shared" si="6"/>
        <v>1.977955789</v>
      </c>
      <c r="Y60" s="24">
        <f t="shared" si="7"/>
        <v>0.9760331528</v>
      </c>
      <c r="Z60" s="15">
        <f t="shared" si="11"/>
        <v>1</v>
      </c>
      <c r="AA60" s="25">
        <v>1.0</v>
      </c>
      <c r="AB60" s="14">
        <f t="shared" si="30"/>
        <v>1</v>
      </c>
      <c r="AD60" s="15">
        <f t="shared" si="31"/>
        <v>0.2546738297</v>
      </c>
      <c r="AE60" s="15">
        <f t="shared" si="19"/>
        <v>0.6005124846</v>
      </c>
      <c r="AF60" s="15">
        <f t="shared" si="10"/>
        <v>1</v>
      </c>
      <c r="AG60" s="14">
        <f t="shared" si="32"/>
        <v>1</v>
      </c>
      <c r="AH60" s="25">
        <v>1.0</v>
      </c>
      <c r="AI60" s="19">
        <v>1.0</v>
      </c>
    </row>
    <row r="61">
      <c r="A61" s="15">
        <f>(1.5519626-('2021'!E61*0.0000017073983)+('2021'!H61*0.0000013113498)+('2021'!U61*0.1451093)-('2021'!W61*0.0246584)-('2021'!AC61*0.790069)-('2021'!AD61*0.0024787)+('2021'!AF61*0.4651953)-('2021'!AN61*0.002701))</f>
        <v>-7.213004755</v>
      </c>
      <c r="B61" s="22">
        <f t="shared" si="1"/>
        <v>0</v>
      </c>
      <c r="C61" s="23">
        <v>6.13E-12</v>
      </c>
      <c r="D61" s="15">
        <f t="shared" si="2"/>
        <v>1</v>
      </c>
      <c r="E61" s="15" t="str">
        <f t="shared" si="33"/>
        <v>#REF!</v>
      </c>
      <c r="G61" s="9">
        <v>5065171.46</v>
      </c>
      <c r="H61" s="9">
        <v>271789.62</v>
      </c>
      <c r="I61" s="12">
        <v>1.39</v>
      </c>
      <c r="J61" s="12">
        <v>-1.51</v>
      </c>
      <c r="K61" s="12">
        <v>0.47</v>
      </c>
      <c r="L61" s="12">
        <v>0.82</v>
      </c>
      <c r="M61" s="12">
        <v>0.38</v>
      </c>
      <c r="N61" s="12">
        <v>190.84</v>
      </c>
      <c r="Q61" s="15">
        <f t="shared" si="3"/>
        <v>-7.287473123</v>
      </c>
      <c r="R61" s="24">
        <f t="shared" si="4"/>
        <v>0</v>
      </c>
      <c r="S61" s="19">
        <f t="shared" si="5"/>
        <v>0</v>
      </c>
      <c r="T61" s="25">
        <v>0.0</v>
      </c>
      <c r="V61" s="15">
        <v>3.014550634345051</v>
      </c>
      <c r="W61" s="15">
        <v>3.014550634345051</v>
      </c>
      <c r="X61" s="15">
        <f t="shared" si="6"/>
        <v>1.647639393</v>
      </c>
      <c r="Y61" s="24">
        <f t="shared" si="7"/>
        <v>0.9502866542</v>
      </c>
      <c r="Z61" s="15">
        <f t="shared" si="11"/>
        <v>1</v>
      </c>
      <c r="AA61" s="25">
        <v>0.0</v>
      </c>
      <c r="AB61" s="14">
        <f t="shared" si="30"/>
        <v>0</v>
      </c>
      <c r="AD61" s="15">
        <f t="shared" si="31"/>
        <v>0.1785850289</v>
      </c>
      <c r="AE61" s="15">
        <f t="shared" si="19"/>
        <v>0.5708682247</v>
      </c>
      <c r="AF61" s="15">
        <f t="shared" si="10"/>
        <v>1</v>
      </c>
      <c r="AG61" s="14">
        <f t="shared" si="32"/>
        <v>0</v>
      </c>
      <c r="AH61" s="25">
        <v>0.0</v>
      </c>
      <c r="AI61" s="19">
        <v>1.0</v>
      </c>
    </row>
    <row r="62">
      <c r="A62" s="15">
        <f>(1.5519626-('2021'!E62*0.0000017073983)+('2021'!H62*0.0000013113498)+('2021'!U62*0.1451093)-('2021'!W62*0.0246584)-('2021'!AC62*0.790069)-('2021'!AD62*0.0024787)+('2021'!AF62*0.4651953)-('2021'!AN62*0.002701))</f>
        <v>3.464745411</v>
      </c>
      <c r="B62" s="22">
        <f t="shared" si="1"/>
        <v>3.464658792</v>
      </c>
      <c r="C62" s="23">
        <v>0.999975</v>
      </c>
      <c r="D62" s="15">
        <f t="shared" si="2"/>
        <v>0</v>
      </c>
      <c r="E62" s="15" t="str">
        <f t="shared" si="33"/>
        <v>#REF!</v>
      </c>
      <c r="G62" s="9">
        <v>292250.0</v>
      </c>
      <c r="H62" s="9">
        <v>953777.8</v>
      </c>
      <c r="I62" s="12">
        <v>5.52</v>
      </c>
      <c r="J62" s="12">
        <v>6.9</v>
      </c>
      <c r="K62" s="12">
        <v>0.28</v>
      </c>
      <c r="L62" s="12">
        <v>39.99</v>
      </c>
      <c r="M62" s="12">
        <v>2.38</v>
      </c>
      <c r="N62" s="12">
        <v>95.02</v>
      </c>
      <c r="Q62" s="15">
        <f t="shared" si="3"/>
        <v>3.805031331</v>
      </c>
      <c r="R62" s="24">
        <f t="shared" si="4"/>
        <v>0.9999291069</v>
      </c>
      <c r="S62" s="19">
        <f t="shared" si="5"/>
        <v>1</v>
      </c>
      <c r="T62" s="25">
        <v>1.0</v>
      </c>
      <c r="V62" s="15">
        <v>0.04596303454676981</v>
      </c>
      <c r="W62" s="15">
        <v>0.04596303454676981</v>
      </c>
      <c r="X62" s="15">
        <f t="shared" si="6"/>
        <v>-1.223520017</v>
      </c>
      <c r="Y62" s="24">
        <f t="shared" si="7"/>
        <v>0.1105666743</v>
      </c>
      <c r="Z62" s="15">
        <f t="shared" si="11"/>
        <v>0</v>
      </c>
      <c r="AA62" s="25">
        <v>1.0</v>
      </c>
      <c r="AB62" s="14">
        <f t="shared" si="30"/>
        <v>0</v>
      </c>
      <c r="AD62" s="15">
        <f t="shared" si="31"/>
        <v>-0.4827901842</v>
      </c>
      <c r="AE62" s="15">
        <f t="shared" si="19"/>
        <v>0.3146223605</v>
      </c>
      <c r="AF62" s="15">
        <f t="shared" si="10"/>
        <v>0</v>
      </c>
      <c r="AG62" s="14">
        <f t="shared" si="32"/>
        <v>0</v>
      </c>
      <c r="AH62" s="25">
        <v>1.0</v>
      </c>
      <c r="AI62" s="19">
        <v>1.0</v>
      </c>
    </row>
    <row r="63">
      <c r="A63" s="15">
        <f>(1.5519626-('2021'!E63*0.0000017073983)+('2021'!H63*0.0000013113498)+('2021'!U63*0.1451093)-('2021'!W63*0.0246584)-('2021'!AC63*0.790069)-('2021'!AD63*0.0024787)+('2021'!AF63*0.4651953)-('2021'!AN63*0.002701))</f>
        <v>-6.119712116</v>
      </c>
      <c r="B63" s="22">
        <f t="shared" si="1"/>
        <v>0</v>
      </c>
      <c r="C63" s="23">
        <v>1.21E-15</v>
      </c>
      <c r="D63" s="15">
        <f t="shared" si="2"/>
        <v>1</v>
      </c>
      <c r="E63" s="15" t="str">
        <f t="shared" si="33"/>
        <v>#REF!</v>
      </c>
      <c r="G63" s="9">
        <v>4588523.55</v>
      </c>
      <c r="H63" s="9">
        <v>184180.2</v>
      </c>
      <c r="I63" s="12">
        <v>-7.86</v>
      </c>
      <c r="J63" s="12">
        <v>-49.39</v>
      </c>
      <c r="K63" s="12">
        <v>0.16</v>
      </c>
      <c r="L63" s="12">
        <v>-31.23</v>
      </c>
      <c r="M63" s="12">
        <v>1.15</v>
      </c>
      <c r="N63" s="12">
        <v>237.71</v>
      </c>
      <c r="Q63" s="15">
        <f t="shared" si="3"/>
        <v>-8.555468868</v>
      </c>
      <c r="R63" s="24">
        <f t="shared" si="4"/>
        <v>0</v>
      </c>
      <c r="S63" s="19">
        <f t="shared" si="5"/>
        <v>0</v>
      </c>
      <c r="T63" s="25" t="e">
        <v>#N/A</v>
      </c>
      <c r="V63" s="15">
        <v>3.3495349528763674</v>
      </c>
      <c r="W63" s="15">
        <v>3.3495349528763674</v>
      </c>
      <c r="X63" s="15">
        <f t="shared" si="6"/>
        <v>3.366080225</v>
      </c>
      <c r="Y63" s="24">
        <f t="shared" si="7"/>
        <v>0.9996187773</v>
      </c>
      <c r="Z63" s="15">
        <f t="shared" si="11"/>
        <v>1</v>
      </c>
      <c r="AA63" s="25"/>
      <c r="AB63" s="14"/>
      <c r="AD63" s="15">
        <f t="shared" si="31"/>
        <v>0.5744300549</v>
      </c>
      <c r="AE63" s="15">
        <f t="shared" si="19"/>
        <v>0.7171615902</v>
      </c>
      <c r="AF63" s="15">
        <f t="shared" si="10"/>
        <v>1</v>
      </c>
      <c r="AG63" s="14"/>
      <c r="AH63" s="25"/>
    </row>
    <row r="64">
      <c r="A64" s="15">
        <f>(1.5519626-('2021'!E64*0.0000017073983)+('2021'!H64*0.0000013113498)+('2021'!U64*0.1451093)-('2021'!W64*0.0246584)-('2021'!AC64*0.790069)-('2021'!AD64*0.0024787)+('2021'!AF64*0.4651953)-('2021'!AN64*0.002701))</f>
        <v>6.507591739</v>
      </c>
      <c r="B64" s="22">
        <f t="shared" si="1"/>
        <v>6.507591739</v>
      </c>
      <c r="C64" s="23">
        <v>1.0</v>
      </c>
      <c r="D64" s="15">
        <f t="shared" si="2"/>
        <v>0</v>
      </c>
      <c r="G64" s="9">
        <v>136000.0</v>
      </c>
      <c r="H64" s="9">
        <v>1113731.17</v>
      </c>
      <c r="I64" s="12">
        <v>13.54</v>
      </c>
      <c r="J64" s="12">
        <v>6.55</v>
      </c>
      <c r="K64" s="12">
        <v>0.29</v>
      </c>
      <c r="L64" s="12">
        <v>19.24</v>
      </c>
      <c r="M64" s="12">
        <v>4.99</v>
      </c>
      <c r="N64" s="12">
        <v>44.59</v>
      </c>
      <c r="Q64" s="15">
        <f t="shared" si="3"/>
        <v>6.830616779</v>
      </c>
      <c r="R64" s="24">
        <f t="shared" si="4"/>
        <v>1</v>
      </c>
      <c r="S64" s="19">
        <f t="shared" si="5"/>
        <v>1</v>
      </c>
      <c r="T64" s="25">
        <v>0.0</v>
      </c>
      <c r="V64" s="15">
        <v>-0.972917779173184</v>
      </c>
      <c r="W64" s="15">
        <v>-0.972917779173184</v>
      </c>
      <c r="X64" s="15">
        <f t="shared" si="6"/>
        <v>-2.257778085</v>
      </c>
      <c r="Y64" s="24">
        <f t="shared" si="7"/>
        <v>0.01197974907</v>
      </c>
      <c r="Z64" s="15">
        <f t="shared" si="11"/>
        <v>0</v>
      </c>
      <c r="AA64" s="25">
        <v>0.0</v>
      </c>
      <c r="AB64" s="14">
        <f t="shared" ref="AB64:AB66" si="34">if(Z64=AA64,1,0)</f>
        <v>1</v>
      </c>
      <c r="AD64" s="15">
        <f t="shared" si="31"/>
        <v>-0.7210328428</v>
      </c>
      <c r="AE64" s="15">
        <f t="shared" si="19"/>
        <v>0.2354446541</v>
      </c>
      <c r="AF64" s="15">
        <f t="shared" si="10"/>
        <v>0</v>
      </c>
      <c r="AG64" s="14">
        <f t="shared" ref="AG64:AG66" si="35">if(AF64=AH64,1,0)</f>
        <v>1</v>
      </c>
      <c r="AH64" s="25">
        <v>0.0</v>
      </c>
      <c r="AI64" s="19">
        <v>1.0</v>
      </c>
    </row>
    <row r="65">
      <c r="A65" s="15">
        <f>(1.5519626-('2021'!E65*0.0000017073983)+('2021'!H65*0.0000013113498)+('2021'!U65*0.1451093)-('2021'!W65*0.0246584)-('2021'!AC65*0.790069)-('2021'!AD65*0.0024787)+('2021'!AF65*0.4651953)-('2021'!AN65*0.002701))</f>
        <v>3.705340547</v>
      </c>
      <c r="B65" s="22">
        <f t="shared" si="1"/>
        <v>3.705288673</v>
      </c>
      <c r="C65" s="23">
        <v>0.999986</v>
      </c>
      <c r="D65" s="15">
        <f t="shared" si="2"/>
        <v>0</v>
      </c>
      <c r="E65" s="15" t="str">
        <f t="shared" ref="E65:E67" si="36">IF('temp result 2022'!B65=D65,1,0)</f>
        <v>#REF!</v>
      </c>
      <c r="G65" s="9">
        <v>165519.83</v>
      </c>
      <c r="H65" s="9">
        <v>189949.32</v>
      </c>
      <c r="I65" s="12">
        <v>5.85</v>
      </c>
      <c r="J65" s="12">
        <v>7.32</v>
      </c>
      <c r="K65" s="12">
        <v>0.15</v>
      </c>
      <c r="L65" s="12">
        <v>47.1</v>
      </c>
      <c r="M65" s="12">
        <v>4.08</v>
      </c>
      <c r="N65" s="12">
        <v>53.4</v>
      </c>
      <c r="Q65" s="15">
        <f t="shared" si="3"/>
        <v>4.066339523</v>
      </c>
      <c r="R65" s="24">
        <f t="shared" si="4"/>
        <v>0.9999761213</v>
      </c>
      <c r="S65" s="19">
        <f t="shared" si="5"/>
        <v>1</v>
      </c>
      <c r="T65" s="25">
        <v>1.0</v>
      </c>
      <c r="V65" s="15">
        <v>-0.2301110118631995</v>
      </c>
      <c r="W65" s="15">
        <v>-0.2301110118631995</v>
      </c>
      <c r="X65" s="15">
        <f t="shared" si="6"/>
        <v>-1.637749188</v>
      </c>
      <c r="Y65" s="24">
        <f t="shared" si="7"/>
        <v>0.05073701253</v>
      </c>
      <c r="Z65" s="15">
        <f t="shared" si="11"/>
        <v>0</v>
      </c>
      <c r="AA65" s="25">
        <v>1.0</v>
      </c>
      <c r="AB65" s="14">
        <f t="shared" si="34"/>
        <v>0</v>
      </c>
      <c r="AD65" s="15">
        <f t="shared" si="31"/>
        <v>-0.5782083996</v>
      </c>
      <c r="AE65" s="15">
        <f t="shared" si="19"/>
        <v>0.2815617143</v>
      </c>
      <c r="AF65" s="15">
        <f t="shared" si="10"/>
        <v>0</v>
      </c>
      <c r="AG65" s="14">
        <f t="shared" si="35"/>
        <v>0</v>
      </c>
      <c r="AH65" s="25">
        <v>1.0</v>
      </c>
      <c r="AI65" s="19">
        <v>1.0</v>
      </c>
    </row>
    <row r="66">
      <c r="A66" s="15">
        <f>(1.5519626-('2021'!E66*0.0000017073983)+('2021'!H66*0.0000013113498)+('2021'!U66*0.1451093)-('2021'!W66*0.0246584)-('2021'!AC66*0.790069)-('2021'!AD66*0.0024787)+('2021'!AF66*0.4651953)-('2021'!AN66*0.002701))</f>
        <v>-4.289571191</v>
      </c>
      <c r="B66" s="22">
        <f t="shared" si="1"/>
        <v>-0.0001025207515</v>
      </c>
      <c r="C66" s="23">
        <v>2.39E-5</v>
      </c>
      <c r="D66" s="15">
        <f t="shared" si="2"/>
        <v>1</v>
      </c>
      <c r="E66" s="15" t="str">
        <f t="shared" si="36"/>
        <v>#REF!</v>
      </c>
      <c r="G66" s="9">
        <v>2304683.04</v>
      </c>
      <c r="H66" s="9">
        <v>297311.44</v>
      </c>
      <c r="I66" s="12">
        <v>-0.97</v>
      </c>
      <c r="J66" s="12">
        <v>-6.82</v>
      </c>
      <c r="K66" s="12">
        <v>2.77</v>
      </c>
      <c r="L66" s="12">
        <v>-0.29</v>
      </c>
      <c r="M66" s="12">
        <v>0.92</v>
      </c>
      <c r="N66" s="12">
        <v>208.82</v>
      </c>
      <c r="Q66" s="15">
        <f t="shared" si="3"/>
        <v>-4.625911767</v>
      </c>
      <c r="R66" s="24">
        <f t="shared" si="4"/>
        <v>0.000001864770273</v>
      </c>
      <c r="S66" s="19">
        <f t="shared" si="5"/>
        <v>0</v>
      </c>
      <c r="T66" s="25">
        <v>0.0</v>
      </c>
      <c r="V66" s="15">
        <v>2.378141266662632</v>
      </c>
      <c r="W66" s="15">
        <v>2.378141266662632</v>
      </c>
      <c r="X66" s="15">
        <f t="shared" si="6"/>
        <v>1.67872166</v>
      </c>
      <c r="Y66" s="24">
        <f t="shared" si="7"/>
        <v>0.9533968487</v>
      </c>
      <c r="Z66" s="15">
        <f t="shared" si="11"/>
        <v>1</v>
      </c>
      <c r="AA66" s="25">
        <v>0.0</v>
      </c>
      <c r="AB66" s="14">
        <f t="shared" si="34"/>
        <v>0</v>
      </c>
      <c r="AD66" s="15">
        <f t="shared" si="31"/>
        <v>0.1857448684</v>
      </c>
      <c r="AE66" s="15">
        <f t="shared" si="19"/>
        <v>0.5736775797</v>
      </c>
      <c r="AF66" s="15">
        <f t="shared" si="10"/>
        <v>1</v>
      </c>
      <c r="AG66" s="14">
        <f t="shared" si="35"/>
        <v>0</v>
      </c>
      <c r="AH66" s="25">
        <v>0.0</v>
      </c>
      <c r="AI66" s="19">
        <v>1.0</v>
      </c>
    </row>
    <row r="67">
      <c r="A67" s="15">
        <f>(1.5519626-('2021'!E67*0.0000017073983)+('2021'!H67*0.0000013113498)+('2021'!U67*0.1451093)-('2021'!W67*0.0246584)-('2021'!AC67*0.790069)-('2021'!AD67*0.0024787)+('2021'!AF67*0.4651953)-('2021'!AN67*0.002701))</f>
        <v>4.829911844</v>
      </c>
      <c r="B67" s="22">
        <f t="shared" si="1"/>
        <v>4.829911844</v>
      </c>
      <c r="C67" s="23">
        <v>1.0</v>
      </c>
      <c r="D67" s="15">
        <f t="shared" si="2"/>
        <v>0</v>
      </c>
      <c r="E67" s="15" t="str">
        <f t="shared" si="36"/>
        <v>#REF!</v>
      </c>
      <c r="G67" s="9">
        <v>225000.0</v>
      </c>
      <c r="H67" s="9">
        <v>1564603.39</v>
      </c>
      <c r="I67" s="12">
        <v>15.88</v>
      </c>
      <c r="J67" s="12">
        <v>9.0</v>
      </c>
      <c r="K67" s="12">
        <v>0.55</v>
      </c>
      <c r="L67" s="12">
        <v>219.46</v>
      </c>
      <c r="M67" s="12">
        <v>1.49</v>
      </c>
      <c r="N67" s="12">
        <v>69.11</v>
      </c>
      <c r="Q67" s="15">
        <f t="shared" si="3"/>
        <v>5.273763044</v>
      </c>
      <c r="R67" s="24">
        <f t="shared" si="4"/>
        <v>0.9999999332</v>
      </c>
      <c r="S67" s="19">
        <f t="shared" si="5"/>
        <v>1</v>
      </c>
      <c r="T67" s="25" t="e">
        <v>#N/A</v>
      </c>
      <c r="V67" s="15">
        <v>-0.28552417688671416</v>
      </c>
      <c r="W67" s="15">
        <v>-0.28552417688671416</v>
      </c>
      <c r="X67" s="15">
        <f t="shared" si="6"/>
        <v>-7.551335837</v>
      </c>
      <c r="Y67" s="24">
        <f t="shared" si="7"/>
        <v>0</v>
      </c>
      <c r="Z67" s="15">
        <f t="shared" si="11"/>
        <v>0</v>
      </c>
      <c r="AA67" s="25"/>
      <c r="AB67" s="14"/>
      <c r="AD67" s="15">
        <f t="shared" si="31"/>
        <v>-1.940410588</v>
      </c>
      <c r="AE67" s="15">
        <f t="shared" si="19"/>
        <v>0.02616490545</v>
      </c>
      <c r="AF67" s="15">
        <f t="shared" si="10"/>
        <v>0</v>
      </c>
      <c r="AG67" s="14"/>
      <c r="AH67" s="25"/>
    </row>
    <row r="68">
      <c r="A68" s="15">
        <f>(1.5519626-('2021'!E68*0.0000017073983)+('2021'!H68*0.0000013113498)+('2021'!U68*0.1451093)-('2021'!W68*0.0246584)-('2021'!AC68*0.790069)-('2021'!AD68*0.0024787)+('2021'!AF68*0.4651953)-('2021'!AN68*0.002701))</f>
        <v>3.783882745</v>
      </c>
      <c r="B68" s="22">
        <f t="shared" si="1"/>
        <v>3.783867609</v>
      </c>
      <c r="C68" s="23">
        <v>0.999996</v>
      </c>
      <c r="D68" s="15">
        <f t="shared" si="2"/>
        <v>0</v>
      </c>
      <c r="G68" s="9">
        <v>50000.0</v>
      </c>
      <c r="H68" s="9">
        <v>588819.98</v>
      </c>
      <c r="I68" s="12">
        <v>14.1</v>
      </c>
      <c r="J68" s="12">
        <v>11.5</v>
      </c>
      <c r="K68" s="12">
        <v>0.44</v>
      </c>
      <c r="L68" s="12">
        <v>182.27</v>
      </c>
      <c r="M68" s="12">
        <v>1.52</v>
      </c>
      <c r="N68" s="12">
        <v>46.28</v>
      </c>
      <c r="Q68" s="15">
        <f t="shared" si="3"/>
        <v>4.351025945</v>
      </c>
      <c r="R68" s="24">
        <f t="shared" si="4"/>
        <v>0.9999932249</v>
      </c>
      <c r="S68" s="19">
        <f t="shared" si="5"/>
        <v>1</v>
      </c>
      <c r="T68" s="25">
        <v>0.0</v>
      </c>
      <c r="V68" s="15">
        <v>-0.11478309892986656</v>
      </c>
      <c r="W68" s="15">
        <v>-0.11478309892986656</v>
      </c>
      <c r="X68" s="15">
        <f t="shared" si="6"/>
        <v>-5.879014052</v>
      </c>
      <c r="Y68" s="24">
        <f t="shared" si="7"/>
        <v>0.000000002063587079</v>
      </c>
      <c r="Z68" s="15">
        <f t="shared" si="11"/>
        <v>0</v>
      </c>
      <c r="AA68" s="25">
        <v>0.0</v>
      </c>
      <c r="AB68" s="14">
        <f>if(Z68=AA68,1,0)</f>
        <v>1</v>
      </c>
      <c r="AD68" s="15">
        <f t="shared" si="31"/>
        <v>-1.555189143</v>
      </c>
      <c r="AE68" s="15">
        <f t="shared" si="19"/>
        <v>0.05995051469</v>
      </c>
      <c r="AF68" s="15">
        <f t="shared" si="10"/>
        <v>0</v>
      </c>
      <c r="AG68" s="14">
        <f>if(AF68=AH68,1,0)</f>
        <v>1</v>
      </c>
      <c r="AH68" s="25">
        <v>0.0</v>
      </c>
      <c r="AI68" s="19">
        <v>1.0</v>
      </c>
    </row>
    <row r="69">
      <c r="A69" s="15">
        <f>(1.5519626-('2021'!E69*0.0000017073983)+('2021'!H69*0.0000013113498)+('2021'!U69*0.1451093)-('2021'!W69*0.0246584)-('2021'!AC69*0.790069)-('2021'!AD69*0.0024787)+('2021'!AF69*0.4651953)-('2021'!AN69*0.002701))</f>
        <v>10.62356279</v>
      </c>
      <c r="B69" s="22">
        <f t="shared" si="1"/>
        <v>10.62356279</v>
      </c>
      <c r="C69" s="23">
        <v>1.0</v>
      </c>
      <c r="D69" s="15">
        <f t="shared" si="2"/>
        <v>0</v>
      </c>
      <c r="E69" s="15" t="str">
        <f>IF('temp result 2022'!B69=D69,1,0)</f>
        <v>#REF!</v>
      </c>
      <c r="G69" s="9">
        <v>107500.0</v>
      </c>
      <c r="H69" s="9">
        <v>421326.64</v>
      </c>
      <c r="I69" s="12">
        <v>63.61</v>
      </c>
      <c r="J69" s="12">
        <v>44.36</v>
      </c>
      <c r="K69" s="12">
        <v>0.4</v>
      </c>
      <c r="L69" s="12">
        <v>60.72</v>
      </c>
      <c r="M69" s="12">
        <v>2.51</v>
      </c>
      <c r="N69" s="12">
        <v>49.99</v>
      </c>
      <c r="Q69" s="15">
        <f t="shared" si="3"/>
        <v>12.81125603</v>
      </c>
      <c r="R69" s="24">
        <f t="shared" si="4"/>
        <v>1</v>
      </c>
      <c r="S69" s="19">
        <f t="shared" si="5"/>
        <v>1</v>
      </c>
      <c r="T69" s="25" t="e">
        <v>#N/A</v>
      </c>
      <c r="V69" s="15">
        <v>-2.1885942951005273</v>
      </c>
      <c r="W69" s="15">
        <v>-2.1885942951005273</v>
      </c>
      <c r="X69" s="15">
        <f t="shared" si="6"/>
        <v>-6.209636729</v>
      </c>
      <c r="Y69" s="24">
        <f t="shared" si="7"/>
        <v>0.0000000002655362596</v>
      </c>
      <c r="Z69" s="15">
        <f t="shared" si="11"/>
        <v>0</v>
      </c>
      <c r="AA69" s="25"/>
      <c r="AB69" s="14"/>
      <c r="AD69" s="15">
        <f t="shared" si="31"/>
        <v>-1.631348496</v>
      </c>
      <c r="AE69" s="15">
        <f t="shared" si="19"/>
        <v>0.05140840298</v>
      </c>
      <c r="AF69" s="15">
        <f t="shared" si="10"/>
        <v>0</v>
      </c>
      <c r="AG69" s="14"/>
      <c r="AH69" s="25"/>
    </row>
    <row r="70">
      <c r="A70" s="15">
        <f>(1.5519626-('2021'!E70*0.0000017073983)+('2021'!H70*0.0000013113498)+('2021'!U70*0.1451093)-('2021'!W70*0.0246584)-('2021'!AC70*0.790069)-('2021'!AD70*0.0024787)+('2021'!AF70*0.4651953)-('2021'!AN70*0.002701))</f>
        <v>1.343943366</v>
      </c>
      <c r="B70" s="15">
        <f t="shared" si="1"/>
        <v>1.320863826</v>
      </c>
      <c r="C70" s="26">
        <v>0.982827</v>
      </c>
      <c r="D70" s="15">
        <f t="shared" si="2"/>
        <v>0</v>
      </c>
      <c r="G70" s="9">
        <v>175000.0</v>
      </c>
      <c r="H70" s="9">
        <v>454564.42</v>
      </c>
      <c r="I70" s="12">
        <v>2.75</v>
      </c>
      <c r="J70" s="12">
        <v>3.01</v>
      </c>
      <c r="K70" s="12">
        <v>0.77</v>
      </c>
      <c r="L70" s="12">
        <v>29.49</v>
      </c>
      <c r="M70" s="12">
        <v>1.03</v>
      </c>
      <c r="N70" s="12">
        <v>232.45</v>
      </c>
      <c r="Q70" s="15">
        <f t="shared" si="3"/>
        <v>1.492386934</v>
      </c>
      <c r="R70" s="24">
        <f t="shared" si="4"/>
        <v>0.9322011308</v>
      </c>
      <c r="S70" s="19">
        <f t="shared" si="5"/>
        <v>1</v>
      </c>
      <c r="T70" s="15" t="e">
        <v>#N/A</v>
      </c>
      <c r="V70" s="15">
        <v>0.9724697188626198</v>
      </c>
      <c r="W70" s="15">
        <v>0.9724697188626198</v>
      </c>
      <c r="X70" s="15">
        <f t="shared" si="6"/>
        <v>0.7015209723</v>
      </c>
      <c r="Y70" s="24">
        <f t="shared" si="7"/>
        <v>0.7585110245</v>
      </c>
      <c r="Z70" s="15">
        <f t="shared" si="11"/>
        <v>1</v>
      </c>
      <c r="AB70" s="14"/>
      <c r="AD70" s="15">
        <f t="shared" si="31"/>
        <v>-0.03935454985</v>
      </c>
      <c r="AE70" s="15">
        <f t="shared" si="19"/>
        <v>0.4843038579</v>
      </c>
      <c r="AF70" s="15">
        <f t="shared" si="10"/>
        <v>0</v>
      </c>
      <c r="AG70" s="14"/>
    </row>
    <row r="71">
      <c r="A71" s="15">
        <f>(1.5519626-('2021'!E71*0.0000017073983)+('2021'!H71*0.0000013113498)+('2021'!U71*0.1451093)-('2021'!W71*0.0246584)-('2021'!AC71*0.790069)-('2021'!AD71*0.0024787)+('2021'!AF71*0.4651953)-('2021'!AN71*0.002701))</f>
        <v>4.261724886</v>
      </c>
      <c r="B71" s="22">
        <f t="shared" si="1"/>
        <v>4.261724886</v>
      </c>
      <c r="C71" s="23">
        <v>1.0</v>
      </c>
      <c r="D71" s="15">
        <f t="shared" si="2"/>
        <v>0</v>
      </c>
      <c r="G71" s="9">
        <v>307999.98</v>
      </c>
      <c r="H71" s="9">
        <v>1102441.37</v>
      </c>
      <c r="I71" s="12">
        <v>16.8</v>
      </c>
      <c r="J71" s="12">
        <v>12.95</v>
      </c>
      <c r="K71" s="12">
        <v>0.26</v>
      </c>
      <c r="L71" s="12">
        <v>254.6</v>
      </c>
      <c r="M71" s="12">
        <v>1.76</v>
      </c>
      <c r="N71" s="12">
        <v>115.07</v>
      </c>
      <c r="Q71" s="15">
        <f t="shared" si="3"/>
        <v>4.900377446</v>
      </c>
      <c r="R71" s="24">
        <f t="shared" si="4"/>
        <v>0.9999995217</v>
      </c>
      <c r="S71" s="19">
        <f t="shared" si="5"/>
        <v>1</v>
      </c>
      <c r="T71" s="25">
        <v>0.0</v>
      </c>
      <c r="V71" s="15">
        <v>-0.12592298097673402</v>
      </c>
      <c r="W71" s="15">
        <v>-0.12592298097673402</v>
      </c>
      <c r="X71" s="15">
        <f t="shared" si="6"/>
        <v>-8.124860177</v>
      </c>
      <c r="Y71" s="24">
        <f t="shared" si="7"/>
        <v>0</v>
      </c>
      <c r="Z71" s="15">
        <f t="shared" si="11"/>
        <v>0</v>
      </c>
      <c r="AA71" s="25">
        <v>0.0</v>
      </c>
      <c r="AB71" s="14">
        <f t="shared" ref="AB71:AB72" si="37">if(Z71=AA71,1,0)</f>
        <v>1</v>
      </c>
      <c r="AD71" s="15">
        <f t="shared" si="31"/>
        <v>-2.072522647</v>
      </c>
      <c r="AE71" s="15">
        <f t="shared" si="19"/>
        <v>0.01910836324</v>
      </c>
      <c r="AF71" s="15">
        <f t="shared" si="10"/>
        <v>0</v>
      </c>
      <c r="AG71" s="14">
        <f t="shared" ref="AG71:AG72" si="38">if(AF71=AH71,1,0)</f>
        <v>1</v>
      </c>
      <c r="AH71" s="25">
        <v>0.0</v>
      </c>
      <c r="AI71" s="19">
        <v>1.0</v>
      </c>
    </row>
    <row r="72">
      <c r="A72" s="15">
        <f>(1.5519626-('2021'!E72*0.0000017073983)+('2021'!H72*0.0000013113498)+('2021'!U72*0.1451093)-('2021'!W72*0.0246584)-('2021'!AC72*0.790069)-('2021'!AD72*0.0024787)+('2021'!AF72*0.4651953)-('2021'!AN72*0.002701))</f>
        <v>3.846121998</v>
      </c>
      <c r="B72" s="22">
        <f t="shared" si="1"/>
        <v>3.846118152</v>
      </c>
      <c r="C72" s="23">
        <v>0.999999</v>
      </c>
      <c r="D72" s="15">
        <f t="shared" si="2"/>
        <v>0</v>
      </c>
      <c r="E72" s="15" t="str">
        <f t="shared" ref="E72:E73" si="39">IF('temp result 2022'!B72=D72,1,0)</f>
        <v>#REF!</v>
      </c>
      <c r="G72" s="9">
        <v>149005.26</v>
      </c>
      <c r="H72" s="9">
        <v>775213.16</v>
      </c>
      <c r="I72" s="12">
        <v>14.03</v>
      </c>
      <c r="J72" s="12">
        <v>12.0</v>
      </c>
      <c r="K72" s="12">
        <v>0.69</v>
      </c>
      <c r="L72" s="12">
        <v>18.19</v>
      </c>
      <c r="M72" s="12">
        <v>1.39</v>
      </c>
      <c r="N72" s="12">
        <v>97.88</v>
      </c>
      <c r="Q72" s="15">
        <f t="shared" si="3"/>
        <v>4.437923598</v>
      </c>
      <c r="R72" s="24">
        <f t="shared" si="4"/>
        <v>0.9999954585</v>
      </c>
      <c r="S72" s="19">
        <f t="shared" si="5"/>
        <v>1</v>
      </c>
      <c r="T72" s="25">
        <v>0.0</v>
      </c>
      <c r="V72" s="15">
        <v>-0.022068890441178067</v>
      </c>
      <c r="W72" s="15">
        <v>-0.022068890441178067</v>
      </c>
      <c r="X72" s="15">
        <f t="shared" si="6"/>
        <v>-0.9023317612</v>
      </c>
      <c r="Y72" s="24">
        <f t="shared" si="7"/>
        <v>0.1834403292</v>
      </c>
      <c r="Z72" s="15">
        <f t="shared" si="11"/>
        <v>0</v>
      </c>
      <c r="AA72" s="25">
        <v>0.0</v>
      </c>
      <c r="AB72" s="14">
        <f t="shared" si="37"/>
        <v>1</v>
      </c>
      <c r="AD72" s="15">
        <f t="shared" si="31"/>
        <v>-0.4088040621</v>
      </c>
      <c r="AE72" s="15">
        <f t="shared" si="19"/>
        <v>0.3413417293</v>
      </c>
      <c r="AF72" s="15">
        <f t="shared" si="10"/>
        <v>0</v>
      </c>
      <c r="AG72" s="14">
        <f t="shared" si="38"/>
        <v>1</v>
      </c>
      <c r="AH72" s="25">
        <v>0.0</v>
      </c>
      <c r="AI72" s="19">
        <v>1.0</v>
      </c>
    </row>
    <row r="73">
      <c r="A73" s="15">
        <f>(1.5519626-('2021'!E73*0.0000017073983)+('2021'!H73*0.0000013113498)+('2021'!U73*0.1451093)-('2021'!W73*0.0246584)-('2021'!AC73*0.790069)-('2021'!AD73*0.0024787)+('2021'!AF73*0.4651953)-('2021'!AN73*0.002701))</f>
        <v>1.670155983</v>
      </c>
      <c r="B73" s="15">
        <f t="shared" si="1"/>
        <v>1.638939098</v>
      </c>
      <c r="C73" s="26">
        <v>0.981309</v>
      </c>
      <c r="D73" s="15">
        <f t="shared" si="2"/>
        <v>0</v>
      </c>
      <c r="E73" s="15" t="str">
        <f t="shared" si="39"/>
        <v>#REF!</v>
      </c>
      <c r="G73" s="9">
        <v>206650.84</v>
      </c>
      <c r="H73" s="9">
        <v>731438.12</v>
      </c>
      <c r="I73" s="12">
        <v>4.86</v>
      </c>
      <c r="J73" s="12">
        <v>2.4</v>
      </c>
      <c r="K73" s="12">
        <v>1.53</v>
      </c>
      <c r="L73" s="12">
        <v>2.0</v>
      </c>
      <c r="M73" s="12">
        <v>0.82</v>
      </c>
      <c r="N73" s="12">
        <v>111.77</v>
      </c>
      <c r="Q73" s="15">
        <f t="shared" si="3"/>
        <v>1.788516303</v>
      </c>
      <c r="R73" s="24">
        <f t="shared" si="4"/>
        <v>0.9631536261</v>
      </c>
      <c r="S73" s="19">
        <f t="shared" si="5"/>
        <v>1</v>
      </c>
      <c r="T73" s="25" t="e">
        <v>#N/A</v>
      </c>
      <c r="V73" s="15">
        <v>0.677299347309772</v>
      </c>
      <c r="W73" s="15">
        <v>0.677299347309772</v>
      </c>
      <c r="X73" s="15">
        <f t="shared" si="6"/>
        <v>0.4458035395</v>
      </c>
      <c r="Y73" s="24">
        <f t="shared" si="7"/>
        <v>0.6721304176</v>
      </c>
      <c r="Z73" s="15">
        <f t="shared" si="11"/>
        <v>1</v>
      </c>
      <c r="AA73" s="25"/>
      <c r="AB73" s="14"/>
      <c r="AD73" s="15">
        <f t="shared" si="31"/>
        <v>-0.09825938496</v>
      </c>
      <c r="AE73" s="15">
        <f t="shared" si="19"/>
        <v>0.4608631641</v>
      </c>
      <c r="AF73" s="15">
        <f t="shared" si="10"/>
        <v>0</v>
      </c>
      <c r="AG73" s="14"/>
      <c r="AH73" s="25"/>
    </row>
    <row r="74">
      <c r="A74" s="15">
        <f>(1.5519626-('2021'!E74*0.0000017073983)+('2021'!H74*0.0000013113498)+('2021'!U74*0.1451093)-('2021'!W74*0.0246584)-('2021'!AC74*0.790069)-('2021'!AD74*0.0024787)+('2021'!AF74*0.4651953)-('2021'!AN74*0.002701))</f>
        <v>0.9739852248</v>
      </c>
      <c r="B74" s="15">
        <f t="shared" si="1"/>
        <v>0.8935350192</v>
      </c>
      <c r="C74" s="26">
        <v>0.917401</v>
      </c>
      <c r="D74" s="15">
        <f t="shared" si="2"/>
        <v>0</v>
      </c>
      <c r="G74" s="9">
        <v>320000.0</v>
      </c>
      <c r="H74" s="9">
        <v>164715.13</v>
      </c>
      <c r="I74" s="12">
        <v>2.87</v>
      </c>
      <c r="J74" s="12">
        <v>6.87</v>
      </c>
      <c r="K74" s="12">
        <v>0.56</v>
      </c>
      <c r="L74" s="12">
        <v>2.73</v>
      </c>
      <c r="M74" s="12">
        <v>0.12</v>
      </c>
      <c r="N74" s="12">
        <v>37.5</v>
      </c>
      <c r="Q74" s="15">
        <f t="shared" si="3"/>
        <v>1.312791641</v>
      </c>
      <c r="R74" s="24">
        <f t="shared" si="4"/>
        <v>0.9053734162</v>
      </c>
      <c r="S74" s="19">
        <f t="shared" si="5"/>
        <v>1</v>
      </c>
      <c r="T74" s="25" t="e">
        <v>#N/A</v>
      </c>
      <c r="V74" s="15">
        <v>0.6950589737940824</v>
      </c>
      <c r="W74" s="15">
        <v>0.6950589737940824</v>
      </c>
      <c r="X74" s="15">
        <f t="shared" si="6"/>
        <v>0.7095890534</v>
      </c>
      <c r="Y74" s="24">
        <f t="shared" si="7"/>
        <v>0.7610204951</v>
      </c>
      <c r="Z74" s="15">
        <f t="shared" si="11"/>
        <v>1</v>
      </c>
      <c r="AA74" s="25"/>
      <c r="AB74" s="14"/>
      <c r="AD74" s="15">
        <f t="shared" si="31"/>
        <v>-0.03749605715</v>
      </c>
      <c r="AE74" s="15">
        <f t="shared" si="19"/>
        <v>0.4850447419</v>
      </c>
      <c r="AF74" s="15">
        <f t="shared" si="10"/>
        <v>0</v>
      </c>
      <c r="AG74" s="14"/>
      <c r="AH74" s="25"/>
    </row>
    <row r="75">
      <c r="A75" s="15">
        <f>(1.5519626-('2021'!E75*0.0000017073983)+('2021'!H75*0.0000013113498)+('2021'!U75*0.1451093)-('2021'!W75*0.0246584)-('2021'!AC75*0.790069)-('2021'!AD75*0.0024787)+('2021'!AF75*0.4651953)-('2021'!AN75*0.002701))</f>
        <v>-67.50981552</v>
      </c>
      <c r="B75" s="15">
        <f t="shared" si="1"/>
        <v>0</v>
      </c>
      <c r="C75" s="26">
        <v>0.0</v>
      </c>
      <c r="D75" s="15">
        <f t="shared" si="2"/>
        <v>1</v>
      </c>
      <c r="G75" s="9">
        <v>329340.68</v>
      </c>
      <c r="H75" s="9">
        <v>748571.72</v>
      </c>
      <c r="I75" s="12">
        <v>-27.12</v>
      </c>
      <c r="J75" s="12">
        <v>-76.65</v>
      </c>
      <c r="K75" s="12">
        <v>83.92</v>
      </c>
      <c r="L75" s="12">
        <v>-8.19</v>
      </c>
      <c r="M75" s="12">
        <v>0.09</v>
      </c>
      <c r="N75" s="12">
        <v>442.57</v>
      </c>
      <c r="Q75" s="15">
        <f t="shared" si="3"/>
        <v>-71.28994824</v>
      </c>
      <c r="R75" s="24">
        <f t="shared" si="4"/>
        <v>0</v>
      </c>
      <c r="S75" s="19">
        <f t="shared" si="5"/>
        <v>0</v>
      </c>
      <c r="T75" s="15" t="e">
        <v>#N/A</v>
      </c>
      <c r="V75" s="15">
        <v>18.708932422172783</v>
      </c>
      <c r="W75" s="15">
        <v>18.708932422172783</v>
      </c>
      <c r="X75" s="15">
        <f t="shared" si="6"/>
        <v>0.002218413714</v>
      </c>
      <c r="Y75" s="24">
        <f t="shared" si="7"/>
        <v>0.5008850183</v>
      </c>
      <c r="Z75" s="15">
        <f t="shared" si="11"/>
        <v>1</v>
      </c>
      <c r="AB75" s="14"/>
      <c r="AD75" s="15">
        <f t="shared" si="31"/>
        <v>-0.2004397815</v>
      </c>
      <c r="AE75" s="15">
        <f t="shared" si="19"/>
        <v>0.4205683248</v>
      </c>
      <c r="AF75" s="15">
        <f t="shared" si="10"/>
        <v>0</v>
      </c>
      <c r="AG75" s="14"/>
    </row>
    <row r="76">
      <c r="A76" s="15">
        <f>(1.5519626-('2021'!E76*0.0000017073983)+('2021'!H76*0.0000013113498)+('2021'!U76*0.1451093)-('2021'!W76*0.0246584)-('2021'!AC76*0.790069)-('2021'!AD76*0.0024787)+('2021'!AF76*0.4651953)-('2021'!AN76*0.002701))</f>
        <v>4.580029404</v>
      </c>
      <c r="B76" s="22">
        <f t="shared" si="1"/>
        <v>4.580029404</v>
      </c>
      <c r="C76" s="23">
        <v>1.0</v>
      </c>
      <c r="D76" s="15">
        <f t="shared" si="2"/>
        <v>0</v>
      </c>
      <c r="G76" s="9">
        <v>227500.0</v>
      </c>
      <c r="H76" s="9">
        <v>380828.63</v>
      </c>
      <c r="I76" s="12">
        <v>5.54</v>
      </c>
      <c r="J76" s="12">
        <v>6.92</v>
      </c>
      <c r="K76" s="12">
        <v>0.3</v>
      </c>
      <c r="L76" s="12">
        <v>4.44</v>
      </c>
      <c r="M76" s="12">
        <v>5.71</v>
      </c>
      <c r="N76" s="12">
        <v>46.06</v>
      </c>
      <c r="Q76" s="15">
        <f t="shared" si="3"/>
        <v>4.92130166</v>
      </c>
      <c r="R76" s="24">
        <f t="shared" si="4"/>
        <v>0.9999995701</v>
      </c>
      <c r="S76" s="19">
        <f t="shared" si="5"/>
        <v>1</v>
      </c>
      <c r="T76" s="25">
        <v>0.0</v>
      </c>
      <c r="V76" s="15">
        <v>-0.5729011740784902</v>
      </c>
      <c r="W76" s="15">
        <v>-0.5729011740784902</v>
      </c>
      <c r="X76" s="15">
        <f t="shared" si="6"/>
        <v>-0.9326222755</v>
      </c>
      <c r="Y76" s="24">
        <f t="shared" si="7"/>
        <v>0.175507514</v>
      </c>
      <c r="Z76" s="15">
        <f t="shared" si="11"/>
        <v>0</v>
      </c>
      <c r="AA76" s="25">
        <v>0.0</v>
      </c>
      <c r="AB76" s="14">
        <f t="shared" ref="AB76:AB80" si="40">if(Z76=AA76,1,0)</f>
        <v>1</v>
      </c>
      <c r="AD76" s="15">
        <f t="shared" si="31"/>
        <v>-0.4157815205</v>
      </c>
      <c r="AE76" s="15">
        <f t="shared" si="19"/>
        <v>0.3387849412</v>
      </c>
      <c r="AF76" s="15">
        <f t="shared" si="10"/>
        <v>0</v>
      </c>
      <c r="AG76" s="14">
        <f t="shared" ref="AG76:AG80" si="41">if(AF76=AH76,1,0)</f>
        <v>1</v>
      </c>
      <c r="AH76" s="25">
        <v>0.0</v>
      </c>
      <c r="AI76" s="19">
        <v>1.0</v>
      </c>
    </row>
    <row r="77">
      <c r="A77" s="15">
        <f>(1.5519626-('2021'!E77*0.0000017073983)+('2021'!H77*0.0000013113498)+('2021'!U77*0.1451093)-('2021'!W77*0.0246584)-('2021'!AC77*0.790069)-('2021'!AD77*0.0024787)+('2021'!AF77*0.4651953)-('2021'!AN77*0.002701))</f>
        <v>4.444267976</v>
      </c>
      <c r="B77" s="22">
        <f t="shared" si="1"/>
        <v>4.444267976</v>
      </c>
      <c r="C77" s="23">
        <v>1.0</v>
      </c>
      <c r="D77" s="15">
        <f t="shared" si="2"/>
        <v>0</v>
      </c>
      <c r="E77" s="15" t="str">
        <f t="shared" ref="E77:E81" si="42">IF('temp result 2022'!B77=D77,1,0)</f>
        <v>#REF!</v>
      </c>
      <c r="G77" s="9">
        <v>174273.13</v>
      </c>
      <c r="H77" s="9">
        <v>1250812.17</v>
      </c>
      <c r="I77" s="12">
        <v>13.85</v>
      </c>
      <c r="J77" s="12">
        <v>14.63</v>
      </c>
      <c r="K77" s="12">
        <v>0.58</v>
      </c>
      <c r="L77" s="12">
        <v>66.29</v>
      </c>
      <c r="M77" s="12">
        <v>2.11</v>
      </c>
      <c r="N77" s="12">
        <v>169.72</v>
      </c>
      <c r="Q77" s="15">
        <f t="shared" si="3"/>
        <v>5.16577276</v>
      </c>
      <c r="R77" s="24">
        <f t="shared" si="4"/>
        <v>0.9999998803</v>
      </c>
      <c r="S77" s="19">
        <f t="shared" si="5"/>
        <v>1</v>
      </c>
      <c r="T77" s="25">
        <v>0.0</v>
      </c>
      <c r="V77" s="15">
        <v>-0.10635811915217316</v>
      </c>
      <c r="W77" s="15">
        <v>-0.10635811915217316</v>
      </c>
      <c r="X77" s="15">
        <f t="shared" si="6"/>
        <v>-2.297640763</v>
      </c>
      <c r="Y77" s="24">
        <f t="shared" si="7"/>
        <v>0.0107911218</v>
      </c>
      <c r="Z77" s="15">
        <f t="shared" si="11"/>
        <v>0</v>
      </c>
      <c r="AA77" s="25">
        <v>0.0</v>
      </c>
      <c r="AB77" s="14">
        <f t="shared" si="40"/>
        <v>1</v>
      </c>
      <c r="AD77" s="15">
        <f t="shared" si="31"/>
        <v>-0.7302152611</v>
      </c>
      <c r="AE77" s="15">
        <f t="shared" si="19"/>
        <v>0.2326293078</v>
      </c>
      <c r="AF77" s="15">
        <f t="shared" si="10"/>
        <v>0</v>
      </c>
      <c r="AG77" s="14">
        <f t="shared" si="41"/>
        <v>1</v>
      </c>
      <c r="AH77" s="25">
        <v>0.0</v>
      </c>
      <c r="AI77" s="19">
        <v>1.0</v>
      </c>
    </row>
    <row r="78">
      <c r="A78" s="15">
        <f>(1.5519626-('2021'!E78*0.0000017073983)+('2021'!H78*0.0000013113498)+('2021'!U78*0.1451093)-('2021'!W78*0.0246584)-('2021'!AC78*0.790069)-('2021'!AD78*0.0024787)+('2021'!AF78*0.4651953)-('2021'!AN78*0.002701))</f>
        <v>-0.8000504406</v>
      </c>
      <c r="B78" s="15">
        <f t="shared" si="1"/>
        <v>-0.1908608332</v>
      </c>
      <c r="C78" s="26">
        <v>0.238561</v>
      </c>
      <c r="D78" s="15">
        <f t="shared" si="2"/>
        <v>1</v>
      </c>
      <c r="E78" s="15" t="str">
        <f t="shared" si="42"/>
        <v>#REF!</v>
      </c>
      <c r="G78" s="9">
        <v>179999.77</v>
      </c>
      <c r="H78" s="9">
        <v>817123.27</v>
      </c>
      <c r="I78" s="12">
        <v>-3.74</v>
      </c>
      <c r="J78" s="12">
        <v>-5.44</v>
      </c>
      <c r="K78" s="12">
        <v>3.25</v>
      </c>
      <c r="L78" s="12">
        <v>-2.47</v>
      </c>
      <c r="M78" s="12">
        <v>0.47</v>
      </c>
      <c r="N78" s="12">
        <v>135.02</v>
      </c>
      <c r="Q78" s="15">
        <f t="shared" si="3"/>
        <v>-1.068333833</v>
      </c>
      <c r="R78" s="24">
        <f t="shared" si="4"/>
        <v>0.1426849762</v>
      </c>
      <c r="S78" s="19">
        <f t="shared" si="5"/>
        <v>0</v>
      </c>
      <c r="T78" s="25">
        <v>1.0</v>
      </c>
      <c r="V78" s="15">
        <v>1.4229027079517018</v>
      </c>
      <c r="W78" s="15">
        <v>1.4229027079517018</v>
      </c>
      <c r="X78" s="15">
        <f t="shared" si="6"/>
        <v>1.284454762</v>
      </c>
      <c r="Y78" s="24">
        <f t="shared" si="7"/>
        <v>0.9005085588</v>
      </c>
      <c r="Z78" s="15">
        <f t="shared" si="11"/>
        <v>1</v>
      </c>
      <c r="AA78" s="25">
        <v>1.0</v>
      </c>
      <c r="AB78" s="14">
        <f t="shared" si="40"/>
        <v>1</v>
      </c>
      <c r="AD78" s="15">
        <f t="shared" si="31"/>
        <v>0.09492498831</v>
      </c>
      <c r="AE78" s="15">
        <f t="shared" si="19"/>
        <v>0.5378127958</v>
      </c>
      <c r="AF78" s="15">
        <f t="shared" si="10"/>
        <v>1</v>
      </c>
      <c r="AG78" s="14">
        <f t="shared" si="41"/>
        <v>1</v>
      </c>
      <c r="AH78" s="25">
        <v>1.0</v>
      </c>
      <c r="AI78" s="19">
        <v>1.0</v>
      </c>
    </row>
    <row r="79">
      <c r="A79" s="15">
        <f>(1.5519626-('2021'!E79*0.0000017073983)+('2021'!H79*0.0000013113498)+('2021'!U79*0.1451093)-('2021'!W79*0.0246584)-('2021'!AC79*0.790069)-('2021'!AD79*0.0024787)+('2021'!AF79*0.4651953)-('2021'!AN79*0.002701))</f>
        <v>-0.6376054589</v>
      </c>
      <c r="B79" s="15">
        <f t="shared" si="1"/>
        <v>-0.08574008127</v>
      </c>
      <c r="C79" s="26">
        <v>0.134472</v>
      </c>
      <c r="D79" s="15">
        <f t="shared" si="2"/>
        <v>1</v>
      </c>
      <c r="E79" s="15" t="str">
        <f t="shared" si="42"/>
        <v>#REF!</v>
      </c>
      <c r="G79" s="9">
        <v>278000.0</v>
      </c>
      <c r="H79" s="9">
        <v>605749.66</v>
      </c>
      <c r="I79" s="12">
        <v>-10.49</v>
      </c>
      <c r="J79" s="12">
        <v>-12.83</v>
      </c>
      <c r="K79" s="12">
        <v>1.83</v>
      </c>
      <c r="L79" s="12">
        <v>-15.45</v>
      </c>
      <c r="M79" s="12">
        <v>0.61</v>
      </c>
      <c r="N79" s="12">
        <v>66.52</v>
      </c>
      <c r="Q79" s="15">
        <f t="shared" si="3"/>
        <v>-1.270340003</v>
      </c>
      <c r="R79" s="24">
        <f t="shared" si="4"/>
        <v>0.1019817723</v>
      </c>
      <c r="S79" s="19">
        <f t="shared" si="5"/>
        <v>0</v>
      </c>
      <c r="T79" s="25">
        <v>0.0</v>
      </c>
      <c r="V79" s="15">
        <v>1.322761782181449</v>
      </c>
      <c r="W79" s="15">
        <v>1.322761782181449</v>
      </c>
      <c r="X79" s="15">
        <f t="shared" si="6"/>
        <v>1.938291656</v>
      </c>
      <c r="Y79" s="24">
        <f t="shared" si="7"/>
        <v>0.9737061751</v>
      </c>
      <c r="Z79" s="15">
        <f t="shared" si="11"/>
        <v>1</v>
      </c>
      <c r="AA79" s="25">
        <v>0.0</v>
      </c>
      <c r="AB79" s="14">
        <f t="shared" si="40"/>
        <v>0</v>
      </c>
      <c r="AD79" s="15">
        <f t="shared" si="31"/>
        <v>0.2455371464</v>
      </c>
      <c r="AE79" s="15">
        <f t="shared" si="19"/>
        <v>0.5969797252</v>
      </c>
      <c r="AF79" s="15">
        <f t="shared" si="10"/>
        <v>1</v>
      </c>
      <c r="AG79" s="14">
        <f t="shared" si="41"/>
        <v>0</v>
      </c>
      <c r="AH79" s="25">
        <v>0.0</v>
      </c>
      <c r="AI79" s="19">
        <v>1.0</v>
      </c>
    </row>
    <row r="80">
      <c r="A80" s="15">
        <f>(1.5519626-('2021'!E80*0.0000017073983)+('2021'!H80*0.0000013113498)+('2021'!U80*0.1451093)-('2021'!W80*0.0246584)-('2021'!AC80*0.790069)-('2021'!AD80*0.0024787)+('2021'!AF80*0.4651953)-('2021'!AN80*0.002701))</f>
        <v>1.607458889</v>
      </c>
      <c r="B80" s="15">
        <f t="shared" si="1"/>
        <v>1.523684561</v>
      </c>
      <c r="C80" s="26">
        <v>0.947884</v>
      </c>
      <c r="D80" s="15">
        <f t="shared" si="2"/>
        <v>0</v>
      </c>
      <c r="E80" s="15" t="str">
        <f t="shared" si="42"/>
        <v>#REF!</v>
      </c>
      <c r="G80" s="9">
        <v>170000.0</v>
      </c>
      <c r="H80" s="9">
        <v>438578.17</v>
      </c>
      <c r="I80" s="12">
        <v>0.2</v>
      </c>
      <c r="J80" s="12">
        <v>-1.11</v>
      </c>
      <c r="K80" s="12">
        <v>0.43</v>
      </c>
      <c r="L80" s="12">
        <v>0.27</v>
      </c>
      <c r="M80" s="12">
        <v>0.33</v>
      </c>
      <c r="N80" s="12">
        <v>36.61</v>
      </c>
      <c r="Q80" s="15">
        <f t="shared" si="3"/>
        <v>1.552717241</v>
      </c>
      <c r="R80" s="24">
        <f t="shared" si="4"/>
        <v>0.9397546492</v>
      </c>
      <c r="S80" s="19">
        <f t="shared" si="5"/>
        <v>1</v>
      </c>
      <c r="T80" s="25">
        <v>0.0</v>
      </c>
      <c r="V80" s="15">
        <v>0.620454377809959</v>
      </c>
      <c r="W80" s="15">
        <v>0.620454377809959</v>
      </c>
      <c r="X80" s="15">
        <f t="shared" si="6"/>
        <v>0.7589454302</v>
      </c>
      <c r="Y80" s="24">
        <f t="shared" si="7"/>
        <v>0.7760573995</v>
      </c>
      <c r="Z80" s="15">
        <f t="shared" si="11"/>
        <v>1</v>
      </c>
      <c r="AA80" s="25">
        <v>0.0</v>
      </c>
      <c r="AB80" s="14">
        <f t="shared" si="40"/>
        <v>0</v>
      </c>
      <c r="AD80" s="15">
        <f t="shared" si="31"/>
        <v>-0.02612675311</v>
      </c>
      <c r="AE80" s="15">
        <f t="shared" si="19"/>
        <v>0.4895781192</v>
      </c>
      <c r="AF80" s="15">
        <f t="shared" si="10"/>
        <v>0</v>
      </c>
      <c r="AG80" s="14">
        <f t="shared" si="41"/>
        <v>1</v>
      </c>
      <c r="AH80" s="25">
        <v>0.0</v>
      </c>
      <c r="AI80" s="19">
        <v>1.0</v>
      </c>
    </row>
    <row r="81">
      <c r="A81" s="15">
        <f>(1.5519626-('2021'!E81*0.0000017073983)+('2021'!H81*0.0000013113498)+('2021'!U81*0.1451093)-('2021'!W81*0.0246584)-('2021'!AC81*0.790069)-('2021'!AD81*0.0024787)+('2021'!AF81*0.4651953)-('2021'!AN81*0.002701))</f>
        <v>-0.1629673243</v>
      </c>
      <c r="B81" s="15">
        <f t="shared" si="1"/>
        <v>-0.01678123428</v>
      </c>
      <c r="C81" s="26">
        <v>0.102973</v>
      </c>
      <c r="D81" s="15">
        <f t="shared" si="2"/>
        <v>1</v>
      </c>
      <c r="E81" s="15" t="str">
        <f t="shared" si="42"/>
        <v>#REF!</v>
      </c>
      <c r="G81" s="9">
        <v>1124417.3</v>
      </c>
      <c r="H81" s="9">
        <v>572982.98</v>
      </c>
      <c r="I81" s="12">
        <v>-7.47</v>
      </c>
      <c r="J81" s="12">
        <v>-24.71</v>
      </c>
      <c r="K81" s="12">
        <v>0.54</v>
      </c>
      <c r="L81" s="12">
        <v>-6.71</v>
      </c>
      <c r="M81" s="12">
        <v>1.02</v>
      </c>
      <c r="N81" s="12">
        <v>50.47</v>
      </c>
      <c r="Q81" s="15">
        <f t="shared" si="3"/>
        <v>-1.381585452</v>
      </c>
      <c r="R81" s="24">
        <f t="shared" si="4"/>
        <v>0.08354951167</v>
      </c>
      <c r="S81" s="19">
        <f t="shared" si="5"/>
        <v>0</v>
      </c>
      <c r="T81" s="25" t="e">
        <v>#N/A</v>
      </c>
      <c r="V81" s="15">
        <v>1.2853410937613499</v>
      </c>
      <c r="W81" s="15">
        <v>1.2853410937613499</v>
      </c>
      <c r="X81" s="15">
        <f t="shared" si="6"/>
        <v>1.333581124</v>
      </c>
      <c r="Y81" s="24">
        <f t="shared" si="7"/>
        <v>0.9088294137</v>
      </c>
      <c r="Z81" s="15">
        <f t="shared" si="11"/>
        <v>1</v>
      </c>
      <c r="AA81" s="25"/>
      <c r="AB81" s="14"/>
      <c r="AD81" s="15">
        <f t="shared" si="31"/>
        <v>0.106241308</v>
      </c>
      <c r="AE81" s="15">
        <f t="shared" si="19"/>
        <v>0.5423045513</v>
      </c>
      <c r="AF81" s="15">
        <f t="shared" si="10"/>
        <v>1</v>
      </c>
      <c r="AG81" s="14"/>
      <c r="AH81" s="25"/>
    </row>
    <row r="82">
      <c r="A82" s="15">
        <f>(1.5519626-('2021'!E82*0.0000017073983)+('2021'!H82*0.0000013113498)+('2021'!U82*0.1451093)-('2021'!W82*0.0246584)-('2021'!AC82*0.790069)-('2021'!AD82*0.0024787)+('2021'!AF82*0.4651953)-('2021'!AN82*0.002701))</f>
        <v>3.006159274</v>
      </c>
      <c r="B82" s="15">
        <f t="shared" si="1"/>
        <v>3.004448769</v>
      </c>
      <c r="C82" s="26">
        <v>0.999431</v>
      </c>
      <c r="D82" s="15">
        <f t="shared" si="2"/>
        <v>0</v>
      </c>
      <c r="G82" s="9">
        <v>115000.0</v>
      </c>
      <c r="H82" s="9">
        <v>971881.38</v>
      </c>
      <c r="I82" s="12">
        <v>9.56</v>
      </c>
      <c r="J82" s="12">
        <v>2.62</v>
      </c>
      <c r="K82" s="12">
        <v>1.2</v>
      </c>
      <c r="L82" s="12">
        <v>11.39</v>
      </c>
      <c r="M82" s="12">
        <v>0.36</v>
      </c>
      <c r="N82" s="12">
        <v>50.99</v>
      </c>
      <c r="Q82" s="15">
        <f t="shared" si="3"/>
        <v>3.13536929</v>
      </c>
      <c r="R82" s="24">
        <f t="shared" si="4"/>
        <v>0.9991418105</v>
      </c>
      <c r="S82" s="19">
        <f t="shared" si="5"/>
        <v>1</v>
      </c>
      <c r="T82" s="25">
        <v>0.0</v>
      </c>
      <c r="V82" s="15">
        <v>0.272165457507059</v>
      </c>
      <c r="W82" s="15">
        <v>0.272165457507059</v>
      </c>
      <c r="X82" s="15">
        <f t="shared" si="6"/>
        <v>-0.5675510444</v>
      </c>
      <c r="Y82" s="24">
        <f t="shared" si="7"/>
        <v>0.2851699285</v>
      </c>
      <c r="Z82" s="15">
        <f t="shared" si="11"/>
        <v>0</v>
      </c>
      <c r="AA82" s="25">
        <v>0.0</v>
      </c>
      <c r="AB82" s="14">
        <f t="shared" ref="AB82:AB86" si="43">if(Z82=AA82,1,0)</f>
        <v>1</v>
      </c>
      <c r="AD82" s="15">
        <f t="shared" si="31"/>
        <v>-0.3316868992</v>
      </c>
      <c r="AE82" s="15">
        <f t="shared" si="19"/>
        <v>0.3700628471</v>
      </c>
      <c r="AF82" s="15">
        <f t="shared" si="10"/>
        <v>0</v>
      </c>
      <c r="AG82" s="14">
        <f t="shared" ref="AG82:AG86" si="44">if(AF82=AH82,1,0)</f>
        <v>1</v>
      </c>
      <c r="AH82" s="25">
        <v>0.0</v>
      </c>
      <c r="AI82" s="19">
        <v>1.0</v>
      </c>
    </row>
    <row r="83">
      <c r="A83" s="15">
        <f>(1.5519626-('2021'!E83*0.0000017073983)+('2021'!H83*0.0000013113498)+('2021'!U83*0.1451093)-('2021'!W83*0.0246584)-('2021'!AC83*0.790069)-('2021'!AD83*0.0024787)+('2021'!AF83*0.4651953)-('2021'!AN83*0.002701))</f>
        <v>1.440609754</v>
      </c>
      <c r="B83" s="15">
        <f t="shared" si="1"/>
        <v>1.321952491</v>
      </c>
      <c r="C83" s="26">
        <v>0.917634</v>
      </c>
      <c r="D83" s="15">
        <f t="shared" si="2"/>
        <v>0</v>
      </c>
      <c r="E83" s="15" t="str">
        <f t="shared" ref="E83:E87" si="45">IF('temp result 2022'!B83=D83,1,0)</f>
        <v>#REF!</v>
      </c>
      <c r="G83" s="9">
        <v>214250.0</v>
      </c>
      <c r="H83" s="9">
        <v>558283.15</v>
      </c>
      <c r="I83" s="12">
        <v>-2.19</v>
      </c>
      <c r="J83" s="12">
        <v>-3.92</v>
      </c>
      <c r="K83" s="12">
        <v>0.57</v>
      </c>
      <c r="L83" s="12">
        <v>-1.51</v>
      </c>
      <c r="M83" s="12">
        <v>0.75</v>
      </c>
      <c r="N83" s="12">
        <v>58.8</v>
      </c>
      <c r="Q83" s="15">
        <f t="shared" si="3"/>
        <v>1.247287898</v>
      </c>
      <c r="R83" s="24">
        <f t="shared" si="4"/>
        <v>0.8938540234</v>
      </c>
      <c r="S83" s="19">
        <f t="shared" si="5"/>
        <v>1</v>
      </c>
      <c r="T83" s="25">
        <v>0.0</v>
      </c>
      <c r="V83" s="15">
        <v>0.7046068010724641</v>
      </c>
      <c r="W83" s="15">
        <v>0.7046068010724641</v>
      </c>
      <c r="X83" s="15">
        <f t="shared" si="6"/>
        <v>0.9414427014</v>
      </c>
      <c r="Y83" s="24">
        <f t="shared" si="7"/>
        <v>0.8267609803</v>
      </c>
      <c r="Z83" s="15">
        <f t="shared" si="11"/>
        <v>1</v>
      </c>
      <c r="AA83" s="25">
        <v>0.0</v>
      </c>
      <c r="AB83" s="14">
        <f t="shared" si="43"/>
        <v>0</v>
      </c>
      <c r="AD83" s="15">
        <f t="shared" si="31"/>
        <v>0.01591172487</v>
      </c>
      <c r="AE83" s="15">
        <f t="shared" si="19"/>
        <v>0.506347592</v>
      </c>
      <c r="AF83" s="15">
        <f t="shared" si="10"/>
        <v>1</v>
      </c>
      <c r="AG83" s="14">
        <f t="shared" si="44"/>
        <v>0</v>
      </c>
      <c r="AH83" s="25">
        <v>0.0</v>
      </c>
      <c r="AI83" s="19">
        <v>1.0</v>
      </c>
    </row>
    <row r="84">
      <c r="A84" s="15">
        <f>(1.5519626-('2021'!E84*0.0000017073983)+('2021'!H84*0.0000013113498)+('2021'!U84*0.1451093)-('2021'!W84*0.0246584)-('2021'!AC84*0.790069)-('2021'!AD84*0.0024787)+('2021'!AF84*0.4651953)-('2021'!AN84*0.002701))</f>
        <v>3.735280662</v>
      </c>
      <c r="B84" s="22">
        <f t="shared" si="1"/>
        <v>3.735265721</v>
      </c>
      <c r="C84" s="23">
        <v>0.999996</v>
      </c>
      <c r="D84" s="15">
        <f t="shared" si="2"/>
        <v>0</v>
      </c>
      <c r="E84" s="15" t="str">
        <f t="shared" si="45"/>
        <v>#REF!</v>
      </c>
      <c r="G84" s="9">
        <v>215000.0</v>
      </c>
      <c r="H84" s="9">
        <v>398751.46</v>
      </c>
      <c r="I84" s="12">
        <v>11.12</v>
      </c>
      <c r="J84" s="12">
        <v>12.24</v>
      </c>
      <c r="K84" s="12">
        <v>0.34</v>
      </c>
      <c r="L84" s="12">
        <v>20.82</v>
      </c>
      <c r="M84" s="12">
        <v>2.51</v>
      </c>
      <c r="N84" s="12">
        <v>48.76</v>
      </c>
      <c r="Q84" s="15">
        <f t="shared" si="3"/>
        <v>4.338918294</v>
      </c>
      <c r="R84" s="24">
        <f t="shared" si="4"/>
        <v>0.9999928407</v>
      </c>
      <c r="S84" s="19">
        <f t="shared" si="5"/>
        <v>1</v>
      </c>
      <c r="T84" s="25">
        <v>0.0</v>
      </c>
      <c r="V84" s="15">
        <v>-0.18308623396734747</v>
      </c>
      <c r="W84" s="15">
        <v>-0.18308623396734747</v>
      </c>
      <c r="X84" s="15">
        <f t="shared" si="6"/>
        <v>-1.065352614</v>
      </c>
      <c r="Y84" s="24">
        <f t="shared" si="7"/>
        <v>0.1433581958</v>
      </c>
      <c r="Z84" s="15">
        <f t="shared" si="11"/>
        <v>0</v>
      </c>
      <c r="AA84" s="25">
        <v>0.0</v>
      </c>
      <c r="AB84" s="14">
        <f t="shared" si="43"/>
        <v>1</v>
      </c>
      <c r="AD84" s="15">
        <f t="shared" si="31"/>
        <v>-0.4463561225</v>
      </c>
      <c r="AE84" s="15">
        <f t="shared" si="19"/>
        <v>0.3276700111</v>
      </c>
      <c r="AF84" s="15">
        <f t="shared" si="10"/>
        <v>0</v>
      </c>
      <c r="AG84" s="14">
        <f t="shared" si="44"/>
        <v>1</v>
      </c>
      <c r="AH84" s="25">
        <v>0.0</v>
      </c>
      <c r="AI84" s="19">
        <v>1.0</v>
      </c>
    </row>
    <row r="85">
      <c r="A85" s="15">
        <f>(1.5519626-('2021'!E85*0.0000017073983)+('2021'!H85*0.0000013113498)+('2021'!U85*0.1451093)-('2021'!W85*0.0246584)-('2021'!AC85*0.790069)-('2021'!AD85*0.0024787)+('2021'!AF85*0.4651953)-('2021'!AN85*0.002701))</f>
        <v>-0.6766541377</v>
      </c>
      <c r="B85" s="15">
        <f t="shared" si="1"/>
        <v>-0.4366598014</v>
      </c>
      <c r="C85" s="26">
        <v>0.645322</v>
      </c>
      <c r="D85" s="15">
        <f t="shared" si="2"/>
        <v>0</v>
      </c>
      <c r="E85" s="15" t="str">
        <f t="shared" si="45"/>
        <v>#REF!</v>
      </c>
      <c r="G85" s="9">
        <v>343199.96</v>
      </c>
      <c r="H85" s="9">
        <v>801001.39</v>
      </c>
      <c r="I85" s="12">
        <v>13.68</v>
      </c>
      <c r="J85" s="12">
        <v>15.63</v>
      </c>
      <c r="K85" s="12">
        <v>1.92</v>
      </c>
      <c r="L85" s="9">
        <v>1048.78</v>
      </c>
      <c r="M85" s="12">
        <v>0.24</v>
      </c>
      <c r="N85" s="12">
        <v>106.56</v>
      </c>
      <c r="Q85" s="15">
        <f t="shared" si="3"/>
        <v>0.09416744631</v>
      </c>
      <c r="R85" s="24">
        <f t="shared" si="4"/>
        <v>0.537511928</v>
      </c>
      <c r="S85" s="19">
        <f t="shared" si="5"/>
        <v>1</v>
      </c>
      <c r="T85" s="25">
        <v>0.0</v>
      </c>
      <c r="V85" s="15">
        <v>1.1099149713762246</v>
      </c>
      <c r="W85" s="15">
        <v>1.1099149713762246</v>
      </c>
      <c r="X85" s="15">
        <f t="shared" si="6"/>
        <v>-30.52421752</v>
      </c>
      <c r="Y85" s="24">
        <f t="shared" si="7"/>
        <v>0</v>
      </c>
      <c r="Z85" s="15">
        <f t="shared" si="11"/>
        <v>0</v>
      </c>
      <c r="AA85" s="25">
        <v>0.0</v>
      </c>
      <c r="AB85" s="14">
        <f t="shared" si="43"/>
        <v>1</v>
      </c>
      <c r="AD85" s="15">
        <f t="shared" si="31"/>
        <v>-7.232243034</v>
      </c>
      <c r="AE85" s="15">
        <f t="shared" si="19"/>
        <v>0</v>
      </c>
      <c r="AF85" s="15">
        <f t="shared" si="10"/>
        <v>0</v>
      </c>
      <c r="AG85" s="14">
        <f t="shared" si="44"/>
        <v>1</v>
      </c>
      <c r="AH85" s="25">
        <v>0.0</v>
      </c>
      <c r="AI85" s="19">
        <v>1.0</v>
      </c>
    </row>
    <row r="86">
      <c r="A86" s="15">
        <f>(1.5519626-('2021'!E86*0.0000017073983)+('2021'!H86*0.0000013113498)+('2021'!U86*0.1451093)-('2021'!W86*0.0246584)-('2021'!AC86*0.790069)-('2021'!AD86*0.0024787)+('2021'!AF86*0.4651953)-('2021'!AN86*0.002701))</f>
        <v>3.84473494</v>
      </c>
      <c r="B86" s="22">
        <f t="shared" si="1"/>
        <v>3.84472725</v>
      </c>
      <c r="C86" s="23">
        <v>0.999998</v>
      </c>
      <c r="D86" s="15">
        <f t="shared" si="2"/>
        <v>0</v>
      </c>
      <c r="E86" s="15" t="str">
        <f t="shared" si="45"/>
        <v>#REF!</v>
      </c>
      <c r="G86" s="9">
        <v>210000.0</v>
      </c>
      <c r="H86" s="9">
        <v>479316.79</v>
      </c>
      <c r="I86" s="12">
        <v>15.65</v>
      </c>
      <c r="J86" s="12">
        <v>14.46</v>
      </c>
      <c r="K86" s="12">
        <v>0.46</v>
      </c>
      <c r="L86" s="12">
        <v>25.25</v>
      </c>
      <c r="M86" s="12">
        <v>1.3</v>
      </c>
      <c r="N86" s="12">
        <v>26.05</v>
      </c>
      <c r="Q86" s="15">
        <f t="shared" si="3"/>
        <v>4.557855868</v>
      </c>
      <c r="R86" s="24">
        <f t="shared" si="4"/>
        <v>0.9999974161</v>
      </c>
      <c r="S86" s="19">
        <f t="shared" si="5"/>
        <v>1</v>
      </c>
      <c r="T86" s="25">
        <v>0.0</v>
      </c>
      <c r="V86" s="15">
        <v>-0.18722708315148268</v>
      </c>
      <c r="W86" s="15">
        <v>-0.18722708315148268</v>
      </c>
      <c r="X86" s="15">
        <f t="shared" si="6"/>
        <v>-1.443808334</v>
      </c>
      <c r="Y86" s="24">
        <f t="shared" si="7"/>
        <v>0.07439644848</v>
      </c>
      <c r="Z86" s="15">
        <f t="shared" si="11"/>
        <v>0</v>
      </c>
      <c r="AA86" s="25">
        <v>0.0</v>
      </c>
      <c r="AB86" s="14">
        <f t="shared" si="43"/>
        <v>1</v>
      </c>
      <c r="AD86" s="15">
        <f t="shared" si="31"/>
        <v>-0.5335338778</v>
      </c>
      <c r="AE86" s="15">
        <f t="shared" si="19"/>
        <v>0.2968320331</v>
      </c>
      <c r="AF86" s="15">
        <f t="shared" si="10"/>
        <v>0</v>
      </c>
      <c r="AG86" s="14">
        <f t="shared" si="44"/>
        <v>1</v>
      </c>
      <c r="AH86" s="25">
        <v>0.0</v>
      </c>
      <c r="AI86" s="19">
        <v>1.0</v>
      </c>
    </row>
    <row r="87">
      <c r="A87" s="15">
        <f>(1.5519626-('2021'!E87*0.0000017073983)+('2021'!H87*0.0000013113498)+('2021'!U87*0.1451093)-('2021'!W87*0.0246584)-('2021'!AC87*0.790069)-('2021'!AD87*0.0024787)+('2021'!AF87*0.4651953)-('2021'!AN87*0.002701))</f>
        <v>1.121253627</v>
      </c>
      <c r="B87" s="15">
        <f t="shared" si="1"/>
        <v>0.9139528927</v>
      </c>
      <c r="C87" s="26">
        <v>0.815117</v>
      </c>
      <c r="D87" s="15">
        <f t="shared" si="2"/>
        <v>0</v>
      </c>
      <c r="E87" s="15" t="str">
        <f t="shared" si="45"/>
        <v>#REF!</v>
      </c>
      <c r="G87" s="9">
        <v>150000.0</v>
      </c>
      <c r="H87" s="9">
        <v>384348.18</v>
      </c>
      <c r="I87" s="12">
        <v>-2.48</v>
      </c>
      <c r="J87" s="12">
        <v>-6.41</v>
      </c>
      <c r="K87" s="12">
        <v>1.22</v>
      </c>
      <c r="L87" s="12">
        <v>-0.78</v>
      </c>
      <c r="M87" s="12">
        <v>1.29</v>
      </c>
      <c r="N87" s="12">
        <v>42.56</v>
      </c>
      <c r="Q87" s="15">
        <f t="shared" si="3"/>
        <v>0.805132939</v>
      </c>
      <c r="R87" s="24">
        <f t="shared" si="4"/>
        <v>0.7896285151</v>
      </c>
      <c r="S87" s="19">
        <f t="shared" si="5"/>
        <v>1</v>
      </c>
      <c r="T87" s="25" t="e">
        <v>#N/A</v>
      </c>
      <c r="V87" s="15">
        <v>0.7347117312747306</v>
      </c>
      <c r="W87" s="15">
        <v>0.7347117312747306</v>
      </c>
      <c r="X87" s="15">
        <f t="shared" si="6"/>
        <v>0.7763251536</v>
      </c>
      <c r="Y87" s="24">
        <f t="shared" si="7"/>
        <v>0.7812214876</v>
      </c>
      <c r="Z87" s="15">
        <f t="shared" si="11"/>
        <v>1</v>
      </c>
      <c r="AA87" s="25"/>
      <c r="AB87" s="14"/>
      <c r="AD87" s="15">
        <f t="shared" si="31"/>
        <v>-0.02212331178</v>
      </c>
      <c r="AE87" s="15">
        <f t="shared" si="19"/>
        <v>0.4911747955</v>
      </c>
      <c r="AF87" s="15">
        <f t="shared" si="10"/>
        <v>0</v>
      </c>
      <c r="AG87" s="14"/>
      <c r="AH87" s="25"/>
    </row>
    <row r="88">
      <c r="A88" s="15">
        <f>(1.5519626-('2021'!E88*0.0000017073983)+('2021'!H88*0.0000013113498)+('2021'!U88*0.1451093)-('2021'!W88*0.0246584)-('2021'!AC88*0.790069)-('2021'!AD88*0.0024787)+('2021'!AF88*0.4651953)-('2021'!AN88*0.002701))</f>
        <v>7.840115656</v>
      </c>
      <c r="B88" s="22">
        <f t="shared" si="1"/>
        <v>7.840115656</v>
      </c>
      <c r="C88" s="23">
        <v>1.0</v>
      </c>
      <c r="D88" s="15">
        <f t="shared" si="2"/>
        <v>0</v>
      </c>
      <c r="G88" s="9">
        <v>160000.0</v>
      </c>
      <c r="H88" s="9">
        <v>3148813.94</v>
      </c>
      <c r="I88" s="12">
        <v>18.98</v>
      </c>
      <c r="J88" s="12">
        <v>5.93</v>
      </c>
      <c r="K88" s="12">
        <v>1.04</v>
      </c>
      <c r="L88" s="12">
        <v>49.67</v>
      </c>
      <c r="M88" s="12">
        <v>1.87</v>
      </c>
      <c r="N88" s="12">
        <v>37.37</v>
      </c>
      <c r="Q88" s="15">
        <f t="shared" si="3"/>
        <v>8.13256428</v>
      </c>
      <c r="R88" s="24">
        <f t="shared" si="4"/>
        <v>1</v>
      </c>
      <c r="S88" s="19">
        <f t="shared" si="5"/>
        <v>1</v>
      </c>
      <c r="T88" s="25">
        <v>0.0</v>
      </c>
      <c r="V88" s="15">
        <v>-1.05569768834203</v>
      </c>
      <c r="W88" s="15">
        <v>-1.05569768834203</v>
      </c>
      <c r="X88" s="15">
        <f t="shared" si="6"/>
        <v>-4.138715175</v>
      </c>
      <c r="Y88" s="24">
        <f t="shared" si="7"/>
        <v>0.00001746281083</v>
      </c>
      <c r="Z88" s="15">
        <f t="shared" si="11"/>
        <v>0</v>
      </c>
      <c r="AA88" s="25">
        <v>0.0</v>
      </c>
      <c r="AB88" s="14">
        <f>if(Z88=AA88,1,0)</f>
        <v>1</v>
      </c>
      <c r="AD88" s="15">
        <f t="shared" si="31"/>
        <v>-1.154309088</v>
      </c>
      <c r="AE88" s="15">
        <f t="shared" si="19"/>
        <v>0.124186736</v>
      </c>
      <c r="AF88" s="15">
        <f t="shared" si="10"/>
        <v>0</v>
      </c>
      <c r="AG88" s="14">
        <f>if(AF88=AH88,1,0)</f>
        <v>1</v>
      </c>
      <c r="AH88" s="25">
        <v>0.0</v>
      </c>
      <c r="AI88" s="19">
        <v>1.0</v>
      </c>
    </row>
    <row r="89">
      <c r="A89" s="15" t="str">
        <f>(1.5519626-('2021'!E89*0.0000017073983)+('2021'!H89*0.0000013113498)+('2021'!U89*0.1451093)-('2021'!W89*0.0246584)-('2021'!AC89*0.790069)-('2021'!AD89*0.0024787)+('2021'!AF89*0.4651953)-('2021'!AN89*0.002701))</f>
        <v>#VALUE!</v>
      </c>
      <c r="B89" s="15" t="str">
        <f t="shared" si="1"/>
        <v>#VALUE!</v>
      </c>
      <c r="C89" s="27"/>
      <c r="D89" s="15">
        <f t="shared" si="2"/>
        <v>1</v>
      </c>
      <c r="E89" s="15" t="str">
        <f t="shared" ref="E89:E103" si="46">IF('temp result 2022'!B89=D89,1,0)</f>
        <v>#REF!</v>
      </c>
      <c r="G89" s="9">
        <v>221449.46</v>
      </c>
      <c r="H89" s="9">
        <v>363290.71</v>
      </c>
      <c r="I89" s="12">
        <v>-1.33</v>
      </c>
      <c r="J89" s="12">
        <v>-28.82</v>
      </c>
      <c r="K89" s="12">
        <v>1.3</v>
      </c>
      <c r="L89" s="12">
        <v>-0.37</v>
      </c>
      <c r="M89" s="12">
        <v>0.09</v>
      </c>
      <c r="N89" s="12" t="s">
        <v>46</v>
      </c>
      <c r="Q89" s="15" t="str">
        <f t="shared" si="3"/>
        <v>#VALUE!</v>
      </c>
      <c r="R89" s="24" t="str">
        <f t="shared" si="4"/>
        <v>#VALUE!</v>
      </c>
      <c r="S89" s="19" t="str">
        <f t="shared" si="5"/>
        <v>#VALUE!</v>
      </c>
      <c r="T89" s="25">
        <v>0.0</v>
      </c>
      <c r="X89" s="15" t="str">
        <f t="shared" si="6"/>
        <v>#VALUE!</v>
      </c>
      <c r="Y89" s="24" t="str">
        <f t="shared" si="7"/>
        <v>#VALUE!</v>
      </c>
      <c r="Z89" s="15" t="str">
        <f t="shared" si="11"/>
        <v>#VALUE!</v>
      </c>
      <c r="AA89" s="25"/>
      <c r="AB89" s="14"/>
      <c r="AE89" s="15">
        <f t="shared" si="19"/>
        <v>0.5</v>
      </c>
      <c r="AF89" s="15">
        <f t="shared" si="10"/>
        <v>1</v>
      </c>
      <c r="AG89" s="14"/>
      <c r="AH89" s="25"/>
    </row>
    <row r="90">
      <c r="A90" s="15">
        <f>(1.5519626-('2021'!E90*0.0000017073983)+('2021'!H90*0.0000013113498)+('2021'!U90*0.1451093)-('2021'!W90*0.0246584)-('2021'!AC90*0.790069)-('2021'!AD90*0.0024787)+('2021'!AF90*0.4651953)-('2021'!AN90*0.002701))</f>
        <v>2.60640337</v>
      </c>
      <c r="B90" s="15">
        <f t="shared" si="1"/>
        <v>2.602715309</v>
      </c>
      <c r="C90" s="26">
        <v>0.998585</v>
      </c>
      <c r="D90" s="15">
        <f t="shared" si="2"/>
        <v>0</v>
      </c>
      <c r="E90" s="15" t="str">
        <f t="shared" si="46"/>
        <v>#REF!</v>
      </c>
      <c r="G90" s="9">
        <v>191895.14</v>
      </c>
      <c r="H90" s="9">
        <v>1394749.02</v>
      </c>
      <c r="I90" s="12">
        <v>6.52</v>
      </c>
      <c r="J90" s="12">
        <v>4.16</v>
      </c>
      <c r="K90" s="12">
        <v>1.67</v>
      </c>
      <c r="L90" s="12">
        <v>4.36</v>
      </c>
      <c r="M90" s="12">
        <v>0.49</v>
      </c>
      <c r="N90" s="12">
        <v>69.67</v>
      </c>
      <c r="Q90" s="15">
        <f t="shared" si="3"/>
        <v>2.811561258</v>
      </c>
      <c r="R90" s="24">
        <f t="shared" si="4"/>
        <v>0.9975349149</v>
      </c>
      <c r="S90" s="19">
        <f t="shared" si="5"/>
        <v>1</v>
      </c>
      <c r="T90" s="25">
        <v>1.0</v>
      </c>
      <c r="V90" s="15">
        <v>0.3762525574246566</v>
      </c>
      <c r="W90" s="15">
        <v>0.3762525574246566</v>
      </c>
      <c r="X90" s="15">
        <f t="shared" si="6"/>
        <v>-0.3300762802</v>
      </c>
      <c r="Y90" s="24">
        <f t="shared" si="7"/>
        <v>0.3706711627</v>
      </c>
      <c r="Z90" s="15">
        <f t="shared" si="11"/>
        <v>0</v>
      </c>
      <c r="AA90" s="25">
        <v>1.0</v>
      </c>
      <c r="AB90" s="14">
        <f t="shared" ref="AB90:AB92" si="47">if(Z90=AA90,1,0)</f>
        <v>0</v>
      </c>
      <c r="AD90" s="15">
        <f t="shared" ref="AD90:AD92" si="48">(X90-$W$185)/$V$186</f>
        <v>-0.2769842859</v>
      </c>
      <c r="AE90" s="15">
        <f t="shared" si="19"/>
        <v>0.3908960861</v>
      </c>
      <c r="AF90" s="15">
        <f t="shared" si="10"/>
        <v>0</v>
      </c>
      <c r="AG90" s="14">
        <f t="shared" ref="AG90:AG92" si="49">if(AF90=AH90,1,0)</f>
        <v>0</v>
      </c>
      <c r="AH90" s="25">
        <v>1.0</v>
      </c>
      <c r="AI90" s="19">
        <v>1.0</v>
      </c>
    </row>
    <row r="91">
      <c r="A91" s="15">
        <f>(1.5519626-('2021'!E91*0.0000017073983)+('2021'!H91*0.0000013113498)+('2021'!U91*0.1451093)-('2021'!W91*0.0246584)-('2021'!AC91*0.790069)-('2021'!AD91*0.0024787)+('2021'!AF91*0.4651953)-('2021'!AN91*0.002701))</f>
        <v>-28.67344302</v>
      </c>
      <c r="B91" s="22">
        <f t="shared" si="1"/>
        <v>-0.000004616424326</v>
      </c>
      <c r="C91" s="23">
        <v>1.61E-7</v>
      </c>
      <c r="D91" s="15">
        <f t="shared" si="2"/>
        <v>1</v>
      </c>
      <c r="E91" s="15" t="str">
        <f t="shared" si="46"/>
        <v>#REF!</v>
      </c>
      <c r="G91" s="9">
        <v>1651175.66</v>
      </c>
      <c r="H91" s="9">
        <v>164175.47</v>
      </c>
      <c r="I91" s="12">
        <v>-1.04</v>
      </c>
      <c r="J91" s="12">
        <v>-112.15</v>
      </c>
      <c r="K91" s="12">
        <v>1.75</v>
      </c>
      <c r="L91" s="12">
        <v>-1.35</v>
      </c>
      <c r="M91" s="12">
        <v>0.51</v>
      </c>
      <c r="N91" s="9">
        <v>10771.56</v>
      </c>
      <c r="Q91" s="15">
        <f t="shared" si="3"/>
        <v>-34.20432214</v>
      </c>
      <c r="R91" s="24">
        <f t="shared" si="4"/>
        <v>0</v>
      </c>
      <c r="S91" s="19">
        <f t="shared" si="5"/>
        <v>0</v>
      </c>
      <c r="T91" s="25">
        <v>0.0</v>
      </c>
      <c r="V91" s="15">
        <v>30.545275155832456</v>
      </c>
      <c r="W91" s="15">
        <v>30.545275155832456</v>
      </c>
      <c r="X91" s="15">
        <f t="shared" si="6"/>
        <v>65.12427899</v>
      </c>
      <c r="Y91" s="24">
        <f t="shared" si="7"/>
        <v>1</v>
      </c>
      <c r="Z91" s="15">
        <f t="shared" si="11"/>
        <v>1</v>
      </c>
      <c r="AA91" s="25">
        <v>0.0</v>
      </c>
      <c r="AB91" s="14">
        <f t="shared" si="47"/>
        <v>0</v>
      </c>
      <c r="AD91" s="15">
        <f t="shared" si="48"/>
        <v>14.8005095</v>
      </c>
      <c r="AE91" s="15">
        <f t="shared" si="19"/>
        <v>1</v>
      </c>
      <c r="AF91" s="15">
        <f t="shared" si="10"/>
        <v>1</v>
      </c>
      <c r="AG91" s="14">
        <f t="shared" si="49"/>
        <v>0</v>
      </c>
      <c r="AH91" s="25">
        <v>0.0</v>
      </c>
      <c r="AI91" s="19">
        <v>1.0</v>
      </c>
    </row>
    <row r="92">
      <c r="A92" s="15">
        <f>(1.5519626-('2021'!E92*0.0000017073983)+('2021'!H92*0.0000013113498)+('2021'!U92*0.1451093)-('2021'!W92*0.0246584)-('2021'!AC92*0.790069)-('2021'!AD92*0.0024787)+('2021'!AF92*0.4651953)-('2021'!AN92*0.002701))</f>
        <v>5.225442848</v>
      </c>
      <c r="B92" s="22">
        <f t="shared" si="1"/>
        <v>5.225442848</v>
      </c>
      <c r="C92" s="23">
        <v>1.0</v>
      </c>
      <c r="D92" s="15">
        <f t="shared" si="2"/>
        <v>0</v>
      </c>
      <c r="E92" s="15" t="str">
        <f t="shared" si="46"/>
        <v>#REF!</v>
      </c>
      <c r="G92" s="9">
        <v>200000.0</v>
      </c>
      <c r="H92" s="9">
        <v>805525.83</v>
      </c>
      <c r="I92" s="12">
        <v>20.22</v>
      </c>
      <c r="J92" s="12">
        <v>12.03</v>
      </c>
      <c r="K92" s="12">
        <v>0.32</v>
      </c>
      <c r="L92" s="12">
        <v>131.76</v>
      </c>
      <c r="M92" s="12">
        <v>2.1</v>
      </c>
      <c r="N92" s="12">
        <v>28.26</v>
      </c>
      <c r="Q92" s="15">
        <f t="shared" si="3"/>
        <v>5.818723952</v>
      </c>
      <c r="R92" s="24">
        <f t="shared" si="4"/>
        <v>0.999999997</v>
      </c>
      <c r="S92" s="19">
        <f t="shared" si="5"/>
        <v>1</v>
      </c>
      <c r="T92" s="25">
        <v>0.0</v>
      </c>
      <c r="V92" s="15">
        <v>-0.5432970283059778</v>
      </c>
      <c r="W92" s="15">
        <v>-0.5432970283059778</v>
      </c>
      <c r="X92" s="15">
        <f t="shared" si="6"/>
        <v>-5.253541311</v>
      </c>
      <c r="Y92" s="24">
        <f t="shared" si="7"/>
        <v>0.0000000746010953</v>
      </c>
      <c r="Z92" s="15">
        <f t="shared" si="11"/>
        <v>0</v>
      </c>
      <c r="AA92" s="25">
        <v>0.0</v>
      </c>
      <c r="AB92" s="14">
        <f t="shared" si="47"/>
        <v>1</v>
      </c>
      <c r="AD92" s="15">
        <f t="shared" si="48"/>
        <v>-1.411110703</v>
      </c>
      <c r="AE92" s="15">
        <f t="shared" si="19"/>
        <v>0.0791059873</v>
      </c>
      <c r="AF92" s="15">
        <f t="shared" si="10"/>
        <v>0</v>
      </c>
      <c r="AG92" s="14">
        <f t="shared" si="49"/>
        <v>1</v>
      </c>
      <c r="AH92" s="25">
        <v>0.0</v>
      </c>
      <c r="AI92" s="19">
        <v>1.0</v>
      </c>
    </row>
    <row r="93">
      <c r="A93" s="15" t="str">
        <f>(1.5519626-('2021'!E93*0.0000017073983)+('2021'!H93*0.0000013113498)+('2021'!U93*0.1451093)-('2021'!W93*0.0246584)-('2021'!AC93*0.790069)-('2021'!AD93*0.0024787)+('2021'!AF93*0.4651953)-('2021'!AN93*0.002701))</f>
        <v>#VALUE!</v>
      </c>
      <c r="B93" s="15" t="str">
        <f t="shared" si="1"/>
        <v>#VALUE!</v>
      </c>
      <c r="C93" s="27"/>
      <c r="D93" s="15">
        <f t="shared" si="2"/>
        <v>1</v>
      </c>
      <c r="E93" s="15" t="str">
        <f t="shared" si="46"/>
        <v>#REF!</v>
      </c>
      <c r="G93" s="9">
        <v>375187.18</v>
      </c>
      <c r="H93" s="9">
        <v>503468.4</v>
      </c>
      <c r="I93" s="12">
        <v>3.2</v>
      </c>
      <c r="J93" s="12">
        <v>2.33</v>
      </c>
      <c r="K93" s="12">
        <v>1.16</v>
      </c>
      <c r="L93" s="12">
        <v>1.65</v>
      </c>
      <c r="M93" s="12">
        <v>0.16</v>
      </c>
      <c r="N93" s="12" t="s">
        <v>46</v>
      </c>
      <c r="Q93" s="15" t="str">
        <f t="shared" si="3"/>
        <v>#VALUE!</v>
      </c>
      <c r="R93" s="24" t="str">
        <f t="shared" si="4"/>
        <v>#VALUE!</v>
      </c>
      <c r="S93" s="19" t="str">
        <f t="shared" si="5"/>
        <v>#VALUE!</v>
      </c>
      <c r="T93" s="25">
        <v>0.0</v>
      </c>
      <c r="X93" s="15" t="str">
        <f t="shared" si="6"/>
        <v>#VALUE!</v>
      </c>
      <c r="Y93" s="24" t="str">
        <f t="shared" si="7"/>
        <v>#VALUE!</v>
      </c>
      <c r="Z93" s="15" t="str">
        <f t="shared" si="11"/>
        <v>#VALUE!</v>
      </c>
      <c r="AA93" s="25"/>
      <c r="AB93" s="14"/>
      <c r="AE93" s="15">
        <f t="shared" si="19"/>
        <v>0.5</v>
      </c>
      <c r="AF93" s="15">
        <f t="shared" si="10"/>
        <v>1</v>
      </c>
      <c r="AG93" s="14"/>
      <c r="AH93" s="25"/>
    </row>
    <row r="94">
      <c r="A94" s="15">
        <f>(1.5519626-('2021'!E94*0.0000017073983)+('2021'!H94*0.0000013113498)+('2021'!U94*0.1451093)-('2021'!W94*0.0246584)-('2021'!AC94*0.790069)-('2021'!AD94*0.0024787)+('2021'!AF94*0.4651953)-('2021'!AN94*0.002701))</f>
        <v>2.621572661</v>
      </c>
      <c r="B94" s="15">
        <f t="shared" si="1"/>
        <v>2.620985428</v>
      </c>
      <c r="C94" s="26">
        <v>0.999776</v>
      </c>
      <c r="D94" s="15">
        <f t="shared" si="2"/>
        <v>0</v>
      </c>
      <c r="E94" s="15" t="str">
        <f t="shared" si="46"/>
        <v>#REF!</v>
      </c>
      <c r="G94" s="9">
        <v>168722.63</v>
      </c>
      <c r="H94" s="9">
        <v>789746.45</v>
      </c>
      <c r="I94" s="12">
        <v>7.29</v>
      </c>
      <c r="J94" s="12">
        <v>10.12</v>
      </c>
      <c r="K94" s="12">
        <v>0.29</v>
      </c>
      <c r="L94" s="12">
        <v>200.91</v>
      </c>
      <c r="M94" s="12">
        <v>1.37</v>
      </c>
      <c r="N94" s="12">
        <v>146.78</v>
      </c>
      <c r="Q94" s="15">
        <f t="shared" si="3"/>
        <v>3.120658677</v>
      </c>
      <c r="R94" s="24">
        <f t="shared" si="4"/>
        <v>0.9990977647</v>
      </c>
      <c r="S94" s="19">
        <f t="shared" si="5"/>
        <v>1</v>
      </c>
      <c r="T94" s="25">
        <v>0.0</v>
      </c>
      <c r="V94" s="15">
        <v>0.3893473315228519</v>
      </c>
      <c r="W94" s="15">
        <v>0.3893473315228519</v>
      </c>
      <c r="X94" s="15">
        <f t="shared" si="6"/>
        <v>-5.371473711</v>
      </c>
      <c r="Y94" s="24">
        <f t="shared" si="7"/>
        <v>0.00000003904787715</v>
      </c>
      <c r="Z94" s="15">
        <f t="shared" si="11"/>
        <v>0</v>
      </c>
      <c r="AA94" s="25">
        <v>0.0</v>
      </c>
      <c r="AB94" s="14">
        <f t="shared" ref="AB94:AB102" si="50">if(Z94=AA94,1,0)</f>
        <v>1</v>
      </c>
      <c r="AD94" s="15">
        <f t="shared" ref="AD94:AD107" si="51">(X94-$W$185)/$V$186</f>
        <v>-1.438276581</v>
      </c>
      <c r="AE94" s="15">
        <f t="shared" si="19"/>
        <v>0.07517779697</v>
      </c>
      <c r="AF94" s="15">
        <f t="shared" si="10"/>
        <v>0</v>
      </c>
      <c r="AG94" s="14">
        <f t="shared" ref="AG94:AG102" si="52">if(AF94=AH94,1,0)</f>
        <v>1</v>
      </c>
      <c r="AH94" s="25">
        <v>0.0</v>
      </c>
      <c r="AI94" s="19">
        <v>1.0</v>
      </c>
    </row>
    <row r="95">
      <c r="A95" s="15">
        <f>(1.5519626-('2021'!E95*0.0000017073983)+('2021'!H95*0.0000013113498)+('2021'!U95*0.1451093)-('2021'!W95*0.0246584)-('2021'!AC95*0.790069)-('2021'!AD95*0.0024787)+('2021'!AF95*0.4651953)-('2021'!AN95*0.002701))</f>
        <v>-5.284954712</v>
      </c>
      <c r="B95" s="15">
        <f t="shared" si="1"/>
        <v>-5.284954712</v>
      </c>
      <c r="C95" s="26">
        <v>1.0</v>
      </c>
      <c r="D95" s="15">
        <f t="shared" si="2"/>
        <v>0</v>
      </c>
      <c r="E95" s="15" t="str">
        <f t="shared" si="46"/>
        <v>#REF!</v>
      </c>
      <c r="G95" s="9">
        <v>326543.58</v>
      </c>
      <c r="H95" s="9">
        <v>136345.86</v>
      </c>
      <c r="I95" s="12">
        <v>107.59</v>
      </c>
      <c r="J95" s="12">
        <v>805.48</v>
      </c>
      <c r="K95" s="12">
        <v>0.12</v>
      </c>
      <c r="L95" s="12">
        <v>431.23</v>
      </c>
      <c r="M95" s="12">
        <v>0.17</v>
      </c>
      <c r="N95" s="12">
        <v>416.15</v>
      </c>
      <c r="Q95" s="15">
        <f t="shared" si="3"/>
        <v>34.43874135</v>
      </c>
      <c r="R95" s="24">
        <f t="shared" si="4"/>
        <v>1</v>
      </c>
      <c r="S95" s="19">
        <f t="shared" si="5"/>
        <v>1</v>
      </c>
      <c r="T95" s="25">
        <v>0.0</v>
      </c>
      <c r="V95" s="15">
        <v>-6.402031730542374</v>
      </c>
      <c r="W95" s="15">
        <v>-6.402031730542374</v>
      </c>
      <c r="X95" s="15">
        <f t="shared" si="6"/>
        <v>-15.8782738</v>
      </c>
      <c r="Y95" s="24">
        <f t="shared" si="7"/>
        <v>0</v>
      </c>
      <c r="Z95" s="15">
        <f t="shared" si="11"/>
        <v>0</v>
      </c>
      <c r="AA95" s="25">
        <v>0.0</v>
      </c>
      <c r="AB95" s="14">
        <f t="shared" si="50"/>
        <v>1</v>
      </c>
      <c r="AD95" s="15">
        <f t="shared" si="51"/>
        <v>-3.858531312</v>
      </c>
      <c r="AE95" s="15">
        <f t="shared" si="19"/>
        <v>0.00005703522749</v>
      </c>
      <c r="AF95" s="15">
        <f t="shared" si="10"/>
        <v>0</v>
      </c>
      <c r="AG95" s="14">
        <f t="shared" si="52"/>
        <v>1</v>
      </c>
      <c r="AH95" s="25">
        <v>0.0</v>
      </c>
      <c r="AI95" s="19">
        <v>1.0</v>
      </c>
    </row>
    <row r="96">
      <c r="A96" s="15">
        <f>(1.5519626-('2021'!E96*0.0000017073983)+('2021'!H96*0.0000013113498)+('2021'!U96*0.1451093)-('2021'!W96*0.0246584)-('2021'!AC96*0.790069)-('2021'!AD96*0.0024787)+('2021'!AF96*0.4651953)-('2021'!AN96*0.002701))</f>
        <v>1.51035215</v>
      </c>
      <c r="B96" s="15">
        <f t="shared" si="1"/>
        <v>1.446514095</v>
      </c>
      <c r="C96" s="26">
        <v>0.957733</v>
      </c>
      <c r="D96" s="15">
        <f t="shared" si="2"/>
        <v>0</v>
      </c>
      <c r="E96" s="15" t="str">
        <f t="shared" si="46"/>
        <v>#REF!</v>
      </c>
      <c r="G96" s="9">
        <v>1053386.75</v>
      </c>
      <c r="H96" s="9">
        <v>2333630.28</v>
      </c>
      <c r="I96" s="12">
        <v>-0.36</v>
      </c>
      <c r="J96" s="12">
        <v>-4.8</v>
      </c>
      <c r="K96" s="12">
        <v>1.32</v>
      </c>
      <c r="L96" s="12">
        <v>-0.17</v>
      </c>
      <c r="M96" s="12">
        <v>0.28</v>
      </c>
      <c r="N96" s="12">
        <v>169.26</v>
      </c>
      <c r="Q96" s="15">
        <f t="shared" si="3"/>
        <v>1.27363151</v>
      </c>
      <c r="R96" s="24">
        <f t="shared" si="4"/>
        <v>0.8986029801</v>
      </c>
      <c r="S96" s="19">
        <f t="shared" si="5"/>
        <v>1</v>
      </c>
      <c r="T96" s="25">
        <v>0.0</v>
      </c>
      <c r="V96" s="15">
        <v>0.9555010486647303</v>
      </c>
      <c r="W96" s="15">
        <v>0.9555010486647303</v>
      </c>
      <c r="X96" s="15">
        <f t="shared" si="6"/>
        <v>0.4137990761</v>
      </c>
      <c r="Y96" s="24">
        <f t="shared" si="7"/>
        <v>0.6604893697</v>
      </c>
      <c r="Z96" s="15">
        <f t="shared" si="11"/>
        <v>1</v>
      </c>
      <c r="AA96" s="25">
        <v>0.0</v>
      </c>
      <c r="AB96" s="14">
        <f t="shared" si="50"/>
        <v>0</v>
      </c>
      <c r="AD96" s="15">
        <f t="shared" si="51"/>
        <v>-0.1056316537</v>
      </c>
      <c r="AE96" s="15">
        <f t="shared" si="19"/>
        <v>0.4579373046</v>
      </c>
      <c r="AF96" s="15">
        <f t="shared" si="10"/>
        <v>0</v>
      </c>
      <c r="AG96" s="14">
        <f t="shared" si="52"/>
        <v>1</v>
      </c>
      <c r="AH96" s="25">
        <v>0.0</v>
      </c>
      <c r="AI96" s="19">
        <v>1.0</v>
      </c>
    </row>
    <row r="97">
      <c r="A97" s="15">
        <f>(1.5519626-('2021'!E97*0.0000017073983)+('2021'!H97*0.0000013113498)+('2021'!U97*0.1451093)-('2021'!W97*0.0246584)-('2021'!AC97*0.790069)-('2021'!AD97*0.0024787)+('2021'!AF97*0.4651953)-('2021'!AN97*0.002701))</f>
        <v>2.83345411</v>
      </c>
      <c r="B97" s="15">
        <f t="shared" si="1"/>
        <v>2.831853208</v>
      </c>
      <c r="C97" s="26">
        <v>0.999435</v>
      </c>
      <c r="D97" s="15">
        <f t="shared" si="2"/>
        <v>0</v>
      </c>
      <c r="E97" s="15" t="str">
        <f t="shared" si="46"/>
        <v>#REF!</v>
      </c>
      <c r="G97" s="9">
        <v>124205.85</v>
      </c>
      <c r="H97" s="9">
        <v>261081.33</v>
      </c>
      <c r="I97" s="12">
        <v>8.59</v>
      </c>
      <c r="J97" s="12">
        <v>2.3</v>
      </c>
      <c r="K97" s="12">
        <v>0.76</v>
      </c>
      <c r="L97" s="12">
        <v>3.79</v>
      </c>
      <c r="M97" s="12">
        <v>1.91</v>
      </c>
      <c r="N97" s="12">
        <v>117.46</v>
      </c>
      <c r="Q97" s="15">
        <f t="shared" si="3"/>
        <v>2.94688275</v>
      </c>
      <c r="R97" s="24">
        <f t="shared" si="4"/>
        <v>0.9983950255</v>
      </c>
      <c r="S97" s="19">
        <f t="shared" si="5"/>
        <v>1</v>
      </c>
      <c r="T97" s="25">
        <v>0.0</v>
      </c>
      <c r="V97" s="15">
        <v>0.33042687085919287</v>
      </c>
      <c r="W97" s="15">
        <v>0.33042687085919287</v>
      </c>
      <c r="X97" s="15">
        <f t="shared" si="6"/>
        <v>0.214670973</v>
      </c>
      <c r="Y97" s="24">
        <f t="shared" si="7"/>
        <v>0.5849880724</v>
      </c>
      <c r="Z97" s="15">
        <f t="shared" si="11"/>
        <v>1</v>
      </c>
      <c r="AA97" s="25">
        <v>0.0</v>
      </c>
      <c r="AB97" s="14">
        <f t="shared" si="50"/>
        <v>0</v>
      </c>
      <c r="AD97" s="15">
        <f t="shared" si="51"/>
        <v>-0.1515010649</v>
      </c>
      <c r="AE97" s="15">
        <f t="shared" si="19"/>
        <v>0.4397902354</v>
      </c>
      <c r="AF97" s="15">
        <f t="shared" si="10"/>
        <v>0</v>
      </c>
      <c r="AG97" s="14">
        <f t="shared" si="52"/>
        <v>1</v>
      </c>
      <c r="AH97" s="25">
        <v>0.0</v>
      </c>
      <c r="AI97" s="19">
        <v>1.0</v>
      </c>
    </row>
    <row r="98">
      <c r="A98" s="15">
        <f>(1.5519626-('2021'!E98*0.0000017073983)+('2021'!H98*0.0000013113498)+('2021'!U98*0.1451093)-('2021'!W98*0.0246584)-('2021'!AC98*0.790069)-('2021'!AD98*0.0024787)+('2021'!AF98*0.4651953)-('2021'!AN98*0.002701))</f>
        <v>5.061623991</v>
      </c>
      <c r="B98" s="22">
        <f t="shared" si="1"/>
        <v>5.061623991</v>
      </c>
      <c r="C98" s="23">
        <v>1.0</v>
      </c>
      <c r="D98" s="15">
        <f t="shared" si="2"/>
        <v>0</v>
      </c>
      <c r="E98" s="15" t="str">
        <f t="shared" si="46"/>
        <v>#REF!</v>
      </c>
      <c r="G98" s="9">
        <v>116538.06</v>
      </c>
      <c r="H98" s="9">
        <v>1789543.49</v>
      </c>
      <c r="I98" s="12">
        <v>15.65</v>
      </c>
      <c r="J98" s="12">
        <v>5.85</v>
      </c>
      <c r="K98" s="12">
        <v>1.42</v>
      </c>
      <c r="L98" s="12">
        <v>11.6</v>
      </c>
      <c r="M98" s="12">
        <v>1.08</v>
      </c>
      <c r="N98" s="12">
        <v>43.15</v>
      </c>
      <c r="Q98" s="15">
        <f t="shared" si="3"/>
        <v>5.350127271</v>
      </c>
      <c r="R98" s="24">
        <f t="shared" si="4"/>
        <v>0.9999999561</v>
      </c>
      <c r="S98" s="19">
        <f t="shared" si="5"/>
        <v>1</v>
      </c>
      <c r="T98" s="25">
        <v>0.0</v>
      </c>
      <c r="V98" s="15">
        <v>-0.32384716248949585</v>
      </c>
      <c r="W98" s="15">
        <v>-0.32384716248949585</v>
      </c>
      <c r="X98" s="15">
        <f t="shared" si="6"/>
        <v>-1.760702258</v>
      </c>
      <c r="Y98" s="24">
        <f t="shared" si="7"/>
        <v>0.03914440522</v>
      </c>
      <c r="Z98" s="15">
        <f t="shared" si="11"/>
        <v>0</v>
      </c>
      <c r="AA98" s="25">
        <v>0.0</v>
      </c>
      <c r="AB98" s="14">
        <f t="shared" si="50"/>
        <v>1</v>
      </c>
      <c r="AD98" s="15">
        <f t="shared" si="51"/>
        <v>-0.6065307951</v>
      </c>
      <c r="AE98" s="15">
        <f t="shared" si="19"/>
        <v>0.2720811697</v>
      </c>
      <c r="AF98" s="15">
        <f t="shared" si="10"/>
        <v>0</v>
      </c>
      <c r="AG98" s="14">
        <f t="shared" si="52"/>
        <v>1</v>
      </c>
      <c r="AH98" s="25">
        <v>0.0</v>
      </c>
      <c r="AI98" s="19">
        <v>1.0</v>
      </c>
    </row>
    <row r="99">
      <c r="A99" s="15">
        <f>(1.5519626-('2021'!E99*0.0000017073983)+('2021'!H99*0.0000013113498)+('2021'!U99*0.1451093)-('2021'!W99*0.0246584)-('2021'!AC99*0.790069)-('2021'!AD99*0.0024787)+('2021'!AF99*0.4651953)-('2021'!AN99*0.002701))</f>
        <v>2.602806833</v>
      </c>
      <c r="B99" s="15">
        <f t="shared" si="1"/>
        <v>2.59850179</v>
      </c>
      <c r="C99" s="26">
        <v>0.998346</v>
      </c>
      <c r="D99" s="15">
        <f t="shared" si="2"/>
        <v>0</v>
      </c>
      <c r="E99" s="15" t="str">
        <f t="shared" si="46"/>
        <v>#REF!</v>
      </c>
      <c r="G99" s="9">
        <v>346891.51</v>
      </c>
      <c r="H99" s="9">
        <v>800658.61</v>
      </c>
      <c r="I99" s="12">
        <v>4.43</v>
      </c>
      <c r="J99" s="12">
        <v>4.92</v>
      </c>
      <c r="K99" s="12">
        <v>0.35</v>
      </c>
      <c r="L99" s="12">
        <v>12.0</v>
      </c>
      <c r="M99" s="12">
        <v>1.06</v>
      </c>
      <c r="N99" s="12">
        <v>42.64</v>
      </c>
      <c r="Q99" s="15">
        <f t="shared" si="3"/>
        <v>2.845445489</v>
      </c>
      <c r="R99" s="24">
        <f t="shared" si="4"/>
        <v>0.9977825325</v>
      </c>
      <c r="S99" s="19">
        <f t="shared" si="5"/>
        <v>1</v>
      </c>
      <c r="T99" s="25">
        <v>0.0</v>
      </c>
      <c r="V99" s="15">
        <v>0.2702688774044661</v>
      </c>
      <c r="W99" s="15">
        <v>0.2702688774044661</v>
      </c>
      <c r="X99" s="15">
        <f t="shared" si="6"/>
        <v>-0.2455217707</v>
      </c>
      <c r="Y99" s="24">
        <f t="shared" si="7"/>
        <v>0.4030262267</v>
      </c>
      <c r="Z99" s="15">
        <f t="shared" si="11"/>
        <v>0</v>
      </c>
      <c r="AA99" s="25">
        <v>0.0</v>
      </c>
      <c r="AB99" s="14">
        <f t="shared" si="50"/>
        <v>1</v>
      </c>
      <c r="AD99" s="15">
        <f t="shared" si="51"/>
        <v>-0.2575070474</v>
      </c>
      <c r="AE99" s="15">
        <f t="shared" si="19"/>
        <v>0.3983936878</v>
      </c>
      <c r="AF99" s="15">
        <f t="shared" si="10"/>
        <v>0</v>
      </c>
      <c r="AG99" s="14">
        <f t="shared" si="52"/>
        <v>1</v>
      </c>
      <c r="AH99" s="25">
        <v>0.0</v>
      </c>
      <c r="AI99" s="19">
        <v>1.0</v>
      </c>
    </row>
    <row r="100">
      <c r="A100" s="15">
        <f>(1.5519626-('2021'!E100*0.0000017073983)+('2021'!H100*0.0000013113498)+('2021'!U100*0.1451093)-('2021'!W100*0.0246584)-('2021'!AC100*0.790069)-('2021'!AD100*0.0024787)+('2021'!AF100*0.4651953)-('2021'!AN100*0.002701))</f>
        <v>1.495636551</v>
      </c>
      <c r="B100" s="15">
        <f t="shared" si="1"/>
        <v>1.495364345</v>
      </c>
      <c r="C100" s="26">
        <v>0.999818</v>
      </c>
      <c r="D100" s="15">
        <f t="shared" si="2"/>
        <v>0</v>
      </c>
      <c r="E100" s="15" t="str">
        <f t="shared" si="46"/>
        <v>#REF!</v>
      </c>
      <c r="G100" s="9">
        <v>200000.0</v>
      </c>
      <c r="H100" s="9">
        <v>216443.17</v>
      </c>
      <c r="I100" s="12">
        <v>30.44</v>
      </c>
      <c r="J100" s="12">
        <v>40.78</v>
      </c>
      <c r="K100" s="12">
        <v>0.33</v>
      </c>
      <c r="L100" s="9">
        <v>1424.4</v>
      </c>
      <c r="M100" s="12">
        <v>1.01</v>
      </c>
      <c r="N100" s="12">
        <v>32.84</v>
      </c>
      <c r="Q100" s="15">
        <f t="shared" si="3"/>
        <v>3.506775655</v>
      </c>
      <c r="R100" s="24">
        <f t="shared" si="4"/>
        <v>0.9997732143</v>
      </c>
      <c r="S100" s="19">
        <f t="shared" si="5"/>
        <v>1</v>
      </c>
      <c r="T100" s="25">
        <v>0.0</v>
      </c>
      <c r="V100" s="15">
        <v>0.09694390121340597</v>
      </c>
      <c r="W100" s="15">
        <v>0.09694390121340597</v>
      </c>
      <c r="X100" s="15">
        <f t="shared" si="6"/>
        <v>-42.82914706</v>
      </c>
      <c r="Y100" s="24">
        <f t="shared" si="7"/>
        <v>0</v>
      </c>
      <c r="Z100" s="15">
        <f t="shared" si="11"/>
        <v>0</v>
      </c>
      <c r="AA100" s="25">
        <v>0.0</v>
      </c>
      <c r="AB100" s="14">
        <f t="shared" si="50"/>
        <v>1</v>
      </c>
      <c r="AD100" s="15">
        <f t="shared" si="51"/>
        <v>-10.06669917</v>
      </c>
      <c r="AE100" s="15">
        <f t="shared" si="19"/>
        <v>0</v>
      </c>
      <c r="AF100" s="15">
        <f t="shared" si="10"/>
        <v>0</v>
      </c>
      <c r="AG100" s="14">
        <f t="shared" si="52"/>
        <v>1</v>
      </c>
      <c r="AH100" s="25">
        <v>0.0</v>
      </c>
      <c r="AI100" s="19">
        <v>1.0</v>
      </c>
    </row>
    <row r="101">
      <c r="A101" s="15">
        <f>(1.5519626-('2021'!E101*0.0000017073983)+('2021'!H101*0.0000013113498)+('2021'!U101*0.1451093)-('2021'!W101*0.0246584)-('2021'!AC101*0.790069)-('2021'!AD101*0.0024787)+('2021'!AF101*0.4651953)-('2021'!AN101*0.002701))</f>
        <v>-130.3717838</v>
      </c>
      <c r="B101" s="15">
        <f t="shared" si="1"/>
        <v>0</v>
      </c>
      <c r="C101" s="26">
        <v>0.0</v>
      </c>
      <c r="D101" s="15">
        <f t="shared" si="2"/>
        <v>1</v>
      </c>
      <c r="E101" s="15" t="str">
        <f t="shared" si="46"/>
        <v>#REF!</v>
      </c>
      <c r="G101" s="9">
        <v>7.565019765E7</v>
      </c>
      <c r="H101" s="9">
        <v>144808.22</v>
      </c>
      <c r="I101" s="12">
        <v>11.32</v>
      </c>
      <c r="J101" s="12">
        <v>96.51</v>
      </c>
      <c r="K101" s="12">
        <v>0.14</v>
      </c>
      <c r="L101" s="12">
        <v>109.08</v>
      </c>
      <c r="M101" s="12">
        <v>1.09</v>
      </c>
      <c r="N101" s="12">
        <v>865.44</v>
      </c>
      <c r="Q101" s="15">
        <f t="shared" si="3"/>
        <v>-125.6122194</v>
      </c>
      <c r="R101" s="24">
        <f t="shared" si="4"/>
        <v>0</v>
      </c>
      <c r="S101" s="19">
        <f t="shared" si="5"/>
        <v>0</v>
      </c>
      <c r="T101" s="25">
        <v>0.0</v>
      </c>
      <c r="V101" s="15">
        <v>32.35198022047746</v>
      </c>
      <c r="W101" s="15">
        <v>32.35198022047746</v>
      </c>
      <c r="X101" s="15">
        <f t="shared" si="6"/>
        <v>1.70701166</v>
      </c>
      <c r="Y101" s="24">
        <f t="shared" si="7"/>
        <v>0.9560900574</v>
      </c>
      <c r="Z101" s="15">
        <f t="shared" si="11"/>
        <v>1</v>
      </c>
      <c r="AA101" s="25">
        <v>0.0</v>
      </c>
      <c r="AB101" s="14">
        <f t="shared" si="50"/>
        <v>0</v>
      </c>
      <c r="AD101" s="15">
        <f t="shared" si="51"/>
        <v>0.1922615058</v>
      </c>
      <c r="AE101" s="15">
        <f t="shared" si="19"/>
        <v>0.5762313151</v>
      </c>
      <c r="AF101" s="15">
        <f t="shared" si="10"/>
        <v>1</v>
      </c>
      <c r="AG101" s="14">
        <f t="shared" si="52"/>
        <v>0</v>
      </c>
      <c r="AH101" s="25">
        <v>0.0</v>
      </c>
      <c r="AI101" s="19">
        <v>1.0</v>
      </c>
    </row>
    <row r="102">
      <c r="A102" s="15">
        <f>(1.5519626-('2021'!E102*0.0000017073983)+('2021'!H102*0.0000013113498)+('2021'!U102*0.1451093)-('2021'!W102*0.0246584)-('2021'!AC102*0.790069)-('2021'!AD102*0.0024787)+('2021'!AF102*0.4651953)-('2021'!AN102*0.002701))</f>
        <v>5.266163471</v>
      </c>
      <c r="B102" s="22">
        <f t="shared" si="1"/>
        <v>5.266158205</v>
      </c>
      <c r="C102" s="23">
        <v>0.999999</v>
      </c>
      <c r="D102" s="15">
        <f t="shared" si="2"/>
        <v>0</v>
      </c>
      <c r="E102" s="15" t="str">
        <f t="shared" si="46"/>
        <v>#REF!</v>
      </c>
      <c r="G102" s="9">
        <v>100000.0</v>
      </c>
      <c r="H102" s="9">
        <v>167474.73</v>
      </c>
      <c r="I102" s="12">
        <v>-3.77</v>
      </c>
      <c r="J102" s="12">
        <v>-12.8</v>
      </c>
      <c r="K102" s="12">
        <v>0.12</v>
      </c>
      <c r="L102" s="12">
        <v>-32.83</v>
      </c>
      <c r="M102" s="12">
        <v>8.59</v>
      </c>
      <c r="N102" s="12">
        <v>31.78</v>
      </c>
      <c r="Q102" s="15">
        <f t="shared" si="3"/>
        <v>4.634908431</v>
      </c>
      <c r="R102" s="24">
        <f t="shared" si="4"/>
        <v>0.9999982145</v>
      </c>
      <c r="S102" s="19">
        <f t="shared" si="5"/>
        <v>1</v>
      </c>
      <c r="T102" s="25">
        <v>0.0</v>
      </c>
      <c r="V102" s="15">
        <v>-0.7553235127966462</v>
      </c>
      <c r="W102" s="15">
        <v>-0.7553235127966462</v>
      </c>
      <c r="X102" s="15">
        <f t="shared" si="6"/>
        <v>0.1977670847</v>
      </c>
      <c r="Y102" s="24">
        <f t="shared" si="7"/>
        <v>0.57838635</v>
      </c>
      <c r="Z102" s="15">
        <f t="shared" si="11"/>
        <v>1</v>
      </c>
      <c r="AA102" s="25">
        <v>0.0</v>
      </c>
      <c r="AB102" s="14">
        <f t="shared" si="50"/>
        <v>0</v>
      </c>
      <c r="AD102" s="15">
        <f t="shared" si="51"/>
        <v>-0.1553948971</v>
      </c>
      <c r="AE102" s="15">
        <f t="shared" si="19"/>
        <v>0.4382550034</v>
      </c>
      <c r="AF102" s="15">
        <f t="shared" si="10"/>
        <v>0</v>
      </c>
      <c r="AG102" s="14">
        <f t="shared" si="52"/>
        <v>1</v>
      </c>
      <c r="AH102" s="25">
        <v>0.0</v>
      </c>
      <c r="AI102" s="19">
        <v>1.0</v>
      </c>
    </row>
    <row r="103">
      <c r="A103" s="15">
        <f>(1.5519626-('2021'!E103*0.0000017073983)+('2021'!H103*0.0000013113498)+('2021'!U103*0.1451093)-('2021'!W103*0.0246584)-('2021'!AC103*0.790069)-('2021'!AD103*0.0024787)+('2021'!AF103*0.4651953)-('2021'!AN103*0.002701))</f>
        <v>6.061030399</v>
      </c>
      <c r="B103" s="22">
        <f t="shared" si="1"/>
        <v>6.061030399</v>
      </c>
      <c r="C103" s="23">
        <v>1.0</v>
      </c>
      <c r="D103" s="15">
        <f t="shared" si="2"/>
        <v>0</v>
      </c>
      <c r="E103" s="15" t="str">
        <f t="shared" si="46"/>
        <v>#REF!</v>
      </c>
      <c r="G103" s="9">
        <v>559999.99</v>
      </c>
      <c r="H103" s="9">
        <v>586835.17</v>
      </c>
      <c r="I103" s="12">
        <v>8.27</v>
      </c>
      <c r="J103" s="12">
        <v>8.47</v>
      </c>
      <c r="K103" s="12">
        <v>0.11</v>
      </c>
      <c r="L103" s="12">
        <v>36.75</v>
      </c>
      <c r="M103" s="12">
        <v>8.53</v>
      </c>
      <c r="N103" s="12">
        <v>31.71</v>
      </c>
      <c r="Q103" s="15">
        <f t="shared" si="3"/>
        <v>6.478743695</v>
      </c>
      <c r="R103" s="24">
        <f t="shared" si="4"/>
        <v>1</v>
      </c>
      <c r="S103" s="19">
        <f t="shared" si="5"/>
        <v>1</v>
      </c>
      <c r="T103" s="25" t="e">
        <v>#N/A</v>
      </c>
      <c r="V103" s="15">
        <v>-1.1878744161026942</v>
      </c>
      <c r="W103" s="15">
        <v>-1.1878744161026942</v>
      </c>
      <c r="X103" s="15">
        <f t="shared" si="6"/>
        <v>-2.944398809</v>
      </c>
      <c r="Y103" s="24">
        <f t="shared" si="7"/>
        <v>0.001617913702</v>
      </c>
      <c r="Z103" s="15">
        <f t="shared" si="11"/>
        <v>0</v>
      </c>
      <c r="AA103" s="25"/>
      <c r="AB103" s="14"/>
      <c r="AD103" s="15">
        <f t="shared" si="51"/>
        <v>-0.8791967977</v>
      </c>
      <c r="AE103" s="15">
        <f t="shared" si="19"/>
        <v>0.1896472902</v>
      </c>
      <c r="AF103" s="15">
        <f t="shared" si="10"/>
        <v>0</v>
      </c>
      <c r="AG103" s="14"/>
      <c r="AH103" s="25"/>
    </row>
    <row r="104">
      <c r="A104" s="15">
        <f>(1.5519626-('2021'!E104*0.0000017073983)+('2021'!H104*0.0000013113498)+('2021'!U104*0.1451093)-('2021'!W104*0.0246584)-('2021'!AC104*0.790069)-('2021'!AD104*0.0024787)+('2021'!AF104*0.4651953)-('2021'!AN104*0.002701))</f>
        <v>3.079044733</v>
      </c>
      <c r="B104" s="22">
        <f t="shared" si="1"/>
        <v>3.078946203</v>
      </c>
      <c r="C104" s="23">
        <v>0.999968</v>
      </c>
      <c r="D104" s="15">
        <f t="shared" si="2"/>
        <v>0</v>
      </c>
      <c r="G104" s="9">
        <v>500000.0</v>
      </c>
      <c r="H104" s="9">
        <v>587731.38</v>
      </c>
      <c r="I104" s="12">
        <v>12.99</v>
      </c>
      <c r="J104" s="12">
        <v>15.19</v>
      </c>
      <c r="K104" s="12">
        <v>0.27</v>
      </c>
      <c r="L104" s="12">
        <v>21.5</v>
      </c>
      <c r="M104" s="12">
        <v>1.18</v>
      </c>
      <c r="N104" s="12">
        <v>67.63</v>
      </c>
      <c r="Q104" s="15">
        <f t="shared" si="3"/>
        <v>3.828166925</v>
      </c>
      <c r="R104" s="24">
        <f t="shared" si="4"/>
        <v>0.9999354494</v>
      </c>
      <c r="S104" s="19">
        <f t="shared" si="5"/>
        <v>1</v>
      </c>
      <c r="T104" s="25">
        <v>0.0</v>
      </c>
      <c r="V104" s="15">
        <v>0.0781110863566123</v>
      </c>
      <c r="W104" s="15">
        <v>0.0781110863566123</v>
      </c>
      <c r="X104" s="15">
        <f t="shared" si="6"/>
        <v>-0.9051213861</v>
      </c>
      <c r="Y104" s="24">
        <f t="shared" si="7"/>
        <v>0.1827005417</v>
      </c>
      <c r="Z104" s="15">
        <f t="shared" si="11"/>
        <v>0</v>
      </c>
      <c r="AA104" s="25">
        <v>0.0</v>
      </c>
      <c r="AB104" s="14">
        <f t="shared" ref="AB104:AB106" si="53">if(Z104=AA104,1,0)</f>
        <v>1</v>
      </c>
      <c r="AD104" s="15">
        <f t="shared" si="51"/>
        <v>-0.4094466557</v>
      </c>
      <c r="AE104" s="15">
        <f t="shared" si="19"/>
        <v>0.3411059533</v>
      </c>
      <c r="AF104" s="15">
        <f t="shared" si="10"/>
        <v>0</v>
      </c>
      <c r="AG104" s="14">
        <f t="shared" ref="AG104:AG107" si="54">if(AF104=AH104,1,0)</f>
        <v>1</v>
      </c>
      <c r="AH104" s="25">
        <v>0.0</v>
      </c>
      <c r="AI104" s="19">
        <v>1.0</v>
      </c>
    </row>
    <row r="105">
      <c r="A105" s="15">
        <f>(1.5519626-('2021'!E105*0.0000017073983)+('2021'!H105*0.0000013113498)+('2021'!U105*0.1451093)-('2021'!W105*0.0246584)-('2021'!AC105*0.790069)-('2021'!AD105*0.0024787)+('2021'!AF105*0.4651953)-('2021'!AN105*0.002701))</f>
        <v>3.489695358</v>
      </c>
      <c r="B105" s="22">
        <f t="shared" si="1"/>
        <v>3.489611605</v>
      </c>
      <c r="C105" s="23">
        <v>0.999976</v>
      </c>
      <c r="D105" s="15">
        <f t="shared" si="2"/>
        <v>0</v>
      </c>
      <c r="E105" s="15" t="str">
        <f t="shared" ref="E105:E107" si="55">IF('temp result 2022'!B105=D105,1,0)</f>
        <v>#REF!</v>
      </c>
      <c r="G105" s="9">
        <v>135000.0</v>
      </c>
      <c r="H105" s="9">
        <v>615876.15</v>
      </c>
      <c r="I105" s="12">
        <v>9.34</v>
      </c>
      <c r="J105" s="12">
        <v>8.06</v>
      </c>
      <c r="K105" s="12">
        <v>0.3</v>
      </c>
      <c r="L105" s="12">
        <v>221.53</v>
      </c>
      <c r="M105" s="12">
        <v>2.55</v>
      </c>
      <c r="N105" s="12">
        <v>72.6</v>
      </c>
      <c r="Q105" s="15">
        <f t="shared" si="3"/>
        <v>3.887188766</v>
      </c>
      <c r="R105" s="24">
        <f t="shared" si="4"/>
        <v>0.9999492941</v>
      </c>
      <c r="S105" s="19">
        <f t="shared" si="5"/>
        <v>1</v>
      </c>
      <c r="T105" s="25">
        <v>0.0</v>
      </c>
      <c r="V105" s="15">
        <v>-0.031547624193772654</v>
      </c>
      <c r="W105" s="15">
        <v>-0.031547624193772654</v>
      </c>
      <c r="X105" s="15">
        <f t="shared" si="6"/>
        <v>-6.751850735</v>
      </c>
      <c r="Y105" s="24">
        <f t="shared" si="7"/>
        <v>0</v>
      </c>
      <c r="Z105" s="15">
        <f t="shared" si="11"/>
        <v>0</v>
      </c>
      <c r="AA105" s="25">
        <v>0.0</v>
      </c>
      <c r="AB105" s="14">
        <f t="shared" si="53"/>
        <v>1</v>
      </c>
      <c r="AD105" s="15">
        <f t="shared" si="51"/>
        <v>-1.75624818</v>
      </c>
      <c r="AE105" s="15">
        <f t="shared" si="19"/>
        <v>0.03952302063</v>
      </c>
      <c r="AF105" s="15">
        <f t="shared" si="10"/>
        <v>0</v>
      </c>
      <c r="AG105" s="14">
        <f t="shared" si="54"/>
        <v>1</v>
      </c>
      <c r="AH105" s="25">
        <v>0.0</v>
      </c>
      <c r="AI105" s="19">
        <v>1.0</v>
      </c>
    </row>
    <row r="106">
      <c r="A106" s="15">
        <f>(1.5519626-('2021'!E106*0.0000017073983)+('2021'!H106*0.0000013113498)+('2021'!U106*0.1451093)-('2021'!W106*0.0246584)-('2021'!AC106*0.790069)-('2021'!AD106*0.0024787)+('2021'!AF106*0.4651953)-('2021'!AN106*0.002701))</f>
        <v>4.491098016</v>
      </c>
      <c r="B106" s="22">
        <f t="shared" si="1"/>
        <v>4.491098016</v>
      </c>
      <c r="C106" s="23">
        <v>1.0</v>
      </c>
      <c r="D106" s="15">
        <f t="shared" si="2"/>
        <v>0</v>
      </c>
      <c r="E106" s="15" t="str">
        <f t="shared" si="55"/>
        <v>#REF!</v>
      </c>
      <c r="G106" s="9">
        <v>202500.23</v>
      </c>
      <c r="H106" s="9">
        <v>1122185.06</v>
      </c>
      <c r="I106" s="12">
        <v>16.9</v>
      </c>
      <c r="J106" s="12">
        <v>6.66</v>
      </c>
      <c r="K106" s="12">
        <v>0.83</v>
      </c>
      <c r="L106" s="12">
        <v>38.02</v>
      </c>
      <c r="M106" s="12">
        <v>0.96</v>
      </c>
      <c r="N106" s="12">
        <v>63.46</v>
      </c>
      <c r="Q106" s="15">
        <f t="shared" si="3"/>
        <v>4.819547904</v>
      </c>
      <c r="R106" s="24">
        <f t="shared" si="4"/>
        <v>0.9999992806</v>
      </c>
      <c r="S106" s="19">
        <f t="shared" si="5"/>
        <v>1</v>
      </c>
      <c r="T106" s="25">
        <v>0.0</v>
      </c>
      <c r="V106" s="15">
        <v>-0.14825578580880955</v>
      </c>
      <c r="W106" s="15">
        <v>-0.14825578580880955</v>
      </c>
      <c r="X106" s="15">
        <f t="shared" si="6"/>
        <v>-2.031882844</v>
      </c>
      <c r="Y106" s="24">
        <f t="shared" si="7"/>
        <v>0.02108275887</v>
      </c>
      <c r="Z106" s="15">
        <f t="shared" si="11"/>
        <v>0</v>
      </c>
      <c r="AA106" s="25">
        <v>0.0</v>
      </c>
      <c r="AB106" s="14">
        <f t="shared" si="53"/>
        <v>1</v>
      </c>
      <c r="AD106" s="15">
        <f t="shared" si="51"/>
        <v>-0.6689975872</v>
      </c>
      <c r="AE106" s="15">
        <f t="shared" si="19"/>
        <v>0.2517485085</v>
      </c>
      <c r="AF106" s="15">
        <f t="shared" si="10"/>
        <v>0</v>
      </c>
      <c r="AG106" s="14">
        <f t="shared" si="54"/>
        <v>1</v>
      </c>
      <c r="AH106" s="25">
        <v>0.0</v>
      </c>
      <c r="AI106" s="19">
        <v>1.0</v>
      </c>
    </row>
    <row r="107">
      <c r="A107" s="15">
        <f>(1.5519626-('2021'!E107*0.0000017073983)+('2021'!H107*0.0000013113498)+('2021'!U107*0.1451093)-('2021'!W107*0.0246584)-('2021'!AC107*0.790069)-('2021'!AD107*0.0024787)+('2021'!AF107*0.4651953)-('2021'!AN107*0.002701))</f>
        <v>1.172920513</v>
      </c>
      <c r="B107" s="15">
        <f t="shared" si="1"/>
        <v>1.052934264</v>
      </c>
      <c r="C107" s="26">
        <v>0.897703</v>
      </c>
      <c r="D107" s="15">
        <f t="shared" si="2"/>
        <v>0</v>
      </c>
      <c r="E107" s="15" t="str">
        <f t="shared" si="55"/>
        <v>#REF!</v>
      </c>
      <c r="G107" s="9">
        <v>215624.56</v>
      </c>
      <c r="H107" s="9">
        <v>705579.97</v>
      </c>
      <c r="I107" s="12">
        <v>-4.67</v>
      </c>
      <c r="J107" s="12">
        <v>-3.97</v>
      </c>
      <c r="K107" s="12">
        <v>0.92</v>
      </c>
      <c r="L107" s="12">
        <v>-13.5</v>
      </c>
      <c r="M107" s="12">
        <v>1.37</v>
      </c>
      <c r="N107" s="12">
        <v>111.18</v>
      </c>
      <c r="Q107" s="15">
        <f t="shared" si="3"/>
        <v>0.9771328174</v>
      </c>
      <c r="R107" s="24">
        <f t="shared" si="4"/>
        <v>0.8357482986</v>
      </c>
      <c r="S107" s="19">
        <f t="shared" si="5"/>
        <v>1</v>
      </c>
      <c r="T107" s="15" t="e">
        <v>#N/A</v>
      </c>
      <c r="V107" s="15">
        <v>0.8253121497910181</v>
      </c>
      <c r="W107" s="15">
        <v>0.8253121497910181</v>
      </c>
      <c r="X107" s="15">
        <f t="shared" si="6"/>
        <v>1.536479293</v>
      </c>
      <c r="Y107" s="24">
        <f t="shared" si="7"/>
        <v>0.9377895637</v>
      </c>
      <c r="Z107" s="15">
        <f t="shared" si="11"/>
        <v>1</v>
      </c>
      <c r="AB107" s="14"/>
      <c r="AD107" s="15">
        <f t="shared" si="51"/>
        <v>0.1529791588</v>
      </c>
      <c r="AE107" s="15">
        <f t="shared" si="19"/>
        <v>0.5607926446</v>
      </c>
      <c r="AF107" s="15">
        <f t="shared" si="10"/>
        <v>1</v>
      </c>
      <c r="AG107" s="14">
        <f t="shared" si="54"/>
        <v>0</v>
      </c>
    </row>
    <row r="108">
      <c r="A108" s="15" t="str">
        <f>(1.5519626-('2021'!E108*0.0000017073983)+('2021'!H108*0.0000013113498)+('2021'!U108*0.1451093)-('2021'!W108*0.0246584)-('2021'!AC108*0.790069)-('2021'!AD108*0.0024787)+('2021'!AF108*0.4651953)-('2021'!AN108*0.002701))</f>
        <v>#VALUE!</v>
      </c>
      <c r="B108" s="15" t="str">
        <f t="shared" si="1"/>
        <v>#VALUE!</v>
      </c>
      <c r="C108" s="27"/>
      <c r="D108" s="15">
        <f t="shared" si="2"/>
        <v>1</v>
      </c>
      <c r="G108" s="12" t="s">
        <v>46</v>
      </c>
      <c r="H108" s="9">
        <v>905725.94</v>
      </c>
      <c r="I108" s="12"/>
      <c r="J108" s="12">
        <v>9.91</v>
      </c>
      <c r="K108" s="12"/>
      <c r="L108" s="12">
        <v>893.7</v>
      </c>
      <c r="M108" s="12"/>
      <c r="N108" s="12" t="s">
        <v>46</v>
      </c>
      <c r="Q108" s="15" t="str">
        <f t="shared" si="3"/>
        <v>#VALUE!</v>
      </c>
      <c r="R108" s="24" t="str">
        <f t="shared" si="4"/>
        <v>#VALUE!</v>
      </c>
      <c r="S108" s="19" t="str">
        <f t="shared" si="5"/>
        <v>#VALUE!</v>
      </c>
      <c r="T108" s="25">
        <v>0.0</v>
      </c>
      <c r="X108" s="15" t="str">
        <f t="shared" si="6"/>
        <v>#VALUE!</v>
      </c>
      <c r="Y108" s="24" t="str">
        <f t="shared" si="7"/>
        <v>#VALUE!</v>
      </c>
      <c r="Z108" s="15" t="str">
        <f t="shared" si="11"/>
        <v>#VALUE!</v>
      </c>
      <c r="AA108" s="25"/>
      <c r="AB108" s="14"/>
      <c r="AE108" s="15">
        <f t="shared" si="19"/>
        <v>0.5</v>
      </c>
      <c r="AF108" s="15">
        <f t="shared" si="10"/>
        <v>1</v>
      </c>
      <c r="AG108" s="14"/>
      <c r="AH108" s="25"/>
    </row>
    <row r="109">
      <c r="A109" s="15">
        <f>(1.5519626-('2021'!E109*0.0000017073983)+('2021'!H109*0.0000013113498)+('2021'!U109*0.1451093)-('2021'!W109*0.0246584)-('2021'!AC109*0.790069)-('2021'!AD109*0.0024787)+('2021'!AF109*0.4651953)-('2021'!AN109*0.002701))</f>
        <v>4.753268706</v>
      </c>
      <c r="B109" s="22">
        <f t="shared" si="1"/>
        <v>4.753268706</v>
      </c>
      <c r="C109" s="23">
        <v>1.0</v>
      </c>
      <c r="D109" s="15">
        <f t="shared" si="2"/>
        <v>0</v>
      </c>
      <c r="E109" s="15" t="str">
        <f t="shared" ref="E109:E112" si="56">IF('temp result 2022'!B109=D109,1,0)</f>
        <v>#REF!</v>
      </c>
      <c r="G109" s="9">
        <v>287039.97</v>
      </c>
      <c r="H109" s="9">
        <v>2835361.08</v>
      </c>
      <c r="I109" s="12">
        <v>8.51</v>
      </c>
      <c r="J109" s="12">
        <v>5.49</v>
      </c>
      <c r="K109" s="12">
        <v>1.54</v>
      </c>
      <c r="L109" s="12">
        <v>5.15</v>
      </c>
      <c r="M109" s="12">
        <v>0.62</v>
      </c>
      <c r="N109" s="12">
        <v>68.57</v>
      </c>
      <c r="Q109" s="15">
        <f t="shared" si="3"/>
        <v>5.024017938</v>
      </c>
      <c r="R109" s="24">
        <f t="shared" si="4"/>
        <v>0.999999747</v>
      </c>
      <c r="S109" s="19">
        <f t="shared" si="5"/>
        <v>1</v>
      </c>
      <c r="T109" s="25">
        <v>0.0</v>
      </c>
      <c r="V109" s="15">
        <v>-0.1602953629048396</v>
      </c>
      <c r="W109" s="15">
        <v>-0.1602953629048396</v>
      </c>
      <c r="X109" s="15">
        <f t="shared" si="6"/>
        <v>-1.401741013</v>
      </c>
      <c r="Y109" s="24">
        <f t="shared" si="7"/>
        <v>0.08049629927</v>
      </c>
      <c r="Z109" s="15">
        <f t="shared" si="11"/>
        <v>0</v>
      </c>
      <c r="AA109" s="25">
        <v>0.0</v>
      </c>
      <c r="AB109" s="14">
        <f t="shared" ref="AB109:AB111" si="57">if(Z109=AA109,1,0)</f>
        <v>1</v>
      </c>
      <c r="AD109" s="15">
        <f t="shared" ref="AD109:AD115" si="58">(X109-$W$185)/$V$186</f>
        <v>-0.523843617</v>
      </c>
      <c r="AE109" s="15">
        <f t="shared" si="19"/>
        <v>0.3001936568</v>
      </c>
      <c r="AF109" s="15">
        <f t="shared" si="10"/>
        <v>0</v>
      </c>
      <c r="AG109" s="14">
        <f t="shared" ref="AG109:AG111" si="59">if(AF109=AH109,1,0)</f>
        <v>1</v>
      </c>
      <c r="AH109" s="25">
        <v>0.0</v>
      </c>
      <c r="AI109" s="19">
        <v>1.0</v>
      </c>
    </row>
    <row r="110">
      <c r="A110" s="15">
        <f>(1.5519626-('2021'!E110*0.0000017073983)+('2021'!H110*0.0000013113498)+('2021'!U110*0.1451093)-('2021'!W110*0.0246584)-('2021'!AC110*0.790069)-('2021'!AD110*0.0024787)+('2021'!AF110*0.4651953)-('2021'!AN110*0.002701))</f>
        <v>2.367887746</v>
      </c>
      <c r="B110" s="15">
        <f t="shared" si="1"/>
        <v>2.360213422</v>
      </c>
      <c r="C110" s="26">
        <v>0.996759</v>
      </c>
      <c r="D110" s="15">
        <f t="shared" si="2"/>
        <v>0</v>
      </c>
      <c r="E110" s="15" t="str">
        <f t="shared" si="56"/>
        <v>#REF!</v>
      </c>
      <c r="G110" s="9">
        <v>375000.0</v>
      </c>
      <c r="H110" s="9">
        <v>412132.86</v>
      </c>
      <c r="I110" s="12">
        <v>2.92</v>
      </c>
      <c r="J110" s="12">
        <v>1.54</v>
      </c>
      <c r="K110" s="12">
        <v>0.37</v>
      </c>
      <c r="L110" s="12">
        <v>2.55</v>
      </c>
      <c r="M110" s="12">
        <v>2.4</v>
      </c>
      <c r="N110" s="12">
        <v>106.56</v>
      </c>
      <c r="Q110" s="15">
        <f t="shared" si="3"/>
        <v>2.443835618</v>
      </c>
      <c r="R110" s="24">
        <f t="shared" si="4"/>
        <v>0.9927339769</v>
      </c>
      <c r="S110" s="19">
        <f t="shared" si="5"/>
        <v>1</v>
      </c>
      <c r="T110" s="25">
        <v>0.0</v>
      </c>
      <c r="V110" s="15">
        <v>0.3900858236520144</v>
      </c>
      <c r="W110" s="15">
        <v>0.3900858236520144</v>
      </c>
      <c r="X110" s="15">
        <f t="shared" si="6"/>
        <v>0.4369142363</v>
      </c>
      <c r="Y110" s="24">
        <f t="shared" si="7"/>
        <v>0.6689132265</v>
      </c>
      <c r="Z110" s="15">
        <f t="shared" si="11"/>
        <v>1</v>
      </c>
      <c r="AA110" s="25">
        <v>0.0</v>
      </c>
      <c r="AB110" s="14">
        <f t="shared" si="57"/>
        <v>0</v>
      </c>
      <c r="AD110" s="15">
        <f t="shared" si="58"/>
        <v>-0.1003070472</v>
      </c>
      <c r="AE110" s="15">
        <f t="shared" si="19"/>
        <v>0.4600502814</v>
      </c>
      <c r="AF110" s="15">
        <f t="shared" si="10"/>
        <v>0</v>
      </c>
      <c r="AG110" s="14">
        <f t="shared" si="59"/>
        <v>1</v>
      </c>
      <c r="AH110" s="25">
        <v>0.0</v>
      </c>
      <c r="AI110" s="19">
        <v>1.0</v>
      </c>
    </row>
    <row r="111">
      <c r="A111" s="15">
        <f>(1.5519626-('2021'!E111*0.0000017073983)+('2021'!H111*0.0000013113498)+('2021'!U111*0.1451093)-('2021'!W111*0.0246584)-('2021'!AC111*0.790069)-('2021'!AD111*0.0024787)+('2021'!AF111*0.4651953)-('2021'!AN111*0.002701))</f>
        <v>4.191896528</v>
      </c>
      <c r="B111" s="22">
        <f t="shared" si="1"/>
        <v>4.191871377</v>
      </c>
      <c r="C111" s="23">
        <v>0.999994</v>
      </c>
      <c r="D111" s="15">
        <f t="shared" si="2"/>
        <v>0</v>
      </c>
      <c r="E111" s="15" t="str">
        <f t="shared" si="56"/>
        <v>#REF!</v>
      </c>
      <c r="G111" s="9">
        <v>211000.05</v>
      </c>
      <c r="H111" s="9">
        <v>1918165.42</v>
      </c>
      <c r="I111" s="12">
        <v>8.34</v>
      </c>
      <c r="J111" s="12">
        <v>5.59</v>
      </c>
      <c r="K111" s="12">
        <v>0.98</v>
      </c>
      <c r="L111" s="12">
        <v>11.02</v>
      </c>
      <c r="M111" s="12">
        <v>0.51</v>
      </c>
      <c r="N111" s="12">
        <v>8.6</v>
      </c>
      <c r="Q111" s="15">
        <f t="shared" si="3"/>
        <v>4.46757744</v>
      </c>
      <c r="R111" s="24">
        <f t="shared" si="4"/>
        <v>0.9999960445</v>
      </c>
      <c r="S111" s="19">
        <f t="shared" si="5"/>
        <v>1</v>
      </c>
      <c r="T111" s="25">
        <v>0.0</v>
      </c>
      <c r="V111" s="15">
        <v>-0.13989252497996552</v>
      </c>
      <c r="W111" s="15">
        <v>-0.13989252497996552</v>
      </c>
      <c r="X111" s="15">
        <f t="shared" si="6"/>
        <v>-1.303860691</v>
      </c>
      <c r="Y111" s="24">
        <f t="shared" si="7"/>
        <v>0.09614054246</v>
      </c>
      <c r="Z111" s="15">
        <f t="shared" si="11"/>
        <v>0</v>
      </c>
      <c r="AA111" s="25">
        <v>0.0</v>
      </c>
      <c r="AB111" s="14">
        <f t="shared" si="57"/>
        <v>1</v>
      </c>
      <c r="AD111" s="15">
        <f t="shared" si="58"/>
        <v>-0.5012967606</v>
      </c>
      <c r="AE111" s="15">
        <f t="shared" si="19"/>
        <v>0.3080811424</v>
      </c>
      <c r="AF111" s="15">
        <f t="shared" si="10"/>
        <v>0</v>
      </c>
      <c r="AG111" s="14">
        <f t="shared" si="59"/>
        <v>1</v>
      </c>
      <c r="AH111" s="25">
        <v>0.0</v>
      </c>
      <c r="AI111" s="19">
        <v>1.0</v>
      </c>
    </row>
    <row r="112">
      <c r="A112" s="15">
        <f>(1.5519626-('2021'!E112*0.0000017073983)+('2021'!H112*0.0000013113498)+('2021'!U112*0.1451093)-('2021'!W112*0.0246584)-('2021'!AC112*0.790069)-('2021'!AD112*0.0024787)+('2021'!AF112*0.4651953)-('2021'!AN112*0.002701))</f>
        <v>1.779991221</v>
      </c>
      <c r="B112" s="15">
        <f t="shared" si="1"/>
        <v>1.752166398</v>
      </c>
      <c r="C112" s="26">
        <v>0.984368</v>
      </c>
      <c r="D112" s="15">
        <f t="shared" si="2"/>
        <v>0</v>
      </c>
      <c r="E112" s="15" t="str">
        <f t="shared" si="56"/>
        <v>#REF!</v>
      </c>
      <c r="G112" s="9">
        <v>214963.79</v>
      </c>
      <c r="H112" s="9">
        <v>359988.18</v>
      </c>
      <c r="I112" s="12">
        <v>6.97</v>
      </c>
      <c r="J112" s="12">
        <v>5.05</v>
      </c>
      <c r="K112" s="12">
        <v>1.12</v>
      </c>
      <c r="L112" s="12">
        <v>2.26</v>
      </c>
      <c r="M112" s="12">
        <v>0.58</v>
      </c>
      <c r="N112" s="12">
        <v>53.03</v>
      </c>
      <c r="Q112" s="15">
        <f t="shared" si="3"/>
        <v>2.029041061</v>
      </c>
      <c r="R112" s="24">
        <f t="shared" si="4"/>
        <v>0.9787729459</v>
      </c>
      <c r="S112" s="19">
        <f t="shared" si="5"/>
        <v>1</v>
      </c>
      <c r="T112" s="25" t="e">
        <v>#N/A</v>
      </c>
      <c r="V112" s="15">
        <v>0.5213885400723437</v>
      </c>
      <c r="W112" s="15">
        <v>0.5213885400723437</v>
      </c>
      <c r="X112" s="15">
        <f t="shared" si="6"/>
        <v>0.2353215802</v>
      </c>
      <c r="Y112" s="24">
        <f t="shared" si="7"/>
        <v>0.5930204266</v>
      </c>
      <c r="Z112" s="15">
        <f t="shared" si="11"/>
        <v>1</v>
      </c>
      <c r="AA112" s="25"/>
      <c r="AB112" s="14"/>
      <c r="AD112" s="15">
        <f t="shared" si="58"/>
        <v>-0.1467441714</v>
      </c>
      <c r="AE112" s="15">
        <f t="shared" si="19"/>
        <v>0.4416669761</v>
      </c>
      <c r="AF112" s="15">
        <f t="shared" si="10"/>
        <v>0</v>
      </c>
      <c r="AG112" s="14"/>
      <c r="AH112" s="25"/>
    </row>
    <row r="113">
      <c r="A113" s="15">
        <f>(1.5519626-('2021'!E113*0.0000017073983)+('2021'!H113*0.0000013113498)+('2021'!U113*0.1451093)-('2021'!W113*0.0246584)-('2021'!AC113*0.790069)-('2021'!AD113*0.0024787)+('2021'!AF113*0.4651953)-('2021'!AN113*0.002701))</f>
        <v>1.481147918</v>
      </c>
      <c r="B113" s="15">
        <f t="shared" si="1"/>
        <v>1.410340161</v>
      </c>
      <c r="C113" s="26">
        <v>0.952194</v>
      </c>
      <c r="D113" s="15">
        <f t="shared" si="2"/>
        <v>0</v>
      </c>
      <c r="G113" s="9">
        <v>170000.0</v>
      </c>
      <c r="H113" s="9">
        <v>729237.2</v>
      </c>
      <c r="I113" s="12">
        <v>1.67</v>
      </c>
      <c r="J113" s="12">
        <v>-0.83</v>
      </c>
      <c r="K113" s="12">
        <v>1.35</v>
      </c>
      <c r="L113" s="12">
        <v>1.04</v>
      </c>
      <c r="M113" s="12">
        <v>0.66</v>
      </c>
      <c r="N113" s="12">
        <v>87.93</v>
      </c>
      <c r="Q113" s="15">
        <f t="shared" si="3"/>
        <v>1.440214974</v>
      </c>
      <c r="R113" s="24">
        <f t="shared" si="4"/>
        <v>0.925096706</v>
      </c>
      <c r="S113" s="19">
        <f t="shared" si="5"/>
        <v>1</v>
      </c>
      <c r="T113" s="25" t="e">
        <v>#N/A</v>
      </c>
      <c r="V113" s="15">
        <v>0.7242590001931719</v>
      </c>
      <c r="W113" s="15">
        <v>0.7242590001931719</v>
      </c>
      <c r="X113" s="15">
        <f t="shared" si="6"/>
        <v>0.620469314</v>
      </c>
      <c r="Y113" s="24">
        <f t="shared" si="7"/>
        <v>0.7325255747</v>
      </c>
      <c r="Z113" s="15">
        <f t="shared" si="11"/>
        <v>1</v>
      </c>
      <c r="AA113" s="25"/>
      <c r="AB113" s="14"/>
      <c r="AD113" s="15">
        <f t="shared" si="58"/>
        <v>-0.05802490218</v>
      </c>
      <c r="AE113" s="15">
        <f t="shared" si="19"/>
        <v>0.4768643964</v>
      </c>
      <c r="AF113" s="15">
        <f t="shared" si="10"/>
        <v>0</v>
      </c>
      <c r="AG113" s="14"/>
      <c r="AH113" s="25"/>
    </row>
    <row r="114">
      <c r="A114" s="15">
        <f>(1.5519626-('2021'!E114*0.0000017073983)+('2021'!H114*0.0000013113498)+('2021'!U114*0.1451093)-('2021'!W114*0.0246584)-('2021'!AC114*0.790069)-('2021'!AD114*0.0024787)+('2021'!AF114*0.4651953)-('2021'!AN114*0.002701))</f>
        <v>2.248443953</v>
      </c>
      <c r="B114" s="15">
        <f t="shared" si="1"/>
        <v>2.242042633</v>
      </c>
      <c r="C114" s="26">
        <v>0.997153</v>
      </c>
      <c r="D114" s="15">
        <f t="shared" si="2"/>
        <v>0</v>
      </c>
      <c r="G114" s="9">
        <v>158000.0</v>
      </c>
      <c r="H114" s="9">
        <v>1014617.88</v>
      </c>
      <c r="I114" s="12">
        <v>5.38</v>
      </c>
      <c r="J114" s="12">
        <v>2.75</v>
      </c>
      <c r="K114" s="12">
        <v>1.57</v>
      </c>
      <c r="L114" s="12">
        <v>4.81</v>
      </c>
      <c r="M114" s="12">
        <v>1.21</v>
      </c>
      <c r="N114" s="12">
        <v>143.54</v>
      </c>
      <c r="Q114" s="15">
        <f t="shared" si="3"/>
        <v>2.384065153</v>
      </c>
      <c r="R114" s="24">
        <f t="shared" si="4"/>
        <v>0.9914387147</v>
      </c>
      <c r="S114" s="19">
        <f t="shared" si="5"/>
        <v>1</v>
      </c>
      <c r="T114" s="25" t="e">
        <v>#N/A</v>
      </c>
      <c r="V114" s="15">
        <v>0.5698322860563193</v>
      </c>
      <c r="W114" s="15">
        <v>0.5698322860563193</v>
      </c>
      <c r="X114" s="15">
        <f t="shared" si="6"/>
        <v>0.2500315865</v>
      </c>
      <c r="Y114" s="24">
        <f t="shared" si="7"/>
        <v>0.5987185391</v>
      </c>
      <c r="Z114" s="15">
        <f t="shared" si="11"/>
        <v>1</v>
      </c>
      <c r="AA114" s="25"/>
      <c r="AB114" s="14"/>
      <c r="AD114" s="15">
        <f t="shared" si="58"/>
        <v>-0.1433557028</v>
      </c>
      <c r="AE114" s="15">
        <f t="shared" si="19"/>
        <v>0.4430046328</v>
      </c>
      <c r="AF114" s="15">
        <f t="shared" si="10"/>
        <v>0</v>
      </c>
      <c r="AG114" s="14"/>
      <c r="AH114" s="25"/>
    </row>
    <row r="115">
      <c r="A115" s="15">
        <f>(1.5519626-('2021'!E115*0.0000017073983)+('2021'!H115*0.0000013113498)+('2021'!U115*0.1451093)-('2021'!W115*0.0246584)-('2021'!AC115*0.790069)-('2021'!AD115*0.0024787)+('2021'!AF115*0.4651953)-('2021'!AN115*0.002701))</f>
        <v>2.512891428</v>
      </c>
      <c r="B115" s="15">
        <f t="shared" si="1"/>
        <v>2.510001603</v>
      </c>
      <c r="C115" s="26">
        <v>0.99885</v>
      </c>
      <c r="D115" s="15">
        <f t="shared" si="2"/>
        <v>0</v>
      </c>
      <c r="G115" s="9">
        <v>270000.0</v>
      </c>
      <c r="H115" s="9">
        <v>990012.22</v>
      </c>
      <c r="I115" s="12">
        <v>5.71</v>
      </c>
      <c r="J115" s="12">
        <v>3.58</v>
      </c>
      <c r="K115" s="12">
        <v>0.85</v>
      </c>
      <c r="L115" s="12">
        <v>42.14</v>
      </c>
      <c r="M115" s="12">
        <v>1.13</v>
      </c>
      <c r="N115" s="12">
        <v>135.61</v>
      </c>
      <c r="Q115" s="15">
        <f t="shared" si="3"/>
        <v>2.689445572</v>
      </c>
      <c r="R115" s="24">
        <f t="shared" si="4"/>
        <v>0.9964214591</v>
      </c>
      <c r="S115" s="19">
        <f t="shared" si="5"/>
        <v>1</v>
      </c>
      <c r="T115" s="25">
        <v>0.0</v>
      </c>
      <c r="V115" s="15">
        <v>0.4877645155092908</v>
      </c>
      <c r="W115" s="15">
        <v>0.4877645155092908</v>
      </c>
      <c r="X115" s="15">
        <f t="shared" si="6"/>
        <v>-0.8250432656</v>
      </c>
      <c r="Y115" s="24">
        <f t="shared" si="7"/>
        <v>0.2046735139</v>
      </c>
      <c r="Z115" s="15">
        <f t="shared" si="11"/>
        <v>0</v>
      </c>
      <c r="AA115" s="25">
        <v>0.0</v>
      </c>
      <c r="AB115" s="14">
        <f>if(Z115=AA115,1,0)</f>
        <v>1</v>
      </c>
      <c r="AD115" s="15">
        <f t="shared" si="58"/>
        <v>-0.3910005591</v>
      </c>
      <c r="AE115" s="15">
        <f t="shared" si="19"/>
        <v>0.3478984113</v>
      </c>
      <c r="AF115" s="15">
        <f t="shared" si="10"/>
        <v>0</v>
      </c>
      <c r="AG115" s="14">
        <f>if(AF115=AH115,1,0)</f>
        <v>1</v>
      </c>
      <c r="AH115" s="25">
        <v>0.0</v>
      </c>
      <c r="AI115" s="19">
        <v>1.0</v>
      </c>
    </row>
    <row r="116">
      <c r="A116" s="15" t="str">
        <f>(1.5519626-('2021'!E116*0.0000017073983)+('2021'!H116*0.0000013113498)+('2021'!U116*0.1451093)-('2021'!W116*0.0246584)-('2021'!AC116*0.790069)-('2021'!AD116*0.0024787)+('2021'!AF116*0.4651953)-('2021'!AN116*0.002701))</f>
        <v>#VALUE!</v>
      </c>
      <c r="B116" s="15" t="str">
        <f t="shared" si="1"/>
        <v>#VALUE!</v>
      </c>
      <c r="C116" s="27"/>
      <c r="D116" s="15">
        <f t="shared" si="2"/>
        <v>1</v>
      </c>
      <c r="E116" s="15" t="str">
        <f>IF('temp result 2022'!B116=D116,1,0)</f>
        <v>#REF!</v>
      </c>
      <c r="G116" s="9">
        <v>641469.42</v>
      </c>
      <c r="H116" s="9">
        <v>101973.39</v>
      </c>
      <c r="I116" s="12">
        <v>-3.28</v>
      </c>
      <c r="J116" s="9">
        <v>-2687.7</v>
      </c>
      <c r="K116" s="12">
        <v>5.69</v>
      </c>
      <c r="L116" s="12">
        <v>-5.73</v>
      </c>
      <c r="M116" s="12">
        <v>0.14</v>
      </c>
      <c r="N116" s="12" t="s">
        <v>46</v>
      </c>
      <c r="Q116" s="15" t="str">
        <f t="shared" si="3"/>
        <v>#VALUE!</v>
      </c>
      <c r="R116" s="24" t="str">
        <f t="shared" si="4"/>
        <v>#VALUE!</v>
      </c>
      <c r="S116" s="19" t="str">
        <f t="shared" si="5"/>
        <v>#VALUE!</v>
      </c>
      <c r="T116" s="15" t="e">
        <v>#N/A</v>
      </c>
      <c r="X116" s="15" t="str">
        <f t="shared" si="6"/>
        <v>#VALUE!</v>
      </c>
      <c r="Y116" s="24" t="str">
        <f t="shared" si="7"/>
        <v>#VALUE!</v>
      </c>
      <c r="Z116" s="15" t="str">
        <f t="shared" si="11"/>
        <v>#VALUE!</v>
      </c>
      <c r="AB116" s="14"/>
      <c r="AE116" s="15">
        <f t="shared" si="19"/>
        <v>0.5</v>
      </c>
      <c r="AF116" s="15">
        <f t="shared" si="10"/>
        <v>1</v>
      </c>
      <c r="AG116" s="14"/>
    </row>
    <row r="117">
      <c r="A117" s="15">
        <f>(1.5519626-('2021'!E117*0.0000017073983)+('2021'!H117*0.0000013113498)+('2021'!U117*0.1451093)-('2021'!W117*0.0246584)-('2021'!AC117*0.790069)-('2021'!AD117*0.0024787)+('2021'!AF117*0.4651953)-('2021'!AN117*0.002701))</f>
        <v>-100.8390856</v>
      </c>
      <c r="B117" s="15">
        <f t="shared" si="1"/>
        <v>0</v>
      </c>
      <c r="C117" s="26">
        <v>0.0</v>
      </c>
      <c r="D117" s="15">
        <f t="shared" si="2"/>
        <v>1</v>
      </c>
      <c r="G117" s="9">
        <v>6.499243816E7</v>
      </c>
      <c r="H117" s="9">
        <v>104651.27</v>
      </c>
      <c r="I117" s="12">
        <v>-7.61</v>
      </c>
      <c r="J117" s="12">
        <v>-141.6</v>
      </c>
      <c r="K117" s="12">
        <v>0.08</v>
      </c>
      <c r="L117" s="12">
        <v>-34.64</v>
      </c>
      <c r="M117" s="12">
        <v>16.78</v>
      </c>
      <c r="N117" s="12">
        <v>657.64</v>
      </c>
      <c r="Q117" s="15">
        <f t="shared" si="3"/>
        <v>-107.8223445</v>
      </c>
      <c r="R117" s="24">
        <f t="shared" si="4"/>
        <v>0</v>
      </c>
      <c r="S117" s="19">
        <f t="shared" si="5"/>
        <v>0</v>
      </c>
      <c r="T117" s="25">
        <v>0.0</v>
      </c>
      <c r="V117" s="15">
        <v>26.512136528402873</v>
      </c>
      <c r="W117" s="15">
        <v>26.512136528402873</v>
      </c>
      <c r="X117" s="15">
        <f t="shared" si="6"/>
        <v>1.950534657</v>
      </c>
      <c r="Y117" s="24">
        <f t="shared" si="7"/>
        <v>0.9744437866</v>
      </c>
      <c r="Z117" s="15">
        <f t="shared" si="11"/>
        <v>1</v>
      </c>
      <c r="AA117" s="25">
        <v>0.0</v>
      </c>
      <c r="AB117" s="14">
        <f t="shared" ref="AB117:AB123" si="60">if(Z117=AA117,1,0)</f>
        <v>0</v>
      </c>
      <c r="AD117" s="15">
        <f t="shared" ref="AD117:AD130" si="61">(X117-$W$185)/$V$186</f>
        <v>0.2483573373</v>
      </c>
      <c r="AE117" s="15">
        <f t="shared" si="19"/>
        <v>0.5980710302</v>
      </c>
      <c r="AF117" s="15">
        <f t="shared" si="10"/>
        <v>1</v>
      </c>
      <c r="AG117" s="14">
        <f t="shared" ref="AG117:AG123" si="62">if(AF117=AH117,1,0)</f>
        <v>0</v>
      </c>
      <c r="AH117" s="25">
        <v>0.0</v>
      </c>
      <c r="AI117" s="19">
        <v>1.0</v>
      </c>
    </row>
    <row r="118">
      <c r="A118" s="15">
        <f>(1.5519626-('2021'!E118*0.0000017073983)+('2021'!H118*0.0000013113498)+('2021'!U118*0.1451093)-('2021'!W118*0.0246584)-('2021'!AC118*0.790069)-('2021'!AD118*0.0024787)+('2021'!AF118*0.4651953)-('2021'!AN118*0.002701))</f>
        <v>2.723169449</v>
      </c>
      <c r="B118" s="15">
        <f t="shared" si="1"/>
        <v>2.561012878</v>
      </c>
      <c r="C118" s="26">
        <v>0.940453</v>
      </c>
      <c r="D118" s="15">
        <f t="shared" si="2"/>
        <v>0</v>
      </c>
      <c r="E118" s="15" t="str">
        <f t="shared" ref="E118:E124" si="63">IF('temp result 2022'!B118=D118,1,0)</f>
        <v>#REF!</v>
      </c>
      <c r="G118" s="9">
        <v>1185974.79</v>
      </c>
      <c r="H118" s="9">
        <v>2385741.27</v>
      </c>
      <c r="I118" s="12">
        <v>-0.57</v>
      </c>
      <c r="J118" s="12">
        <v>-28.94</v>
      </c>
      <c r="K118" s="12">
        <v>0.5</v>
      </c>
      <c r="L118" s="12">
        <v>-0.73</v>
      </c>
      <c r="M118" s="12">
        <v>0.22</v>
      </c>
      <c r="N118" s="12">
        <v>100.86</v>
      </c>
      <c r="Q118" s="15">
        <f t="shared" si="3"/>
        <v>1.295941257</v>
      </c>
      <c r="R118" s="24">
        <f t="shared" si="4"/>
        <v>0.9025021381</v>
      </c>
      <c r="S118" s="19">
        <f t="shared" si="5"/>
        <v>1</v>
      </c>
      <c r="T118" s="25">
        <v>0.0</v>
      </c>
      <c r="V118" s="15">
        <v>0.8180573736295459</v>
      </c>
      <c r="W118" s="15">
        <v>0.8180573736295459</v>
      </c>
      <c r="X118" s="15">
        <f t="shared" si="6"/>
        <v>0.02159340077</v>
      </c>
      <c r="Y118" s="24">
        <f t="shared" si="7"/>
        <v>0.5086138511</v>
      </c>
      <c r="Z118" s="15">
        <f t="shared" si="11"/>
        <v>1</v>
      </c>
      <c r="AA118" s="25">
        <v>0.0</v>
      </c>
      <c r="AB118" s="14">
        <f t="shared" si="60"/>
        <v>0</v>
      </c>
      <c r="AD118" s="15">
        <f t="shared" si="61"/>
        <v>-0.1959767287</v>
      </c>
      <c r="AE118" s="15">
        <f t="shared" si="19"/>
        <v>0.4223141903</v>
      </c>
      <c r="AF118" s="15">
        <f t="shared" si="10"/>
        <v>0</v>
      </c>
      <c r="AG118" s="14">
        <f t="shared" si="62"/>
        <v>1</v>
      </c>
      <c r="AH118" s="25">
        <v>0.0</v>
      </c>
      <c r="AI118" s="19">
        <v>1.0</v>
      </c>
    </row>
    <row r="119">
      <c r="A119" s="15">
        <f>(1.5519626-('2021'!E119*0.0000017073983)+('2021'!H119*0.0000013113498)+('2021'!U119*0.1451093)-('2021'!W119*0.0246584)-('2021'!AC119*0.790069)-('2021'!AD119*0.0024787)+('2021'!AF119*0.4651953)-('2021'!AN119*0.002701))</f>
        <v>4.427825056</v>
      </c>
      <c r="B119" s="22">
        <f t="shared" si="1"/>
        <v>4.427816201</v>
      </c>
      <c r="C119" s="23">
        <v>0.999998</v>
      </c>
      <c r="D119" s="15">
        <f t="shared" si="2"/>
        <v>0</v>
      </c>
      <c r="E119" s="15" t="str">
        <f t="shared" si="63"/>
        <v>#REF!</v>
      </c>
      <c r="G119" s="9">
        <v>98568.49</v>
      </c>
      <c r="H119" s="9">
        <v>384991.05</v>
      </c>
      <c r="I119" s="12">
        <v>1.39</v>
      </c>
      <c r="J119" s="12">
        <v>1.67</v>
      </c>
      <c r="K119" s="12">
        <v>0.16</v>
      </c>
      <c r="L119" s="12">
        <v>10.22</v>
      </c>
      <c r="M119" s="12">
        <v>5.69</v>
      </c>
      <c r="N119" s="12">
        <v>43.11</v>
      </c>
      <c r="Q119" s="15">
        <f t="shared" si="3"/>
        <v>4.510184112</v>
      </c>
      <c r="R119" s="24">
        <f t="shared" si="4"/>
        <v>0.9999967614</v>
      </c>
      <c r="S119" s="19">
        <f t="shared" si="5"/>
        <v>1</v>
      </c>
      <c r="T119" s="25">
        <v>0.0</v>
      </c>
      <c r="V119" s="15">
        <v>-0.47982981710252604</v>
      </c>
      <c r="W119" s="15">
        <v>-0.47982981710252604</v>
      </c>
      <c r="X119" s="15">
        <f t="shared" si="6"/>
        <v>-0.7974600563</v>
      </c>
      <c r="Y119" s="24">
        <f t="shared" si="7"/>
        <v>0.2125919461</v>
      </c>
      <c r="Z119" s="15">
        <f t="shared" si="11"/>
        <v>0</v>
      </c>
      <c r="AA119" s="25">
        <v>0.0</v>
      </c>
      <c r="AB119" s="14">
        <f t="shared" si="60"/>
        <v>1</v>
      </c>
      <c r="AD119" s="15">
        <f t="shared" si="61"/>
        <v>-0.3846467318</v>
      </c>
      <c r="AE119" s="15">
        <f t="shared" si="19"/>
        <v>0.350249583</v>
      </c>
      <c r="AF119" s="15">
        <f t="shared" si="10"/>
        <v>0</v>
      </c>
      <c r="AG119" s="14">
        <f t="shared" si="62"/>
        <v>1</v>
      </c>
      <c r="AH119" s="25">
        <v>0.0</v>
      </c>
      <c r="AI119" s="19">
        <v>1.0</v>
      </c>
    </row>
    <row r="120">
      <c r="A120" s="15">
        <f>(1.5519626-('2021'!E120*0.0000017073983)+('2021'!H120*0.0000013113498)+('2021'!U120*0.1451093)-('2021'!W120*0.0246584)-('2021'!AC120*0.790069)-('2021'!AD120*0.0024787)+('2021'!AF120*0.4651953)-('2021'!AN120*0.002701))</f>
        <v>0.7138924166</v>
      </c>
      <c r="B120" s="15">
        <f t="shared" si="1"/>
        <v>0.1831276827</v>
      </c>
      <c r="C120" s="26">
        <v>0.25652</v>
      </c>
      <c r="D120" s="15">
        <f t="shared" si="2"/>
        <v>1</v>
      </c>
      <c r="E120" s="15" t="str">
        <f t="shared" si="63"/>
        <v>#REF!</v>
      </c>
      <c r="G120" s="9">
        <v>200811.61</v>
      </c>
      <c r="H120" s="9">
        <v>498100.86</v>
      </c>
      <c r="I120" s="12">
        <v>-10.32</v>
      </c>
      <c r="J120" s="12">
        <v>-29.53</v>
      </c>
      <c r="K120" s="12">
        <v>0.69</v>
      </c>
      <c r="L120" s="12">
        <v>-9.02</v>
      </c>
      <c r="M120" s="12">
        <v>0.55</v>
      </c>
      <c r="N120" s="12">
        <v>41.5</v>
      </c>
      <c r="Q120" s="15">
        <f t="shared" si="3"/>
        <v>-0.7424326874</v>
      </c>
      <c r="R120" s="24">
        <f t="shared" si="4"/>
        <v>0.2289126105</v>
      </c>
      <c r="S120" s="19">
        <f t="shared" si="5"/>
        <v>0</v>
      </c>
      <c r="T120" s="25">
        <v>0.0</v>
      </c>
      <c r="V120" s="15">
        <v>1.1529854595506044</v>
      </c>
      <c r="W120" s="15">
        <v>1.1529854595506044</v>
      </c>
      <c r="X120" s="15">
        <f t="shared" si="6"/>
        <v>1.706392188</v>
      </c>
      <c r="Y120" s="24">
        <f t="shared" si="7"/>
        <v>0.9560324579</v>
      </c>
      <c r="Z120" s="15">
        <f t="shared" si="11"/>
        <v>1</v>
      </c>
      <c r="AA120" s="25">
        <v>0.0</v>
      </c>
      <c r="AB120" s="14">
        <f t="shared" si="60"/>
        <v>0</v>
      </c>
      <c r="AD120" s="15">
        <f t="shared" si="61"/>
        <v>0.1921188096</v>
      </c>
      <c r="AE120" s="15">
        <f t="shared" si="19"/>
        <v>0.5761754293</v>
      </c>
      <c r="AF120" s="15">
        <f t="shared" si="10"/>
        <v>1</v>
      </c>
      <c r="AG120" s="14">
        <f t="shared" si="62"/>
        <v>0</v>
      </c>
      <c r="AH120" s="25">
        <v>0.0</v>
      </c>
      <c r="AI120" s="19">
        <v>1.0</v>
      </c>
    </row>
    <row r="121">
      <c r="A121" s="15">
        <f>(1.5519626-('2021'!E121*0.0000017073983)+('2021'!H121*0.0000013113498)+('2021'!U121*0.1451093)-('2021'!W121*0.0246584)-('2021'!AC121*0.790069)-('2021'!AD121*0.0024787)+('2021'!AF121*0.4651953)-('2021'!AN121*0.002701))</f>
        <v>5.074222966</v>
      </c>
      <c r="B121" s="22">
        <f t="shared" si="1"/>
        <v>5.074222966</v>
      </c>
      <c r="C121" s="23">
        <v>1.0</v>
      </c>
      <c r="D121" s="15">
        <f t="shared" si="2"/>
        <v>0</v>
      </c>
      <c r="E121" s="15" t="str">
        <f t="shared" si="63"/>
        <v>#REF!</v>
      </c>
      <c r="G121" s="9">
        <v>318727.59</v>
      </c>
      <c r="H121" s="9">
        <v>806210.27</v>
      </c>
      <c r="I121" s="12">
        <v>12.7</v>
      </c>
      <c r="J121" s="12">
        <v>20.19</v>
      </c>
      <c r="K121" s="12">
        <v>0.29</v>
      </c>
      <c r="L121" s="12">
        <v>14.5</v>
      </c>
      <c r="M121" s="12">
        <v>4.27</v>
      </c>
      <c r="N121" s="12">
        <v>21.15</v>
      </c>
      <c r="Q121" s="15">
        <f t="shared" si="3"/>
        <v>6.069929158</v>
      </c>
      <c r="R121" s="24">
        <f t="shared" si="4"/>
        <v>0.9999999994</v>
      </c>
      <c r="S121" s="19">
        <f t="shared" si="5"/>
        <v>1</v>
      </c>
      <c r="T121" s="25">
        <v>0.0</v>
      </c>
      <c r="V121" s="15">
        <v>-0.7840719547439935</v>
      </c>
      <c r="W121" s="15">
        <v>-0.7840719547439935</v>
      </c>
      <c r="X121" s="15">
        <f t="shared" si="6"/>
        <v>-1.813465922</v>
      </c>
      <c r="Y121" s="24">
        <f t="shared" si="7"/>
        <v>0.03487999501</v>
      </c>
      <c r="Z121" s="15">
        <f t="shared" si="11"/>
        <v>0</v>
      </c>
      <c r="AA121" s="25">
        <v>0.0</v>
      </c>
      <c r="AB121" s="14">
        <f t="shared" si="60"/>
        <v>1</v>
      </c>
      <c r="AD121" s="15">
        <f t="shared" si="61"/>
        <v>-0.6186849722</v>
      </c>
      <c r="AE121" s="15">
        <f t="shared" si="19"/>
        <v>0.2680619559</v>
      </c>
      <c r="AF121" s="15">
        <f t="shared" si="10"/>
        <v>0</v>
      </c>
      <c r="AG121" s="14">
        <f t="shared" si="62"/>
        <v>1</v>
      </c>
      <c r="AH121" s="25">
        <v>0.0</v>
      </c>
      <c r="AI121" s="19">
        <v>1.0</v>
      </c>
    </row>
    <row r="122">
      <c r="A122" s="15">
        <f>(1.5519626-('2021'!E122*0.0000017073983)+('2021'!H122*0.0000013113498)+('2021'!U122*0.1451093)-('2021'!W122*0.0246584)-('2021'!AC122*0.790069)-('2021'!AD122*0.0024787)+('2021'!AF122*0.4651953)-('2021'!AN122*0.002701))</f>
        <v>2.655142015</v>
      </c>
      <c r="B122" s="22">
        <f t="shared" si="1"/>
        <v>2.655136705</v>
      </c>
      <c r="C122" s="23">
        <v>0.999998</v>
      </c>
      <c r="D122" s="15">
        <f t="shared" si="2"/>
        <v>0</v>
      </c>
      <c r="E122" s="15" t="str">
        <f t="shared" si="63"/>
        <v>#REF!</v>
      </c>
      <c r="G122" s="9">
        <v>150000.0</v>
      </c>
      <c r="H122" s="9">
        <v>39145.29</v>
      </c>
      <c r="I122" s="12">
        <v>8.65</v>
      </c>
      <c r="J122" s="12">
        <v>36.71</v>
      </c>
      <c r="K122" s="12">
        <v>0.4</v>
      </c>
      <c r="L122" s="12">
        <v>11.49</v>
      </c>
      <c r="M122" s="12">
        <v>3.08</v>
      </c>
      <c r="N122" s="12">
        <v>48.25</v>
      </c>
      <c r="Q122" s="15">
        <f t="shared" si="3"/>
        <v>4.465561743</v>
      </c>
      <c r="R122" s="24">
        <f t="shared" si="4"/>
        <v>0.9999960071</v>
      </c>
      <c r="S122" s="19">
        <f t="shared" si="5"/>
        <v>1</v>
      </c>
      <c r="T122" s="25">
        <v>0.0</v>
      </c>
      <c r="V122" s="15">
        <v>-0.25800508670403355</v>
      </c>
      <c r="W122" s="15">
        <v>-0.25800508670403355</v>
      </c>
      <c r="X122" s="15">
        <f t="shared" si="6"/>
        <v>-0.4805490226</v>
      </c>
      <c r="Y122" s="24">
        <f t="shared" si="7"/>
        <v>0.3154185268</v>
      </c>
      <c r="Z122" s="15">
        <f t="shared" si="11"/>
        <v>0</v>
      </c>
      <c r="AA122" s="25">
        <v>0.0</v>
      </c>
      <c r="AB122" s="14">
        <f t="shared" si="60"/>
        <v>1</v>
      </c>
      <c r="AD122" s="15">
        <f t="shared" si="61"/>
        <v>-0.3116458731</v>
      </c>
      <c r="AE122" s="15">
        <f t="shared" si="19"/>
        <v>0.3776548338</v>
      </c>
      <c r="AF122" s="15">
        <f t="shared" si="10"/>
        <v>0</v>
      </c>
      <c r="AG122" s="14">
        <f t="shared" si="62"/>
        <v>1</v>
      </c>
      <c r="AH122" s="25">
        <v>0.0</v>
      </c>
      <c r="AI122" s="19">
        <v>1.0</v>
      </c>
    </row>
    <row r="123">
      <c r="A123" s="15">
        <f>(1.5519626-('2021'!E123*0.0000017073983)+('2021'!H123*0.0000013113498)+('2021'!U123*0.1451093)-('2021'!W123*0.0246584)-('2021'!AC123*0.790069)-('2021'!AD123*0.0024787)+('2021'!AF123*0.4651953)-('2021'!AN123*0.002701))</f>
        <v>3.318365338</v>
      </c>
      <c r="B123" s="15">
        <f t="shared" si="1"/>
        <v>3.317147498</v>
      </c>
      <c r="C123" s="26">
        <v>0.999633</v>
      </c>
      <c r="D123" s="15">
        <f t="shared" si="2"/>
        <v>0</v>
      </c>
      <c r="E123" s="15" t="str">
        <f t="shared" si="63"/>
        <v>#REF!</v>
      </c>
      <c r="G123" s="9">
        <v>380121.02</v>
      </c>
      <c r="H123" s="9">
        <v>1300734.68</v>
      </c>
      <c r="I123" s="12">
        <v>0.31</v>
      </c>
      <c r="J123" s="12">
        <v>-1.2</v>
      </c>
      <c r="K123" s="12">
        <v>0.22</v>
      </c>
      <c r="L123" s="12">
        <v>1.18</v>
      </c>
      <c r="M123" s="12">
        <v>2.04</v>
      </c>
      <c r="N123" s="12">
        <v>50.77</v>
      </c>
      <c r="Q123" s="15">
        <f t="shared" si="3"/>
        <v>3.259185178</v>
      </c>
      <c r="R123" s="24">
        <f t="shared" si="4"/>
        <v>0.9994413364</v>
      </c>
      <c r="S123" s="19">
        <f t="shared" si="5"/>
        <v>1</v>
      </c>
      <c r="T123" s="25">
        <v>0.0</v>
      </c>
      <c r="V123" s="15">
        <v>0.11302904861524857</v>
      </c>
      <c r="W123" s="15">
        <v>0.11302904861524857</v>
      </c>
      <c r="X123" s="15">
        <f t="shared" si="6"/>
        <v>-0.1036739295</v>
      </c>
      <c r="Y123" s="24">
        <f t="shared" si="7"/>
        <v>0.4587140582</v>
      </c>
      <c r="Z123" s="15">
        <f t="shared" si="11"/>
        <v>0</v>
      </c>
      <c r="AA123" s="25">
        <v>0.0</v>
      </c>
      <c r="AB123" s="14">
        <f t="shared" si="60"/>
        <v>1</v>
      </c>
      <c r="AD123" s="15">
        <f t="shared" si="61"/>
        <v>-0.2248322172</v>
      </c>
      <c r="AE123" s="15">
        <f t="shared" si="19"/>
        <v>0.411054901</v>
      </c>
      <c r="AF123" s="15">
        <f t="shared" si="10"/>
        <v>0</v>
      </c>
      <c r="AG123" s="14">
        <f t="shared" si="62"/>
        <v>1</v>
      </c>
      <c r="AH123" s="25">
        <v>0.0</v>
      </c>
      <c r="AI123" s="19">
        <v>1.0</v>
      </c>
    </row>
    <row r="124">
      <c r="A124" s="15">
        <f>(1.5519626-('2021'!E124*0.0000017073983)+('2021'!H124*0.0000013113498)+('2021'!U124*0.1451093)-('2021'!W124*0.0246584)-('2021'!AC124*0.790069)-('2021'!AD124*0.0024787)+('2021'!AF124*0.4651953)-('2021'!AN124*0.002701))</f>
        <v>1.417717581</v>
      </c>
      <c r="B124" s="15">
        <f t="shared" si="1"/>
        <v>1.35180222</v>
      </c>
      <c r="C124" s="26">
        <v>0.953506</v>
      </c>
      <c r="D124" s="15">
        <f t="shared" si="2"/>
        <v>0</v>
      </c>
      <c r="E124" s="15" t="str">
        <f t="shared" si="63"/>
        <v>#REF!</v>
      </c>
      <c r="G124" s="9">
        <v>154271.93</v>
      </c>
      <c r="H124" s="9">
        <v>632093.11</v>
      </c>
      <c r="I124" s="12">
        <v>4.1</v>
      </c>
      <c r="J124" s="12">
        <v>2.07</v>
      </c>
      <c r="K124" s="12">
        <v>1.68</v>
      </c>
      <c r="L124" s="12">
        <v>2.52</v>
      </c>
      <c r="M124" s="12">
        <v>0.57</v>
      </c>
      <c r="N124" s="12">
        <v>64.88</v>
      </c>
      <c r="Q124" s="15">
        <f t="shared" si="3"/>
        <v>1.519803357</v>
      </c>
      <c r="R124" s="24">
        <f t="shared" si="4"/>
        <v>0.9357197975</v>
      </c>
      <c r="S124" s="19">
        <f t="shared" si="5"/>
        <v>1</v>
      </c>
      <c r="T124" s="25" t="e">
        <v>#N/A</v>
      </c>
      <c r="V124" s="15">
        <v>0.6662893985621496</v>
      </c>
      <c r="W124" s="15">
        <v>0.6662893985621496</v>
      </c>
      <c r="X124" s="15">
        <f t="shared" si="6"/>
        <v>0.3171033893</v>
      </c>
      <c r="Y124" s="24">
        <f t="shared" si="7"/>
        <v>0.6244174234</v>
      </c>
      <c r="Z124" s="15">
        <f t="shared" si="11"/>
        <v>1</v>
      </c>
      <c r="AA124" s="25"/>
      <c r="AB124" s="14"/>
      <c r="AD124" s="15">
        <f t="shared" si="61"/>
        <v>-0.1279056279</v>
      </c>
      <c r="AE124" s="15">
        <f t="shared" si="19"/>
        <v>0.4491118286</v>
      </c>
      <c r="AF124" s="15">
        <f t="shared" si="10"/>
        <v>0</v>
      </c>
      <c r="AG124" s="14"/>
      <c r="AH124" s="25"/>
    </row>
    <row r="125">
      <c r="A125" s="15">
        <f>(1.5519626-('2021'!E125*0.0000017073983)+('2021'!H125*0.0000013113498)+('2021'!U125*0.1451093)-('2021'!W125*0.0246584)-('2021'!AC125*0.790069)-('2021'!AD125*0.0024787)+('2021'!AF125*0.4651953)-('2021'!AN125*0.002701))</f>
        <v>2.762616274</v>
      </c>
      <c r="B125" s="15">
        <f t="shared" si="1"/>
        <v>2.76163002</v>
      </c>
      <c r="C125" s="26">
        <v>0.999643</v>
      </c>
      <c r="D125" s="15">
        <f t="shared" si="2"/>
        <v>0</v>
      </c>
      <c r="G125" s="9">
        <v>311998.99</v>
      </c>
      <c r="H125" s="9">
        <v>471225.01</v>
      </c>
      <c r="I125" s="12">
        <v>9.9</v>
      </c>
      <c r="J125" s="12">
        <v>8.03</v>
      </c>
      <c r="K125" s="12">
        <v>0.47</v>
      </c>
      <c r="L125" s="12">
        <v>29.21</v>
      </c>
      <c r="M125" s="12">
        <v>1.22</v>
      </c>
      <c r="N125" s="12">
        <v>87.73</v>
      </c>
      <c r="Q125" s="15">
        <f t="shared" si="3"/>
        <v>3.158630178</v>
      </c>
      <c r="R125" s="24">
        <f t="shared" si="4"/>
        <v>0.9992074375</v>
      </c>
      <c r="S125" s="19">
        <f t="shared" si="5"/>
        <v>1</v>
      </c>
      <c r="T125" s="25">
        <v>0.0</v>
      </c>
      <c r="V125" s="15">
        <v>0.27390227742823425</v>
      </c>
      <c r="W125" s="15">
        <v>0.27390227742823425</v>
      </c>
      <c r="X125" s="15">
        <f t="shared" si="6"/>
        <v>-0.7357713414</v>
      </c>
      <c r="Y125" s="24">
        <f t="shared" si="7"/>
        <v>0.2309349324</v>
      </c>
      <c r="Z125" s="15">
        <f t="shared" si="11"/>
        <v>0</v>
      </c>
      <c r="AA125" s="25">
        <v>0.0</v>
      </c>
      <c r="AB125" s="14">
        <f>if(Z125=AA125,1,0)</f>
        <v>1</v>
      </c>
      <c r="AD125" s="15">
        <f t="shared" si="61"/>
        <v>-0.370436658</v>
      </c>
      <c r="AE125" s="15">
        <f t="shared" si="19"/>
        <v>0.3555285821</v>
      </c>
      <c r="AF125" s="15">
        <f t="shared" si="10"/>
        <v>0</v>
      </c>
      <c r="AG125" s="14">
        <f>if(AF125=AH125,1,0)</f>
        <v>1</v>
      </c>
      <c r="AH125" s="25">
        <v>0.0</v>
      </c>
      <c r="AI125" s="19">
        <v>1.0</v>
      </c>
    </row>
    <row r="126">
      <c r="A126" s="15">
        <f>(1.5519626-('2021'!E126*0.0000017073983)+('2021'!H126*0.0000013113498)+('2021'!U126*0.1451093)-('2021'!W126*0.0246584)-('2021'!AC126*0.790069)-('2021'!AD126*0.0024787)+('2021'!AF126*0.4651953)-('2021'!AN126*0.002701))</f>
        <v>16.55467592</v>
      </c>
      <c r="B126" s="22">
        <f t="shared" si="1"/>
        <v>16.55467592</v>
      </c>
      <c r="C126" s="23">
        <v>1.0</v>
      </c>
      <c r="D126" s="15">
        <f t="shared" si="2"/>
        <v>0</v>
      </c>
      <c r="E126" s="15" t="str">
        <f>IF('temp result 2022'!B126=D126,1,0)</f>
        <v>#REF!</v>
      </c>
      <c r="G126" s="9">
        <v>649507.47</v>
      </c>
      <c r="H126" s="9">
        <v>1.135703786E7</v>
      </c>
      <c r="I126" s="12">
        <v>10.06</v>
      </c>
      <c r="J126" s="12">
        <v>2.11</v>
      </c>
      <c r="K126" s="12">
        <v>0.85</v>
      </c>
      <c r="L126" s="12">
        <v>12.93</v>
      </c>
      <c r="M126" s="12">
        <v>1.23</v>
      </c>
      <c r="N126" s="12">
        <v>21.37</v>
      </c>
      <c r="Q126" s="15">
        <f t="shared" si="3"/>
        <v>16.65873437</v>
      </c>
      <c r="R126" s="24">
        <f t="shared" si="4"/>
        <v>1</v>
      </c>
      <c r="S126" s="19">
        <f t="shared" si="5"/>
        <v>1</v>
      </c>
      <c r="T126" s="25" t="e">
        <v>#N/A</v>
      </c>
      <c r="V126" s="15">
        <v>-3.0590978440390093</v>
      </c>
      <c r="W126" s="15">
        <v>-3.0590978440390093</v>
      </c>
      <c r="X126" s="15">
        <f t="shared" si="6"/>
        <v>-7.277378934</v>
      </c>
      <c r="Y126" s="24">
        <f t="shared" si="7"/>
        <v>0</v>
      </c>
      <c r="Z126" s="15">
        <f t="shared" si="11"/>
        <v>0</v>
      </c>
      <c r="AA126" s="25"/>
      <c r="AB126" s="14"/>
      <c r="AD126" s="15">
        <f t="shared" si="61"/>
        <v>-1.877304267</v>
      </c>
      <c r="AE126" s="15">
        <f t="shared" si="19"/>
        <v>0.03023820185</v>
      </c>
      <c r="AF126" s="15">
        <f t="shared" si="10"/>
        <v>0</v>
      </c>
      <c r="AG126" s="14"/>
      <c r="AH126" s="25"/>
    </row>
    <row r="127">
      <c r="A127" s="15">
        <f>(1.5519626-('2021'!E127*0.0000017073983)+('2021'!H127*0.0000013113498)+('2021'!U127*0.1451093)-('2021'!W127*0.0246584)-('2021'!AC127*0.790069)-('2021'!AD127*0.0024787)+('2021'!AF127*0.4651953)-('2021'!AN127*0.002701))</f>
        <v>5.872155043</v>
      </c>
      <c r="B127" s="22">
        <f t="shared" si="1"/>
        <v>5.872155043</v>
      </c>
      <c r="C127" s="23">
        <v>1.0</v>
      </c>
      <c r="D127" s="15">
        <f t="shared" si="2"/>
        <v>0</v>
      </c>
      <c r="G127" s="9">
        <v>51370.5</v>
      </c>
      <c r="H127" s="9">
        <v>749393.92</v>
      </c>
      <c r="I127" s="12">
        <v>14.38</v>
      </c>
      <c r="J127" s="12">
        <v>7.4</v>
      </c>
      <c r="K127" s="12">
        <v>0.28</v>
      </c>
      <c r="L127" s="12">
        <v>53.0</v>
      </c>
      <c r="M127" s="12">
        <v>4.42</v>
      </c>
      <c r="N127" s="12">
        <v>67.6</v>
      </c>
      <c r="Q127" s="15">
        <f t="shared" si="3"/>
        <v>6.237099363</v>
      </c>
      <c r="R127" s="24">
        <f t="shared" si="4"/>
        <v>0.9999999998</v>
      </c>
      <c r="S127" s="19">
        <f t="shared" si="5"/>
        <v>1</v>
      </c>
      <c r="T127" s="25">
        <v>0.0</v>
      </c>
      <c r="V127" s="15">
        <v>-0.7423645085681356</v>
      </c>
      <c r="W127" s="15">
        <v>-0.7423645085681356</v>
      </c>
      <c r="X127" s="15">
        <f t="shared" si="6"/>
        <v>-2.806073493</v>
      </c>
      <c r="Y127" s="24">
        <f t="shared" si="7"/>
        <v>0.002507462643</v>
      </c>
      <c r="Z127" s="15">
        <f t="shared" si="11"/>
        <v>0</v>
      </c>
      <c r="AA127" s="25">
        <v>0.0</v>
      </c>
      <c r="AB127" s="14">
        <f t="shared" ref="AB127:AB128" si="64">if(Z127=AA127,1,0)</f>
        <v>1</v>
      </c>
      <c r="AD127" s="15">
        <f t="shared" si="61"/>
        <v>-0.8473333857</v>
      </c>
      <c r="AE127" s="15">
        <f t="shared" si="19"/>
        <v>0.1984046615</v>
      </c>
      <c r="AF127" s="15">
        <f t="shared" si="10"/>
        <v>0</v>
      </c>
      <c r="AG127" s="14">
        <f t="shared" ref="AG127:AG128" si="65">if(AF127=AH127,1,0)</f>
        <v>1</v>
      </c>
      <c r="AH127" s="25">
        <v>0.0</v>
      </c>
      <c r="AI127" s="19">
        <v>1.0</v>
      </c>
    </row>
    <row r="128">
      <c r="A128" s="15">
        <f>(1.5519626-('2021'!E128*0.0000017073983)+('2021'!H128*0.0000013113498)+('2021'!U128*0.1451093)-('2021'!W128*0.0246584)-('2021'!AC128*0.790069)-('2021'!AD128*0.0024787)+('2021'!AF128*0.4651953)-('2021'!AN128*0.002701))</f>
        <v>2.745630927</v>
      </c>
      <c r="B128" s="15">
        <f t="shared" si="1"/>
        <v>2.743843521</v>
      </c>
      <c r="C128" s="26">
        <v>0.999349</v>
      </c>
      <c r="D128" s="15">
        <f t="shared" si="2"/>
        <v>0</v>
      </c>
      <c r="E128" s="15" t="str">
        <f t="shared" ref="E128:E129" si="66">IF('temp result 2022'!B128=D128,1,0)</f>
        <v>#REF!</v>
      </c>
      <c r="G128" s="9">
        <v>228999.0</v>
      </c>
      <c r="H128" s="9">
        <v>1340426.0</v>
      </c>
      <c r="I128" s="12">
        <v>7.44</v>
      </c>
      <c r="J128" s="12">
        <v>5.56</v>
      </c>
      <c r="K128" s="12">
        <v>1.63</v>
      </c>
      <c r="L128" s="12">
        <v>5.9</v>
      </c>
      <c r="M128" s="12">
        <v>0.85</v>
      </c>
      <c r="N128" s="12">
        <v>77.23</v>
      </c>
      <c r="Q128" s="15">
        <f t="shared" si="3"/>
        <v>3.019832335</v>
      </c>
      <c r="R128" s="24">
        <f t="shared" si="4"/>
        <v>0.9987354267</v>
      </c>
      <c r="S128" s="19">
        <f t="shared" si="5"/>
        <v>1</v>
      </c>
      <c r="T128" s="25">
        <v>1.0</v>
      </c>
      <c r="V128" s="15">
        <v>0.3142985867282434</v>
      </c>
      <c r="W128" s="15">
        <v>0.3142985867282434</v>
      </c>
      <c r="X128" s="15">
        <f t="shared" si="6"/>
        <v>-0.4475697103</v>
      </c>
      <c r="Y128" s="24">
        <f t="shared" si="7"/>
        <v>0.3272318837</v>
      </c>
      <c r="Z128" s="15">
        <f t="shared" si="11"/>
        <v>0</v>
      </c>
      <c r="AA128" s="25">
        <v>1.0</v>
      </c>
      <c r="AB128" s="14">
        <f t="shared" si="64"/>
        <v>0</v>
      </c>
      <c r="AD128" s="15">
        <f t="shared" si="61"/>
        <v>-0.3040490466</v>
      </c>
      <c r="AE128" s="15">
        <f t="shared" si="19"/>
        <v>0.3805452625</v>
      </c>
      <c r="AF128" s="15">
        <f t="shared" si="10"/>
        <v>0</v>
      </c>
      <c r="AG128" s="14">
        <f t="shared" si="65"/>
        <v>0</v>
      </c>
      <c r="AH128" s="25">
        <v>1.0</v>
      </c>
      <c r="AI128" s="19">
        <v>1.0</v>
      </c>
    </row>
    <row r="129">
      <c r="A129" s="15">
        <f>(1.5519626-('2021'!E129*0.0000017073983)+('2021'!H129*0.0000013113498)+('2021'!U129*0.1451093)-('2021'!W129*0.0246584)-('2021'!AC129*0.790069)-('2021'!AD129*0.0024787)+('2021'!AF129*0.4651953)-('2021'!AN129*0.002701))</f>
        <v>-0.6110289911</v>
      </c>
      <c r="B129" s="15">
        <f t="shared" si="1"/>
        <v>-0.0324829122</v>
      </c>
      <c r="C129" s="26">
        <v>0.053161</v>
      </c>
      <c r="D129" s="15">
        <f t="shared" si="2"/>
        <v>1</v>
      </c>
      <c r="E129" s="15" t="str">
        <f t="shared" si="66"/>
        <v>#REF!</v>
      </c>
      <c r="G129" s="9">
        <v>2100000.0</v>
      </c>
      <c r="H129" s="9">
        <v>1533469.04</v>
      </c>
      <c r="I129" s="12">
        <v>-3.54</v>
      </c>
      <c r="J129" s="12">
        <v>-26.72</v>
      </c>
      <c r="K129" s="12">
        <v>0.61</v>
      </c>
      <c r="L129" s="12">
        <v>-2.16</v>
      </c>
      <c r="M129" s="12">
        <v>0.14</v>
      </c>
      <c r="N129" s="12">
        <v>119.25</v>
      </c>
      <c r="Q129" s="15">
        <f t="shared" si="3"/>
        <v>-1.928773887</v>
      </c>
      <c r="R129" s="24">
        <f t="shared" si="4"/>
        <v>0.02687946947</v>
      </c>
      <c r="S129" s="19">
        <f t="shared" si="5"/>
        <v>0</v>
      </c>
      <c r="T129" s="25" t="e">
        <v>#N/A</v>
      </c>
      <c r="V129" s="15">
        <v>1.6200019887196402</v>
      </c>
      <c r="W129" s="15">
        <v>1.6200019887196402</v>
      </c>
      <c r="X129" s="15">
        <f t="shared" si="6"/>
        <v>0.9297707261</v>
      </c>
      <c r="Y129" s="24">
        <f t="shared" si="7"/>
        <v>0.8237550969</v>
      </c>
      <c r="Z129" s="15">
        <f t="shared" si="11"/>
        <v>1</v>
      </c>
      <c r="AA129" s="25"/>
      <c r="AB129" s="14"/>
      <c r="AD129" s="15">
        <f t="shared" si="61"/>
        <v>0.01322307056</v>
      </c>
      <c r="AE129" s="15">
        <f t="shared" si="19"/>
        <v>0.5052750882</v>
      </c>
      <c r="AF129" s="15">
        <f t="shared" si="10"/>
        <v>1</v>
      </c>
      <c r="AG129" s="14"/>
      <c r="AH129" s="25"/>
    </row>
    <row r="130">
      <c r="A130" s="15">
        <f>(1.5519626-('2021'!E130*0.0000017073983)+('2021'!H130*0.0000013113498)+('2021'!U130*0.1451093)-('2021'!W130*0.0246584)-('2021'!AC130*0.790069)-('2021'!AD130*0.0024787)+('2021'!AF130*0.4651953)-('2021'!AN130*0.002701))</f>
        <v>4.752094562</v>
      </c>
      <c r="B130" s="22">
        <f t="shared" si="1"/>
        <v>4.752094562</v>
      </c>
      <c r="C130" s="23">
        <v>1.0</v>
      </c>
      <c r="D130" s="15">
        <f t="shared" si="2"/>
        <v>0</v>
      </c>
      <c r="G130" s="9">
        <v>220000.0</v>
      </c>
      <c r="H130" s="9">
        <v>666040.14</v>
      </c>
      <c r="I130" s="12">
        <v>16.28</v>
      </c>
      <c r="J130" s="12">
        <v>14.03</v>
      </c>
      <c r="K130" s="12">
        <v>0.28</v>
      </c>
      <c r="L130" s="12">
        <v>25.3</v>
      </c>
      <c r="M130" s="12">
        <v>2.44</v>
      </c>
      <c r="N130" s="12">
        <v>61.17</v>
      </c>
      <c r="Q130" s="15">
        <f t="shared" si="3"/>
        <v>5.444009266</v>
      </c>
      <c r="R130" s="24">
        <f t="shared" si="4"/>
        <v>0.999999974</v>
      </c>
      <c r="S130" s="19">
        <f t="shared" si="5"/>
        <v>1</v>
      </c>
      <c r="T130" s="25">
        <v>0.0</v>
      </c>
      <c r="V130" s="15">
        <v>-0.41478545290714575</v>
      </c>
      <c r="W130" s="15">
        <v>-0.41478545290714575</v>
      </c>
      <c r="X130" s="15">
        <f t="shared" si="6"/>
        <v>-1.655371332</v>
      </c>
      <c r="Y130" s="24">
        <f t="shared" si="7"/>
        <v>0.04892459877</v>
      </c>
      <c r="Z130" s="15">
        <f t="shared" si="11"/>
        <v>0</v>
      </c>
      <c r="AA130" s="25">
        <v>0.0</v>
      </c>
      <c r="AB130" s="14">
        <f>if(Z130=AA130,1,0)</f>
        <v>1</v>
      </c>
      <c r="AD130" s="15">
        <f t="shared" si="61"/>
        <v>-0.5822676827</v>
      </c>
      <c r="AE130" s="15">
        <f t="shared" si="19"/>
        <v>0.280193195</v>
      </c>
      <c r="AF130" s="15">
        <f t="shared" si="10"/>
        <v>0</v>
      </c>
      <c r="AG130" s="14">
        <f>if(AF130=AH130,1,0)</f>
        <v>1</v>
      </c>
      <c r="AH130" s="25">
        <v>0.0</v>
      </c>
      <c r="AI130" s="19">
        <v>1.0</v>
      </c>
    </row>
    <row r="131">
      <c r="A131" s="15" t="str">
        <f>(1.5519626-('2021'!E131*0.0000017073983)+('2021'!H131*0.0000013113498)+('2021'!U131*0.1451093)-('2021'!W131*0.0246584)-('2021'!AC131*0.790069)-('2021'!AD131*0.0024787)+('2021'!AF131*0.4651953)-('2021'!AN131*0.002701))</f>
        <v>#VALUE!</v>
      </c>
      <c r="B131" s="15" t="str">
        <f t="shared" si="1"/>
        <v>#VALUE!</v>
      </c>
      <c r="C131" s="27"/>
      <c r="D131" s="15">
        <f t="shared" si="2"/>
        <v>1</v>
      </c>
      <c r="E131" s="15" t="str">
        <f>IF('temp result 2022'!B131=D131,1,0)</f>
        <v>#REF!</v>
      </c>
      <c r="G131" s="9">
        <v>1637500.0</v>
      </c>
      <c r="H131" s="9">
        <v>297848.57</v>
      </c>
      <c r="I131" s="12">
        <v>4.79</v>
      </c>
      <c r="J131" s="12">
        <v>13.75</v>
      </c>
      <c r="K131" s="12">
        <v>0.49</v>
      </c>
      <c r="L131" s="12">
        <v>1.96</v>
      </c>
      <c r="M131" s="12">
        <v>0.07</v>
      </c>
      <c r="N131" s="12" t="s">
        <v>46</v>
      </c>
      <c r="Q131" s="15" t="str">
        <f t="shared" si="3"/>
        <v>#VALUE!</v>
      </c>
      <c r="R131" s="24" t="str">
        <f t="shared" si="4"/>
        <v>#VALUE!</v>
      </c>
      <c r="S131" s="19" t="str">
        <f t="shared" si="5"/>
        <v>#VALUE!</v>
      </c>
      <c r="T131" s="25" t="e">
        <v>#N/A</v>
      </c>
      <c r="X131" s="15" t="str">
        <f t="shared" si="6"/>
        <v>#VALUE!</v>
      </c>
      <c r="Y131" s="24" t="str">
        <f t="shared" si="7"/>
        <v>#VALUE!</v>
      </c>
      <c r="Z131" s="15" t="str">
        <f t="shared" si="11"/>
        <v>#VALUE!</v>
      </c>
      <c r="AA131" s="25"/>
      <c r="AB131" s="14"/>
      <c r="AE131" s="15">
        <f t="shared" si="19"/>
        <v>0.5</v>
      </c>
      <c r="AF131" s="15">
        <f t="shared" si="10"/>
        <v>1</v>
      </c>
      <c r="AG131" s="14"/>
      <c r="AH131" s="25"/>
    </row>
    <row r="132">
      <c r="A132" s="15">
        <f>(1.5519626-('2021'!E132*0.0000017073983)+('2021'!H132*0.0000013113498)+('2021'!U132*0.1451093)-('2021'!W132*0.0246584)-('2021'!AC132*0.790069)-('2021'!AD132*0.0024787)+('2021'!AF132*0.4651953)-('2021'!AN132*0.002701))</f>
        <v>4.167130193</v>
      </c>
      <c r="B132" s="22">
        <f t="shared" si="1"/>
        <v>4.167130193</v>
      </c>
      <c r="C132" s="23">
        <v>1.0</v>
      </c>
      <c r="D132" s="15">
        <f t="shared" si="2"/>
        <v>0</v>
      </c>
      <c r="G132" s="9">
        <v>200000.0</v>
      </c>
      <c r="H132" s="9">
        <v>360176.97</v>
      </c>
      <c r="I132" s="12">
        <v>14.31</v>
      </c>
      <c r="J132" s="12">
        <v>14.87</v>
      </c>
      <c r="K132" s="12">
        <v>0.23</v>
      </c>
      <c r="L132" s="12">
        <v>93.92</v>
      </c>
      <c r="M132" s="12">
        <v>2.98</v>
      </c>
      <c r="N132" s="12">
        <v>73.04</v>
      </c>
      <c r="Q132" s="15">
        <f t="shared" si="3"/>
        <v>4.900471009</v>
      </c>
      <c r="R132" s="24">
        <f t="shared" si="4"/>
        <v>0.999999522</v>
      </c>
      <c r="S132" s="19">
        <f t="shared" si="5"/>
        <v>1</v>
      </c>
      <c r="T132" s="25">
        <v>0.0</v>
      </c>
      <c r="V132" s="15">
        <v>-0.30384826592872705</v>
      </c>
      <c r="W132" s="15">
        <v>-0.30384826592872705</v>
      </c>
      <c r="X132" s="15">
        <f t="shared" si="6"/>
        <v>-3.361097908</v>
      </c>
      <c r="Y132" s="24">
        <f t="shared" si="7"/>
        <v>0.0003881665043</v>
      </c>
      <c r="Z132" s="15">
        <f t="shared" si="11"/>
        <v>0</v>
      </c>
      <c r="AA132" s="25">
        <v>0.0</v>
      </c>
      <c r="AB132" s="14">
        <f>if(Z132=AA132,1,0)</f>
        <v>1</v>
      </c>
      <c r="AD132" s="15">
        <f t="shared" ref="AD132:AD141" si="67">(X132-$W$185)/$V$186</f>
        <v>-0.9751839639</v>
      </c>
      <c r="AE132" s="15">
        <f t="shared" si="19"/>
        <v>0.1647345076</v>
      </c>
      <c r="AF132" s="15">
        <f t="shared" si="10"/>
        <v>0</v>
      </c>
      <c r="AG132" s="14">
        <f>if(AF132=AH132,1,0)</f>
        <v>1</v>
      </c>
      <c r="AH132" s="25">
        <v>0.0</v>
      </c>
      <c r="AI132" s="19">
        <v>1.0</v>
      </c>
    </row>
    <row r="133">
      <c r="A133" s="15">
        <f>(1.5519626-('2021'!E133*0.0000017073983)+('2021'!H133*0.0000013113498)+('2021'!U133*0.1451093)-('2021'!W133*0.0246584)-('2021'!AC133*0.790069)-('2021'!AD133*0.0024787)+('2021'!AF133*0.4651953)-('2021'!AN133*0.002701))</f>
        <v>2.114028555</v>
      </c>
      <c r="B133" s="15">
        <f t="shared" si="1"/>
        <v>2.11009012</v>
      </c>
      <c r="C133" s="26">
        <v>0.998137</v>
      </c>
      <c r="D133" s="15">
        <f t="shared" si="2"/>
        <v>0</v>
      </c>
      <c r="E133" s="15" t="str">
        <f>IF('temp result 2022'!B133=D133,1,0)</f>
        <v>#REF!</v>
      </c>
      <c r="G133" s="9">
        <v>648564.61</v>
      </c>
      <c r="H133" s="9">
        <v>827955.29</v>
      </c>
      <c r="I133" s="12">
        <v>8.77</v>
      </c>
      <c r="J133" s="12">
        <v>10.12</v>
      </c>
      <c r="K133" s="12">
        <v>0.53</v>
      </c>
      <c r="L133" s="12">
        <v>5.15</v>
      </c>
      <c r="M133" s="12">
        <v>0.62</v>
      </c>
      <c r="N133" s="12">
        <v>109.7</v>
      </c>
      <c r="Q133" s="15">
        <f t="shared" si="3"/>
        <v>2.613114571</v>
      </c>
      <c r="R133" s="24">
        <f t="shared" si="4"/>
        <v>0.995513939</v>
      </c>
      <c r="S133" s="19">
        <f t="shared" si="5"/>
        <v>1</v>
      </c>
      <c r="T133" s="25" t="e">
        <v>#N/A</v>
      </c>
      <c r="V133" s="15">
        <v>0.49332182321508283</v>
      </c>
      <c r="W133" s="15">
        <v>0.49332182321508283</v>
      </c>
      <c r="X133" s="15">
        <f t="shared" si="6"/>
        <v>0.1072943225</v>
      </c>
      <c r="Y133" s="24">
        <f t="shared" si="7"/>
        <v>0.5427222557</v>
      </c>
      <c r="Z133" s="15">
        <f t="shared" si="11"/>
        <v>1</v>
      </c>
      <c r="AA133" s="25"/>
      <c r="AB133" s="14"/>
      <c r="AD133" s="15">
        <f t="shared" si="67"/>
        <v>-0.1762354126</v>
      </c>
      <c r="AE133" s="15">
        <f t="shared" si="19"/>
        <v>0.4300545005</v>
      </c>
      <c r="AF133" s="15">
        <f t="shared" si="10"/>
        <v>0</v>
      </c>
      <c r="AG133" s="14"/>
      <c r="AH133" s="25"/>
    </row>
    <row r="134">
      <c r="A134" s="15">
        <f>(1.5519626-('2021'!E134*0.0000017073983)+('2021'!H134*0.0000013113498)+('2021'!U134*0.1451093)-('2021'!W134*0.0246584)-('2021'!AC134*0.790069)-('2021'!AD134*0.0024787)+('2021'!AF134*0.4651953)-('2021'!AN134*0.002701))</f>
        <v>2.823710997</v>
      </c>
      <c r="B134" s="15">
        <f t="shared" si="1"/>
        <v>2.821051061</v>
      </c>
      <c r="C134" s="26">
        <v>0.999058</v>
      </c>
      <c r="D134" s="15">
        <f t="shared" si="2"/>
        <v>0</v>
      </c>
      <c r="G134" s="9">
        <v>230000.0</v>
      </c>
      <c r="H134" s="9">
        <v>604722.38</v>
      </c>
      <c r="I134" s="12">
        <v>6.38</v>
      </c>
      <c r="J134" s="12">
        <v>3.91</v>
      </c>
      <c r="K134" s="12">
        <v>0.5</v>
      </c>
      <c r="L134" s="12">
        <v>32.62</v>
      </c>
      <c r="M134" s="12">
        <v>1.36</v>
      </c>
      <c r="N134" s="12">
        <v>42.47</v>
      </c>
      <c r="Q134" s="15">
        <f t="shared" si="3"/>
        <v>3.016539685</v>
      </c>
      <c r="R134" s="24">
        <f t="shared" si="4"/>
        <v>0.9987216113</v>
      </c>
      <c r="S134" s="19">
        <f t="shared" si="5"/>
        <v>1</v>
      </c>
      <c r="T134" s="25">
        <v>0.0</v>
      </c>
      <c r="V134" s="15">
        <v>0.20627275310791</v>
      </c>
      <c r="W134" s="15">
        <v>0.20627275310791</v>
      </c>
      <c r="X134" s="15">
        <f t="shared" si="6"/>
        <v>-0.9587466314</v>
      </c>
      <c r="Y134" s="24">
        <f t="shared" si="7"/>
        <v>0.1688432003</v>
      </c>
      <c r="Z134" s="15">
        <f t="shared" si="11"/>
        <v>0</v>
      </c>
      <c r="AA134" s="25">
        <v>0.0</v>
      </c>
      <c r="AB134" s="14">
        <f t="shared" ref="AB134:AB135" si="68">if(Z134=AA134,1,0)</f>
        <v>1</v>
      </c>
      <c r="AD134" s="15">
        <f t="shared" si="67"/>
        <v>-0.421799299</v>
      </c>
      <c r="AE134" s="15">
        <f t="shared" si="19"/>
        <v>0.3365857587</v>
      </c>
      <c r="AF134" s="15">
        <f t="shared" si="10"/>
        <v>0</v>
      </c>
      <c r="AG134" s="14">
        <f t="shared" ref="AG134:AG135" si="69">if(AF134=AH134,1,0)</f>
        <v>1</v>
      </c>
      <c r="AH134" s="25">
        <v>0.0</v>
      </c>
      <c r="AI134" s="19">
        <v>1.0</v>
      </c>
    </row>
    <row r="135">
      <c r="A135" s="15">
        <f>(1.5519626-('2021'!E135*0.0000017073983)+('2021'!H135*0.0000013113498)+('2021'!U135*0.1451093)-('2021'!W135*0.0246584)-('2021'!AC135*0.790069)-('2021'!AD135*0.0024787)+('2021'!AF135*0.4651953)-('2021'!AN135*0.002701))</f>
        <v>1.349717223</v>
      </c>
      <c r="B135" s="15">
        <f t="shared" si="1"/>
        <v>1.32457874</v>
      </c>
      <c r="C135" s="26">
        <v>0.981375</v>
      </c>
      <c r="D135" s="15">
        <f t="shared" si="2"/>
        <v>0</v>
      </c>
      <c r="E135" s="15" t="str">
        <f t="shared" ref="E135:E136" si="70">IF('temp result 2022'!B135=D135,1,0)</f>
        <v>#REF!</v>
      </c>
      <c r="G135" s="9">
        <v>128077.7</v>
      </c>
      <c r="H135" s="9">
        <v>170662.42</v>
      </c>
      <c r="I135" s="12">
        <v>10.34</v>
      </c>
      <c r="J135" s="12">
        <v>5.57</v>
      </c>
      <c r="K135" s="12">
        <v>1.81</v>
      </c>
      <c r="L135" s="12">
        <v>40.11</v>
      </c>
      <c r="M135" s="12">
        <v>0.91</v>
      </c>
      <c r="N135" s="12">
        <v>171.91</v>
      </c>
      <c r="Q135" s="15">
        <f t="shared" si="3"/>
        <v>1.624411799</v>
      </c>
      <c r="R135" s="24">
        <f t="shared" si="4"/>
        <v>0.9478560247</v>
      </c>
      <c r="S135" s="19">
        <f t="shared" si="5"/>
        <v>1</v>
      </c>
      <c r="T135" s="25">
        <v>0.0</v>
      </c>
      <c r="V135" s="15">
        <v>0.8294273482466397</v>
      </c>
      <c r="W135" s="15">
        <v>0.8294273482466397</v>
      </c>
      <c r="X135" s="15">
        <f t="shared" si="6"/>
        <v>-0.4147582978</v>
      </c>
      <c r="Y135" s="24">
        <f t="shared" si="7"/>
        <v>0.3391594253</v>
      </c>
      <c r="Z135" s="15">
        <f t="shared" si="11"/>
        <v>0</v>
      </c>
      <c r="AA135" s="25">
        <v>0.0</v>
      </c>
      <c r="AB135" s="14">
        <f t="shared" si="68"/>
        <v>1</v>
      </c>
      <c r="AD135" s="15">
        <f t="shared" si="67"/>
        <v>-0.2964908961</v>
      </c>
      <c r="AE135" s="15">
        <f t="shared" si="19"/>
        <v>0.3834276092</v>
      </c>
      <c r="AF135" s="15">
        <f t="shared" si="10"/>
        <v>0</v>
      </c>
      <c r="AG135" s="14">
        <f t="shared" si="69"/>
        <v>1</v>
      </c>
      <c r="AH135" s="25">
        <v>0.0</v>
      </c>
      <c r="AI135" s="19">
        <v>1.0</v>
      </c>
    </row>
    <row r="136">
      <c r="A136" s="15">
        <f>(1.5519626-('2021'!E136*0.0000017073983)+('2021'!H136*0.0000013113498)+('2021'!U136*0.1451093)-('2021'!W136*0.0246584)-('2021'!AC136*0.790069)-('2021'!AD136*0.0024787)+('2021'!AF136*0.4651953)-('2021'!AN136*0.002701))</f>
        <v>3.08519339</v>
      </c>
      <c r="B136" s="15">
        <f t="shared" si="1"/>
        <v>3.084820081</v>
      </c>
      <c r="C136" s="26">
        <v>0.999879</v>
      </c>
      <c r="D136" s="15">
        <f t="shared" si="2"/>
        <v>0</v>
      </c>
      <c r="E136" s="15" t="str">
        <f t="shared" si="70"/>
        <v>#REF!</v>
      </c>
      <c r="G136" s="9">
        <v>520783.0</v>
      </c>
      <c r="H136" s="9">
        <v>409087.0</v>
      </c>
      <c r="I136" s="12">
        <v>7.42</v>
      </c>
      <c r="J136" s="12">
        <v>8.68</v>
      </c>
      <c r="K136" s="12">
        <v>0.19</v>
      </c>
      <c r="L136" s="12">
        <v>23.61</v>
      </c>
      <c r="M136" s="12">
        <v>3.02</v>
      </c>
      <c r="N136" s="12">
        <v>64.04</v>
      </c>
      <c r="Q136" s="15">
        <f t="shared" si="3"/>
        <v>3.513263214</v>
      </c>
      <c r="R136" s="24">
        <f t="shared" si="4"/>
        <v>0.9997786806</v>
      </c>
      <c r="S136" s="19">
        <f t="shared" si="5"/>
        <v>1</v>
      </c>
      <c r="T136" s="15" t="e">
        <v>#N/A</v>
      </c>
      <c r="V136" s="15">
        <v>0.0038810531325050544</v>
      </c>
      <c r="W136" s="15">
        <v>0.0038810531325050544</v>
      </c>
      <c r="X136" s="15">
        <f t="shared" si="6"/>
        <v>-0.8953612098</v>
      </c>
      <c r="Y136" s="24">
        <f t="shared" si="7"/>
        <v>0.1852970147</v>
      </c>
      <c r="Z136" s="15">
        <f t="shared" si="11"/>
        <v>0</v>
      </c>
      <c r="AB136" s="14"/>
      <c r="AD136" s="15">
        <f t="shared" si="67"/>
        <v>-0.4071983867</v>
      </c>
      <c r="AE136" s="15">
        <f t="shared" si="19"/>
        <v>0.3419311432</v>
      </c>
      <c r="AF136" s="15">
        <f t="shared" si="10"/>
        <v>0</v>
      </c>
      <c r="AG136" s="14"/>
    </row>
    <row r="137">
      <c r="A137" s="15">
        <f>(1.5519626-('2021'!E137*0.0000017073983)+('2021'!H137*0.0000013113498)+('2021'!U137*0.1451093)-('2021'!W137*0.0246584)-('2021'!AC137*0.790069)-('2021'!AD137*0.0024787)+('2021'!AF137*0.4651953)-('2021'!AN137*0.002701))</f>
        <v>8.653061722</v>
      </c>
      <c r="B137" s="22">
        <f t="shared" si="1"/>
        <v>8.653061722</v>
      </c>
      <c r="C137" s="23">
        <v>1.0</v>
      </c>
      <c r="D137" s="15">
        <f t="shared" si="2"/>
        <v>0</v>
      </c>
      <c r="G137" s="9">
        <v>107000.0</v>
      </c>
      <c r="H137" s="9">
        <v>1207350.63</v>
      </c>
      <c r="I137" s="12">
        <v>40.28</v>
      </c>
      <c r="J137" s="12">
        <v>19.71</v>
      </c>
      <c r="K137" s="12">
        <v>0.53</v>
      </c>
      <c r="L137" s="12">
        <v>36.54</v>
      </c>
      <c r="M137" s="12">
        <v>1.97</v>
      </c>
      <c r="N137" s="12">
        <v>24.28</v>
      </c>
      <c r="Q137" s="15">
        <f t="shared" si="3"/>
        <v>9.62509585</v>
      </c>
      <c r="R137" s="24">
        <f t="shared" si="4"/>
        <v>1</v>
      </c>
      <c r="S137" s="19">
        <f t="shared" si="5"/>
        <v>1</v>
      </c>
      <c r="T137" s="25">
        <v>0.0</v>
      </c>
      <c r="V137" s="15">
        <v>-1.4432997514991392</v>
      </c>
      <c r="W137" s="15">
        <v>-1.4432997514991392</v>
      </c>
      <c r="X137" s="15">
        <f t="shared" si="6"/>
        <v>-4.269744255</v>
      </c>
      <c r="Y137" s="24">
        <f t="shared" si="7"/>
        <v>0.000009784861602</v>
      </c>
      <c r="Z137" s="15">
        <f t="shared" si="11"/>
        <v>0</v>
      </c>
      <c r="AA137" s="25">
        <v>0.0</v>
      </c>
      <c r="AB137" s="14">
        <f t="shared" ref="AB137:AB141" si="71">if(Z137=AA137,1,0)</f>
        <v>1</v>
      </c>
      <c r="AD137" s="15">
        <f t="shared" si="67"/>
        <v>-1.184491803</v>
      </c>
      <c r="AE137" s="15">
        <f t="shared" si="19"/>
        <v>0.1181092196</v>
      </c>
      <c r="AF137" s="15">
        <f t="shared" si="10"/>
        <v>0</v>
      </c>
      <c r="AG137" s="14">
        <f t="shared" ref="AG137:AG141" si="72">if(AF137=AH137,1,0)</f>
        <v>1</v>
      </c>
      <c r="AH137" s="25">
        <v>0.0</v>
      </c>
      <c r="AI137" s="19">
        <v>1.0</v>
      </c>
    </row>
    <row r="138">
      <c r="A138" s="15">
        <f>(1.5519626-('2021'!E138*0.0000017073983)+('2021'!H138*0.0000013113498)+('2021'!U138*0.1451093)-('2021'!W138*0.0246584)-('2021'!AC138*0.790069)-('2021'!AD138*0.0024787)+('2021'!AF138*0.4651953)-('2021'!AN138*0.002701))</f>
        <v>8.303306074</v>
      </c>
      <c r="B138" s="22">
        <f t="shared" si="1"/>
        <v>8.303306074</v>
      </c>
      <c r="C138" s="23">
        <v>1.0</v>
      </c>
      <c r="D138" s="15">
        <f t="shared" si="2"/>
        <v>0</v>
      </c>
      <c r="E138" s="15" t="str">
        <f t="shared" ref="E138:E143" si="73">IF('temp result 2022'!B138=D138,1,0)</f>
        <v>#REF!</v>
      </c>
      <c r="G138" s="9">
        <v>358659.4</v>
      </c>
      <c r="H138" s="9">
        <v>3072316.96</v>
      </c>
      <c r="I138" s="12">
        <v>22.54</v>
      </c>
      <c r="J138" s="12">
        <v>6.94</v>
      </c>
      <c r="K138" s="12">
        <v>0.61</v>
      </c>
      <c r="L138" s="12">
        <v>31.38</v>
      </c>
      <c r="M138" s="12">
        <v>1.81</v>
      </c>
      <c r="N138" s="12">
        <v>17.43</v>
      </c>
      <c r="Q138" s="15">
        <f t="shared" si="3"/>
        <v>8.645564666</v>
      </c>
      <c r="R138" s="24">
        <f t="shared" si="4"/>
        <v>1</v>
      </c>
      <c r="S138" s="19">
        <f t="shared" si="5"/>
        <v>1</v>
      </c>
      <c r="T138" s="25">
        <v>0.0</v>
      </c>
      <c r="V138" s="15">
        <v>-1.2125277496977869</v>
      </c>
      <c r="W138" s="15">
        <v>-1.2125277496977869</v>
      </c>
      <c r="X138" s="15">
        <f t="shared" si="6"/>
        <v>-3.913196639</v>
      </c>
      <c r="Y138" s="24">
        <f t="shared" si="7"/>
        <v>0.00004554115242</v>
      </c>
      <c r="Z138" s="15">
        <f t="shared" si="11"/>
        <v>0</v>
      </c>
      <c r="AA138" s="25">
        <v>0.0</v>
      </c>
      <c r="AB138" s="14">
        <f t="shared" si="71"/>
        <v>1</v>
      </c>
      <c r="AD138" s="15">
        <f t="shared" si="67"/>
        <v>-1.102360607</v>
      </c>
      <c r="AE138" s="15">
        <f t="shared" si="19"/>
        <v>0.1351524651</v>
      </c>
      <c r="AF138" s="15">
        <f t="shared" si="10"/>
        <v>0</v>
      </c>
      <c r="AG138" s="14">
        <f t="shared" si="72"/>
        <v>1</v>
      </c>
      <c r="AH138" s="25">
        <v>0.0</v>
      </c>
      <c r="AI138" s="19">
        <v>1.0</v>
      </c>
    </row>
    <row r="139">
      <c r="A139" s="15">
        <f>(1.5519626-('2021'!E139*0.0000017073983)+('2021'!H139*0.0000013113498)+('2021'!U139*0.1451093)-('2021'!W139*0.0246584)-('2021'!AC139*0.790069)-('2021'!AD139*0.0024787)+('2021'!AF139*0.4651953)-('2021'!AN139*0.002701))</f>
        <v>2.242961134</v>
      </c>
      <c r="B139" s="22">
        <f t="shared" si="1"/>
        <v>0.00000001099050956</v>
      </c>
      <c r="C139" s="23">
        <v>4.9E-9</v>
      </c>
      <c r="D139" s="15">
        <f t="shared" si="2"/>
        <v>1</v>
      </c>
      <c r="E139" s="15" t="str">
        <f t="shared" si="73"/>
        <v>#REF!</v>
      </c>
      <c r="G139" s="9">
        <v>213749.98</v>
      </c>
      <c r="H139" s="9">
        <v>426211.01</v>
      </c>
      <c r="I139" s="12">
        <v>-10.28</v>
      </c>
      <c r="J139" s="12">
        <v>-163.89</v>
      </c>
      <c r="K139" s="12">
        <v>2.65</v>
      </c>
      <c r="L139" s="12">
        <v>-5.69</v>
      </c>
      <c r="M139" s="12">
        <v>0.33</v>
      </c>
      <c r="N139" s="12">
        <v>46.81</v>
      </c>
      <c r="Q139" s="15">
        <f t="shared" si="3"/>
        <v>-5.839569218</v>
      </c>
      <c r="R139" s="24">
        <f t="shared" si="4"/>
        <v>0.000000002616798445</v>
      </c>
      <c r="S139" s="19">
        <f t="shared" si="5"/>
        <v>0</v>
      </c>
      <c r="T139" s="25">
        <v>0.0</v>
      </c>
      <c r="V139" s="15">
        <v>2.3871913278144388</v>
      </c>
      <c r="W139" s="15">
        <v>2.3871913278144388</v>
      </c>
      <c r="X139" s="15">
        <f t="shared" si="6"/>
        <v>1.341853103</v>
      </c>
      <c r="Y139" s="24">
        <f t="shared" si="7"/>
        <v>0.9101781849</v>
      </c>
      <c r="Z139" s="15">
        <f t="shared" si="11"/>
        <v>1</v>
      </c>
      <c r="AA139" s="25">
        <v>0.0</v>
      </c>
      <c r="AB139" s="14">
        <f t="shared" si="71"/>
        <v>0</v>
      </c>
      <c r="AD139" s="15">
        <f t="shared" si="67"/>
        <v>0.1081467689</v>
      </c>
      <c r="AE139" s="15">
        <f t="shared" si="19"/>
        <v>0.5430603653</v>
      </c>
      <c r="AF139" s="15">
        <f t="shared" si="10"/>
        <v>1</v>
      </c>
      <c r="AG139" s="14">
        <f t="shared" si="72"/>
        <v>0</v>
      </c>
      <c r="AH139" s="25">
        <v>0.0</v>
      </c>
      <c r="AI139" s="19">
        <v>1.0</v>
      </c>
    </row>
    <row r="140">
      <c r="A140" s="15">
        <f>(1.5519626-('2021'!E140*0.0000017073983)+('2021'!H140*0.0000013113498)+('2021'!U140*0.1451093)-('2021'!W140*0.0246584)-('2021'!AC140*0.790069)-('2021'!AD140*0.0024787)+('2021'!AF140*0.4651953)-('2021'!AN140*0.002701))</f>
        <v>11.03513618</v>
      </c>
      <c r="B140" s="22">
        <f t="shared" si="1"/>
        <v>11.03513618</v>
      </c>
      <c r="C140" s="23">
        <v>1.0</v>
      </c>
      <c r="D140" s="15">
        <f t="shared" si="2"/>
        <v>0</v>
      </c>
      <c r="E140" s="15" t="str">
        <f t="shared" si="73"/>
        <v>#REF!</v>
      </c>
      <c r="G140" s="9">
        <v>200000.0</v>
      </c>
      <c r="H140" s="9">
        <v>5408013.9</v>
      </c>
      <c r="I140" s="12">
        <v>19.96</v>
      </c>
      <c r="J140" s="12">
        <v>2.25</v>
      </c>
      <c r="K140" s="12">
        <v>0.61</v>
      </c>
      <c r="L140" s="12">
        <v>19.29</v>
      </c>
      <c r="M140" s="12">
        <v>0.96</v>
      </c>
      <c r="N140" s="12">
        <v>9.21</v>
      </c>
      <c r="Q140" s="15">
        <f t="shared" si="3"/>
        <v>11.14609898</v>
      </c>
      <c r="R140" s="24">
        <f t="shared" si="4"/>
        <v>1</v>
      </c>
      <c r="S140" s="19">
        <f t="shared" si="5"/>
        <v>1</v>
      </c>
      <c r="T140" s="25">
        <v>0.0</v>
      </c>
      <c r="V140" s="15">
        <v>-1.756137091654549</v>
      </c>
      <c r="W140" s="15">
        <v>-1.756137091654549</v>
      </c>
      <c r="X140" s="15">
        <f t="shared" si="6"/>
        <v>-4.629121366</v>
      </c>
      <c r="Y140" s="24">
        <f t="shared" si="7"/>
        <v>0.000001836102543</v>
      </c>
      <c r="Z140" s="15">
        <f t="shared" si="11"/>
        <v>0</v>
      </c>
      <c r="AA140" s="25">
        <v>0.0</v>
      </c>
      <c r="AB140" s="14">
        <f t="shared" si="71"/>
        <v>1</v>
      </c>
      <c r="AD140" s="15">
        <f t="shared" si="67"/>
        <v>-1.267274776</v>
      </c>
      <c r="AE140" s="15">
        <f t="shared" si="19"/>
        <v>0.1025285282</v>
      </c>
      <c r="AF140" s="15">
        <f t="shared" si="10"/>
        <v>0</v>
      </c>
      <c r="AG140" s="14">
        <f t="shared" si="72"/>
        <v>1</v>
      </c>
      <c r="AH140" s="25">
        <v>0.0</v>
      </c>
      <c r="AI140" s="19">
        <v>1.0</v>
      </c>
    </row>
    <row r="141">
      <c r="A141" s="15">
        <f>(1.5519626-('2021'!E141*0.0000017073983)+('2021'!H141*0.0000013113498)+('2021'!U141*0.1451093)-('2021'!W141*0.0246584)-('2021'!AC141*0.790069)-('2021'!AD141*0.0024787)+('2021'!AF141*0.4651953)-('2021'!AN141*0.002701))</f>
        <v>0.8873883225</v>
      </c>
      <c r="B141" s="15">
        <f t="shared" si="1"/>
        <v>0.5990465727</v>
      </c>
      <c r="C141" s="26">
        <v>0.675067</v>
      </c>
      <c r="D141" s="15">
        <f t="shared" si="2"/>
        <v>0</v>
      </c>
      <c r="E141" s="15" t="str">
        <f t="shared" si="73"/>
        <v>#REF!</v>
      </c>
      <c r="G141" s="9">
        <v>338350.0</v>
      </c>
      <c r="H141" s="9">
        <v>1041802.0</v>
      </c>
      <c r="I141" s="12">
        <v>-3.36</v>
      </c>
      <c r="J141" s="12">
        <v>-14.74</v>
      </c>
      <c r="K141" s="12">
        <v>1.7</v>
      </c>
      <c r="L141" s="12">
        <v>-3.81</v>
      </c>
      <c r="M141" s="12">
        <v>0.66</v>
      </c>
      <c r="N141" s="12">
        <v>111.92</v>
      </c>
      <c r="Q141" s="15">
        <f t="shared" si="3"/>
        <v>0.1604586905</v>
      </c>
      <c r="R141" s="24">
        <f t="shared" si="4"/>
        <v>0.5637401199</v>
      </c>
      <c r="S141" s="19">
        <f t="shared" si="5"/>
        <v>1</v>
      </c>
      <c r="T141" s="25">
        <v>0.0</v>
      </c>
      <c r="V141" s="15">
        <v>1.0733760234375764</v>
      </c>
      <c r="W141" s="15">
        <v>1.0733760234375764</v>
      </c>
      <c r="X141" s="15">
        <f t="shared" si="6"/>
        <v>1.053525142</v>
      </c>
      <c r="Y141" s="24">
        <f t="shared" si="7"/>
        <v>0.8539498113</v>
      </c>
      <c r="Z141" s="15">
        <f t="shared" si="11"/>
        <v>1</v>
      </c>
      <c r="AA141" s="25">
        <v>0.0</v>
      </c>
      <c r="AB141" s="14">
        <f t="shared" si="71"/>
        <v>0</v>
      </c>
      <c r="AD141" s="15">
        <f t="shared" si="67"/>
        <v>0.04173005736</v>
      </c>
      <c r="AE141" s="15">
        <f t="shared" si="19"/>
        <v>0.5166430537</v>
      </c>
      <c r="AF141" s="15">
        <f t="shared" si="10"/>
        <v>1</v>
      </c>
      <c r="AG141" s="14">
        <f t="shared" si="72"/>
        <v>0</v>
      </c>
      <c r="AH141" s="25">
        <v>0.0</v>
      </c>
      <c r="AI141" s="19">
        <v>1.0</v>
      </c>
    </row>
    <row r="142">
      <c r="A142" s="15" t="str">
        <f>(1.5519626-('2021'!E142*0.0000017073983)+('2021'!H142*0.0000013113498)+('2021'!U142*0.1451093)-('2021'!W142*0.0246584)-('2021'!AC142*0.790069)-('2021'!AD142*0.0024787)+('2021'!AF142*0.4651953)-('2021'!AN142*0.002701))</f>
        <v>#VALUE!</v>
      </c>
      <c r="B142" s="15" t="str">
        <f t="shared" si="1"/>
        <v>#VALUE!</v>
      </c>
      <c r="C142" s="27"/>
      <c r="D142" s="15">
        <f t="shared" si="2"/>
        <v>1</v>
      </c>
      <c r="E142" s="15" t="str">
        <f t="shared" si="73"/>
        <v>#REF!</v>
      </c>
      <c r="G142" s="9">
        <v>238636.98</v>
      </c>
      <c r="H142" s="9">
        <v>-8068.88</v>
      </c>
      <c r="I142" s="12">
        <v>5.98</v>
      </c>
      <c r="J142" s="12">
        <v>144.93</v>
      </c>
      <c r="K142" s="12">
        <v>0.11</v>
      </c>
      <c r="L142" s="12">
        <v>4.21</v>
      </c>
      <c r="M142" s="12">
        <v>1.24</v>
      </c>
      <c r="N142" s="12" t="s">
        <v>46</v>
      </c>
      <c r="Q142" s="15" t="str">
        <f t="shared" si="3"/>
        <v>#VALUE!</v>
      </c>
      <c r="R142" s="24" t="str">
        <f t="shared" si="4"/>
        <v>#VALUE!</v>
      </c>
      <c r="S142" s="19" t="str">
        <f t="shared" si="5"/>
        <v>#VALUE!</v>
      </c>
      <c r="T142" s="25">
        <v>0.0</v>
      </c>
      <c r="X142" s="15" t="str">
        <f t="shared" si="6"/>
        <v>#VALUE!</v>
      </c>
      <c r="Y142" s="24" t="str">
        <f t="shared" si="7"/>
        <v>#VALUE!</v>
      </c>
      <c r="Z142" s="15" t="str">
        <f t="shared" si="11"/>
        <v>#VALUE!</v>
      </c>
      <c r="AA142" s="25"/>
      <c r="AB142" s="14"/>
      <c r="AE142" s="15">
        <f t="shared" si="19"/>
        <v>0.5</v>
      </c>
      <c r="AF142" s="15">
        <f t="shared" si="10"/>
        <v>1</v>
      </c>
      <c r="AG142" s="14"/>
      <c r="AH142" s="25"/>
    </row>
    <row r="143">
      <c r="A143" s="15">
        <f>(1.5519626-('2021'!E143*0.0000017073983)+('2021'!H143*0.0000013113498)+('2021'!U143*0.1451093)-('2021'!W143*0.0246584)-('2021'!AC143*0.790069)-('2021'!AD143*0.0024787)+('2021'!AF143*0.4651953)-('2021'!AN143*0.002701))</f>
        <v>1.382620053</v>
      </c>
      <c r="B143" s="15">
        <f t="shared" si="1"/>
        <v>1.313887245</v>
      </c>
      <c r="C143" s="26">
        <v>0.950288</v>
      </c>
      <c r="D143" s="15">
        <f t="shared" si="2"/>
        <v>0</v>
      </c>
      <c r="E143" s="15" t="str">
        <f t="shared" si="73"/>
        <v>#REF!</v>
      </c>
      <c r="G143" s="9">
        <v>284000.0</v>
      </c>
      <c r="H143" s="9">
        <v>413279.63</v>
      </c>
      <c r="I143" s="12">
        <v>1.3</v>
      </c>
      <c r="J143" s="12">
        <v>0.71</v>
      </c>
      <c r="K143" s="12">
        <v>0.58</v>
      </c>
      <c r="L143" s="12">
        <v>2.12</v>
      </c>
      <c r="M143" s="12">
        <v>0.66</v>
      </c>
      <c r="N143" s="12">
        <v>89.25</v>
      </c>
      <c r="Q143" s="15">
        <f t="shared" si="3"/>
        <v>1.417634981</v>
      </c>
      <c r="R143" s="24">
        <f t="shared" si="4"/>
        <v>0.9218513191</v>
      </c>
      <c r="S143" s="19">
        <f t="shared" si="5"/>
        <v>1</v>
      </c>
      <c r="T143" s="15" t="e">
        <v>#N/A</v>
      </c>
      <c r="V143" s="15">
        <v>0.7322303373612067</v>
      </c>
      <c r="W143" s="15">
        <v>0.7322303373612067</v>
      </c>
      <c r="X143" s="15">
        <f t="shared" si="6"/>
        <v>0.8673324539</v>
      </c>
      <c r="Y143" s="24">
        <f t="shared" si="7"/>
        <v>0.8071200602</v>
      </c>
      <c r="Z143" s="15">
        <f t="shared" si="11"/>
        <v>1</v>
      </c>
      <c r="AB143" s="14"/>
      <c r="AD143" s="15">
        <f t="shared" ref="AD143:AD159" si="74">(X143-$W$185)/$V$186</f>
        <v>-0.001159664671</v>
      </c>
      <c r="AE143" s="15">
        <f t="shared" si="19"/>
        <v>0.4995373608</v>
      </c>
      <c r="AF143" s="15">
        <f t="shared" si="10"/>
        <v>0</v>
      </c>
      <c r="AG143" s="14"/>
    </row>
    <row r="144">
      <c r="A144" s="15">
        <f>(1.5519626-('2021'!E144*0.0000017073983)+('2021'!H144*0.0000013113498)+('2021'!U144*0.1451093)-('2021'!W144*0.0246584)-('2021'!AC144*0.790069)-('2021'!AD144*0.0024787)+('2021'!AF144*0.4651953)-('2021'!AN144*0.002701))</f>
        <v>3.882388348</v>
      </c>
      <c r="B144" s="22">
        <f t="shared" si="1"/>
        <v>3.882372818</v>
      </c>
      <c r="C144" s="23">
        <v>0.999996</v>
      </c>
      <c r="D144" s="15">
        <f t="shared" si="2"/>
        <v>0</v>
      </c>
      <c r="G144" s="9">
        <v>134000.0</v>
      </c>
      <c r="H144" s="9">
        <v>1519935.95</v>
      </c>
      <c r="I144" s="12">
        <v>11.67</v>
      </c>
      <c r="J144" s="12">
        <v>9.64</v>
      </c>
      <c r="K144" s="12">
        <v>1.16</v>
      </c>
      <c r="L144" s="12">
        <v>19.9</v>
      </c>
      <c r="M144" s="12">
        <v>0.47</v>
      </c>
      <c r="N144" s="12">
        <v>52.76</v>
      </c>
      <c r="Q144" s="15">
        <f t="shared" si="3"/>
        <v>4.3578023</v>
      </c>
      <c r="R144" s="24">
        <f t="shared" si="4"/>
        <v>0.9999934313</v>
      </c>
      <c r="S144" s="19">
        <f t="shared" si="5"/>
        <v>1</v>
      </c>
      <c r="T144" s="25">
        <v>1.0</v>
      </c>
      <c r="V144" s="15">
        <v>-0.022481187526394046</v>
      </c>
      <c r="W144" s="15">
        <v>-0.022481187526394046</v>
      </c>
      <c r="X144" s="15">
        <f t="shared" si="6"/>
        <v>-1.306231853</v>
      </c>
      <c r="Y144" s="24">
        <f t="shared" si="7"/>
        <v>0.09573686189</v>
      </c>
      <c r="Z144" s="15">
        <f t="shared" si="11"/>
        <v>0</v>
      </c>
      <c r="AA144" s="25">
        <v>1.0</v>
      </c>
      <c r="AB144" s="14">
        <f t="shared" ref="AB144:AB152" si="75">if(Z144=AA144,1,0)</f>
        <v>0</v>
      </c>
      <c r="AD144" s="15">
        <f t="shared" si="74"/>
        <v>-0.5018429607</v>
      </c>
      <c r="AE144" s="15">
        <f t="shared" si="19"/>
        <v>0.3078889954</v>
      </c>
      <c r="AF144" s="15">
        <f t="shared" si="10"/>
        <v>0</v>
      </c>
      <c r="AG144" s="14">
        <f t="shared" ref="AG144:AG152" si="76">if(AF144=AH144,1,0)</f>
        <v>0</v>
      </c>
      <c r="AH144" s="25">
        <v>1.0</v>
      </c>
      <c r="AI144" s="19">
        <v>1.0</v>
      </c>
    </row>
    <row r="145">
      <c r="A145" s="15">
        <f>(1.5519626-('2021'!E145*0.0000017073983)+('2021'!H145*0.0000013113498)+('2021'!U145*0.1451093)-('2021'!W145*0.0246584)-('2021'!AC145*0.790069)-('2021'!AD145*0.0024787)+('2021'!AF145*0.4651953)-('2021'!AN145*0.002701))</f>
        <v>-2.507074357</v>
      </c>
      <c r="B145" s="15">
        <f t="shared" si="1"/>
        <v>-0.004648115859</v>
      </c>
      <c r="C145" s="26">
        <v>0.001854</v>
      </c>
      <c r="D145" s="15">
        <f t="shared" si="2"/>
        <v>1</v>
      </c>
      <c r="E145" s="15" t="str">
        <f t="shared" ref="E145:E153" si="77">IF('temp result 2022'!B145=D145,1,0)</f>
        <v>#REF!</v>
      </c>
      <c r="G145" s="9">
        <v>2632981.72</v>
      </c>
      <c r="H145" s="9">
        <v>278347.57</v>
      </c>
      <c r="I145" s="12">
        <v>-4.27</v>
      </c>
      <c r="J145" s="12">
        <v>-20.21</v>
      </c>
      <c r="K145" s="12">
        <v>0.38</v>
      </c>
      <c r="L145" s="12">
        <v>-2.41</v>
      </c>
      <c r="M145" s="12">
        <v>2.35</v>
      </c>
      <c r="N145" s="12">
        <v>224.43</v>
      </c>
      <c r="Q145" s="15">
        <f t="shared" si="3"/>
        <v>-3.503766885</v>
      </c>
      <c r="R145" s="24">
        <f t="shared" si="4"/>
        <v>0.0002293633661</v>
      </c>
      <c r="S145" s="19">
        <f t="shared" si="5"/>
        <v>0</v>
      </c>
      <c r="T145" s="25">
        <v>0.0</v>
      </c>
      <c r="V145" s="15">
        <v>2.0333055801152655</v>
      </c>
      <c r="W145" s="15">
        <v>2.0333055801152655</v>
      </c>
      <c r="X145" s="15">
        <f t="shared" si="6"/>
        <v>1.883303745</v>
      </c>
      <c r="Y145" s="24">
        <f t="shared" si="7"/>
        <v>0.9701703919</v>
      </c>
      <c r="Z145" s="15">
        <f t="shared" si="11"/>
        <v>1</v>
      </c>
      <c r="AA145" s="25">
        <v>0.0</v>
      </c>
      <c r="AB145" s="14">
        <f t="shared" si="75"/>
        <v>0</v>
      </c>
      <c r="AD145" s="15">
        <f t="shared" si="74"/>
        <v>0.2328706115</v>
      </c>
      <c r="AE145" s="15">
        <f t="shared" si="19"/>
        <v>0.5920690601</v>
      </c>
      <c r="AF145" s="15">
        <f t="shared" si="10"/>
        <v>1</v>
      </c>
      <c r="AG145" s="14">
        <f t="shared" si="76"/>
        <v>0</v>
      </c>
      <c r="AH145" s="25">
        <v>0.0</v>
      </c>
      <c r="AI145" s="19">
        <v>1.0</v>
      </c>
    </row>
    <row r="146">
      <c r="A146" s="15">
        <f>(1.5519626-('2021'!E146*0.0000017073983)+('2021'!H146*0.0000013113498)+('2021'!U146*0.1451093)-('2021'!W146*0.0246584)-('2021'!AC146*0.790069)-('2021'!AD146*0.0024787)+('2021'!AF146*0.4651953)-('2021'!AN146*0.002701))</f>
        <v>5.316208836</v>
      </c>
      <c r="B146" s="22">
        <f t="shared" si="1"/>
        <v>5.316208836</v>
      </c>
      <c r="C146" s="23">
        <v>1.0</v>
      </c>
      <c r="D146" s="15">
        <f t="shared" si="2"/>
        <v>0</v>
      </c>
      <c r="E146" s="15" t="str">
        <f t="shared" si="77"/>
        <v>#REF!</v>
      </c>
      <c r="G146" s="9">
        <v>163522.21</v>
      </c>
      <c r="H146" s="9">
        <v>1618715.19</v>
      </c>
      <c r="I146" s="12">
        <v>18.21</v>
      </c>
      <c r="J146" s="12">
        <v>8.27</v>
      </c>
      <c r="K146" s="12">
        <v>0.71</v>
      </c>
      <c r="L146" s="12">
        <v>112.32</v>
      </c>
      <c r="M146" s="12">
        <v>1.26</v>
      </c>
      <c r="N146" s="12">
        <v>97.95</v>
      </c>
      <c r="Q146" s="15">
        <f t="shared" si="3"/>
        <v>5.724058772</v>
      </c>
      <c r="R146" s="24">
        <f t="shared" si="4"/>
        <v>0.9999999948</v>
      </c>
      <c r="S146" s="19">
        <f t="shared" si="5"/>
        <v>1</v>
      </c>
      <c r="T146" s="25">
        <v>0.0</v>
      </c>
      <c r="V146" s="15">
        <v>-0.31678965963580424</v>
      </c>
      <c r="W146" s="15">
        <v>-0.31678965963580424</v>
      </c>
      <c r="X146" s="15">
        <f t="shared" si="6"/>
        <v>-4.440122801</v>
      </c>
      <c r="Y146" s="24">
        <f t="shared" si="7"/>
        <v>0.000004495377995</v>
      </c>
      <c r="Z146" s="15">
        <f t="shared" si="11"/>
        <v>0</v>
      </c>
      <c r="AA146" s="25">
        <v>0.0</v>
      </c>
      <c r="AB146" s="14">
        <f t="shared" si="75"/>
        <v>1</v>
      </c>
      <c r="AD146" s="15">
        <f t="shared" si="74"/>
        <v>-1.223738717</v>
      </c>
      <c r="AE146" s="15">
        <f t="shared" si="19"/>
        <v>0.1105254046</v>
      </c>
      <c r="AF146" s="15">
        <f t="shared" si="10"/>
        <v>0</v>
      </c>
      <c r="AG146" s="14">
        <f t="shared" si="76"/>
        <v>1</v>
      </c>
      <c r="AH146" s="25">
        <v>0.0</v>
      </c>
      <c r="AI146" s="19">
        <v>1.0</v>
      </c>
    </row>
    <row r="147">
      <c r="A147" s="15">
        <f>(1.5519626-('2021'!E147*0.0000017073983)+('2021'!H147*0.0000013113498)+('2021'!U147*0.1451093)-('2021'!W147*0.0246584)-('2021'!AC147*0.790069)-('2021'!AD147*0.0024787)+('2021'!AF147*0.4651953)-('2021'!AN147*0.002701))</f>
        <v>5.496611928</v>
      </c>
      <c r="B147" s="22">
        <f t="shared" si="1"/>
        <v>5.496611928</v>
      </c>
      <c r="C147" s="23">
        <v>1.0</v>
      </c>
      <c r="D147" s="15">
        <f t="shared" si="2"/>
        <v>0</v>
      </c>
      <c r="E147" s="15" t="str">
        <f t="shared" si="77"/>
        <v>#REF!</v>
      </c>
      <c r="G147" s="9">
        <v>152000.0</v>
      </c>
      <c r="H147" s="9">
        <v>1083619.08</v>
      </c>
      <c r="I147" s="12">
        <v>25.87</v>
      </c>
      <c r="J147" s="12">
        <v>15.91</v>
      </c>
      <c r="K147" s="12">
        <v>0.43</v>
      </c>
      <c r="L147" s="12">
        <v>249.34</v>
      </c>
      <c r="M147" s="12">
        <v>1.39</v>
      </c>
      <c r="N147" s="12">
        <v>98.98</v>
      </c>
      <c r="Q147" s="15">
        <f t="shared" si="3"/>
        <v>6.281242216</v>
      </c>
      <c r="R147" s="24">
        <f t="shared" si="4"/>
        <v>0.9999999998</v>
      </c>
      <c r="S147" s="19">
        <f t="shared" si="5"/>
        <v>1</v>
      </c>
      <c r="T147" s="25">
        <v>0.0</v>
      </c>
      <c r="V147" s="15">
        <v>-0.45687475744589023</v>
      </c>
      <c r="W147" s="15">
        <v>-0.45687475744589023</v>
      </c>
      <c r="X147" s="15">
        <f t="shared" si="6"/>
        <v>-8.67253805</v>
      </c>
      <c r="Y147" s="24">
        <f t="shared" si="7"/>
        <v>0</v>
      </c>
      <c r="Z147" s="15">
        <f t="shared" si="11"/>
        <v>0</v>
      </c>
      <c r="AA147" s="25">
        <v>0.0</v>
      </c>
      <c r="AB147" s="14">
        <f t="shared" si="75"/>
        <v>1</v>
      </c>
      <c r="AD147" s="15">
        <f t="shared" si="74"/>
        <v>-2.19868094</v>
      </c>
      <c r="AE147" s="15">
        <f t="shared" si="19"/>
        <v>0.01395030858</v>
      </c>
      <c r="AF147" s="15">
        <f t="shared" si="10"/>
        <v>0</v>
      </c>
      <c r="AG147" s="14">
        <f t="shared" si="76"/>
        <v>1</v>
      </c>
      <c r="AH147" s="25">
        <v>0.0</v>
      </c>
      <c r="AI147" s="19">
        <v>1.0</v>
      </c>
    </row>
    <row r="148">
      <c r="A148" s="15">
        <f>(1.5519626-('2021'!E148*0.0000017073983)+('2021'!H148*0.0000013113498)+('2021'!U148*0.1451093)-('2021'!W148*0.0246584)-('2021'!AC148*0.790069)-('2021'!AD148*0.0024787)+('2021'!AF148*0.4651953)-('2021'!AN148*0.002701))</f>
        <v>4.658594662</v>
      </c>
      <c r="B148" s="22">
        <f t="shared" si="1"/>
        <v>4.658594662</v>
      </c>
      <c r="C148" s="23">
        <v>1.0</v>
      </c>
      <c r="D148" s="15">
        <f t="shared" si="2"/>
        <v>0</v>
      </c>
      <c r="E148" s="15" t="str">
        <f t="shared" si="77"/>
        <v>#REF!</v>
      </c>
      <c r="G148" s="9">
        <v>400000.12</v>
      </c>
      <c r="H148" s="9">
        <v>2543168.17</v>
      </c>
      <c r="I148" s="12">
        <v>8.47</v>
      </c>
      <c r="J148" s="12">
        <v>5.48</v>
      </c>
      <c r="K148" s="12">
        <v>1.02</v>
      </c>
      <c r="L148" s="12">
        <v>8.72</v>
      </c>
      <c r="M148" s="12">
        <v>0.77</v>
      </c>
      <c r="N148" s="12">
        <v>62.96</v>
      </c>
      <c r="Q148" s="15">
        <f t="shared" si="3"/>
        <v>4.928850726</v>
      </c>
      <c r="R148" s="24">
        <f t="shared" si="4"/>
        <v>0.9999995864</v>
      </c>
      <c r="S148" s="19">
        <f t="shared" si="5"/>
        <v>1</v>
      </c>
      <c r="T148" s="25">
        <v>0.0</v>
      </c>
      <c r="V148" s="15">
        <v>-0.16051288573756467</v>
      </c>
      <c r="W148" s="15">
        <v>-0.16051288573756467</v>
      </c>
      <c r="X148" s="15">
        <f t="shared" si="6"/>
        <v>-1.362804777</v>
      </c>
      <c r="Y148" s="24">
        <f t="shared" si="7"/>
        <v>0.08647202262</v>
      </c>
      <c r="Z148" s="15">
        <f t="shared" si="11"/>
        <v>0</v>
      </c>
      <c r="AA148" s="25">
        <v>0.0</v>
      </c>
      <c r="AB148" s="14">
        <f t="shared" si="75"/>
        <v>1</v>
      </c>
      <c r="AD148" s="15">
        <f t="shared" si="74"/>
        <v>-0.5148746055</v>
      </c>
      <c r="AE148" s="15">
        <f t="shared" si="19"/>
        <v>0.3033203237</v>
      </c>
      <c r="AF148" s="15">
        <f t="shared" si="10"/>
        <v>0</v>
      </c>
      <c r="AG148" s="14">
        <f t="shared" si="76"/>
        <v>1</v>
      </c>
      <c r="AH148" s="25">
        <v>0.0</v>
      </c>
      <c r="AI148" s="19">
        <v>1.0</v>
      </c>
    </row>
    <row r="149">
      <c r="A149" s="15">
        <f>(1.5519626-('2021'!E149*0.0000017073983)+('2021'!H149*0.0000013113498)+('2021'!U149*0.1451093)-('2021'!W149*0.0246584)-('2021'!AC149*0.790069)-('2021'!AD149*0.0024787)+('2021'!AF149*0.4651953)-('2021'!AN149*0.002701))</f>
        <v>3.31213085</v>
      </c>
      <c r="B149" s="15">
        <f t="shared" si="1"/>
        <v>3.311243199</v>
      </c>
      <c r="C149" s="26">
        <v>0.999732</v>
      </c>
      <c r="D149" s="15">
        <f t="shared" si="2"/>
        <v>0</v>
      </c>
      <c r="E149" s="15" t="str">
        <f t="shared" si="77"/>
        <v>#REF!</v>
      </c>
      <c r="G149" s="9">
        <v>411864.0</v>
      </c>
      <c r="H149" s="9">
        <v>2552497.0</v>
      </c>
      <c r="I149" s="12">
        <v>3.47</v>
      </c>
      <c r="J149" s="12">
        <v>0.1</v>
      </c>
      <c r="K149" s="12">
        <v>1.72</v>
      </c>
      <c r="L149" s="12">
        <v>1.74</v>
      </c>
      <c r="M149" s="12">
        <v>0.3</v>
      </c>
      <c r="N149" s="12">
        <v>59.69</v>
      </c>
      <c r="Q149" s="15">
        <f t="shared" si="3"/>
        <v>3.31706253</v>
      </c>
      <c r="R149" s="24">
        <f t="shared" si="4"/>
        <v>0.9995451537</v>
      </c>
      <c r="S149" s="19">
        <f t="shared" si="5"/>
        <v>1</v>
      </c>
      <c r="T149" s="25">
        <v>0.0</v>
      </c>
      <c r="V149" s="15">
        <v>0.2511323969975192</v>
      </c>
      <c r="W149" s="15">
        <v>0.2511323969975192</v>
      </c>
      <c r="X149" s="15">
        <f t="shared" si="6"/>
        <v>-0.7441351837</v>
      </c>
      <c r="Y149" s="24">
        <f t="shared" si="7"/>
        <v>0.2283973479</v>
      </c>
      <c r="Z149" s="15">
        <f t="shared" si="11"/>
        <v>0</v>
      </c>
      <c r="AA149" s="25">
        <v>0.0</v>
      </c>
      <c r="AB149" s="14">
        <f t="shared" si="75"/>
        <v>1</v>
      </c>
      <c r="AD149" s="15">
        <f t="shared" si="74"/>
        <v>-0.3723632797</v>
      </c>
      <c r="AE149" s="15">
        <f t="shared" si="19"/>
        <v>0.3548111949</v>
      </c>
      <c r="AF149" s="15">
        <f t="shared" si="10"/>
        <v>0</v>
      </c>
      <c r="AG149" s="14">
        <f t="shared" si="76"/>
        <v>1</v>
      </c>
      <c r="AH149" s="25">
        <v>0.0</v>
      </c>
      <c r="AI149" s="19">
        <v>1.0</v>
      </c>
    </row>
    <row r="150">
      <c r="A150" s="15">
        <f>(1.5519626-('2021'!E150*0.0000017073983)+('2021'!H150*0.0000013113498)+('2021'!U150*0.1451093)-('2021'!W150*0.0246584)-('2021'!AC150*0.790069)-('2021'!AD150*0.0024787)+('2021'!AF150*0.4651953)-('2021'!AN150*0.002701))</f>
        <v>0.4842098378</v>
      </c>
      <c r="B150" s="15">
        <f t="shared" si="1"/>
        <v>0.4110060261</v>
      </c>
      <c r="C150" s="26">
        <v>0.848818</v>
      </c>
      <c r="D150" s="15">
        <f t="shared" si="2"/>
        <v>0</v>
      </c>
      <c r="E150" s="15" t="str">
        <f t="shared" si="77"/>
        <v>#REF!</v>
      </c>
      <c r="G150" s="9">
        <v>253212.0</v>
      </c>
      <c r="H150" s="9">
        <v>310426.54</v>
      </c>
      <c r="I150" s="12">
        <v>2.4</v>
      </c>
      <c r="J150" s="12">
        <v>6.34</v>
      </c>
      <c r="K150" s="12">
        <v>1.37</v>
      </c>
      <c r="L150" s="12">
        <v>1.76</v>
      </c>
      <c r="M150" s="12">
        <v>0.21</v>
      </c>
      <c r="N150" s="12">
        <v>90.84</v>
      </c>
      <c r="Q150" s="15">
        <f t="shared" si="3"/>
        <v>0.7968783498</v>
      </c>
      <c r="R150" s="24">
        <f t="shared" si="4"/>
        <v>0.7872391571</v>
      </c>
      <c r="S150" s="19">
        <f t="shared" si="5"/>
        <v>1</v>
      </c>
      <c r="T150" s="25">
        <v>0.0</v>
      </c>
      <c r="V150" s="15">
        <v>0.9163722007060642</v>
      </c>
      <c r="W150" s="15">
        <v>0.9163722007060642</v>
      </c>
      <c r="X150" s="15">
        <f t="shared" si="6"/>
        <v>0.9328636672</v>
      </c>
      <c r="Y150" s="24">
        <f t="shared" si="7"/>
        <v>0.8245548182</v>
      </c>
      <c r="Z150" s="15">
        <f t="shared" si="11"/>
        <v>1</v>
      </c>
      <c r="AA150" s="25">
        <v>0.0</v>
      </c>
      <c r="AB150" s="14">
        <f t="shared" si="75"/>
        <v>0</v>
      </c>
      <c r="AD150" s="15">
        <f t="shared" si="74"/>
        <v>0.01393553346</v>
      </c>
      <c r="AE150" s="15">
        <f t="shared" si="19"/>
        <v>0.5055592936</v>
      </c>
      <c r="AF150" s="15">
        <f t="shared" si="10"/>
        <v>1</v>
      </c>
      <c r="AG150" s="14">
        <f t="shared" si="76"/>
        <v>0</v>
      </c>
      <c r="AH150" s="25">
        <v>0.0</v>
      </c>
      <c r="AI150" s="19">
        <v>1.0</v>
      </c>
    </row>
    <row r="151">
      <c r="A151" s="15">
        <f>(1.5519626-('2021'!E151*0.0000017073983)+('2021'!H151*0.0000013113498)+('2021'!U151*0.1451093)-('2021'!W151*0.0246584)-('2021'!AC151*0.790069)-('2021'!AD151*0.0024787)+('2021'!AF151*0.4651953)-('2021'!AN151*0.002701))</f>
        <v>1.365544835</v>
      </c>
      <c r="B151" s="15">
        <f t="shared" si="1"/>
        <v>1.300811182</v>
      </c>
      <c r="C151" s="26">
        <v>0.952595</v>
      </c>
      <c r="D151" s="15">
        <f t="shared" si="2"/>
        <v>0</v>
      </c>
      <c r="E151" s="15" t="str">
        <f t="shared" si="77"/>
        <v>#REF!</v>
      </c>
      <c r="G151" s="9">
        <v>170000.0</v>
      </c>
      <c r="H151" s="9">
        <v>349744.05</v>
      </c>
      <c r="I151" s="12">
        <v>0.69</v>
      </c>
      <c r="J151" s="12">
        <v>-0.22</v>
      </c>
      <c r="K151" s="12">
        <v>0.7</v>
      </c>
      <c r="L151" s="12">
        <v>0.77</v>
      </c>
      <c r="M151" s="12">
        <v>0.9</v>
      </c>
      <c r="N151" s="12">
        <v>119.98</v>
      </c>
      <c r="Q151" s="15">
        <f t="shared" si="3"/>
        <v>1.354695139</v>
      </c>
      <c r="R151" s="24">
        <f t="shared" si="4"/>
        <v>0.9122426464</v>
      </c>
      <c r="S151" s="19">
        <f t="shared" si="5"/>
        <v>1</v>
      </c>
      <c r="T151" s="25">
        <v>0.0</v>
      </c>
      <c r="V151" s="15">
        <v>0.7900702415494476</v>
      </c>
      <c r="W151" s="15">
        <v>0.7900702415494476</v>
      </c>
      <c r="X151" s="15">
        <f t="shared" si="6"/>
        <v>1.110182014</v>
      </c>
      <c r="Y151" s="24">
        <f t="shared" si="7"/>
        <v>0.8665396991</v>
      </c>
      <c r="Z151" s="15">
        <f t="shared" si="11"/>
        <v>1</v>
      </c>
      <c r="AA151" s="25">
        <v>0.0</v>
      </c>
      <c r="AB151" s="14">
        <f t="shared" si="75"/>
        <v>0</v>
      </c>
      <c r="AD151" s="15">
        <f t="shared" si="74"/>
        <v>0.05478103957</v>
      </c>
      <c r="AE151" s="15">
        <f t="shared" si="19"/>
        <v>0.521843547</v>
      </c>
      <c r="AF151" s="15">
        <f t="shared" si="10"/>
        <v>1</v>
      </c>
      <c r="AG151" s="14">
        <f t="shared" si="76"/>
        <v>0</v>
      </c>
      <c r="AH151" s="25">
        <v>0.0</v>
      </c>
      <c r="AI151" s="19">
        <v>1.0</v>
      </c>
    </row>
    <row r="152">
      <c r="A152" s="15">
        <f>(1.5519626-('2021'!E152*0.0000017073983)+('2021'!H152*0.0000013113498)+('2021'!U152*0.1451093)-('2021'!W152*0.0246584)-('2021'!AC152*0.790069)-('2021'!AD152*0.0024787)+('2021'!AF152*0.4651953)-('2021'!AN152*0.002701))</f>
        <v>2.56380734</v>
      </c>
      <c r="B152" s="15">
        <f t="shared" si="1"/>
        <v>2.559305294</v>
      </c>
      <c r="C152" s="26">
        <v>0.998244</v>
      </c>
      <c r="D152" s="15">
        <f t="shared" si="2"/>
        <v>0</v>
      </c>
      <c r="E152" s="15" t="str">
        <f t="shared" si="77"/>
        <v>#REF!</v>
      </c>
      <c r="G152" s="9">
        <v>230000.0</v>
      </c>
      <c r="H152" s="9">
        <v>684790.53</v>
      </c>
      <c r="I152" s="12">
        <v>4.98</v>
      </c>
      <c r="J152" s="12">
        <v>4.17</v>
      </c>
      <c r="K152" s="12">
        <v>0.38</v>
      </c>
      <c r="L152" s="12">
        <v>41.68</v>
      </c>
      <c r="M152" s="12">
        <v>0.98</v>
      </c>
      <c r="N152" s="12">
        <v>61.32</v>
      </c>
      <c r="Q152" s="15">
        <f t="shared" si="3"/>
        <v>2.769458396</v>
      </c>
      <c r="R152" s="24">
        <f t="shared" si="4"/>
        <v>0.9971925213</v>
      </c>
      <c r="S152" s="19">
        <f t="shared" si="5"/>
        <v>1</v>
      </c>
      <c r="T152" s="25">
        <v>0.0</v>
      </c>
      <c r="V152" s="15">
        <v>0.33177638139753646</v>
      </c>
      <c r="W152" s="15">
        <v>0.33177638139753646</v>
      </c>
      <c r="X152" s="15">
        <f t="shared" si="6"/>
        <v>-0.9507273735</v>
      </c>
      <c r="Y152" s="24">
        <f t="shared" si="7"/>
        <v>0.1708713943</v>
      </c>
      <c r="Z152" s="15">
        <f t="shared" si="11"/>
        <v>0</v>
      </c>
      <c r="AA152" s="25">
        <v>0.0</v>
      </c>
      <c r="AB152" s="14">
        <f t="shared" si="75"/>
        <v>1</v>
      </c>
      <c r="AD152" s="15">
        <f t="shared" si="74"/>
        <v>-0.4199520528</v>
      </c>
      <c r="AE152" s="15">
        <f t="shared" si="19"/>
        <v>0.3372602404</v>
      </c>
      <c r="AF152" s="15">
        <f t="shared" si="10"/>
        <v>0</v>
      </c>
      <c r="AG152" s="14">
        <f t="shared" si="76"/>
        <v>1</v>
      </c>
      <c r="AH152" s="25">
        <v>0.0</v>
      </c>
      <c r="AI152" s="19">
        <v>1.0</v>
      </c>
    </row>
    <row r="153">
      <c r="A153" s="15">
        <f>(1.5519626-('2021'!E153*0.0000017073983)+('2021'!H153*0.0000013113498)+('2021'!U153*0.1451093)-('2021'!W153*0.0246584)-('2021'!AC153*0.790069)-('2021'!AD153*0.0024787)+('2021'!AF153*0.4651953)-('2021'!AN153*0.002701))</f>
        <v>2.425270442</v>
      </c>
      <c r="B153" s="22">
        <f t="shared" si="1"/>
        <v>0.0000006936273464</v>
      </c>
      <c r="C153" s="23">
        <v>2.86E-7</v>
      </c>
      <c r="D153" s="15">
        <f t="shared" si="2"/>
        <v>1</v>
      </c>
      <c r="E153" s="15" t="str">
        <f t="shared" si="77"/>
        <v>#REF!</v>
      </c>
      <c r="G153" s="9">
        <v>362812.75</v>
      </c>
      <c r="H153" s="9">
        <v>210429.48</v>
      </c>
      <c r="I153" s="12">
        <v>-9.38</v>
      </c>
      <c r="J153" s="12">
        <v>-150.01</v>
      </c>
      <c r="K153" s="12">
        <v>1.49</v>
      </c>
      <c r="L153" s="12">
        <v>-17.95</v>
      </c>
      <c r="M153" s="12">
        <v>0.11</v>
      </c>
      <c r="N153" s="12">
        <v>14.63</v>
      </c>
      <c r="Q153" s="15">
        <f t="shared" si="3"/>
        <v>-4.972742726</v>
      </c>
      <c r="R153" s="24">
        <f t="shared" si="4"/>
        <v>0.0000003300612047</v>
      </c>
      <c r="S153" s="19">
        <f t="shared" si="5"/>
        <v>0</v>
      </c>
      <c r="T153" s="25" t="e">
        <v>#N/A</v>
      </c>
      <c r="V153" s="15">
        <v>2.1343408474105012</v>
      </c>
      <c r="W153" s="15">
        <v>2.1343408474105012</v>
      </c>
      <c r="X153" s="15">
        <f t="shared" si="6"/>
        <v>1.717666609</v>
      </c>
      <c r="Y153" s="24">
        <f t="shared" si="7"/>
        <v>0.9570712784</v>
      </c>
      <c r="Z153" s="15">
        <f t="shared" si="11"/>
        <v>1</v>
      </c>
      <c r="AA153" s="25"/>
      <c r="AB153" s="14"/>
      <c r="AD153" s="15">
        <f t="shared" si="74"/>
        <v>0.1947158868</v>
      </c>
      <c r="AE153" s="15">
        <f t="shared" si="19"/>
        <v>0.577192313</v>
      </c>
      <c r="AF153" s="15">
        <f t="shared" si="10"/>
        <v>1</v>
      </c>
      <c r="AG153" s="14"/>
      <c r="AH153" s="25"/>
    </row>
    <row r="154">
      <c r="A154" s="15">
        <f>(1.5519626-('2021'!E154*0.0000017073983)+('2021'!H154*0.0000013113498)+('2021'!U154*0.1451093)-('2021'!W154*0.0246584)-('2021'!AC154*0.790069)-('2021'!AD154*0.0024787)+('2021'!AF154*0.4651953)-('2021'!AN154*0.002701))</f>
        <v>2.84003893</v>
      </c>
      <c r="B154" s="15">
        <f t="shared" si="1"/>
        <v>2.83782654</v>
      </c>
      <c r="C154" s="26">
        <v>0.999221</v>
      </c>
      <c r="D154" s="15">
        <f t="shared" si="2"/>
        <v>0</v>
      </c>
      <c r="G154" s="9">
        <v>153999.99</v>
      </c>
      <c r="H154" s="9">
        <v>620326.75</v>
      </c>
      <c r="I154" s="12">
        <v>6.37</v>
      </c>
      <c r="J154" s="12">
        <v>4.4</v>
      </c>
      <c r="K154" s="12">
        <v>0.66</v>
      </c>
      <c r="L154" s="12">
        <v>9.99</v>
      </c>
      <c r="M154" s="12">
        <v>1.28</v>
      </c>
      <c r="N154" s="12">
        <v>47.22</v>
      </c>
      <c r="Q154" s="15">
        <f t="shared" si="3"/>
        <v>3.05703285</v>
      </c>
      <c r="R154" s="24">
        <f t="shared" si="4"/>
        <v>0.9988823011</v>
      </c>
      <c r="S154" s="19">
        <f t="shared" si="5"/>
        <v>1</v>
      </c>
      <c r="T154" s="25">
        <v>0.0</v>
      </c>
      <c r="V154" s="15">
        <v>0.21235048237469079</v>
      </c>
      <c r="W154" s="15">
        <v>0.21235048237469079</v>
      </c>
      <c r="X154" s="15">
        <f t="shared" si="6"/>
        <v>-0.2725307414</v>
      </c>
      <c r="Y154" s="24">
        <f t="shared" si="7"/>
        <v>0.3926069786</v>
      </c>
      <c r="Z154" s="15">
        <f t="shared" si="11"/>
        <v>0</v>
      </c>
      <c r="AA154" s="25">
        <v>0.0</v>
      </c>
      <c r="AB154" s="14">
        <f t="shared" ref="AB154:AB158" si="78">if(Z154=AA154,1,0)</f>
        <v>1</v>
      </c>
      <c r="AD154" s="15">
        <f t="shared" si="74"/>
        <v>-0.263728598</v>
      </c>
      <c r="AE154" s="15">
        <f t="shared" si="19"/>
        <v>0.3959945287</v>
      </c>
      <c r="AF154" s="15">
        <f t="shared" si="10"/>
        <v>0</v>
      </c>
      <c r="AG154" s="14">
        <f t="shared" ref="AG154:AG158" si="79">if(AF154=AH154,1,0)</f>
        <v>1</v>
      </c>
      <c r="AH154" s="25">
        <v>0.0</v>
      </c>
      <c r="AI154" s="19">
        <v>1.0</v>
      </c>
    </row>
    <row r="155">
      <c r="A155" s="15">
        <f>(1.5519626-('2021'!E155*0.0000017073983)+('2021'!H155*0.0000013113498)+('2021'!U155*0.1451093)-('2021'!W155*0.0246584)-('2021'!AC155*0.790069)-('2021'!AD155*0.0024787)+('2021'!AF155*0.4651953)-('2021'!AN155*0.002701))</f>
        <v>-0.2247560325</v>
      </c>
      <c r="B155" s="15">
        <f t="shared" si="1"/>
        <v>-0.06163642007</v>
      </c>
      <c r="C155" s="26">
        <v>0.274237</v>
      </c>
      <c r="D155" s="15">
        <f t="shared" si="2"/>
        <v>1</v>
      </c>
      <c r="E155" s="15" t="str">
        <f t="shared" ref="E155:E159" si="80">IF('temp result 2022'!B155=D155,1,0)</f>
        <v>#REF!</v>
      </c>
      <c r="G155" s="9">
        <v>458773.72</v>
      </c>
      <c r="H155" s="9">
        <v>333966.78</v>
      </c>
      <c r="I155" s="12">
        <v>-4.21</v>
      </c>
      <c r="J155" s="12">
        <v>-13.51</v>
      </c>
      <c r="K155" s="12">
        <v>1.16</v>
      </c>
      <c r="L155" s="12">
        <v>-2.8</v>
      </c>
      <c r="M155" s="12">
        <v>0.12</v>
      </c>
      <c r="N155" s="12">
        <v>111.02</v>
      </c>
      <c r="Q155" s="15">
        <f t="shared" si="3"/>
        <v>-0.8910260005</v>
      </c>
      <c r="R155" s="24">
        <f t="shared" si="4"/>
        <v>0.1864576109</v>
      </c>
      <c r="S155" s="19">
        <f t="shared" si="5"/>
        <v>0</v>
      </c>
      <c r="T155" s="25">
        <v>0.0</v>
      </c>
      <c r="V155" s="15">
        <v>1.3600935927221878</v>
      </c>
      <c r="W155" s="15">
        <v>1.3600935927221878</v>
      </c>
      <c r="X155" s="15">
        <f t="shared" si="6"/>
        <v>1.675209742</v>
      </c>
      <c r="Y155" s="24">
        <f t="shared" si="7"/>
        <v>0.9530534566</v>
      </c>
      <c r="Z155" s="15">
        <f t="shared" si="11"/>
        <v>1</v>
      </c>
      <c r="AA155" s="25">
        <v>0.0</v>
      </c>
      <c r="AB155" s="14">
        <f t="shared" si="78"/>
        <v>0</v>
      </c>
      <c r="AD155" s="15">
        <f t="shared" si="74"/>
        <v>0.1849358936</v>
      </c>
      <c r="AE155" s="15">
        <f t="shared" si="19"/>
        <v>0.5733603413</v>
      </c>
      <c r="AF155" s="15">
        <f t="shared" si="10"/>
        <v>1</v>
      </c>
      <c r="AG155" s="14">
        <f t="shared" si="79"/>
        <v>0</v>
      </c>
      <c r="AH155" s="25">
        <v>0.0</v>
      </c>
      <c r="AI155" s="19">
        <v>1.0</v>
      </c>
    </row>
    <row r="156">
      <c r="A156" s="15">
        <f>(1.5519626-('2021'!E156*0.0000017073983)+('2021'!H156*0.0000013113498)+('2021'!U156*0.1451093)-('2021'!W156*0.0246584)-('2021'!AC156*0.790069)-('2021'!AD156*0.0024787)+('2021'!AF156*0.4651953)-('2021'!AN156*0.002701))</f>
        <v>0.8858900719</v>
      </c>
      <c r="B156" s="15">
        <f t="shared" si="1"/>
        <v>0.7636930531</v>
      </c>
      <c r="C156" s="26">
        <v>0.862063</v>
      </c>
      <c r="D156" s="15">
        <f t="shared" si="2"/>
        <v>0</v>
      </c>
      <c r="E156" s="15" t="str">
        <f t="shared" si="80"/>
        <v>#REF!</v>
      </c>
      <c r="G156" s="9">
        <v>167860.22</v>
      </c>
      <c r="H156" s="9">
        <v>478107.56</v>
      </c>
      <c r="I156" s="12">
        <v>1.55</v>
      </c>
      <c r="J156" s="12">
        <v>-0.49</v>
      </c>
      <c r="K156" s="12">
        <v>1.74</v>
      </c>
      <c r="L156" s="12">
        <v>0.74</v>
      </c>
      <c r="M156" s="12">
        <v>0.8</v>
      </c>
      <c r="N156" s="12">
        <v>88.5</v>
      </c>
      <c r="Q156" s="15">
        <f t="shared" si="3"/>
        <v>0.8617248399</v>
      </c>
      <c r="R156" s="24">
        <f t="shared" si="4"/>
        <v>0.8055805234</v>
      </c>
      <c r="S156" s="19">
        <f t="shared" si="5"/>
        <v>1</v>
      </c>
      <c r="T156" s="25">
        <v>0.0</v>
      </c>
      <c r="V156" s="15">
        <v>0.8510042447059925</v>
      </c>
      <c r="W156" s="15">
        <v>0.8510042447059925</v>
      </c>
      <c r="X156" s="15">
        <f t="shared" si="6"/>
        <v>0.7361957241</v>
      </c>
      <c r="Y156" s="24">
        <f t="shared" si="7"/>
        <v>0.769194203</v>
      </c>
      <c r="Z156" s="15">
        <f t="shared" si="11"/>
        <v>1</v>
      </c>
      <c r="AA156" s="25">
        <v>0.0</v>
      </c>
      <c r="AB156" s="14">
        <f t="shared" si="78"/>
        <v>0</v>
      </c>
      <c r="AD156" s="15">
        <f t="shared" si="74"/>
        <v>-0.03136717679</v>
      </c>
      <c r="AE156" s="15">
        <f t="shared" si="19"/>
        <v>0.4874883587</v>
      </c>
      <c r="AF156" s="15">
        <f t="shared" si="10"/>
        <v>0</v>
      </c>
      <c r="AG156" s="14">
        <f t="shared" si="79"/>
        <v>1</v>
      </c>
      <c r="AH156" s="25">
        <v>0.0</v>
      </c>
      <c r="AI156" s="19">
        <v>1.0</v>
      </c>
    </row>
    <row r="157">
      <c r="A157" s="15">
        <f>(1.5519626-('2021'!E157*0.0000017073983)+('2021'!H157*0.0000013113498)+('2021'!U157*0.1451093)-('2021'!W157*0.0246584)-('2021'!AC157*0.790069)-('2021'!AD157*0.0024787)+('2021'!AF157*0.4651953)-('2021'!AN157*0.002701))</f>
        <v>3.400544618</v>
      </c>
      <c r="B157" s="22">
        <f t="shared" si="1"/>
        <v>3.400272574</v>
      </c>
      <c r="C157" s="23">
        <v>0.99992</v>
      </c>
      <c r="D157" s="15">
        <f t="shared" si="2"/>
        <v>0</v>
      </c>
      <c r="E157" s="15" t="str">
        <f t="shared" si="80"/>
        <v>#REF!</v>
      </c>
      <c r="G157" s="9">
        <v>398664.06</v>
      </c>
      <c r="H157" s="9">
        <v>1341304.55</v>
      </c>
      <c r="I157" s="12">
        <v>9.42</v>
      </c>
      <c r="J157" s="12">
        <v>7.58</v>
      </c>
      <c r="K157" s="12">
        <v>0.72</v>
      </c>
      <c r="L157" s="12">
        <v>15.99</v>
      </c>
      <c r="M157" s="12">
        <v>0.54</v>
      </c>
      <c r="N157" s="12">
        <v>19.4</v>
      </c>
      <c r="Q157" s="15">
        <f t="shared" si="3"/>
        <v>3.774365962</v>
      </c>
      <c r="R157" s="24">
        <f t="shared" si="4"/>
        <v>0.9999197924</v>
      </c>
      <c r="S157" s="19">
        <f t="shared" si="5"/>
        <v>1</v>
      </c>
      <c r="T157" s="25">
        <v>0.0</v>
      </c>
      <c r="V157" s="15">
        <v>0.04368514171120144</v>
      </c>
      <c r="W157" s="15">
        <v>0.04368514171120144</v>
      </c>
      <c r="X157" s="15">
        <f t="shared" si="6"/>
        <v>-1.105812342</v>
      </c>
      <c r="Y157" s="24">
        <f t="shared" si="7"/>
        <v>0.1344038759</v>
      </c>
      <c r="Z157" s="15">
        <f t="shared" si="11"/>
        <v>0</v>
      </c>
      <c r="AA157" s="25">
        <v>0.0</v>
      </c>
      <c r="AB157" s="14">
        <f t="shared" si="78"/>
        <v>1</v>
      </c>
      <c r="AD157" s="15">
        <f t="shared" si="74"/>
        <v>-0.4556760721</v>
      </c>
      <c r="AE157" s="15">
        <f t="shared" si="19"/>
        <v>0.3243114654</v>
      </c>
      <c r="AF157" s="15">
        <f t="shared" si="10"/>
        <v>0</v>
      </c>
      <c r="AG157" s="14">
        <f t="shared" si="79"/>
        <v>1</v>
      </c>
      <c r="AH157" s="25">
        <v>0.0</v>
      </c>
      <c r="AI157" s="19">
        <v>1.0</v>
      </c>
    </row>
    <row r="158">
      <c r="A158" s="15">
        <f>(1.5519626-('2021'!E158*0.0000017073983)+('2021'!H158*0.0000013113498)+('2021'!U158*0.1451093)-('2021'!W158*0.0246584)-('2021'!AC158*0.790069)-('2021'!AD158*0.0024787)+('2021'!AF158*0.4651953)-('2021'!AN158*0.002701))</f>
        <v>5.910755976</v>
      </c>
      <c r="B158" s="22">
        <f t="shared" si="1"/>
        <v>5.910755976</v>
      </c>
      <c r="C158" s="23">
        <v>1.0</v>
      </c>
      <c r="D158" s="15">
        <f t="shared" si="2"/>
        <v>0</v>
      </c>
      <c r="E158" s="15" t="str">
        <f t="shared" si="80"/>
        <v>#REF!</v>
      </c>
      <c r="G158" s="9">
        <v>199500.0</v>
      </c>
      <c r="H158" s="9">
        <v>2863670.06</v>
      </c>
      <c r="I158" s="12">
        <v>5.16</v>
      </c>
      <c r="J158" s="12">
        <v>4.55</v>
      </c>
      <c r="K158" s="12">
        <v>0.26</v>
      </c>
      <c r="L158" s="12">
        <v>41.26</v>
      </c>
      <c r="M158" s="12">
        <v>1.7</v>
      </c>
      <c r="N158" s="12">
        <v>65.0</v>
      </c>
      <c r="Q158" s="15">
        <f t="shared" si="3"/>
        <v>6.135147416</v>
      </c>
      <c r="R158" s="24">
        <f t="shared" si="4"/>
        <v>0.9999999996</v>
      </c>
      <c r="S158" s="19">
        <f t="shared" si="5"/>
        <v>1</v>
      </c>
      <c r="T158" s="25">
        <v>0.0</v>
      </c>
      <c r="V158" s="15">
        <v>-0.5139548178681086</v>
      </c>
      <c r="W158" s="15">
        <v>-0.5139548178681086</v>
      </c>
      <c r="X158" s="15">
        <f t="shared" si="6"/>
        <v>-2.406411744</v>
      </c>
      <c r="Y158" s="24">
        <f t="shared" si="7"/>
        <v>0.008055048034</v>
      </c>
      <c r="Z158" s="15">
        <f t="shared" si="11"/>
        <v>0</v>
      </c>
      <c r="AA158" s="25">
        <v>0.0</v>
      </c>
      <c r="AB158" s="14">
        <f t="shared" si="78"/>
        <v>1</v>
      </c>
      <c r="AD158" s="15">
        <f t="shared" si="74"/>
        <v>-0.7552707946</v>
      </c>
      <c r="AE158" s="15">
        <f t="shared" si="19"/>
        <v>0.2250432593</v>
      </c>
      <c r="AF158" s="15">
        <f t="shared" si="10"/>
        <v>0</v>
      </c>
      <c r="AG158" s="14">
        <f t="shared" si="79"/>
        <v>1</v>
      </c>
      <c r="AH158" s="25">
        <v>0.0</v>
      </c>
      <c r="AI158" s="19">
        <v>1.0</v>
      </c>
    </row>
    <row r="159">
      <c r="A159" s="15">
        <f>(1.5519626-('2021'!E159*0.0000017073983)+('2021'!H159*0.0000013113498)+('2021'!U159*0.1451093)-('2021'!W159*0.0246584)-('2021'!AC159*0.790069)-('2021'!AD159*0.0024787)+('2021'!AF159*0.4651953)-('2021'!AN159*0.002701))</f>
        <v>1.104454219</v>
      </c>
      <c r="B159" s="15">
        <f t="shared" si="1"/>
        <v>0.7901696223</v>
      </c>
      <c r="C159" s="26">
        <v>0.715439</v>
      </c>
      <c r="D159" s="15">
        <f t="shared" si="2"/>
        <v>0</v>
      </c>
      <c r="E159" s="15" t="str">
        <f t="shared" si="80"/>
        <v>#REF!</v>
      </c>
      <c r="G159" s="9">
        <v>120470.62</v>
      </c>
      <c r="H159" s="9">
        <v>306915.29</v>
      </c>
      <c r="I159" s="12">
        <v>1.65</v>
      </c>
      <c r="J159" s="12">
        <v>-8.33</v>
      </c>
      <c r="K159" s="12">
        <v>1.43</v>
      </c>
      <c r="L159" s="12">
        <v>0.47</v>
      </c>
      <c r="M159" s="12">
        <v>0.13</v>
      </c>
      <c r="N159" s="12">
        <v>6.9</v>
      </c>
      <c r="Q159" s="15">
        <f t="shared" si="3"/>
        <v>0.6936452754</v>
      </c>
      <c r="R159" s="24">
        <f t="shared" si="4"/>
        <v>0.7560476535</v>
      </c>
      <c r="S159" s="19">
        <f t="shared" si="5"/>
        <v>1</v>
      </c>
      <c r="T159" s="15" t="e">
        <v>#N/A</v>
      </c>
      <c r="V159" s="15">
        <v>0.7789320680119043</v>
      </c>
      <c r="W159" s="15">
        <v>0.7789320680119043</v>
      </c>
      <c r="X159" s="15">
        <f t="shared" si="6"/>
        <v>0.5127343677</v>
      </c>
      <c r="Y159" s="24">
        <f t="shared" si="7"/>
        <v>0.6959314272</v>
      </c>
      <c r="Z159" s="15">
        <f t="shared" si="11"/>
        <v>1</v>
      </c>
      <c r="AB159" s="14"/>
      <c r="AD159" s="15">
        <f t="shared" si="74"/>
        <v>-0.08284178377</v>
      </c>
      <c r="AE159" s="15">
        <f t="shared" si="19"/>
        <v>0.4669886723</v>
      </c>
      <c r="AF159" s="15">
        <f t="shared" si="10"/>
        <v>0</v>
      </c>
      <c r="AG159" s="14"/>
    </row>
    <row r="160">
      <c r="A160" s="15" t="str">
        <f>(1.5519626-('2021'!E160*0.0000017073983)+('2021'!H160*0.0000013113498)+('2021'!U160*0.1451093)-('2021'!W160*0.0246584)-('2021'!AC160*0.790069)-('2021'!AD160*0.0024787)+('2021'!AF160*0.4651953)-('2021'!AN160*0.002701))</f>
        <v>#VALUE!</v>
      </c>
      <c r="B160" s="15" t="str">
        <f t="shared" si="1"/>
        <v>#VALUE!</v>
      </c>
      <c r="C160" s="27"/>
      <c r="D160" s="15">
        <f t="shared" si="2"/>
        <v>1</v>
      </c>
      <c r="G160" s="9">
        <v>180000.0</v>
      </c>
      <c r="H160" s="9">
        <v>1897831.7</v>
      </c>
      <c r="I160" s="12">
        <v>20.97</v>
      </c>
      <c r="J160" s="12">
        <v>17.83</v>
      </c>
      <c r="K160" s="12">
        <v>0.2</v>
      </c>
      <c r="L160" s="12" t="s">
        <v>46</v>
      </c>
      <c r="M160" s="12">
        <v>2.35</v>
      </c>
      <c r="N160" s="12">
        <v>35.92</v>
      </c>
      <c r="Q160" s="15" t="str">
        <f t="shared" si="3"/>
        <v>#VALUE!</v>
      </c>
      <c r="R160" s="24" t="str">
        <f t="shared" si="4"/>
        <v>#VALUE!</v>
      </c>
      <c r="S160" s="19" t="str">
        <f t="shared" si="5"/>
        <v>#VALUE!</v>
      </c>
      <c r="T160" s="25">
        <v>0.0</v>
      </c>
      <c r="X160" s="15" t="str">
        <f t="shared" si="6"/>
        <v>#VALUE!</v>
      </c>
      <c r="Y160" s="24" t="str">
        <f t="shared" si="7"/>
        <v>#VALUE!</v>
      </c>
      <c r="Z160" s="15" t="str">
        <f t="shared" si="11"/>
        <v>#VALUE!</v>
      </c>
      <c r="AA160" s="25"/>
      <c r="AB160" s="14"/>
      <c r="AE160" s="15">
        <f t="shared" si="19"/>
        <v>0.5</v>
      </c>
      <c r="AF160" s="15">
        <f t="shared" si="10"/>
        <v>1</v>
      </c>
      <c r="AG160" s="14"/>
      <c r="AH160" s="25"/>
    </row>
    <row r="161">
      <c r="A161" s="15">
        <f>(1.5519626-('2021'!E161*0.0000017073983)+('2021'!H161*0.0000013113498)+('2021'!U161*0.1451093)-('2021'!W161*0.0246584)-('2021'!AC161*0.790069)-('2021'!AD161*0.0024787)+('2021'!AF161*0.4651953)-('2021'!AN161*0.002701))</f>
        <v>7.067559375</v>
      </c>
      <c r="B161" s="22">
        <f t="shared" si="1"/>
        <v>7.067559375</v>
      </c>
      <c r="C161" s="23">
        <v>1.0</v>
      </c>
      <c r="D161" s="15">
        <f t="shared" si="2"/>
        <v>0</v>
      </c>
      <c r="E161" s="15" t="str">
        <f t="shared" ref="E161:E163" si="81">IF('temp result 2022'!B161=D161,1,0)</f>
        <v>#REF!</v>
      </c>
      <c r="G161" s="9">
        <v>200000.0</v>
      </c>
      <c r="H161" s="9">
        <v>2399623.32</v>
      </c>
      <c r="I161" s="12">
        <v>21.49</v>
      </c>
      <c r="J161" s="12">
        <v>7.28</v>
      </c>
      <c r="K161" s="12">
        <v>0.31</v>
      </c>
      <c r="L161" s="12">
        <v>111.14</v>
      </c>
      <c r="M161" s="12">
        <v>0.79</v>
      </c>
      <c r="N161" s="12">
        <v>28.01</v>
      </c>
      <c r="Q161" s="15">
        <f t="shared" si="3"/>
        <v>7.426585679</v>
      </c>
      <c r="R161" s="24">
        <f t="shared" si="4"/>
        <v>1</v>
      </c>
      <c r="S161" s="19">
        <f t="shared" si="5"/>
        <v>1</v>
      </c>
      <c r="T161" s="25">
        <v>0.0</v>
      </c>
      <c r="V161" s="15">
        <v>-0.8239778237152817</v>
      </c>
      <c r="W161" s="15">
        <v>-0.8239778237152817</v>
      </c>
      <c r="X161" s="15">
        <f t="shared" si="6"/>
        <v>-5.414485084</v>
      </c>
      <c r="Y161" s="24">
        <f t="shared" si="7"/>
        <v>0.00000003073266341</v>
      </c>
      <c r="Z161" s="15">
        <f t="shared" si="11"/>
        <v>0</v>
      </c>
      <c r="AA161" s="25">
        <v>0.0</v>
      </c>
      <c r="AB161" s="14">
        <f t="shared" ref="AB161:AB162" si="82">if(Z161=AA161,1,0)</f>
        <v>1</v>
      </c>
      <c r="AD161" s="15">
        <f t="shared" ref="AD161:AD174" si="83">(X161-$W$185)/$V$186</f>
        <v>-1.448184305</v>
      </c>
      <c r="AE161" s="15">
        <f t="shared" si="19"/>
        <v>0.07378275638</v>
      </c>
      <c r="AF161" s="15">
        <f t="shared" si="10"/>
        <v>0</v>
      </c>
      <c r="AG161" s="14">
        <f t="shared" ref="AG161:AG162" si="84">if(AF161=AH161,1,0)</f>
        <v>1</v>
      </c>
      <c r="AH161" s="25">
        <v>0.0</v>
      </c>
      <c r="AI161" s="19">
        <v>1.0</v>
      </c>
    </row>
    <row r="162">
      <c r="A162" s="15">
        <f>(1.5519626-('2021'!E162*0.0000017073983)+('2021'!H162*0.0000013113498)+('2021'!U162*0.1451093)-('2021'!W162*0.0246584)-('2021'!AC162*0.790069)-('2021'!AD162*0.0024787)+('2021'!AF162*0.4651953)-('2021'!AN162*0.002701))</f>
        <v>2.936711734</v>
      </c>
      <c r="B162" s="15">
        <f t="shared" si="1"/>
        <v>2.936356392</v>
      </c>
      <c r="C162" s="26">
        <v>0.999879</v>
      </c>
      <c r="D162" s="15">
        <f t="shared" si="2"/>
        <v>0</v>
      </c>
      <c r="E162" s="15" t="str">
        <f t="shared" si="81"/>
        <v>#REF!</v>
      </c>
      <c r="G162" s="9">
        <v>401200.0</v>
      </c>
      <c r="H162" s="9">
        <v>2019255.12</v>
      </c>
      <c r="I162" s="12">
        <v>5.05</v>
      </c>
      <c r="J162" s="12">
        <v>11.59</v>
      </c>
      <c r="K162" s="12">
        <v>1.54</v>
      </c>
      <c r="L162" s="12">
        <v>2.84</v>
      </c>
      <c r="M162" s="12">
        <v>0.81</v>
      </c>
      <c r="N162" s="12">
        <v>66.0</v>
      </c>
      <c r="Q162" s="15">
        <f t="shared" si="3"/>
        <v>3.508293446</v>
      </c>
      <c r="R162" s="24">
        <f t="shared" si="4"/>
        <v>0.9997745044</v>
      </c>
      <c r="S162" s="19">
        <f t="shared" si="5"/>
        <v>1</v>
      </c>
      <c r="T162" s="25">
        <v>0.0</v>
      </c>
      <c r="V162" s="15">
        <v>0.17916138329937725</v>
      </c>
      <c r="W162" s="15">
        <v>0.17916138329937725</v>
      </c>
      <c r="X162" s="15">
        <f t="shared" si="6"/>
        <v>-0.6248110693</v>
      </c>
      <c r="Y162" s="24">
        <f t="shared" si="7"/>
        <v>0.2660475324</v>
      </c>
      <c r="Z162" s="15">
        <f t="shared" si="11"/>
        <v>0</v>
      </c>
      <c r="AA162" s="25">
        <v>0.0</v>
      </c>
      <c r="AB162" s="14">
        <f t="shared" si="82"/>
        <v>1</v>
      </c>
      <c r="AD162" s="15">
        <f t="shared" si="83"/>
        <v>-0.3448768186</v>
      </c>
      <c r="AE162" s="15">
        <f t="shared" si="19"/>
        <v>0.3650934894</v>
      </c>
      <c r="AF162" s="15">
        <f t="shared" si="10"/>
        <v>0</v>
      </c>
      <c r="AG162" s="14">
        <f t="shared" si="84"/>
        <v>1</v>
      </c>
      <c r="AH162" s="25">
        <v>0.0</v>
      </c>
      <c r="AI162" s="19">
        <v>1.0</v>
      </c>
    </row>
    <row r="163">
      <c r="A163" s="15">
        <f>(1.5519626-('2021'!E163*0.0000017073983)+('2021'!H163*0.0000013113498)+('2021'!U163*0.1451093)-('2021'!W163*0.0246584)-('2021'!AC163*0.790069)-('2021'!AD163*0.0024787)+('2021'!AF163*0.4651953)-('2021'!AN163*0.002701))</f>
        <v>2.368151547</v>
      </c>
      <c r="B163" s="15">
        <f t="shared" si="1"/>
        <v>2.361407051</v>
      </c>
      <c r="C163" s="26">
        <v>0.997152</v>
      </c>
      <c r="D163" s="15">
        <f t="shared" si="2"/>
        <v>0</v>
      </c>
      <c r="E163" s="15" t="str">
        <f t="shared" si="81"/>
        <v>#REF!</v>
      </c>
      <c r="G163" s="9">
        <v>135000.0</v>
      </c>
      <c r="H163" s="9">
        <v>469542.5</v>
      </c>
      <c r="I163" s="12">
        <v>11.01</v>
      </c>
      <c r="J163" s="12">
        <v>6.64</v>
      </c>
      <c r="K163" s="12">
        <v>0.19</v>
      </c>
      <c r="L163" s="12">
        <v>823.03</v>
      </c>
      <c r="M163" s="12">
        <v>2.76</v>
      </c>
      <c r="N163" s="12">
        <v>35.82</v>
      </c>
      <c r="Q163" s="15">
        <f t="shared" si="3"/>
        <v>2.695615099</v>
      </c>
      <c r="R163" s="24">
        <f t="shared" si="4"/>
        <v>0.99648706</v>
      </c>
      <c r="S163" s="19">
        <f t="shared" si="5"/>
        <v>1</v>
      </c>
      <c r="T163" s="25" t="e">
        <v>#N/A</v>
      </c>
      <c r="V163" s="15">
        <v>0.16074185987319467</v>
      </c>
      <c r="W163" s="15">
        <v>0.16074185987319467</v>
      </c>
      <c r="X163" s="15">
        <f t="shared" si="6"/>
        <v>-24.50206219</v>
      </c>
      <c r="Y163" s="24">
        <f t="shared" si="7"/>
        <v>0</v>
      </c>
      <c r="Z163" s="15">
        <f t="shared" si="11"/>
        <v>0</v>
      </c>
      <c r="AA163" s="25"/>
      <c r="AB163" s="14"/>
      <c r="AD163" s="15">
        <f t="shared" si="83"/>
        <v>-5.845031911</v>
      </c>
      <c r="AE163" s="15">
        <f t="shared" si="19"/>
        <v>0.000000002532355992</v>
      </c>
      <c r="AF163" s="15">
        <f t="shared" si="10"/>
        <v>0</v>
      </c>
      <c r="AG163" s="14"/>
      <c r="AH163" s="25"/>
    </row>
    <row r="164">
      <c r="A164" s="15">
        <f>(1.5519626-('2021'!E164*0.0000017073983)+('2021'!H164*0.0000013113498)+('2021'!U164*0.1451093)-('2021'!W164*0.0246584)-('2021'!AC164*0.790069)-('2021'!AD164*0.0024787)+('2021'!AF164*0.4651953)-('2021'!AN164*0.002701))</f>
        <v>1.892975239</v>
      </c>
      <c r="B164" s="15">
        <f t="shared" si="1"/>
        <v>1.884860054</v>
      </c>
      <c r="C164" s="26">
        <v>0.995713</v>
      </c>
      <c r="D164" s="15">
        <f t="shared" si="2"/>
        <v>0</v>
      </c>
      <c r="G164" s="9">
        <v>167999.94</v>
      </c>
      <c r="H164" s="9">
        <v>543834.19</v>
      </c>
      <c r="I164" s="12">
        <v>6.54</v>
      </c>
      <c r="J164" s="12">
        <v>6.27</v>
      </c>
      <c r="K164" s="12">
        <v>0.9</v>
      </c>
      <c r="L164" s="12">
        <v>99.97</v>
      </c>
      <c r="M164" s="12">
        <v>1.1</v>
      </c>
      <c r="N164" s="12">
        <v>160.15</v>
      </c>
      <c r="Q164" s="15">
        <f t="shared" si="3"/>
        <v>2.202191575</v>
      </c>
      <c r="R164" s="24">
        <f t="shared" si="4"/>
        <v>0.9861741105</v>
      </c>
      <c r="S164" s="19">
        <f t="shared" si="5"/>
        <v>1</v>
      </c>
      <c r="T164" s="25" t="e">
        <v>#N/A</v>
      </c>
      <c r="V164" s="15">
        <v>0.6545373571715744</v>
      </c>
      <c r="W164" s="15">
        <v>0.6545373571715744</v>
      </c>
      <c r="X164" s="15">
        <f t="shared" si="6"/>
        <v>-2.140097559</v>
      </c>
      <c r="Y164" s="24">
        <f t="shared" si="7"/>
        <v>0.01617344167</v>
      </c>
      <c r="Z164" s="15">
        <f t="shared" si="11"/>
        <v>0</v>
      </c>
      <c r="AA164" s="25"/>
      <c r="AB164" s="14"/>
      <c r="AD164" s="15">
        <f t="shared" si="83"/>
        <v>-0.6939249841</v>
      </c>
      <c r="AE164" s="15">
        <f t="shared" si="19"/>
        <v>0.2438646272</v>
      </c>
      <c r="AF164" s="15">
        <f t="shared" si="10"/>
        <v>0</v>
      </c>
      <c r="AG164" s="14"/>
      <c r="AH164" s="25"/>
    </row>
    <row r="165">
      <c r="A165" s="15">
        <f>(1.5519626-('2021'!E165*0.0000017073983)+('2021'!H165*0.0000013113498)+('2021'!U165*0.1451093)-('2021'!W165*0.0246584)-('2021'!AC165*0.790069)-('2021'!AD165*0.0024787)+('2021'!AF165*0.4651953)-('2021'!AN165*0.002701))</f>
        <v>6.632667204</v>
      </c>
      <c r="B165" s="22">
        <f t="shared" si="1"/>
        <v>6.632667204</v>
      </c>
      <c r="C165" s="23">
        <v>1.0</v>
      </c>
      <c r="D165" s="15">
        <f t="shared" si="2"/>
        <v>0</v>
      </c>
      <c r="G165" s="9">
        <v>115000.0</v>
      </c>
      <c r="H165" s="9">
        <v>134732.36</v>
      </c>
      <c r="I165" s="12">
        <v>31.99</v>
      </c>
      <c r="J165" s="12">
        <v>38.02</v>
      </c>
      <c r="K165" s="12">
        <v>0.19</v>
      </c>
      <c r="L165" s="12">
        <v>165.04</v>
      </c>
      <c r="M165" s="12">
        <v>5.98</v>
      </c>
      <c r="N165" s="12">
        <v>306.12</v>
      </c>
      <c r="Q165" s="15">
        <f t="shared" si="3"/>
        <v>8.50769194</v>
      </c>
      <c r="R165" s="24">
        <f t="shared" si="4"/>
        <v>1</v>
      </c>
      <c r="S165" s="19">
        <f t="shared" si="5"/>
        <v>1</v>
      </c>
      <c r="T165" s="25">
        <v>0.0</v>
      </c>
      <c r="V165" s="15">
        <v>-0.9236425086989326</v>
      </c>
      <c r="W165" s="15">
        <v>-0.9236425086989326</v>
      </c>
      <c r="X165" s="15">
        <f t="shared" si="6"/>
        <v>-5.912443869</v>
      </c>
      <c r="Y165" s="24">
        <f t="shared" si="7"/>
        <v>0.00000000168534342</v>
      </c>
      <c r="Z165" s="15">
        <f t="shared" si="11"/>
        <v>0</v>
      </c>
      <c r="AA165" s="25">
        <v>0.0</v>
      </c>
      <c r="AB165" s="14">
        <f>if(Z165=AA165,1,0)</f>
        <v>1</v>
      </c>
      <c r="AD165" s="15">
        <f t="shared" si="83"/>
        <v>-1.562889743</v>
      </c>
      <c r="AE165" s="15">
        <f t="shared" si="19"/>
        <v>0.05903926529</v>
      </c>
      <c r="AF165" s="15">
        <f t="shared" si="10"/>
        <v>0</v>
      </c>
      <c r="AG165" s="14">
        <f>if(AF165=AH165,1,0)</f>
        <v>1</v>
      </c>
      <c r="AH165" s="25">
        <v>0.0</v>
      </c>
      <c r="AI165" s="19">
        <v>1.0</v>
      </c>
    </row>
    <row r="166">
      <c r="A166" s="15">
        <f>(1.5519626-('2021'!E166*0.0000017073983)+('2021'!H166*0.0000013113498)+('2021'!U166*0.1451093)-('2021'!W166*0.0246584)-('2021'!AC166*0.790069)-('2021'!AD166*0.0024787)+('2021'!AF166*0.4651953)-('2021'!AN166*0.002701))</f>
        <v>3.08268503</v>
      </c>
      <c r="B166" s="15">
        <f t="shared" si="1"/>
        <v>3.081877366</v>
      </c>
      <c r="C166" s="26">
        <v>0.999738</v>
      </c>
      <c r="D166" s="15">
        <f t="shared" si="2"/>
        <v>0</v>
      </c>
      <c r="E166" s="15" t="str">
        <f>IF('temp result 2022'!B166=D166,1,0)</f>
        <v>#REF!</v>
      </c>
      <c r="G166" s="9">
        <v>308008.27</v>
      </c>
      <c r="H166" s="9">
        <v>1902626.24</v>
      </c>
      <c r="I166" s="12">
        <v>4.72</v>
      </c>
      <c r="J166" s="12">
        <v>3.4</v>
      </c>
      <c r="K166" s="12">
        <v>1.51</v>
      </c>
      <c r="L166" s="12">
        <v>3.03</v>
      </c>
      <c r="M166" s="12">
        <v>0.84</v>
      </c>
      <c r="N166" s="12">
        <v>85.05</v>
      </c>
      <c r="Q166" s="15">
        <f t="shared" si="3"/>
        <v>3.25036215</v>
      </c>
      <c r="R166" s="24">
        <f t="shared" si="4"/>
        <v>0.9994237093</v>
      </c>
      <c r="S166" s="19">
        <f t="shared" si="5"/>
        <v>1</v>
      </c>
      <c r="T166" s="15" t="e">
        <v>#N/A</v>
      </c>
      <c r="V166" s="15">
        <v>0.27607888122149987</v>
      </c>
      <c r="W166" s="15">
        <v>0.27607888122149987</v>
      </c>
      <c r="X166" s="15">
        <f t="shared" si="6"/>
        <v>-0.4416081569</v>
      </c>
      <c r="Y166" s="24">
        <f t="shared" si="7"/>
        <v>0.3293863902</v>
      </c>
      <c r="Z166" s="15">
        <f t="shared" si="11"/>
        <v>0</v>
      </c>
      <c r="AB166" s="14"/>
      <c r="AD166" s="15">
        <f t="shared" si="83"/>
        <v>-0.3026757952</v>
      </c>
      <c r="AE166" s="15">
        <f t="shared" si="19"/>
        <v>0.3810684728</v>
      </c>
      <c r="AF166" s="15">
        <f t="shared" si="10"/>
        <v>0</v>
      </c>
      <c r="AG166" s="14"/>
    </row>
    <row r="167">
      <c r="A167" s="15">
        <f>(1.5519626-('2021'!E167*0.0000017073983)+('2021'!H167*0.0000013113498)+('2021'!U167*0.1451093)-('2021'!W167*0.0246584)-('2021'!AC167*0.790069)-('2021'!AD167*0.0024787)+('2021'!AF167*0.4651953)-('2021'!AN167*0.002701))</f>
        <v>3.915511154</v>
      </c>
      <c r="B167" s="22">
        <f t="shared" si="1"/>
        <v>3.915507238</v>
      </c>
      <c r="C167" s="23">
        <v>0.999999</v>
      </c>
      <c r="D167" s="15">
        <f t="shared" si="2"/>
        <v>0</v>
      </c>
      <c r="G167" s="9">
        <v>105000.0</v>
      </c>
      <c r="H167" s="9">
        <v>146267.11</v>
      </c>
      <c r="I167" s="12">
        <v>10.17</v>
      </c>
      <c r="J167" s="12">
        <v>13.53</v>
      </c>
      <c r="K167" s="12">
        <v>0.22</v>
      </c>
      <c r="L167" s="12">
        <v>17.14</v>
      </c>
      <c r="M167" s="12">
        <v>3.73</v>
      </c>
      <c r="N167" s="12">
        <v>114.77</v>
      </c>
      <c r="Q167" s="15">
        <f t="shared" si="3"/>
        <v>4.582767458</v>
      </c>
      <c r="R167" s="24">
        <f t="shared" si="4"/>
        <v>0.9999977057</v>
      </c>
      <c r="S167" s="19">
        <f t="shared" si="5"/>
        <v>1</v>
      </c>
      <c r="T167" s="25">
        <v>0.0</v>
      </c>
      <c r="V167" s="15">
        <v>-0.20279623729549243</v>
      </c>
      <c r="W167" s="15">
        <v>-0.20279623729549243</v>
      </c>
      <c r="X167" s="15">
        <f t="shared" si="6"/>
        <v>-0.6158496333</v>
      </c>
      <c r="Y167" s="24">
        <f t="shared" si="7"/>
        <v>0.268996883</v>
      </c>
      <c r="Z167" s="15">
        <f t="shared" si="11"/>
        <v>0</v>
      </c>
      <c r="AA167" s="25">
        <v>0.0</v>
      </c>
      <c r="AB167" s="14">
        <f t="shared" ref="AB167:AB174" si="85">if(Z167=AA167,1,0)</f>
        <v>1</v>
      </c>
      <c r="AD167" s="15">
        <f t="shared" si="83"/>
        <v>-0.3428125404</v>
      </c>
      <c r="AE167" s="15">
        <f t="shared" si="19"/>
        <v>0.3658697456</v>
      </c>
      <c r="AF167" s="15">
        <f t="shared" si="10"/>
        <v>0</v>
      </c>
      <c r="AG167" s="14">
        <f t="shared" ref="AG167:AG174" si="86">if(AF167=AH167,1,0)</f>
        <v>1</v>
      </c>
      <c r="AH167" s="25">
        <v>0.0</v>
      </c>
      <c r="AI167" s="19">
        <v>1.0</v>
      </c>
    </row>
    <row r="168">
      <c r="A168" s="15">
        <f>(1.5519626-('2021'!E168*0.0000017073983)+('2021'!H168*0.0000013113498)+('2021'!U168*0.1451093)-('2021'!W168*0.0246584)-('2021'!AC168*0.790069)-('2021'!AD168*0.0024787)+('2021'!AF168*0.4651953)-('2021'!AN168*0.002701))</f>
        <v>1.075291229</v>
      </c>
      <c r="B168" s="15">
        <f t="shared" si="1"/>
        <v>1.075142839</v>
      </c>
      <c r="C168" s="26">
        <v>0.999862</v>
      </c>
      <c r="D168" s="15">
        <f t="shared" si="2"/>
        <v>0</v>
      </c>
      <c r="E168" s="15" t="str">
        <f t="shared" ref="E168:E177" si="87">IF('temp result 2022'!B168=D168,1,0)</f>
        <v>#REF!</v>
      </c>
      <c r="G168" s="9">
        <v>365549.29</v>
      </c>
      <c r="H168" s="9">
        <v>118045.56</v>
      </c>
      <c r="I168" s="12">
        <v>-0.33</v>
      </c>
      <c r="J168" s="12">
        <v>36.99</v>
      </c>
      <c r="K168" s="12">
        <v>0.49</v>
      </c>
      <c r="L168" s="12">
        <v>-2.43</v>
      </c>
      <c r="M168" s="12">
        <v>4.46</v>
      </c>
      <c r="N168" s="12">
        <v>274.34</v>
      </c>
      <c r="Q168" s="15">
        <f t="shared" si="3"/>
        <v>2.899519661</v>
      </c>
      <c r="R168" s="24">
        <f t="shared" si="4"/>
        <v>0.9981313255</v>
      </c>
      <c r="S168" s="19">
        <f t="shared" si="5"/>
        <v>1</v>
      </c>
      <c r="T168" s="25">
        <v>0.0</v>
      </c>
      <c r="V168" s="15">
        <v>0.45906409207907767</v>
      </c>
      <c r="W168" s="15">
        <v>0.45906409207907767</v>
      </c>
      <c r="X168" s="15">
        <f t="shared" si="6"/>
        <v>1.590745595</v>
      </c>
      <c r="Y168" s="24">
        <f t="shared" si="7"/>
        <v>0.9441665794</v>
      </c>
      <c r="Z168" s="15">
        <f t="shared" si="11"/>
        <v>1</v>
      </c>
      <c r="AA168" s="25">
        <v>0.0</v>
      </c>
      <c r="AB168" s="14">
        <f t="shared" si="85"/>
        <v>0</v>
      </c>
      <c r="AD168" s="15">
        <f t="shared" si="83"/>
        <v>0.1654794703</v>
      </c>
      <c r="AE168" s="15">
        <f t="shared" si="19"/>
        <v>0.5657166963</v>
      </c>
      <c r="AF168" s="15">
        <f t="shared" si="10"/>
        <v>1</v>
      </c>
      <c r="AG168" s="14">
        <f t="shared" si="86"/>
        <v>0</v>
      </c>
      <c r="AH168" s="25">
        <v>0.0</v>
      </c>
      <c r="AI168" s="19">
        <v>1.0</v>
      </c>
    </row>
    <row r="169">
      <c r="A169" s="15">
        <f>(1.5519626-('2021'!E169*0.0000017073983)+('2021'!H169*0.0000013113498)+('2021'!U169*0.1451093)-('2021'!W169*0.0246584)-('2021'!AC169*0.790069)-('2021'!AD169*0.0024787)+('2021'!AF169*0.4651953)-('2021'!AN169*0.002701))</f>
        <v>0.7385968793</v>
      </c>
      <c r="B169" s="15">
        <f t="shared" si="1"/>
        <v>0.491192037</v>
      </c>
      <c r="C169" s="26">
        <v>0.665034</v>
      </c>
      <c r="D169" s="15">
        <f t="shared" si="2"/>
        <v>0</v>
      </c>
      <c r="E169" s="15" t="str">
        <f t="shared" si="87"/>
        <v>#REF!</v>
      </c>
      <c r="G169" s="9">
        <v>447707.46</v>
      </c>
      <c r="H169" s="9">
        <v>3067018.22</v>
      </c>
      <c r="I169" s="12">
        <v>-23.1</v>
      </c>
      <c r="J169" s="12">
        <v>-9.64</v>
      </c>
      <c r="K169" s="12">
        <v>1.36</v>
      </c>
      <c r="L169" s="12">
        <v>-48.08</v>
      </c>
      <c r="M169" s="12">
        <v>0.38</v>
      </c>
      <c r="N169" s="12">
        <v>65.91</v>
      </c>
      <c r="Q169" s="15">
        <f t="shared" si="3"/>
        <v>0.2631829273</v>
      </c>
      <c r="R169" s="24">
        <f t="shared" si="4"/>
        <v>0.6037952054</v>
      </c>
      <c r="S169" s="19">
        <f t="shared" si="5"/>
        <v>1</v>
      </c>
      <c r="T169" s="25">
        <v>0.0</v>
      </c>
      <c r="V169" s="15">
        <v>0.978837405461937</v>
      </c>
      <c r="W169" s="15">
        <v>0.978837405461937</v>
      </c>
      <c r="X169" s="15">
        <f t="shared" si="6"/>
        <v>2.457734548</v>
      </c>
      <c r="Y169" s="24">
        <f t="shared" si="7"/>
        <v>0.9930091761</v>
      </c>
      <c r="Z169" s="15">
        <f t="shared" si="11"/>
        <v>1</v>
      </c>
      <c r="AA169" s="25">
        <v>0.0</v>
      </c>
      <c r="AB169" s="14">
        <f t="shared" si="85"/>
        <v>0</v>
      </c>
      <c r="AD169" s="15">
        <f t="shared" si="83"/>
        <v>0.3651914757</v>
      </c>
      <c r="AE169" s="15">
        <f t="shared" si="19"/>
        <v>0.6425157595</v>
      </c>
      <c r="AF169" s="15">
        <f t="shared" si="10"/>
        <v>1</v>
      </c>
      <c r="AG169" s="14">
        <f t="shared" si="86"/>
        <v>0</v>
      </c>
      <c r="AH169" s="25">
        <v>0.0</v>
      </c>
      <c r="AI169" s="19">
        <v>1.0</v>
      </c>
    </row>
    <row r="170">
      <c r="A170" s="15">
        <f>(1.5519626-('2021'!E170*0.0000017073983)+('2021'!H170*0.0000013113498)+('2021'!U170*0.1451093)-('2021'!W170*0.0246584)-('2021'!AC170*0.790069)-('2021'!AD170*0.0024787)+('2021'!AF170*0.4651953)-('2021'!AN170*0.002701))</f>
        <v>2.470288831</v>
      </c>
      <c r="B170" s="15">
        <f t="shared" si="1"/>
        <v>2.467578924</v>
      </c>
      <c r="C170" s="26">
        <v>0.998903</v>
      </c>
      <c r="D170" s="15">
        <f t="shared" si="2"/>
        <v>0</v>
      </c>
      <c r="E170" s="15" t="str">
        <f t="shared" si="87"/>
        <v>#REF!</v>
      </c>
      <c r="G170" s="9">
        <v>200007.52</v>
      </c>
      <c r="H170" s="9">
        <v>279653.09</v>
      </c>
      <c r="I170" s="12">
        <v>3.32</v>
      </c>
      <c r="J170" s="12">
        <v>7.44</v>
      </c>
      <c r="K170" s="12">
        <v>0.18</v>
      </c>
      <c r="L170" s="12">
        <v>18.2</v>
      </c>
      <c r="M170" s="12">
        <v>2.19</v>
      </c>
      <c r="N170" s="12">
        <v>87.62</v>
      </c>
      <c r="Q170" s="15">
        <f t="shared" si="3"/>
        <v>2.837205823</v>
      </c>
      <c r="R170" s="24">
        <f t="shared" si="4"/>
        <v>0.9977244868</v>
      </c>
      <c r="S170" s="19">
        <f t="shared" si="5"/>
        <v>1</v>
      </c>
      <c r="T170" s="25">
        <v>0.0</v>
      </c>
      <c r="V170" s="15">
        <v>0.27516759181511824</v>
      </c>
      <c r="W170" s="15">
        <v>0.27516759181511824</v>
      </c>
      <c r="X170" s="15">
        <f t="shared" si="6"/>
        <v>-0.007432385085</v>
      </c>
      <c r="Y170" s="24">
        <f t="shared" si="7"/>
        <v>0.4970349346</v>
      </c>
      <c r="Z170" s="15">
        <f t="shared" si="11"/>
        <v>0</v>
      </c>
      <c r="AA170" s="25">
        <v>0.0</v>
      </c>
      <c r="AB170" s="14">
        <f t="shared" si="85"/>
        <v>1</v>
      </c>
      <c r="AD170" s="15">
        <f t="shared" si="83"/>
        <v>-0.2026628553</v>
      </c>
      <c r="AE170" s="15">
        <f t="shared" si="19"/>
        <v>0.4196992789</v>
      </c>
      <c r="AF170" s="15">
        <f t="shared" si="10"/>
        <v>0</v>
      </c>
      <c r="AG170" s="14">
        <f t="shared" si="86"/>
        <v>1</v>
      </c>
      <c r="AH170" s="25">
        <v>0.0</v>
      </c>
      <c r="AI170" s="19">
        <v>1.0</v>
      </c>
    </row>
    <row r="171">
      <c r="A171" s="15">
        <f>(1.5519626-('2021'!E171*0.0000017073983)+('2021'!H171*0.0000013113498)+('2021'!U171*0.1451093)-('2021'!W171*0.0246584)-('2021'!AC171*0.790069)-('2021'!AD171*0.0024787)+('2021'!AF171*0.4651953)-('2021'!AN171*0.002701))</f>
        <v>2.970012933</v>
      </c>
      <c r="B171" s="15">
        <f t="shared" si="1"/>
        <v>2.968964518</v>
      </c>
      <c r="C171" s="26">
        <v>0.999647</v>
      </c>
      <c r="D171" s="15">
        <f t="shared" si="2"/>
        <v>0</v>
      </c>
      <c r="E171" s="15" t="str">
        <f t="shared" si="87"/>
        <v>#REF!</v>
      </c>
      <c r="G171" s="9">
        <v>227999.99</v>
      </c>
      <c r="H171" s="9">
        <v>1129005.1</v>
      </c>
      <c r="I171" s="12">
        <v>6.89</v>
      </c>
      <c r="J171" s="12">
        <v>4.68</v>
      </c>
      <c r="K171" s="12">
        <v>0.96</v>
      </c>
      <c r="L171" s="12">
        <v>20.4</v>
      </c>
      <c r="M171" s="12">
        <v>0.97</v>
      </c>
      <c r="N171" s="12">
        <v>73.97</v>
      </c>
      <c r="Q171" s="15">
        <f t="shared" si="3"/>
        <v>3.200815557</v>
      </c>
      <c r="R171" s="24">
        <f t="shared" si="4"/>
        <v>0.9993148039</v>
      </c>
      <c r="S171" s="19">
        <f t="shared" si="5"/>
        <v>1</v>
      </c>
      <c r="T171" s="25">
        <v>0.0</v>
      </c>
      <c r="V171" s="15">
        <v>0.2556402979160958</v>
      </c>
      <c r="W171" s="15">
        <v>0.2556402979160958</v>
      </c>
      <c r="X171" s="15">
        <f t="shared" si="6"/>
        <v>-0.7057808768</v>
      </c>
      <c r="Y171" s="24">
        <f t="shared" si="7"/>
        <v>0.2401622081</v>
      </c>
      <c r="Z171" s="15">
        <f t="shared" si="11"/>
        <v>0</v>
      </c>
      <c r="AA171" s="25">
        <v>0.0</v>
      </c>
      <c r="AB171" s="14">
        <f t="shared" si="85"/>
        <v>1</v>
      </c>
      <c r="AD171" s="15">
        <f t="shared" si="83"/>
        <v>-0.3635283165</v>
      </c>
      <c r="AE171" s="15">
        <f t="shared" si="19"/>
        <v>0.3581051321</v>
      </c>
      <c r="AF171" s="15">
        <f t="shared" si="10"/>
        <v>0</v>
      </c>
      <c r="AG171" s="14">
        <f t="shared" si="86"/>
        <v>1</v>
      </c>
      <c r="AH171" s="25">
        <v>0.0</v>
      </c>
      <c r="AI171" s="19">
        <v>1.0</v>
      </c>
    </row>
    <row r="172">
      <c r="A172" s="15">
        <f>(1.5519626-('2021'!E172*0.0000017073983)+('2021'!H172*0.0000013113498)+('2021'!U172*0.1451093)-('2021'!W172*0.0246584)-('2021'!AC172*0.790069)-('2021'!AD172*0.0024787)+('2021'!AF172*0.4651953)-('2021'!AN172*0.002701))</f>
        <v>6.842513064</v>
      </c>
      <c r="B172" s="22">
        <f t="shared" si="1"/>
        <v>6.842513064</v>
      </c>
      <c r="C172" s="23">
        <v>1.0</v>
      </c>
      <c r="D172" s="15">
        <f t="shared" si="2"/>
        <v>0</v>
      </c>
      <c r="E172" s="15" t="str">
        <f t="shared" si="87"/>
        <v>#REF!</v>
      </c>
      <c r="G172" s="9">
        <v>142627.65</v>
      </c>
      <c r="H172" s="9">
        <v>462688.74</v>
      </c>
      <c r="I172" s="12">
        <v>0.94</v>
      </c>
      <c r="J172" s="12">
        <v>2.91</v>
      </c>
      <c r="K172" s="12">
        <v>0.08</v>
      </c>
      <c r="L172" s="12">
        <v>154.02</v>
      </c>
      <c r="M172" s="12">
        <v>11.7</v>
      </c>
      <c r="N172" s="12">
        <v>50.03</v>
      </c>
      <c r="Q172" s="15">
        <f t="shared" si="3"/>
        <v>6.986024952</v>
      </c>
      <c r="R172" s="24">
        <f t="shared" si="4"/>
        <v>1</v>
      </c>
      <c r="S172" s="19">
        <f t="shared" si="5"/>
        <v>1</v>
      </c>
      <c r="T172" s="25">
        <v>0.0</v>
      </c>
      <c r="V172" s="15">
        <v>-1.515620787129259</v>
      </c>
      <c r="W172" s="15">
        <v>-1.515620787129259</v>
      </c>
      <c r="X172" s="15">
        <f t="shared" si="6"/>
        <v>-6.355322008</v>
      </c>
      <c r="Y172" s="24">
        <f t="shared" si="7"/>
        <v>0.0000000001039953679</v>
      </c>
      <c r="Z172" s="15">
        <f t="shared" si="11"/>
        <v>0</v>
      </c>
      <c r="AA172" s="25">
        <v>0.0</v>
      </c>
      <c r="AB172" s="14">
        <f t="shared" si="85"/>
        <v>1</v>
      </c>
      <c r="AD172" s="15">
        <f t="shared" si="83"/>
        <v>-1.664907285</v>
      </c>
      <c r="AE172" s="15">
        <f t="shared" si="19"/>
        <v>0.04796562733</v>
      </c>
      <c r="AF172" s="15">
        <f t="shared" si="10"/>
        <v>0</v>
      </c>
      <c r="AG172" s="14">
        <f t="shared" si="86"/>
        <v>1</v>
      </c>
      <c r="AH172" s="25">
        <v>0.0</v>
      </c>
      <c r="AI172" s="19">
        <v>1.0</v>
      </c>
    </row>
    <row r="173">
      <c r="A173" s="15">
        <f>(1.5519626-('2021'!E173*0.0000017073983)+('2021'!H173*0.0000013113498)+('2021'!U173*0.1451093)-('2021'!W173*0.0246584)-('2021'!AC173*0.790069)-('2021'!AD173*0.0024787)+('2021'!AF173*0.4651953)-('2021'!AN173*0.002701))</f>
        <v>5.485471703</v>
      </c>
      <c r="B173" s="22">
        <f t="shared" si="1"/>
        <v>5.485471703</v>
      </c>
      <c r="C173" s="23">
        <v>1.0</v>
      </c>
      <c r="D173" s="15">
        <f t="shared" si="2"/>
        <v>0</v>
      </c>
      <c r="E173" s="15" t="str">
        <f t="shared" si="87"/>
        <v>#REF!</v>
      </c>
      <c r="G173" s="9">
        <v>290513.06</v>
      </c>
      <c r="H173" s="9">
        <v>2890138.08</v>
      </c>
      <c r="I173" s="12">
        <v>7.06</v>
      </c>
      <c r="J173" s="12">
        <v>3.5</v>
      </c>
      <c r="K173" s="12">
        <v>0.91</v>
      </c>
      <c r="L173" s="12">
        <v>14.87</v>
      </c>
      <c r="M173" s="12">
        <v>1.22</v>
      </c>
      <c r="N173" s="12">
        <v>40.85</v>
      </c>
      <c r="Q173" s="15">
        <f t="shared" si="3"/>
        <v>5.658080503</v>
      </c>
      <c r="R173" s="24">
        <f t="shared" si="4"/>
        <v>0.9999999923</v>
      </c>
      <c r="S173" s="19">
        <f t="shared" si="5"/>
        <v>1</v>
      </c>
      <c r="T173" s="25">
        <v>1.0</v>
      </c>
      <c r="V173" s="15">
        <v>-0.4122140485954783</v>
      </c>
      <c r="W173" s="15">
        <v>-0.4122140485954783</v>
      </c>
      <c r="X173" s="15">
        <f t="shared" si="6"/>
        <v>-1.877821597</v>
      </c>
      <c r="Y173" s="24">
        <f t="shared" si="7"/>
        <v>0.03020278736</v>
      </c>
      <c r="Z173" s="15">
        <f t="shared" si="11"/>
        <v>0</v>
      </c>
      <c r="AA173" s="25">
        <v>1.0</v>
      </c>
      <c r="AB173" s="14">
        <f t="shared" si="85"/>
        <v>0</v>
      </c>
      <c r="AD173" s="15">
        <f t="shared" si="83"/>
        <v>-0.6335093836</v>
      </c>
      <c r="AE173" s="15">
        <f t="shared" si="19"/>
        <v>0.2632005275</v>
      </c>
      <c r="AF173" s="15">
        <f t="shared" si="10"/>
        <v>0</v>
      </c>
      <c r="AG173" s="14">
        <f t="shared" si="86"/>
        <v>0</v>
      </c>
      <c r="AH173" s="25">
        <v>1.0</v>
      </c>
      <c r="AI173" s="19">
        <v>1.0</v>
      </c>
    </row>
    <row r="174">
      <c r="A174" s="15">
        <f>(1.5519626-('2021'!E174*0.0000017073983)+('2021'!H174*0.0000013113498)+('2021'!U174*0.1451093)-('2021'!W174*0.0246584)-('2021'!AC174*0.790069)-('2021'!AD174*0.0024787)+('2021'!AF174*0.4651953)-('2021'!AN174*0.002701))</f>
        <v>-1.472210997</v>
      </c>
      <c r="B174" s="15">
        <f t="shared" si="1"/>
        <v>-0.008306214446</v>
      </c>
      <c r="C174" s="26">
        <v>0.005642</v>
      </c>
      <c r="D174" s="15">
        <f t="shared" si="2"/>
        <v>1</v>
      </c>
      <c r="E174" s="15" t="str">
        <f t="shared" si="87"/>
        <v>#REF!</v>
      </c>
      <c r="G174" s="9">
        <v>572599.8</v>
      </c>
      <c r="H174" s="9">
        <v>232197.48</v>
      </c>
      <c r="I174" s="12">
        <v>-4.52</v>
      </c>
      <c r="J174" s="12">
        <v>-25.97</v>
      </c>
      <c r="K174" s="12">
        <v>2.77</v>
      </c>
      <c r="L174" s="12">
        <v>-1.88</v>
      </c>
      <c r="M174" s="12">
        <v>0.17</v>
      </c>
      <c r="N174" s="12">
        <v>85.43</v>
      </c>
      <c r="Q174" s="15">
        <f t="shared" si="3"/>
        <v>-2.752968293</v>
      </c>
      <c r="R174" s="24">
        <f t="shared" si="4"/>
        <v>0.002952880783</v>
      </c>
      <c r="S174" s="19">
        <f t="shared" si="5"/>
        <v>0</v>
      </c>
      <c r="T174" s="25">
        <v>0.0</v>
      </c>
      <c r="V174" s="15">
        <v>1.7452423281810368</v>
      </c>
      <c r="W174" s="15">
        <v>1.7452423281810368</v>
      </c>
      <c r="X174" s="15">
        <f t="shared" si="6"/>
        <v>1.441688813</v>
      </c>
      <c r="Y174" s="24">
        <f t="shared" si="7"/>
        <v>0.9253049095</v>
      </c>
      <c r="Z174" s="15">
        <f t="shared" si="11"/>
        <v>1</v>
      </c>
      <c r="AA174" s="25">
        <v>0.0</v>
      </c>
      <c r="AB174" s="14">
        <f t="shared" si="85"/>
        <v>0</v>
      </c>
      <c r="AD174" s="15">
        <f t="shared" si="83"/>
        <v>0.1311440513</v>
      </c>
      <c r="AE174" s="15">
        <f t="shared" si="19"/>
        <v>0.5521693229</v>
      </c>
      <c r="AF174" s="15">
        <f t="shared" si="10"/>
        <v>1</v>
      </c>
      <c r="AG174" s="14">
        <f t="shared" si="86"/>
        <v>0</v>
      </c>
      <c r="AH174" s="25">
        <v>0.0</v>
      </c>
      <c r="AI174" s="19">
        <v>1.0</v>
      </c>
    </row>
    <row r="175">
      <c r="A175" s="15" t="str">
        <f>(1.5519626-('2021'!E175*0.0000017073983)+('2021'!H175*0.0000013113498)+('2021'!U175*0.1451093)-('2021'!W175*0.0246584)-('2021'!AC175*0.790069)-('2021'!AD175*0.0024787)+('2021'!AF175*0.4651953)-('2021'!AN175*0.002701))</f>
        <v>#VALUE!</v>
      </c>
      <c r="B175" s="15" t="str">
        <f t="shared" si="1"/>
        <v>#VALUE!</v>
      </c>
      <c r="C175" s="27"/>
      <c r="D175" s="15">
        <f t="shared" si="2"/>
        <v>1</v>
      </c>
      <c r="E175" s="15" t="str">
        <f t="shared" si="87"/>
        <v>#REF!</v>
      </c>
      <c r="G175" s="9">
        <v>335350.4</v>
      </c>
      <c r="H175" s="9">
        <v>139254.9</v>
      </c>
      <c r="I175" s="12">
        <v>2.37</v>
      </c>
      <c r="J175" s="12">
        <v>12.3</v>
      </c>
      <c r="K175" s="12">
        <v>0.43</v>
      </c>
      <c r="L175" s="12" t="s">
        <v>46</v>
      </c>
      <c r="M175" s="12">
        <v>0.91</v>
      </c>
      <c r="N175" s="12">
        <v>500.58</v>
      </c>
      <c r="Q175" s="15" t="str">
        <f t="shared" si="3"/>
        <v>#VALUE!</v>
      </c>
      <c r="R175" s="24" t="str">
        <f t="shared" si="4"/>
        <v>#VALUE!</v>
      </c>
      <c r="S175" s="19" t="str">
        <f t="shared" si="5"/>
        <v>#VALUE!</v>
      </c>
      <c r="T175" s="25">
        <v>0.0</v>
      </c>
      <c r="X175" s="15" t="str">
        <f t="shared" si="6"/>
        <v>#VALUE!</v>
      </c>
      <c r="Y175" s="24" t="str">
        <f t="shared" si="7"/>
        <v>#VALUE!</v>
      </c>
      <c r="Z175" s="15" t="str">
        <f t="shared" si="11"/>
        <v>#VALUE!</v>
      </c>
      <c r="AA175" s="25"/>
      <c r="AB175" s="14"/>
      <c r="AE175" s="15">
        <f t="shared" si="19"/>
        <v>0.5</v>
      </c>
      <c r="AF175" s="15">
        <f t="shared" si="10"/>
        <v>1</v>
      </c>
      <c r="AG175" s="14"/>
      <c r="AH175" s="25"/>
    </row>
    <row r="176">
      <c r="A176" s="15">
        <f>(1.5519626-('2021'!E176*0.0000017073983)+('2021'!H176*0.0000013113498)+('2021'!U176*0.1451093)-('2021'!W176*0.0246584)-('2021'!AC176*0.790069)-('2021'!AD176*0.0024787)+('2021'!AF176*0.4651953)-('2021'!AN176*0.002701))</f>
        <v>4.693242377</v>
      </c>
      <c r="B176" s="22">
        <f t="shared" si="1"/>
        <v>4.693242377</v>
      </c>
      <c r="C176" s="23">
        <v>1.0</v>
      </c>
      <c r="D176" s="15">
        <f t="shared" si="2"/>
        <v>0</v>
      </c>
      <c r="E176" s="15" t="str">
        <f t="shared" si="87"/>
        <v>#REF!</v>
      </c>
      <c r="G176" s="9">
        <v>153502.6</v>
      </c>
      <c r="H176" s="9">
        <v>1700172.63</v>
      </c>
      <c r="I176" s="12">
        <v>14.1</v>
      </c>
      <c r="J176" s="12">
        <v>7.87</v>
      </c>
      <c r="K176" s="12">
        <v>1.1</v>
      </c>
      <c r="L176" s="12">
        <v>25.1</v>
      </c>
      <c r="M176" s="12">
        <v>1.25</v>
      </c>
      <c r="N176" s="12">
        <v>121.56</v>
      </c>
      <c r="Q176" s="15">
        <f t="shared" si="3"/>
        <v>5.081365593</v>
      </c>
      <c r="R176" s="24">
        <f t="shared" si="4"/>
        <v>0.9999998126</v>
      </c>
      <c r="S176" s="19">
        <f t="shared" si="5"/>
        <v>1</v>
      </c>
      <c r="T176" s="25">
        <v>0.0</v>
      </c>
      <c r="V176" s="15">
        <v>-0.11642878512224669</v>
      </c>
      <c r="W176" s="15">
        <v>-0.11642878512224669</v>
      </c>
      <c r="X176" s="15">
        <f t="shared" si="6"/>
        <v>-1.524701581</v>
      </c>
      <c r="Y176" s="24">
        <f t="shared" si="7"/>
        <v>0.06366677356</v>
      </c>
      <c r="Z176" s="15">
        <f t="shared" si="11"/>
        <v>0</v>
      </c>
      <c r="AA176" s="25">
        <v>0.0</v>
      </c>
      <c r="AB176" s="14">
        <f>if(Z176=AA176,1,0)</f>
        <v>1</v>
      </c>
      <c r="AD176" s="15">
        <f t="shared" ref="AD176:AD183" si="88">(X176-$W$185)/$V$186</f>
        <v>-0.5521677399</v>
      </c>
      <c r="AE176" s="15">
        <f t="shared" si="19"/>
        <v>0.2904167173</v>
      </c>
      <c r="AF176" s="15">
        <f t="shared" si="10"/>
        <v>0</v>
      </c>
      <c r="AG176" s="14">
        <f>if(AF176=AH176,1,0)</f>
        <v>1</v>
      </c>
      <c r="AH176" s="25">
        <v>0.0</v>
      </c>
      <c r="AI176" s="19">
        <v>1.0</v>
      </c>
    </row>
    <row r="177">
      <c r="A177" s="15">
        <f>(1.5519626-('2021'!E177*0.0000017073983)+('2021'!H177*0.0000013113498)+('2021'!U177*0.1451093)-('2021'!W177*0.0246584)-('2021'!AC177*0.790069)-('2021'!AD177*0.0024787)+('2021'!AF177*0.4651953)-('2021'!AN177*0.002701))</f>
        <v>1.554703917</v>
      </c>
      <c r="B177" s="15">
        <f t="shared" si="1"/>
        <v>1.49398962</v>
      </c>
      <c r="C177" s="26">
        <v>0.960948</v>
      </c>
      <c r="D177" s="15">
        <f t="shared" si="2"/>
        <v>0</v>
      </c>
      <c r="E177" s="15" t="str">
        <f t="shared" si="87"/>
        <v>#REF!</v>
      </c>
      <c r="G177" s="9">
        <v>483346.35</v>
      </c>
      <c r="H177" s="9">
        <v>603176.94</v>
      </c>
      <c r="I177" s="12">
        <v>3.57</v>
      </c>
      <c r="J177" s="12">
        <v>3.45</v>
      </c>
      <c r="K177" s="12">
        <v>1.18</v>
      </c>
      <c r="L177" s="12">
        <v>1.79</v>
      </c>
      <c r="M177" s="12">
        <v>1.32</v>
      </c>
      <c r="N177" s="12">
        <v>27.13</v>
      </c>
      <c r="Q177" s="15">
        <f t="shared" si="3"/>
        <v>1.724846877</v>
      </c>
      <c r="R177" s="24">
        <f t="shared" si="4"/>
        <v>0.9577224644</v>
      </c>
      <c r="S177" s="19">
        <f t="shared" si="5"/>
        <v>1</v>
      </c>
      <c r="T177" s="25" t="e">
        <v>#N/A</v>
      </c>
      <c r="V177" s="15">
        <v>0.4845765419991376</v>
      </c>
      <c r="W177" s="15">
        <v>0.4845765419991376</v>
      </c>
      <c r="X177" s="15">
        <f t="shared" si="6"/>
        <v>0.02555436891</v>
      </c>
      <c r="Y177" s="24">
        <f t="shared" si="7"/>
        <v>0.5101936087</v>
      </c>
      <c r="Z177" s="15">
        <f t="shared" si="11"/>
        <v>1</v>
      </c>
      <c r="AA177" s="25"/>
      <c r="AB177" s="14"/>
      <c r="AD177" s="15">
        <f t="shared" si="88"/>
        <v>-0.1950643147</v>
      </c>
      <c r="AE177" s="15">
        <f t="shared" si="19"/>
        <v>0.4226712993</v>
      </c>
      <c r="AF177" s="15">
        <f t="shared" si="10"/>
        <v>0</v>
      </c>
      <c r="AG177" s="14"/>
      <c r="AH177" s="25"/>
    </row>
    <row r="178">
      <c r="A178" s="15">
        <f>(1.5519626-('2021'!E178*0.0000017073983)+('2021'!H178*0.0000013113498)+('2021'!U178*0.1451093)-('2021'!W178*0.0246584)-('2021'!AC178*0.790069)-('2021'!AD178*0.0024787)+('2021'!AF178*0.4651953)-('2021'!AN178*0.002701))</f>
        <v>3.883329142</v>
      </c>
      <c r="B178" s="22">
        <f t="shared" si="1"/>
        <v>3.883325258</v>
      </c>
      <c r="C178" s="23">
        <v>0.999999</v>
      </c>
      <c r="D178" s="15">
        <f t="shared" si="2"/>
        <v>0</v>
      </c>
      <c r="G178" s="9">
        <v>200000.0</v>
      </c>
      <c r="H178" s="9">
        <v>481609.26</v>
      </c>
      <c r="I178" s="12">
        <v>12.36</v>
      </c>
      <c r="J178" s="12">
        <v>11.67</v>
      </c>
      <c r="K178" s="12">
        <v>0.32</v>
      </c>
      <c r="L178" s="12">
        <v>15.62</v>
      </c>
      <c r="M178" s="12">
        <v>2.33</v>
      </c>
      <c r="N178" s="12">
        <v>95.1</v>
      </c>
      <c r="Q178" s="15">
        <f t="shared" si="3"/>
        <v>4.458856198</v>
      </c>
      <c r="R178" s="24">
        <f t="shared" si="4"/>
        <v>0.9999958801</v>
      </c>
      <c r="S178" s="19">
        <f t="shared" si="5"/>
        <v>1</v>
      </c>
      <c r="T178" s="25">
        <v>0.0</v>
      </c>
      <c r="V178" s="15">
        <v>-0.10496836333283117</v>
      </c>
      <c r="W178" s="15">
        <v>-0.10496836333283117</v>
      </c>
      <c r="X178" s="15">
        <f t="shared" si="6"/>
        <v>-0.7391310447</v>
      </c>
      <c r="Y178" s="24">
        <f t="shared" si="7"/>
        <v>0.2299137136</v>
      </c>
      <c r="Z178" s="15">
        <f t="shared" si="11"/>
        <v>0</v>
      </c>
      <c r="AA178" s="25">
        <v>0.0</v>
      </c>
      <c r="AB178" s="14">
        <f t="shared" ref="AB178:AB179" si="89">if(Z178=AA178,1,0)</f>
        <v>1</v>
      </c>
      <c r="AD178" s="15">
        <f t="shared" si="88"/>
        <v>-0.37121057</v>
      </c>
      <c r="AE178" s="15">
        <f t="shared" si="19"/>
        <v>0.3552403505</v>
      </c>
      <c r="AF178" s="15">
        <f t="shared" si="10"/>
        <v>0</v>
      </c>
      <c r="AG178" s="14">
        <f t="shared" ref="AG178:AG179" si="90">if(AF178=AH178,1,0)</f>
        <v>1</v>
      </c>
      <c r="AH178" s="25">
        <v>0.0</v>
      </c>
      <c r="AI178" s="19">
        <v>1.0</v>
      </c>
    </row>
    <row r="179">
      <c r="A179" s="15">
        <f>(1.5519626-('2021'!E179*0.0000017073983)+('2021'!H179*0.0000013113498)+('2021'!U179*0.1451093)-('2021'!W179*0.0246584)-('2021'!AC179*0.790069)-('2021'!AD179*0.0024787)+('2021'!AF179*0.4651953)-('2021'!AN179*0.002701))</f>
        <v>4.447584167</v>
      </c>
      <c r="B179" s="22">
        <f t="shared" si="1"/>
        <v>4.447584167</v>
      </c>
      <c r="C179" s="23">
        <v>1.0</v>
      </c>
      <c r="D179" s="15">
        <f t="shared" si="2"/>
        <v>0</v>
      </c>
      <c r="E179" s="15" t="str">
        <f t="shared" ref="E179:E180" si="91">IF('temp result 2022'!B179=D179,1,0)</f>
        <v>#REF!</v>
      </c>
      <c r="G179" s="9">
        <v>149993.67</v>
      </c>
      <c r="H179" s="9">
        <v>1665312.15</v>
      </c>
      <c r="I179" s="12">
        <v>11.95</v>
      </c>
      <c r="J179" s="12">
        <v>6.01</v>
      </c>
      <c r="K179" s="12">
        <v>0.88</v>
      </c>
      <c r="L179" s="12">
        <v>23.18</v>
      </c>
      <c r="M179" s="12">
        <v>0.68</v>
      </c>
      <c r="N179" s="12">
        <v>67.22</v>
      </c>
      <c r="Q179" s="15">
        <f t="shared" si="3"/>
        <v>4.743978135</v>
      </c>
      <c r="R179" s="24">
        <f t="shared" si="4"/>
        <v>0.9999989522</v>
      </c>
      <c r="S179" s="19">
        <f t="shared" si="5"/>
        <v>1</v>
      </c>
      <c r="T179" s="25">
        <v>0.0</v>
      </c>
      <c r="V179" s="15">
        <v>-0.10125680425018423</v>
      </c>
      <c r="W179" s="15">
        <v>-0.10125680425018423</v>
      </c>
      <c r="X179" s="15">
        <f t="shared" si="6"/>
        <v>-1.463250465</v>
      </c>
      <c r="Y179" s="24">
        <f t="shared" si="7"/>
        <v>0.07169942825</v>
      </c>
      <c r="Z179" s="15">
        <f t="shared" si="11"/>
        <v>0</v>
      </c>
      <c r="AA179" s="25">
        <v>0.0</v>
      </c>
      <c r="AB179" s="14">
        <f t="shared" si="89"/>
        <v>1</v>
      </c>
      <c r="AD179" s="15">
        <f t="shared" si="88"/>
        <v>-0.5380123973</v>
      </c>
      <c r="AE179" s="15">
        <f t="shared" si="19"/>
        <v>0.2952842449</v>
      </c>
      <c r="AF179" s="15">
        <f t="shared" si="10"/>
        <v>0</v>
      </c>
      <c r="AG179" s="14">
        <f t="shared" si="90"/>
        <v>1</v>
      </c>
      <c r="AH179" s="25">
        <v>0.0</v>
      </c>
      <c r="AI179" s="19">
        <v>1.0</v>
      </c>
    </row>
    <row r="180">
      <c r="A180" s="15">
        <f>(1.5519626-('2021'!E180*0.0000017073983)+('2021'!H180*0.0000013113498)+('2021'!U180*0.1451093)-('2021'!W180*0.0246584)-('2021'!AC180*0.790069)-('2021'!AD180*0.0024787)+('2021'!AF180*0.4651953)-('2021'!AN180*0.002701))</f>
        <v>6.652913645</v>
      </c>
      <c r="B180" s="22">
        <f t="shared" si="1"/>
        <v>6.652913645</v>
      </c>
      <c r="C180" s="23">
        <v>1.0</v>
      </c>
      <c r="D180" s="15">
        <f t="shared" si="2"/>
        <v>0</v>
      </c>
      <c r="E180" s="15" t="str">
        <f t="shared" si="91"/>
        <v>#REF!</v>
      </c>
      <c r="G180" s="9">
        <v>212382.19</v>
      </c>
      <c r="H180" s="9">
        <v>1054578.77</v>
      </c>
      <c r="I180" s="12">
        <v>36.92</v>
      </c>
      <c r="J180" s="12">
        <v>30.07</v>
      </c>
      <c r="K180" s="12">
        <v>0.21</v>
      </c>
      <c r="L180" s="12">
        <v>309.6</v>
      </c>
      <c r="M180" s="12">
        <v>1.16</v>
      </c>
      <c r="N180" s="12">
        <v>52.43</v>
      </c>
      <c r="Q180" s="15">
        <f t="shared" si="3"/>
        <v>8.135869821</v>
      </c>
      <c r="R180" s="24">
        <f t="shared" si="4"/>
        <v>1</v>
      </c>
      <c r="S180" s="19">
        <f t="shared" si="5"/>
        <v>1</v>
      </c>
      <c r="T180" s="15" t="e">
        <v>#N/A</v>
      </c>
      <c r="V180" s="15">
        <v>-0.9718478356294686</v>
      </c>
      <c r="W180" s="15">
        <v>-0.9718478356294686</v>
      </c>
      <c r="X180" s="15">
        <f t="shared" si="6"/>
        <v>-11.43620584</v>
      </c>
      <c r="Y180" s="24">
        <f t="shared" si="7"/>
        <v>0</v>
      </c>
      <c r="Z180" s="15">
        <f t="shared" si="11"/>
        <v>0</v>
      </c>
      <c r="AB180" s="14"/>
      <c r="AD180" s="15">
        <f t="shared" si="88"/>
        <v>-2.835295322</v>
      </c>
      <c r="AE180" s="15">
        <f t="shared" si="19"/>
        <v>0.002289167082</v>
      </c>
      <c r="AF180" s="15">
        <f t="shared" si="10"/>
        <v>0</v>
      </c>
      <c r="AG180" s="14"/>
    </row>
    <row r="181">
      <c r="A181" s="15">
        <f>(1.5519626-('2021'!E181*0.0000017073983)+('2021'!H181*0.0000013113498)+('2021'!U181*0.1451093)-('2021'!W181*0.0246584)-('2021'!AC181*0.790069)-('2021'!AD181*0.0024787)+('2021'!AF181*0.4651953)-('2021'!AN181*0.002701))</f>
        <v>7.180026767</v>
      </c>
      <c r="B181" s="22">
        <f t="shared" si="1"/>
        <v>7.180026767</v>
      </c>
      <c r="C181" s="23">
        <v>1.0</v>
      </c>
      <c r="D181" s="15">
        <f t="shared" si="2"/>
        <v>0</v>
      </c>
      <c r="G181" s="9">
        <v>90000.0</v>
      </c>
      <c r="H181" s="9">
        <v>173530.76</v>
      </c>
      <c r="I181" s="12">
        <v>27.06</v>
      </c>
      <c r="J181" s="12">
        <v>38.95</v>
      </c>
      <c r="K181" s="12">
        <v>0.1</v>
      </c>
      <c r="L181" s="12">
        <v>311.65</v>
      </c>
      <c r="M181" s="12">
        <v>7.58</v>
      </c>
      <c r="N181" s="12">
        <v>32.11</v>
      </c>
      <c r="Q181" s="15">
        <f t="shared" si="3"/>
        <v>9.100916127</v>
      </c>
      <c r="R181" s="24">
        <f t="shared" si="4"/>
        <v>1</v>
      </c>
      <c r="S181" s="19">
        <f t="shared" si="5"/>
        <v>1</v>
      </c>
      <c r="T181" s="25">
        <v>0.0</v>
      </c>
      <c r="V181" s="15">
        <v>-1.7355450460736337</v>
      </c>
      <c r="W181" s="15">
        <v>-1.7355450460736337</v>
      </c>
      <c r="X181" s="15">
        <f t="shared" si="6"/>
        <v>-11.82357504</v>
      </c>
      <c r="Y181" s="24">
        <f t="shared" si="7"/>
        <v>0</v>
      </c>
      <c r="Z181" s="15">
        <f t="shared" si="11"/>
        <v>0</v>
      </c>
      <c r="AA181" s="25">
        <v>0.0</v>
      </c>
      <c r="AB181" s="14">
        <f>if(Z181=AA181,1,0)</f>
        <v>1</v>
      </c>
      <c r="AD181" s="15">
        <f t="shared" si="88"/>
        <v>-2.924526308</v>
      </c>
      <c r="AE181" s="15">
        <f t="shared" si="19"/>
        <v>0.00172490459</v>
      </c>
      <c r="AF181" s="15">
        <f t="shared" si="10"/>
        <v>0</v>
      </c>
      <c r="AG181" s="14">
        <f>if(AF181=AH181,1,0)</f>
        <v>1</v>
      </c>
      <c r="AH181" s="25">
        <v>0.0</v>
      </c>
      <c r="AI181" s="19">
        <v>1.0</v>
      </c>
    </row>
    <row r="182">
      <c r="A182" s="15">
        <f>(1.5519626-('2021'!E182*0.0000017073983)+('2021'!H182*0.0000013113498)+('2021'!U182*0.1451093)-('2021'!W182*0.0246584)-('2021'!AC182*0.790069)-('2021'!AD182*0.0024787)+('2021'!AF182*0.4651953)-('2021'!AN182*0.002701))</f>
        <v>5.068277153</v>
      </c>
      <c r="B182" s="22">
        <f t="shared" si="1"/>
        <v>5.068277153</v>
      </c>
      <c r="C182" s="23">
        <v>1.0</v>
      </c>
      <c r="D182" s="15">
        <f t="shared" si="2"/>
        <v>0</v>
      </c>
      <c r="E182" s="15" t="str">
        <f>IF('temp result 2022'!B182=D182,1,0)</f>
        <v>#REF!</v>
      </c>
      <c r="G182" s="9">
        <v>107625.0</v>
      </c>
      <c r="H182" s="9">
        <v>2139166.7</v>
      </c>
      <c r="I182" s="12">
        <v>8.5</v>
      </c>
      <c r="J182" s="12">
        <v>4.32</v>
      </c>
      <c r="K182" s="12">
        <v>0.56</v>
      </c>
      <c r="L182" s="12">
        <v>153.09</v>
      </c>
      <c r="M182" s="12">
        <v>1.74</v>
      </c>
      <c r="N182" s="12">
        <v>81.29</v>
      </c>
      <c r="Q182" s="15">
        <f t="shared" si="3"/>
        <v>5.281325729</v>
      </c>
      <c r="R182" s="24">
        <f t="shared" si="4"/>
        <v>0.9999999359</v>
      </c>
      <c r="S182" s="19">
        <f t="shared" si="5"/>
        <v>1</v>
      </c>
      <c r="T182" s="25" t="e">
        <v>#N/A</v>
      </c>
      <c r="V182" s="15">
        <v>-0.2821665124552213</v>
      </c>
      <c r="W182" s="15">
        <v>-0.2821665124552213</v>
      </c>
      <c r="X182" s="15">
        <f t="shared" si="6"/>
        <v>-5.400617098</v>
      </c>
      <c r="Y182" s="24">
        <f t="shared" si="7"/>
        <v>0.00000003320602193</v>
      </c>
      <c r="Z182" s="15">
        <f t="shared" si="11"/>
        <v>0</v>
      </c>
      <c r="AA182" s="25"/>
      <c r="AB182" s="14"/>
      <c r="AD182" s="15">
        <f t="shared" si="88"/>
        <v>-1.444989797</v>
      </c>
      <c r="AE182" s="15">
        <f t="shared" si="19"/>
        <v>0.07423037577</v>
      </c>
      <c r="AF182" s="15">
        <f t="shared" si="10"/>
        <v>0</v>
      </c>
      <c r="AG182" s="14"/>
      <c r="AH182" s="25"/>
      <c r="AI182" s="25"/>
    </row>
    <row r="183">
      <c r="A183" s="15">
        <f>(1.5519626-('2021'!E183*0.0000017073983)+('2021'!H183*0.0000013113498)+('2021'!U183*0.1451093)-('2021'!W183*0.0246584)-('2021'!AC183*0.790069)-('2021'!AD183*0.0024787)+('2021'!AF183*0.4651953)-('2021'!AN183*0.002701))</f>
        <v>3.753997301</v>
      </c>
      <c r="B183" s="22">
        <f t="shared" si="1"/>
        <v>3.753989793</v>
      </c>
      <c r="C183" s="23">
        <v>0.999998</v>
      </c>
      <c r="D183" s="15">
        <f t="shared" si="2"/>
        <v>0</v>
      </c>
      <c r="G183" s="9">
        <v>306472.93</v>
      </c>
      <c r="H183" s="9">
        <v>939104.33</v>
      </c>
      <c r="I183" s="12">
        <v>16.27</v>
      </c>
      <c r="J183" s="12">
        <v>16.88</v>
      </c>
      <c r="K183" s="12">
        <v>0.82</v>
      </c>
      <c r="L183" s="12">
        <v>12.89</v>
      </c>
      <c r="M183" s="12">
        <v>0.63</v>
      </c>
      <c r="N183" s="12">
        <v>23.75</v>
      </c>
      <c r="Q183" s="15">
        <f t="shared" si="3"/>
        <v>4.586464885</v>
      </c>
      <c r="R183" s="24">
        <f t="shared" si="4"/>
        <v>0.9999977459</v>
      </c>
      <c r="S183" s="19">
        <f t="shared" si="5"/>
        <v>1</v>
      </c>
      <c r="T183" s="10"/>
      <c r="V183" s="15">
        <v>-0.14700996622935522</v>
      </c>
      <c r="W183" s="15">
        <v>-0.14700996622935522</v>
      </c>
      <c r="X183" s="15">
        <f t="shared" si="6"/>
        <v>-1.283494134</v>
      </c>
      <c r="Y183" s="24">
        <f t="shared" si="7"/>
        <v>0.09965950669</v>
      </c>
      <c r="Z183" s="15">
        <f t="shared" si="11"/>
        <v>0</v>
      </c>
      <c r="AA183" s="10"/>
      <c r="AB183" s="14"/>
      <c r="AD183" s="15">
        <f t="shared" si="88"/>
        <v>-0.4966052983</v>
      </c>
      <c r="AE183" s="15">
        <f t="shared" si="19"/>
        <v>0.3097337081</v>
      </c>
      <c r="AF183" s="15">
        <f t="shared" si="10"/>
        <v>0</v>
      </c>
      <c r="AG183" s="14"/>
      <c r="AH183" s="20"/>
      <c r="AI183" s="20"/>
    </row>
    <row r="184">
      <c r="D184" s="15">
        <f>COUNT(E2:E183)</f>
        <v>0</v>
      </c>
      <c r="E184" s="15" t="str">
        <f>SUM(E2:E183)</f>
        <v>#REF!</v>
      </c>
      <c r="Q184" s="19"/>
      <c r="R184" s="24"/>
    </row>
    <row r="185">
      <c r="E185" s="15" t="str">
        <f>E184/D184%</f>
        <v>#REF!</v>
      </c>
      <c r="V185" s="15">
        <f>VAR(V2:V183)</f>
        <v>18.84598245</v>
      </c>
      <c r="W185" s="15">
        <f>AVERAGE(W2:W183)</f>
        <v>0.8723667855</v>
      </c>
      <c r="AA185" s="19">
        <v>127.0</v>
      </c>
      <c r="AB185" s="15">
        <f>SUM(AB2:AB183)</f>
        <v>77</v>
      </c>
      <c r="AH185" s="20"/>
      <c r="AI185" s="25"/>
    </row>
    <row r="186">
      <c r="U186" s="19" t="s">
        <v>257</v>
      </c>
      <c r="V186" s="15">
        <f>SQRT(V185)</f>
        <v>4.34119597</v>
      </c>
      <c r="AB186" s="21">
        <f>AB185/AA185</f>
        <v>0.6062992126</v>
      </c>
      <c r="AD186" s="15">
        <f>AVERAGE(AD2:AD183)</f>
        <v>-0.5458006168</v>
      </c>
      <c r="AH186" s="25"/>
      <c r="AI186" s="25"/>
    </row>
    <row r="187">
      <c r="AA187" s="15">
        <f>sum(AA2:AA181)</f>
        <v>14</v>
      </c>
      <c r="AG187" s="21"/>
      <c r="AH187" s="25"/>
      <c r="AI187" s="25"/>
    </row>
    <row r="188">
      <c r="Q188" s="15" t="s">
        <v>258</v>
      </c>
      <c r="AH188" s="25"/>
      <c r="AI188" s="25"/>
    </row>
    <row r="189">
      <c r="AH189" s="25"/>
      <c r="AI189" s="25"/>
    </row>
    <row r="190">
      <c r="AH190" s="25"/>
      <c r="AI190" s="25"/>
    </row>
    <row r="191">
      <c r="AH191" s="25"/>
      <c r="AI191" s="25"/>
    </row>
    <row r="192">
      <c r="AH192" s="25"/>
      <c r="AI192" s="25"/>
    </row>
    <row r="193">
      <c r="AH193" s="25"/>
      <c r="AI193" s="25"/>
    </row>
    <row r="194">
      <c r="AH194" s="25"/>
      <c r="AI194" s="25"/>
    </row>
    <row r="195">
      <c r="AH195" s="25"/>
      <c r="AI195" s="25"/>
    </row>
    <row r="196">
      <c r="AH196" s="25"/>
      <c r="AI196" s="25"/>
    </row>
    <row r="197">
      <c r="AH197" s="25"/>
      <c r="AI197" s="25"/>
    </row>
    <row r="198">
      <c r="AH198" s="25"/>
      <c r="AI198" s="25"/>
    </row>
    <row r="199">
      <c r="AH199" s="25"/>
      <c r="AI199" s="25"/>
    </row>
    <row r="200">
      <c r="AH200" s="25"/>
      <c r="AI200" s="25"/>
    </row>
    <row r="201">
      <c r="AH201" s="25"/>
      <c r="AI201" s="25"/>
    </row>
    <row r="202">
      <c r="AH202" s="25"/>
      <c r="AI202" s="25"/>
    </row>
    <row r="203">
      <c r="AH203" s="25"/>
      <c r="AI203" s="25"/>
    </row>
    <row r="204">
      <c r="AH204" s="25"/>
      <c r="AI204" s="25"/>
    </row>
    <row r="205">
      <c r="AH205" s="25"/>
      <c r="AI205" s="25"/>
    </row>
    <row r="206">
      <c r="AH206" s="25"/>
      <c r="AI206" s="25"/>
    </row>
    <row r="208">
      <c r="AH208" s="25"/>
      <c r="AI208" s="25"/>
    </row>
    <row r="209">
      <c r="AH209" s="25"/>
      <c r="AI209" s="25"/>
    </row>
    <row r="210">
      <c r="AH210" s="25"/>
      <c r="AI210" s="25"/>
    </row>
    <row r="211">
      <c r="AH211" s="25"/>
      <c r="AI211" s="25"/>
    </row>
    <row r="212">
      <c r="AH212" s="25"/>
      <c r="AI212" s="25"/>
    </row>
    <row r="213">
      <c r="AH213" s="25"/>
      <c r="AI213" s="25"/>
    </row>
    <row r="214">
      <c r="AH214" s="25"/>
      <c r="AI214" s="25"/>
    </row>
    <row r="215">
      <c r="AH215" s="25"/>
      <c r="AI215" s="25"/>
    </row>
    <row r="216">
      <c r="AH216" s="25"/>
      <c r="AI216" s="25"/>
    </row>
    <row r="217">
      <c r="AH217" s="25"/>
      <c r="AI217" s="25"/>
    </row>
    <row r="218">
      <c r="AH218" s="25"/>
      <c r="AI218" s="25"/>
    </row>
    <row r="219">
      <c r="AH219" s="25"/>
      <c r="AI219" s="25"/>
    </row>
    <row r="220">
      <c r="AH220" s="25"/>
      <c r="AI220" s="25"/>
    </row>
    <row r="221">
      <c r="AH221" s="25"/>
      <c r="AI221" s="25"/>
    </row>
    <row r="222">
      <c r="AH222" s="25"/>
      <c r="AI222" s="25"/>
    </row>
    <row r="223">
      <c r="AH223" s="25"/>
      <c r="AI223" s="25"/>
    </row>
    <row r="224">
      <c r="AH224" s="25"/>
      <c r="AI224" s="25"/>
    </row>
    <row r="225">
      <c r="AH225" s="25"/>
      <c r="AI225" s="25"/>
    </row>
    <row r="226">
      <c r="AH226" s="25"/>
      <c r="AI226" s="25"/>
    </row>
    <row r="227">
      <c r="AH227" s="25"/>
      <c r="AI227" s="25"/>
    </row>
    <row r="228">
      <c r="AH228" s="25"/>
      <c r="AI228" s="25"/>
    </row>
    <row r="229">
      <c r="AH229" s="25"/>
      <c r="AI229" s="25"/>
    </row>
    <row r="230">
      <c r="AH230" s="25"/>
      <c r="AI230" s="25"/>
    </row>
    <row r="231">
      <c r="AH231" s="25"/>
      <c r="AI231" s="25"/>
    </row>
    <row r="232">
      <c r="AH232" s="25"/>
      <c r="AI232" s="25"/>
    </row>
    <row r="233">
      <c r="AH233" s="25"/>
      <c r="AI233" s="25"/>
    </row>
    <row r="235">
      <c r="AH235" s="25"/>
      <c r="AI235" s="25"/>
    </row>
    <row r="236">
      <c r="AH236" s="25"/>
      <c r="AI236" s="25"/>
    </row>
    <row r="237">
      <c r="AH237" s="25"/>
      <c r="AI237" s="25"/>
    </row>
    <row r="238">
      <c r="AH238" s="25"/>
      <c r="AI238" s="25"/>
    </row>
    <row r="240">
      <c r="AH240" s="25"/>
      <c r="AI240" s="25"/>
    </row>
    <row r="241">
      <c r="AH241" s="25"/>
      <c r="AI241" s="25"/>
    </row>
    <row r="242">
      <c r="AH242" s="25"/>
      <c r="AI242" s="25"/>
    </row>
    <row r="243">
      <c r="AH243" s="25"/>
      <c r="AI243" s="25"/>
    </row>
    <row r="244">
      <c r="AH244" s="25"/>
      <c r="AI244" s="25"/>
    </row>
    <row r="245">
      <c r="AH245" s="25"/>
      <c r="AI245" s="25"/>
    </row>
    <row r="246">
      <c r="AH246" s="25"/>
      <c r="AI246" s="25"/>
    </row>
    <row r="247">
      <c r="AH247" s="25"/>
      <c r="AI247" s="25"/>
    </row>
    <row r="248">
      <c r="AH248" s="25"/>
      <c r="AI248" s="25"/>
    </row>
    <row r="249">
      <c r="AH249" s="25"/>
      <c r="AI249" s="25"/>
    </row>
    <row r="250">
      <c r="AH250" s="25"/>
      <c r="AI250" s="25"/>
    </row>
    <row r="251">
      <c r="AH251" s="25"/>
      <c r="AI251" s="25"/>
    </row>
    <row r="253">
      <c r="AH253" s="25"/>
      <c r="AI253" s="25"/>
    </row>
    <row r="254">
      <c r="AH254" s="25"/>
      <c r="AI254" s="25"/>
    </row>
    <row r="255">
      <c r="AH255" s="25"/>
      <c r="AI255" s="25"/>
    </row>
    <row r="256">
      <c r="AH256" s="25"/>
      <c r="AI256" s="25"/>
    </row>
    <row r="258">
      <c r="AH258" s="25"/>
      <c r="AI258" s="25"/>
    </row>
    <row r="259">
      <c r="AH259" s="25"/>
      <c r="AI259" s="25"/>
    </row>
    <row r="260">
      <c r="AH260" s="25"/>
      <c r="AI260" s="25"/>
    </row>
    <row r="261">
      <c r="AH261" s="25"/>
      <c r="AI261" s="25"/>
    </row>
    <row r="262">
      <c r="AH262" s="25"/>
      <c r="AI262" s="25"/>
    </row>
    <row r="263">
      <c r="AH263" s="25"/>
      <c r="AI263" s="25"/>
    </row>
    <row r="264">
      <c r="AH264" s="25"/>
      <c r="AI264" s="25"/>
    </row>
    <row r="265">
      <c r="AH265" s="25"/>
      <c r="AI265" s="25"/>
    </row>
    <row r="266">
      <c r="AH266" s="25"/>
      <c r="AI266" s="25"/>
    </row>
    <row r="267">
      <c r="AH267" s="25"/>
      <c r="AI267" s="25"/>
    </row>
    <row r="268">
      <c r="AH268" s="25"/>
      <c r="AI268" s="25"/>
    </row>
    <row r="269">
      <c r="AH269" s="25"/>
      <c r="AI269" s="25"/>
    </row>
    <row r="270">
      <c r="AH270" s="25"/>
      <c r="AI270" s="25"/>
    </row>
    <row r="271">
      <c r="AH271" s="25"/>
      <c r="AI271" s="25"/>
    </row>
    <row r="272">
      <c r="AH272" s="25"/>
      <c r="AI272" s="25"/>
    </row>
    <row r="273">
      <c r="AH273" s="25"/>
      <c r="AI273" s="25"/>
    </row>
    <row r="274">
      <c r="AH274" s="25"/>
      <c r="AI274" s="25"/>
    </row>
    <row r="275">
      <c r="AH275" s="25"/>
      <c r="AI275" s="25"/>
    </row>
    <row r="276">
      <c r="AH276" s="25"/>
      <c r="AI276" s="25"/>
    </row>
    <row r="277">
      <c r="AH277" s="25"/>
      <c r="AI277" s="25"/>
    </row>
    <row r="278">
      <c r="AH278" s="25"/>
      <c r="AI278" s="25"/>
    </row>
    <row r="279">
      <c r="AH279" s="25"/>
      <c r="AI279" s="25"/>
    </row>
    <row r="280">
      <c r="AH280" s="25"/>
      <c r="AI280" s="25"/>
    </row>
    <row r="281">
      <c r="AH281" s="25"/>
      <c r="AI281" s="25"/>
    </row>
    <row r="282">
      <c r="AH282" s="25"/>
      <c r="AI282" s="25"/>
    </row>
    <row r="283">
      <c r="AH283" s="25"/>
      <c r="AI283" s="25"/>
    </row>
    <row r="284">
      <c r="AH284" s="25"/>
      <c r="AI284" s="25"/>
    </row>
    <row r="285">
      <c r="AH285" s="25"/>
      <c r="AI285" s="25"/>
    </row>
    <row r="286">
      <c r="AH286" s="25"/>
      <c r="AI286" s="25"/>
    </row>
    <row r="287">
      <c r="AH287" s="25"/>
      <c r="AI287" s="25"/>
    </row>
    <row r="288">
      <c r="AH288" s="25"/>
      <c r="AI288" s="25"/>
    </row>
    <row r="290">
      <c r="AH290" s="25"/>
      <c r="AI290" s="25"/>
    </row>
    <row r="291">
      <c r="AH291" s="25"/>
      <c r="AI291" s="25"/>
    </row>
    <row r="292">
      <c r="AH292" s="25"/>
      <c r="AI292" s="25"/>
    </row>
    <row r="293">
      <c r="AH293" s="25"/>
      <c r="AI293" s="25"/>
    </row>
    <row r="294">
      <c r="AH294" s="25"/>
      <c r="AI294" s="25"/>
    </row>
    <row r="295">
      <c r="AH295" s="25"/>
      <c r="AI295" s="25"/>
    </row>
    <row r="296">
      <c r="AH296" s="25"/>
      <c r="AI296" s="25"/>
    </row>
    <row r="297">
      <c r="AH297" s="25"/>
      <c r="AI297" s="25"/>
    </row>
    <row r="299">
      <c r="AH299" s="25"/>
      <c r="AI299" s="25"/>
    </row>
    <row r="300">
      <c r="AH300" s="25"/>
      <c r="AI300" s="25"/>
    </row>
    <row r="301">
      <c r="AH301" s="25"/>
      <c r="AI301" s="25"/>
    </row>
    <row r="302">
      <c r="AH302" s="25"/>
      <c r="AI302" s="25"/>
    </row>
    <row r="303">
      <c r="AH303" s="25"/>
      <c r="AI303" s="25"/>
    </row>
    <row r="304">
      <c r="AH304" s="25"/>
      <c r="AI304" s="25"/>
    </row>
    <row r="305">
      <c r="AH305" s="25"/>
      <c r="AI305" s="25"/>
    </row>
    <row r="306">
      <c r="AH306" s="25"/>
      <c r="AI306" s="25"/>
    </row>
    <row r="307">
      <c r="AH307" s="25"/>
      <c r="AI307" s="25"/>
    </row>
    <row r="308">
      <c r="AH308" s="25"/>
      <c r="AI308" s="25"/>
    </row>
    <row r="309">
      <c r="AH309" s="25"/>
      <c r="AI309" s="25"/>
    </row>
    <row r="310">
      <c r="AH310" s="25"/>
      <c r="AI310" s="25"/>
    </row>
    <row r="311">
      <c r="AH311" s="25"/>
      <c r="AI311" s="25"/>
    </row>
    <row r="312">
      <c r="AH312" s="25"/>
      <c r="AI312" s="25"/>
    </row>
    <row r="313">
      <c r="AH313" s="25"/>
      <c r="AI313" s="25"/>
    </row>
    <row r="314">
      <c r="AH314" s="25"/>
      <c r="AI314" s="25"/>
    </row>
    <row r="315">
      <c r="AH315" s="25"/>
      <c r="AI315" s="25"/>
    </row>
    <row r="316">
      <c r="AH316" s="25"/>
      <c r="AI316" s="25"/>
    </row>
    <row r="317">
      <c r="AH317" s="25"/>
      <c r="AI317" s="25"/>
    </row>
    <row r="319">
      <c r="AH319" s="25"/>
      <c r="AI319" s="25"/>
    </row>
    <row r="320">
      <c r="AH320" s="25"/>
      <c r="AI320" s="25"/>
    </row>
    <row r="321">
      <c r="AH321" s="25"/>
      <c r="AI321" s="25"/>
    </row>
    <row r="322">
      <c r="AH322" s="25"/>
      <c r="AI322" s="25"/>
    </row>
    <row r="323">
      <c r="AH323" s="25"/>
      <c r="AI323" s="25"/>
    </row>
    <row r="324">
      <c r="AH324" s="25"/>
      <c r="AI324" s="25"/>
    </row>
    <row r="326">
      <c r="AH326" s="25"/>
      <c r="AI326" s="25"/>
    </row>
    <row r="327">
      <c r="AH327" s="25"/>
      <c r="AI327" s="25"/>
    </row>
    <row r="328">
      <c r="AH328" s="25"/>
      <c r="AI328" s="25"/>
    </row>
    <row r="329">
      <c r="AH329" s="25"/>
      <c r="AI329" s="25"/>
    </row>
    <row r="330">
      <c r="AH330" s="25"/>
      <c r="AI330" s="25"/>
    </row>
    <row r="331">
      <c r="AH331" s="25"/>
      <c r="AI331" s="25"/>
    </row>
    <row r="332">
      <c r="AH332" s="25"/>
      <c r="AI332" s="25"/>
    </row>
    <row r="333">
      <c r="AH333" s="25"/>
      <c r="AI333" s="25"/>
    </row>
    <row r="334">
      <c r="AH334" s="25"/>
      <c r="AI334" s="25"/>
    </row>
    <row r="335">
      <c r="AH335" s="25"/>
      <c r="AI335" s="25"/>
    </row>
    <row r="336">
      <c r="AH336" s="25"/>
      <c r="AI336" s="25"/>
    </row>
    <row r="337">
      <c r="AH337" s="25"/>
      <c r="AI337" s="25"/>
    </row>
    <row r="338">
      <c r="AH338" s="25"/>
      <c r="AI338" s="25"/>
    </row>
    <row r="339">
      <c r="AH339" s="25"/>
      <c r="AI339" s="25"/>
    </row>
    <row r="340">
      <c r="AH340" s="25"/>
      <c r="AI340" s="25"/>
    </row>
    <row r="342">
      <c r="AH342" s="25"/>
      <c r="AI342" s="25"/>
    </row>
    <row r="343">
      <c r="AH343" s="25"/>
      <c r="AI343" s="25"/>
    </row>
    <row r="344">
      <c r="AH344" s="25"/>
      <c r="AI344" s="25"/>
    </row>
    <row r="345">
      <c r="AH345" s="25"/>
      <c r="AI345" s="25"/>
    </row>
    <row r="346">
      <c r="AH346" s="25"/>
      <c r="AI346" s="25"/>
    </row>
    <row r="347">
      <c r="AH347" s="25"/>
      <c r="AI347" s="25"/>
    </row>
    <row r="349">
      <c r="AH349" s="25"/>
      <c r="AI349" s="25"/>
    </row>
    <row r="350">
      <c r="AH350" s="25"/>
      <c r="AI350" s="25"/>
    </row>
    <row r="351">
      <c r="AH351" s="25"/>
      <c r="AI351" s="25"/>
    </row>
    <row r="352">
      <c r="AH352" s="25"/>
      <c r="AI352" s="25"/>
    </row>
    <row r="353">
      <c r="AH353" s="25"/>
      <c r="AI353" s="25"/>
    </row>
    <row r="354">
      <c r="AH354" s="25"/>
      <c r="AI354" s="25"/>
    </row>
    <row r="355">
      <c r="AH355" s="25"/>
      <c r="AI355" s="25"/>
    </row>
    <row r="356">
      <c r="AH356" s="25"/>
      <c r="AI356" s="25"/>
    </row>
    <row r="357">
      <c r="AH357" s="25"/>
      <c r="AI357" s="25"/>
    </row>
    <row r="358">
      <c r="AH358" s="25"/>
      <c r="AI358" s="25"/>
    </row>
    <row r="359">
      <c r="AH359" s="25"/>
      <c r="AI359" s="25"/>
    </row>
    <row r="360">
      <c r="AH360" s="25"/>
      <c r="AI360" s="25"/>
    </row>
    <row r="361">
      <c r="AH361" s="25"/>
      <c r="AI361" s="25"/>
    </row>
    <row r="363">
      <c r="AH363" s="25"/>
      <c r="AI363" s="25"/>
    </row>
    <row r="364">
      <c r="AH364" s="25"/>
      <c r="AI364" s="25"/>
    </row>
    <row r="365">
      <c r="AH365" s="20"/>
      <c r="AI365" s="20"/>
    </row>
    <row r="367">
      <c r="AH367" s="25"/>
      <c r="AI367" s="25"/>
    </row>
    <row r="368">
      <c r="AH368" s="25"/>
      <c r="AI368" s="25"/>
    </row>
    <row r="369">
      <c r="AH369" s="25"/>
      <c r="AI369" s="25"/>
    </row>
    <row r="370">
      <c r="AH370" s="25"/>
      <c r="AI370" s="25"/>
    </row>
    <row r="371">
      <c r="AH371" s="25"/>
      <c r="AI371" s="25"/>
    </row>
    <row r="372">
      <c r="AH372" s="25"/>
      <c r="AI372" s="25"/>
    </row>
    <row r="373">
      <c r="AH373" s="25"/>
      <c r="AI373" s="25"/>
    </row>
    <row r="374">
      <c r="AH374" s="25"/>
      <c r="AI374" s="25"/>
    </row>
    <row r="375">
      <c r="AH375" s="25"/>
      <c r="AI375" s="25"/>
    </row>
    <row r="376">
      <c r="AH376" s="25"/>
      <c r="AI376" s="25"/>
    </row>
    <row r="377">
      <c r="AH377" s="25"/>
      <c r="AI377" s="25"/>
    </row>
    <row r="378">
      <c r="AH378" s="25"/>
      <c r="AI378" s="25"/>
    </row>
    <row r="379">
      <c r="AH379" s="25"/>
      <c r="AI379" s="25"/>
    </row>
    <row r="380">
      <c r="AH380" s="25"/>
      <c r="AI380" s="25"/>
    </row>
    <row r="381">
      <c r="AH381" s="25"/>
      <c r="AI381" s="25"/>
    </row>
    <row r="382">
      <c r="AH382" s="25"/>
      <c r="AI382" s="25"/>
    </row>
    <row r="383">
      <c r="AH383" s="25"/>
      <c r="AI383" s="25"/>
    </row>
    <row r="384">
      <c r="AH384" s="25"/>
      <c r="AI384" s="25"/>
    </row>
    <row r="385">
      <c r="AH385" s="25"/>
      <c r="AI385" s="25"/>
    </row>
    <row r="386">
      <c r="AH386" s="25"/>
      <c r="AI386" s="25"/>
    </row>
    <row r="387">
      <c r="AH387" s="25"/>
      <c r="AI387" s="25"/>
    </row>
    <row r="388">
      <c r="AH388" s="25"/>
      <c r="AI388" s="25"/>
    </row>
    <row r="390">
      <c r="AH390" s="25"/>
      <c r="AI390" s="25"/>
    </row>
    <row r="391">
      <c r="AH391" s="25"/>
      <c r="AI391" s="25"/>
    </row>
    <row r="392">
      <c r="AH392" s="25"/>
      <c r="AI392" s="25"/>
    </row>
    <row r="393">
      <c r="AH393" s="25"/>
      <c r="AI393" s="25"/>
    </row>
    <row r="394">
      <c r="AH394" s="25"/>
      <c r="AI394" s="25"/>
    </row>
    <row r="395">
      <c r="AH395" s="25"/>
      <c r="AI395" s="25"/>
    </row>
    <row r="396">
      <c r="AH396" s="25"/>
      <c r="AI396" s="25"/>
    </row>
    <row r="397">
      <c r="AH397" s="25"/>
      <c r="AI397" s="25"/>
    </row>
    <row r="398">
      <c r="AH398" s="25"/>
      <c r="AI398" s="25"/>
    </row>
    <row r="399">
      <c r="AH399" s="25"/>
      <c r="AI399" s="25"/>
    </row>
    <row r="400">
      <c r="AH400" s="25"/>
      <c r="AI400" s="25"/>
    </row>
    <row r="401">
      <c r="AH401" s="25"/>
      <c r="AI401" s="25"/>
    </row>
    <row r="402">
      <c r="AH402" s="25"/>
      <c r="AI402" s="25"/>
    </row>
    <row r="403">
      <c r="AH403" s="25"/>
      <c r="AI403" s="25"/>
    </row>
    <row r="404">
      <c r="AH404" s="25"/>
      <c r="AI404" s="25"/>
    </row>
    <row r="405">
      <c r="AH405" s="25"/>
      <c r="AI405" s="25"/>
    </row>
    <row r="406">
      <c r="AH406" s="25"/>
      <c r="AI406" s="25"/>
    </row>
    <row r="407">
      <c r="AH407" s="25"/>
      <c r="AI407" s="25"/>
    </row>
    <row r="408">
      <c r="AH408" s="25"/>
      <c r="AI408" s="25"/>
    </row>
    <row r="409">
      <c r="AH409" s="25"/>
      <c r="AI409" s="25"/>
    </row>
    <row r="410">
      <c r="AH410" s="25"/>
      <c r="AI410" s="25"/>
    </row>
    <row r="411">
      <c r="AH411" s="25"/>
      <c r="AI411" s="25"/>
    </row>
    <row r="412">
      <c r="AH412" s="25"/>
      <c r="AI412" s="25"/>
    </row>
    <row r="413">
      <c r="AH413" s="25"/>
      <c r="AI413" s="25"/>
    </row>
    <row r="414">
      <c r="AH414" s="25"/>
      <c r="AI414" s="25"/>
    </row>
    <row r="415">
      <c r="AH415" s="25"/>
      <c r="AI415" s="25"/>
    </row>
    <row r="417">
      <c r="AH417" s="25"/>
      <c r="AI417" s="25"/>
    </row>
    <row r="418">
      <c r="AH418" s="25"/>
      <c r="AI418" s="25"/>
    </row>
    <row r="419">
      <c r="AH419" s="25"/>
      <c r="AI419" s="25"/>
    </row>
    <row r="420">
      <c r="AH420" s="25"/>
      <c r="AI420" s="25"/>
    </row>
    <row r="422">
      <c r="AH422" s="25"/>
      <c r="AI422" s="25"/>
    </row>
    <row r="423">
      <c r="AH423" s="25"/>
      <c r="AI423" s="25"/>
    </row>
    <row r="424">
      <c r="AH424" s="25"/>
      <c r="AI424" s="25"/>
    </row>
    <row r="425">
      <c r="AH425" s="25"/>
      <c r="AI425" s="25"/>
    </row>
    <row r="426">
      <c r="AH426" s="25"/>
      <c r="AI426" s="25"/>
    </row>
    <row r="427">
      <c r="AH427" s="25"/>
      <c r="AI427" s="25"/>
    </row>
    <row r="428">
      <c r="AH428" s="25"/>
      <c r="AI428" s="25"/>
    </row>
    <row r="429">
      <c r="AH429" s="25"/>
      <c r="AI429" s="25"/>
    </row>
    <row r="430">
      <c r="AH430" s="25"/>
      <c r="AI430" s="25"/>
    </row>
    <row r="431">
      <c r="AH431" s="25"/>
      <c r="AI431" s="25"/>
    </row>
    <row r="432">
      <c r="AH432" s="25"/>
      <c r="AI432" s="25"/>
    </row>
    <row r="433">
      <c r="AH433" s="25"/>
      <c r="AI433" s="25"/>
    </row>
    <row r="435">
      <c r="AH435" s="25"/>
      <c r="AI435" s="25"/>
    </row>
    <row r="436">
      <c r="AH436" s="25"/>
      <c r="AI436" s="25"/>
    </row>
    <row r="437">
      <c r="AH437" s="25"/>
      <c r="AI437" s="25"/>
    </row>
    <row r="438">
      <c r="AH438" s="25"/>
      <c r="AI438" s="25"/>
    </row>
    <row r="440">
      <c r="AH440" s="25"/>
      <c r="AI440" s="25"/>
    </row>
    <row r="441">
      <c r="AH441" s="25"/>
      <c r="AI441" s="25"/>
    </row>
    <row r="442">
      <c r="AH442" s="25"/>
      <c r="AI442" s="25"/>
    </row>
    <row r="443">
      <c r="AH443" s="25"/>
      <c r="AI443" s="25"/>
    </row>
    <row r="444">
      <c r="AH444" s="25"/>
      <c r="AI444" s="25"/>
    </row>
    <row r="445">
      <c r="AH445" s="25"/>
      <c r="AI445" s="25"/>
    </row>
    <row r="446">
      <c r="AH446" s="25"/>
      <c r="AI446" s="25"/>
    </row>
    <row r="447">
      <c r="AH447" s="25"/>
      <c r="AI447" s="25"/>
    </row>
    <row r="448">
      <c r="AH448" s="25"/>
      <c r="AI448" s="25"/>
    </row>
    <row r="449">
      <c r="AH449" s="25"/>
      <c r="AI449" s="25"/>
    </row>
    <row r="450">
      <c r="AH450" s="25"/>
      <c r="AI450" s="25"/>
    </row>
    <row r="451">
      <c r="AH451" s="25"/>
      <c r="AI451" s="25"/>
    </row>
    <row r="452">
      <c r="AH452" s="25"/>
      <c r="AI452" s="25"/>
    </row>
    <row r="453">
      <c r="AH453" s="25"/>
      <c r="AI453" s="25"/>
    </row>
    <row r="454">
      <c r="AH454" s="25"/>
      <c r="AI454" s="25"/>
    </row>
    <row r="455">
      <c r="AH455" s="25"/>
      <c r="AI455" s="25"/>
    </row>
    <row r="456">
      <c r="AH456" s="25"/>
      <c r="AI456" s="25"/>
    </row>
    <row r="457">
      <c r="AH457" s="25"/>
      <c r="AI457" s="25"/>
    </row>
    <row r="458">
      <c r="AH458" s="25"/>
      <c r="AI458" s="25"/>
    </row>
    <row r="459">
      <c r="AH459" s="25"/>
      <c r="AI459" s="25"/>
    </row>
    <row r="460">
      <c r="AH460" s="25"/>
      <c r="AI460" s="25"/>
    </row>
    <row r="461">
      <c r="AH461" s="25"/>
      <c r="AI461" s="25"/>
    </row>
    <row r="462">
      <c r="AH462" s="25"/>
      <c r="AI462" s="25"/>
    </row>
    <row r="463">
      <c r="AH463" s="25"/>
      <c r="AI463" s="25"/>
    </row>
    <row r="464">
      <c r="AH464" s="25"/>
      <c r="AI464" s="25"/>
    </row>
    <row r="465">
      <c r="AH465" s="25"/>
      <c r="AI465" s="25"/>
    </row>
    <row r="466">
      <c r="AH466" s="25"/>
      <c r="AI466" s="25"/>
    </row>
    <row r="467">
      <c r="AH467" s="25"/>
      <c r="AI467" s="25"/>
    </row>
    <row r="468">
      <c r="AH468" s="25"/>
      <c r="AI468" s="25"/>
    </row>
    <row r="469">
      <c r="AH469" s="25"/>
      <c r="AI469" s="25"/>
    </row>
    <row r="470">
      <c r="AH470" s="25"/>
      <c r="AI470" s="25"/>
    </row>
    <row r="472">
      <c r="AH472" s="25"/>
      <c r="AI472" s="25"/>
    </row>
    <row r="473">
      <c r="AH473" s="25"/>
      <c r="AI473" s="25"/>
    </row>
    <row r="474">
      <c r="AH474" s="25"/>
      <c r="AI474" s="25"/>
    </row>
    <row r="475">
      <c r="AH475" s="25"/>
      <c r="AI475" s="25"/>
    </row>
    <row r="476">
      <c r="AH476" s="25"/>
      <c r="AI476" s="25"/>
    </row>
    <row r="477">
      <c r="AH477" s="25"/>
      <c r="AI477" s="25"/>
    </row>
    <row r="478">
      <c r="AH478" s="25"/>
      <c r="AI478" s="25"/>
    </row>
    <row r="479">
      <c r="AH479" s="25"/>
      <c r="AI479" s="25"/>
    </row>
    <row r="481">
      <c r="AH481" s="25"/>
      <c r="AI481" s="25"/>
    </row>
    <row r="482">
      <c r="AH482" s="25"/>
      <c r="AI482" s="25"/>
    </row>
    <row r="483">
      <c r="AH483" s="25"/>
      <c r="AI483" s="25"/>
    </row>
    <row r="484">
      <c r="AH484" s="25"/>
      <c r="AI484" s="25"/>
    </row>
    <row r="485">
      <c r="AH485" s="25"/>
      <c r="AI485" s="25"/>
    </row>
    <row r="486">
      <c r="AH486" s="25"/>
      <c r="AI486" s="25"/>
    </row>
    <row r="487">
      <c r="AH487" s="25"/>
      <c r="AI487" s="25"/>
    </row>
    <row r="488">
      <c r="AH488" s="25"/>
      <c r="AI488" s="25"/>
    </row>
    <row r="489">
      <c r="AH489" s="25"/>
      <c r="AI489" s="25"/>
    </row>
    <row r="490">
      <c r="AH490" s="25"/>
      <c r="AI490" s="25"/>
    </row>
    <row r="491">
      <c r="AH491" s="25"/>
      <c r="AI491" s="25"/>
    </row>
    <row r="492">
      <c r="AH492" s="25"/>
      <c r="AI492" s="25"/>
    </row>
    <row r="493">
      <c r="AH493" s="25"/>
      <c r="AI493" s="25"/>
    </row>
    <row r="494">
      <c r="AH494" s="25"/>
      <c r="AI494" s="25"/>
    </row>
    <row r="495">
      <c r="AH495" s="25"/>
      <c r="AI495" s="25"/>
    </row>
    <row r="496">
      <c r="AH496" s="25"/>
      <c r="AI496" s="25"/>
    </row>
    <row r="497">
      <c r="AH497" s="25"/>
      <c r="AI497" s="25"/>
    </row>
    <row r="498">
      <c r="AH498" s="25"/>
      <c r="AI498" s="25"/>
    </row>
    <row r="499">
      <c r="AH499" s="25"/>
      <c r="AI499" s="25"/>
    </row>
    <row r="501">
      <c r="AH501" s="25"/>
      <c r="AI501" s="25"/>
    </row>
    <row r="502">
      <c r="AH502" s="25"/>
      <c r="AI502" s="25"/>
    </row>
    <row r="503">
      <c r="AH503" s="25"/>
      <c r="AI503" s="25"/>
    </row>
    <row r="504">
      <c r="AH504" s="25"/>
      <c r="AI504" s="25"/>
    </row>
    <row r="505">
      <c r="AH505" s="25"/>
      <c r="AI505" s="25"/>
    </row>
    <row r="506">
      <c r="AH506" s="25"/>
      <c r="AI506" s="25"/>
    </row>
    <row r="508">
      <c r="AH508" s="25"/>
      <c r="AI508" s="25"/>
    </row>
    <row r="509">
      <c r="AH509" s="25"/>
      <c r="AI509" s="25"/>
    </row>
    <row r="510">
      <c r="AH510" s="25"/>
      <c r="AI510" s="25"/>
    </row>
    <row r="511">
      <c r="AH511" s="25"/>
      <c r="AI511" s="25"/>
    </row>
    <row r="512">
      <c r="AH512" s="25"/>
      <c r="AI512" s="25"/>
    </row>
    <row r="513">
      <c r="AH513" s="25"/>
      <c r="AI513" s="25"/>
    </row>
    <row r="514">
      <c r="AH514" s="25"/>
      <c r="AI514" s="25"/>
    </row>
    <row r="515">
      <c r="AH515" s="25"/>
      <c r="AI515" s="25"/>
    </row>
    <row r="516">
      <c r="AH516" s="25"/>
      <c r="AI516" s="25"/>
    </row>
    <row r="517">
      <c r="AH517" s="25"/>
      <c r="AI517" s="25"/>
    </row>
    <row r="518">
      <c r="AH518" s="25"/>
      <c r="AI518" s="25"/>
    </row>
    <row r="519">
      <c r="AH519" s="25"/>
      <c r="AI519" s="25"/>
    </row>
    <row r="520">
      <c r="AH520" s="25"/>
      <c r="AI520" s="25"/>
    </row>
    <row r="521">
      <c r="AH521" s="25"/>
      <c r="AI521" s="25"/>
    </row>
    <row r="522">
      <c r="AH522" s="25"/>
      <c r="AI522" s="25"/>
    </row>
    <row r="524">
      <c r="AH524" s="25"/>
      <c r="AI524" s="25"/>
    </row>
    <row r="525">
      <c r="AH525" s="25"/>
      <c r="AI525" s="25"/>
    </row>
    <row r="526">
      <c r="AH526" s="25"/>
      <c r="AI526" s="25"/>
    </row>
    <row r="527">
      <c r="AH527" s="25"/>
      <c r="AI527" s="25"/>
    </row>
    <row r="528">
      <c r="AH528" s="25"/>
      <c r="AI528" s="25"/>
    </row>
    <row r="529">
      <c r="AH529" s="25"/>
      <c r="AI529" s="25"/>
    </row>
    <row r="531">
      <c r="AH531" s="25"/>
      <c r="AI531" s="25"/>
    </row>
    <row r="532">
      <c r="AH532" s="25"/>
      <c r="AI532" s="25"/>
    </row>
    <row r="533">
      <c r="AH533" s="25"/>
      <c r="AI533" s="25"/>
    </row>
    <row r="534">
      <c r="AH534" s="25"/>
      <c r="AI534" s="25"/>
    </row>
    <row r="535">
      <c r="AH535" s="25"/>
      <c r="AI535" s="25"/>
    </row>
    <row r="536">
      <c r="AH536" s="25"/>
      <c r="AI536" s="25"/>
    </row>
    <row r="537">
      <c r="AH537" s="25"/>
      <c r="AI537" s="25"/>
    </row>
    <row r="538">
      <c r="AH538" s="25"/>
      <c r="AI538" s="25"/>
    </row>
    <row r="539">
      <c r="AH539" s="25"/>
      <c r="AI539" s="25"/>
    </row>
    <row r="540">
      <c r="AH540" s="25"/>
      <c r="AI540" s="25"/>
    </row>
    <row r="541">
      <c r="AH541" s="25"/>
      <c r="AI541" s="25"/>
    </row>
    <row r="542">
      <c r="AH542" s="25"/>
      <c r="AI542" s="25"/>
    </row>
    <row r="543">
      <c r="AH543" s="25"/>
      <c r="AI543" s="25"/>
    </row>
    <row r="545">
      <c r="AH545" s="25"/>
      <c r="AI545" s="25"/>
    </row>
    <row r="546">
      <c r="AH546" s="25"/>
      <c r="AI546" s="25"/>
    </row>
    <row r="547">
      <c r="AH547" s="20"/>
      <c r="AI547" s="20"/>
    </row>
    <row r="549">
      <c r="AH549" s="25"/>
      <c r="AI549" s="25"/>
    </row>
    <row r="550">
      <c r="AH550" s="25"/>
      <c r="AI550" s="25"/>
    </row>
    <row r="551">
      <c r="AH551" s="25"/>
      <c r="AI551" s="25"/>
    </row>
    <row r="552">
      <c r="AH552" s="25"/>
      <c r="AI552" s="25"/>
    </row>
    <row r="553">
      <c r="AH553" s="25"/>
      <c r="AI553" s="25"/>
    </row>
    <row r="554">
      <c r="AH554" s="25"/>
      <c r="AI554" s="25"/>
    </row>
    <row r="555">
      <c r="AH555" s="25"/>
      <c r="AI555" s="25"/>
    </row>
    <row r="556">
      <c r="AH556" s="25"/>
      <c r="AI556" s="25"/>
    </row>
    <row r="557">
      <c r="AH557" s="25"/>
      <c r="AI557" s="25"/>
    </row>
    <row r="558">
      <c r="AH558" s="25"/>
      <c r="AI558" s="25"/>
    </row>
    <row r="559">
      <c r="AH559" s="25"/>
      <c r="AI559" s="25"/>
    </row>
    <row r="560">
      <c r="AH560" s="25"/>
      <c r="AI560" s="25"/>
    </row>
    <row r="561">
      <c r="AH561" s="25"/>
      <c r="AI561" s="25"/>
    </row>
    <row r="562">
      <c r="AH562" s="25"/>
      <c r="AI562" s="25"/>
    </row>
    <row r="563">
      <c r="AH563" s="25"/>
      <c r="AI563" s="25"/>
    </row>
    <row r="564">
      <c r="AH564" s="25"/>
      <c r="AI564" s="25"/>
    </row>
    <row r="565">
      <c r="AH565" s="25"/>
      <c r="AI565" s="25"/>
    </row>
    <row r="566">
      <c r="AH566" s="25"/>
      <c r="AI566" s="25"/>
    </row>
    <row r="567">
      <c r="AH567" s="25"/>
      <c r="AI567" s="25"/>
    </row>
    <row r="568">
      <c r="AH568" s="25"/>
      <c r="AI568" s="25"/>
    </row>
    <row r="569">
      <c r="AH569" s="25"/>
      <c r="AI569" s="25"/>
    </row>
    <row r="570">
      <c r="AH570" s="25"/>
      <c r="AI570" s="25"/>
    </row>
    <row r="572">
      <c r="AH572" s="25"/>
      <c r="AI572" s="25"/>
    </row>
    <row r="573">
      <c r="AH573" s="25"/>
      <c r="AI573" s="25"/>
    </row>
    <row r="574">
      <c r="AH574" s="25"/>
      <c r="AI574" s="25"/>
    </row>
    <row r="575">
      <c r="AH575" s="25"/>
      <c r="AI575" s="25"/>
    </row>
    <row r="576">
      <c r="AH576" s="25"/>
      <c r="AI576" s="25"/>
    </row>
    <row r="577">
      <c r="AH577" s="25"/>
      <c r="AI577" s="25"/>
    </row>
    <row r="578">
      <c r="AH578" s="25"/>
      <c r="AI578" s="25"/>
    </row>
    <row r="579">
      <c r="AH579" s="25"/>
      <c r="AI579" s="25"/>
    </row>
    <row r="580">
      <c r="AH580" s="25"/>
      <c r="AI580" s="25"/>
    </row>
    <row r="581">
      <c r="AH581" s="25"/>
      <c r="AI581" s="25"/>
    </row>
    <row r="582">
      <c r="AH582" s="25"/>
      <c r="AI582" s="25"/>
    </row>
    <row r="583">
      <c r="AH583" s="25"/>
      <c r="AI583" s="25"/>
    </row>
    <row r="584">
      <c r="AH584" s="25"/>
      <c r="AI584" s="25"/>
    </row>
    <row r="585">
      <c r="AH585" s="25"/>
      <c r="AI585" s="25"/>
    </row>
    <row r="586">
      <c r="AH586" s="25"/>
      <c r="AI586" s="25"/>
    </row>
    <row r="587">
      <c r="AH587" s="25"/>
      <c r="AI587" s="25"/>
    </row>
    <row r="588">
      <c r="AH588" s="25"/>
      <c r="AI588" s="25"/>
    </row>
    <row r="589">
      <c r="AH589" s="25"/>
      <c r="AI589" s="25"/>
    </row>
    <row r="590">
      <c r="AH590" s="25"/>
      <c r="AI590" s="25"/>
    </row>
    <row r="591">
      <c r="AH591" s="25"/>
      <c r="AI591" s="25"/>
    </row>
    <row r="592">
      <c r="AH592" s="25"/>
      <c r="AI592" s="25"/>
    </row>
    <row r="593">
      <c r="AH593" s="25"/>
      <c r="AI593" s="25"/>
    </row>
    <row r="594">
      <c r="AH594" s="25"/>
      <c r="AI594" s="25"/>
    </row>
    <row r="595">
      <c r="AH595" s="25"/>
      <c r="AI595" s="25"/>
    </row>
    <row r="596">
      <c r="AH596" s="25"/>
      <c r="AI596" s="25"/>
    </row>
    <row r="597">
      <c r="AH597" s="25"/>
      <c r="AI597" s="25"/>
    </row>
    <row r="599">
      <c r="AH599" s="25"/>
      <c r="AI599" s="25"/>
    </row>
    <row r="600">
      <c r="AH600" s="25"/>
      <c r="AI600" s="25"/>
    </row>
    <row r="601">
      <c r="AH601" s="25"/>
      <c r="AI601" s="25"/>
    </row>
    <row r="602">
      <c r="AH602" s="25"/>
      <c r="AI602" s="25"/>
    </row>
    <row r="604">
      <c r="AH604" s="25"/>
      <c r="AI604" s="25"/>
    </row>
    <row r="605">
      <c r="AH605" s="25"/>
      <c r="AI605" s="25"/>
    </row>
    <row r="606">
      <c r="AH606" s="25"/>
      <c r="AI606" s="25"/>
    </row>
    <row r="607">
      <c r="AH607" s="25"/>
      <c r="AI607" s="25"/>
    </row>
    <row r="608">
      <c r="AH608" s="25"/>
      <c r="AI608" s="25"/>
    </row>
    <row r="609">
      <c r="AH609" s="25"/>
      <c r="AI609" s="25"/>
    </row>
    <row r="610">
      <c r="AH610" s="25"/>
      <c r="AI610" s="25"/>
    </row>
    <row r="611">
      <c r="AH611" s="25"/>
      <c r="AI611" s="25"/>
    </row>
    <row r="612">
      <c r="AH612" s="25"/>
      <c r="AI612" s="25"/>
    </row>
    <row r="613">
      <c r="AH613" s="25"/>
      <c r="AI613" s="25"/>
    </row>
    <row r="614">
      <c r="AH614" s="25"/>
      <c r="AI614" s="25"/>
    </row>
    <row r="615">
      <c r="AH615" s="25"/>
      <c r="AI615" s="25"/>
    </row>
    <row r="617">
      <c r="AH617" s="25"/>
      <c r="AI617" s="25"/>
    </row>
    <row r="618">
      <c r="AH618" s="25"/>
      <c r="AI618" s="25"/>
    </row>
    <row r="619">
      <c r="AH619" s="25"/>
      <c r="AI619" s="25"/>
    </row>
    <row r="620">
      <c r="AH620" s="25"/>
      <c r="AI620" s="25"/>
    </row>
    <row r="622">
      <c r="AH622" s="25"/>
      <c r="AI622" s="25"/>
    </row>
    <row r="623">
      <c r="AH623" s="25"/>
      <c r="AI623" s="25"/>
    </row>
    <row r="624">
      <c r="AH624" s="25"/>
      <c r="AI624" s="25"/>
    </row>
    <row r="625">
      <c r="AH625" s="25"/>
      <c r="AI625" s="25"/>
    </row>
    <row r="626">
      <c r="AH626" s="25"/>
      <c r="AI626" s="25"/>
    </row>
    <row r="627">
      <c r="AH627" s="25"/>
      <c r="AI627" s="25"/>
    </row>
    <row r="628">
      <c r="AH628" s="25"/>
      <c r="AI628" s="25"/>
    </row>
    <row r="629">
      <c r="AH629" s="25"/>
      <c r="AI629" s="25"/>
    </row>
    <row r="630">
      <c r="AH630" s="25"/>
      <c r="AI630" s="25"/>
    </row>
    <row r="631">
      <c r="AH631" s="25"/>
      <c r="AI631" s="25"/>
    </row>
    <row r="632">
      <c r="AH632" s="25"/>
      <c r="AI632" s="25"/>
    </row>
    <row r="633">
      <c r="AH633" s="25"/>
      <c r="AI633" s="25"/>
    </row>
    <row r="634">
      <c r="AH634" s="25"/>
      <c r="AI634" s="25"/>
    </row>
    <row r="635">
      <c r="AH635" s="25"/>
      <c r="AI635" s="25"/>
    </row>
    <row r="636">
      <c r="AH636" s="25"/>
      <c r="AI636" s="25"/>
    </row>
    <row r="637">
      <c r="AH637" s="25"/>
      <c r="AI637" s="25"/>
    </row>
    <row r="638">
      <c r="AH638" s="25"/>
      <c r="AI638" s="25"/>
    </row>
    <row r="639">
      <c r="AH639" s="25"/>
      <c r="AI639" s="25"/>
    </row>
    <row r="640">
      <c r="AH640" s="25"/>
      <c r="AI640" s="25"/>
    </row>
    <row r="641">
      <c r="AH641" s="25"/>
      <c r="AI641" s="25"/>
    </row>
    <row r="642">
      <c r="AH642" s="25"/>
      <c r="AI642" s="25"/>
    </row>
    <row r="643">
      <c r="AH643" s="25"/>
      <c r="AI643" s="25"/>
    </row>
    <row r="644">
      <c r="AH644" s="25"/>
      <c r="AI644" s="25"/>
    </row>
    <row r="645">
      <c r="AH645" s="25"/>
      <c r="AI645" s="25"/>
    </row>
    <row r="646">
      <c r="AH646" s="25"/>
      <c r="AI646" s="25"/>
    </row>
    <row r="647">
      <c r="AH647" s="25"/>
      <c r="AI647" s="25"/>
    </row>
    <row r="648">
      <c r="AH648" s="25"/>
      <c r="AI648" s="25"/>
    </row>
    <row r="649">
      <c r="AH649" s="25"/>
      <c r="AI649" s="25"/>
    </row>
    <row r="650">
      <c r="AH650" s="25"/>
      <c r="AI650" s="25"/>
    </row>
    <row r="651">
      <c r="AH651" s="25"/>
      <c r="AI651" s="25"/>
    </row>
    <row r="652">
      <c r="AH652" s="25"/>
      <c r="AI652" s="25"/>
    </row>
    <row r="654">
      <c r="AH654" s="25"/>
      <c r="AI654" s="25"/>
    </row>
    <row r="655">
      <c r="AH655" s="25"/>
      <c r="AI655" s="25"/>
    </row>
    <row r="656">
      <c r="AH656" s="25"/>
      <c r="AI656" s="25"/>
    </row>
    <row r="657">
      <c r="AH657" s="25"/>
      <c r="AI657" s="25"/>
    </row>
    <row r="658">
      <c r="AH658" s="25"/>
      <c r="AI658" s="25"/>
    </row>
    <row r="659">
      <c r="AH659" s="25"/>
      <c r="AI659" s="25"/>
    </row>
    <row r="660">
      <c r="AH660" s="25"/>
      <c r="AI660" s="25"/>
    </row>
    <row r="661">
      <c r="AH661" s="25"/>
      <c r="AI661" s="25"/>
    </row>
    <row r="663">
      <c r="AH663" s="25"/>
      <c r="AI663" s="25"/>
    </row>
    <row r="664">
      <c r="AH664" s="25"/>
      <c r="AI664" s="25"/>
    </row>
    <row r="665">
      <c r="AH665" s="25"/>
      <c r="AI665" s="25"/>
    </row>
    <row r="666">
      <c r="AH666" s="25"/>
      <c r="AI666" s="25"/>
    </row>
    <row r="667">
      <c r="AH667" s="25"/>
      <c r="AI667" s="25"/>
    </row>
    <row r="668">
      <c r="AH668" s="25"/>
      <c r="AI668" s="25"/>
    </row>
    <row r="669">
      <c r="AH669" s="25"/>
      <c r="AI669" s="25"/>
    </row>
    <row r="670">
      <c r="AH670" s="25"/>
      <c r="AI670" s="25"/>
    </row>
    <row r="671">
      <c r="AH671" s="25"/>
      <c r="AI671" s="25"/>
    </row>
    <row r="672">
      <c r="AH672" s="25"/>
      <c r="AI672" s="25"/>
    </row>
    <row r="673">
      <c r="AH673" s="25"/>
      <c r="AI673" s="25"/>
    </row>
    <row r="674">
      <c r="AH674" s="25"/>
      <c r="AI674" s="25"/>
    </row>
    <row r="675">
      <c r="AH675" s="25"/>
      <c r="AI675" s="25"/>
    </row>
    <row r="676">
      <c r="AH676" s="25"/>
      <c r="AI676" s="25"/>
    </row>
    <row r="677">
      <c r="AH677" s="25"/>
      <c r="AI677" s="25"/>
    </row>
    <row r="678">
      <c r="AH678" s="25"/>
      <c r="AI678" s="25"/>
    </row>
    <row r="679">
      <c r="AH679" s="25"/>
      <c r="AI679" s="25"/>
    </row>
    <row r="680">
      <c r="AH680" s="25"/>
      <c r="AI680" s="25"/>
    </row>
    <row r="681">
      <c r="AH681" s="25"/>
      <c r="AI681" s="25"/>
    </row>
    <row r="683">
      <c r="AH683" s="25"/>
      <c r="AI683" s="25"/>
    </row>
    <row r="684">
      <c r="AH684" s="25"/>
      <c r="AI684" s="25"/>
    </row>
    <row r="685">
      <c r="AH685" s="25"/>
      <c r="AI685" s="25"/>
    </row>
    <row r="686">
      <c r="AH686" s="25"/>
      <c r="AI686" s="25"/>
    </row>
    <row r="687">
      <c r="AH687" s="25"/>
      <c r="AI687" s="25"/>
    </row>
    <row r="688">
      <c r="AH688" s="25"/>
      <c r="AI688" s="25"/>
    </row>
    <row r="690">
      <c r="AH690" s="25"/>
      <c r="AI690" s="25"/>
    </row>
    <row r="691">
      <c r="AH691" s="25"/>
      <c r="AI691" s="25"/>
    </row>
    <row r="692">
      <c r="AH692" s="25"/>
      <c r="AI692" s="25"/>
    </row>
    <row r="693">
      <c r="AH693" s="25"/>
      <c r="AI693" s="25"/>
    </row>
    <row r="694">
      <c r="AH694" s="25"/>
      <c r="AI694" s="25"/>
    </row>
    <row r="695">
      <c r="AH695" s="25"/>
      <c r="AI695" s="25"/>
    </row>
    <row r="696">
      <c r="AH696" s="25"/>
      <c r="AI696" s="25"/>
    </row>
    <row r="697">
      <c r="AH697" s="25"/>
      <c r="AI697" s="25"/>
    </row>
    <row r="698">
      <c r="AH698" s="25"/>
      <c r="AI698" s="25"/>
    </row>
    <row r="699">
      <c r="AH699" s="25"/>
      <c r="AI699" s="25"/>
    </row>
    <row r="700">
      <c r="AH700" s="25"/>
      <c r="AI700" s="25"/>
    </row>
    <row r="701">
      <c r="AH701" s="25"/>
      <c r="AI701" s="25"/>
    </row>
    <row r="702">
      <c r="AH702" s="25"/>
      <c r="AI702" s="25"/>
    </row>
    <row r="703">
      <c r="AH703" s="25"/>
      <c r="AI703" s="25"/>
    </row>
    <row r="704">
      <c r="AH704" s="25"/>
      <c r="AI704" s="25"/>
    </row>
    <row r="706">
      <c r="AH706" s="25"/>
      <c r="AI706" s="25"/>
    </row>
    <row r="707">
      <c r="AH707" s="25"/>
      <c r="AI707" s="25"/>
    </row>
    <row r="708">
      <c r="AH708" s="25"/>
      <c r="AI708" s="25"/>
    </row>
    <row r="709">
      <c r="AH709" s="25"/>
      <c r="AI709" s="25"/>
    </row>
    <row r="710">
      <c r="AH710" s="25"/>
      <c r="AI710" s="25"/>
    </row>
    <row r="711">
      <c r="AH711" s="25"/>
      <c r="AI711" s="25"/>
    </row>
    <row r="713">
      <c r="AH713" s="25"/>
      <c r="AI713" s="25"/>
    </row>
    <row r="714">
      <c r="AH714" s="25"/>
      <c r="AI714" s="25"/>
    </row>
    <row r="715">
      <c r="AH715" s="25"/>
      <c r="AI715" s="25"/>
    </row>
    <row r="716">
      <c r="AH716" s="25"/>
      <c r="AI716" s="25"/>
    </row>
    <row r="717">
      <c r="AH717" s="25"/>
      <c r="AI717" s="25"/>
    </row>
    <row r="718">
      <c r="AH718" s="25"/>
      <c r="AI718" s="25"/>
    </row>
    <row r="719">
      <c r="AH719" s="25"/>
      <c r="AI719" s="25"/>
    </row>
    <row r="720">
      <c r="AH720" s="25"/>
      <c r="AI720" s="25"/>
    </row>
    <row r="721">
      <c r="AH721" s="25"/>
      <c r="AI721" s="25"/>
    </row>
    <row r="722">
      <c r="AH722" s="25"/>
      <c r="AI722" s="25"/>
    </row>
    <row r="723">
      <c r="AH723" s="25"/>
      <c r="AI723" s="25"/>
    </row>
    <row r="724">
      <c r="AH724" s="25"/>
      <c r="AI724" s="25"/>
    </row>
    <row r="725">
      <c r="AH725" s="25"/>
      <c r="AI725" s="25"/>
    </row>
    <row r="727">
      <c r="AH727" s="25"/>
      <c r="AI727" s="25"/>
    </row>
    <row r="728">
      <c r="AH728" s="25"/>
      <c r="AI728" s="25"/>
    </row>
    <row r="729">
      <c r="AH729" s="20"/>
      <c r="AI729" s="20"/>
    </row>
    <row r="731">
      <c r="AH731" s="25"/>
      <c r="AI731" s="25"/>
    </row>
    <row r="732">
      <c r="AH732" s="25"/>
      <c r="AI732" s="25"/>
    </row>
    <row r="733">
      <c r="AH733" s="25"/>
      <c r="AI733" s="25"/>
    </row>
    <row r="734">
      <c r="AH734" s="25"/>
      <c r="AI734" s="25"/>
    </row>
    <row r="735">
      <c r="AH735" s="25"/>
      <c r="AI735" s="25"/>
    </row>
    <row r="736">
      <c r="AH736" s="25"/>
      <c r="AI736" s="25"/>
    </row>
    <row r="737">
      <c r="AH737" s="25"/>
      <c r="AI737" s="25"/>
    </row>
    <row r="738">
      <c r="AH738" s="25"/>
      <c r="AI738" s="25"/>
    </row>
    <row r="739">
      <c r="AH739" s="25"/>
      <c r="AI739" s="25"/>
    </row>
    <row r="740">
      <c r="AH740" s="25"/>
      <c r="AI740" s="25"/>
    </row>
    <row r="741">
      <c r="AH741" s="25"/>
      <c r="AI741" s="25"/>
    </row>
    <row r="742">
      <c r="AH742" s="25"/>
      <c r="AI742" s="25"/>
    </row>
    <row r="743">
      <c r="AH743" s="25"/>
      <c r="AI743" s="25"/>
    </row>
    <row r="744">
      <c r="AH744" s="25"/>
      <c r="AI744" s="25"/>
    </row>
    <row r="745">
      <c r="AH745" s="25"/>
      <c r="AI745" s="25"/>
    </row>
    <row r="746">
      <c r="AH746" s="25"/>
      <c r="AI746" s="25"/>
    </row>
    <row r="747">
      <c r="AH747" s="25"/>
      <c r="AI747" s="25"/>
    </row>
    <row r="748">
      <c r="AH748" s="25"/>
      <c r="AI748" s="25"/>
    </row>
    <row r="749">
      <c r="AH749" s="25"/>
      <c r="AI749" s="25"/>
    </row>
    <row r="750">
      <c r="AH750" s="25"/>
      <c r="AI750" s="25"/>
    </row>
    <row r="751">
      <c r="AH751" s="25"/>
      <c r="AI751" s="25"/>
    </row>
    <row r="752">
      <c r="AH752" s="25"/>
      <c r="AI752" s="25"/>
    </row>
    <row r="754">
      <c r="AH754" s="25"/>
      <c r="AI754" s="25"/>
    </row>
    <row r="755">
      <c r="AH755" s="25"/>
      <c r="AI755" s="25"/>
    </row>
    <row r="756">
      <c r="AH756" s="25"/>
      <c r="AI756" s="25"/>
    </row>
    <row r="757">
      <c r="AH757" s="25"/>
      <c r="AI757" s="25"/>
    </row>
    <row r="758">
      <c r="AH758" s="25"/>
      <c r="AI758" s="25"/>
    </row>
    <row r="759">
      <c r="AH759" s="25"/>
      <c r="AI759" s="25"/>
    </row>
    <row r="760">
      <c r="AH760" s="25"/>
      <c r="AI760" s="25"/>
    </row>
    <row r="761">
      <c r="AH761" s="25"/>
      <c r="AI761" s="25"/>
    </row>
    <row r="762">
      <c r="AH762" s="25"/>
      <c r="AI762" s="25"/>
    </row>
    <row r="763">
      <c r="AH763" s="25"/>
      <c r="AI763" s="25"/>
    </row>
    <row r="764">
      <c r="AH764" s="25"/>
      <c r="AI764" s="25"/>
    </row>
    <row r="765">
      <c r="AH765" s="25"/>
      <c r="AI765" s="25"/>
    </row>
    <row r="766">
      <c r="AH766" s="25"/>
      <c r="AI766" s="25"/>
    </row>
    <row r="767">
      <c r="AH767" s="25"/>
      <c r="AI767" s="25"/>
    </row>
    <row r="768">
      <c r="AH768" s="25"/>
      <c r="AI768" s="25"/>
    </row>
    <row r="769">
      <c r="AH769" s="25"/>
      <c r="AI769" s="25"/>
    </row>
    <row r="770">
      <c r="AH770" s="25"/>
      <c r="AI770" s="25"/>
    </row>
    <row r="771">
      <c r="AH771" s="25"/>
      <c r="AI771" s="25"/>
    </row>
    <row r="772">
      <c r="AH772" s="25"/>
      <c r="AI772" s="25"/>
    </row>
    <row r="773">
      <c r="AH773" s="25"/>
      <c r="AI773" s="25"/>
    </row>
    <row r="774">
      <c r="AH774" s="25"/>
      <c r="AI774" s="25"/>
    </row>
    <row r="775">
      <c r="AH775" s="25"/>
      <c r="AI775" s="25"/>
    </row>
    <row r="776">
      <c r="AH776" s="25"/>
      <c r="AI776" s="25"/>
    </row>
    <row r="777">
      <c r="AH777" s="25"/>
      <c r="AI777" s="25"/>
    </row>
    <row r="778">
      <c r="AH778" s="25"/>
      <c r="AI778" s="25"/>
    </row>
    <row r="779">
      <c r="AH779" s="25"/>
      <c r="AI779" s="25"/>
    </row>
    <row r="781">
      <c r="AH781" s="25"/>
      <c r="AI781" s="25"/>
    </row>
    <row r="782">
      <c r="AH782" s="25"/>
      <c r="AI782" s="25"/>
    </row>
    <row r="783">
      <c r="AH783" s="25"/>
      <c r="AI783" s="25"/>
    </row>
    <row r="784">
      <c r="AH784" s="25"/>
      <c r="AI784" s="25"/>
    </row>
    <row r="786">
      <c r="AH786" s="25"/>
      <c r="AI786" s="25"/>
    </row>
    <row r="787">
      <c r="AH787" s="25"/>
      <c r="AI787" s="25"/>
    </row>
    <row r="788">
      <c r="AH788" s="25"/>
      <c r="AI788" s="25"/>
    </row>
    <row r="789">
      <c r="AH789" s="25"/>
      <c r="AI789" s="25"/>
    </row>
    <row r="790">
      <c r="AH790" s="25"/>
      <c r="AI790" s="25"/>
    </row>
    <row r="791">
      <c r="AH791" s="25"/>
      <c r="AI791" s="25"/>
    </row>
    <row r="792">
      <c r="AH792" s="25"/>
      <c r="AI792" s="25"/>
    </row>
    <row r="793">
      <c r="AH793" s="25"/>
      <c r="AI793" s="25"/>
    </row>
    <row r="794">
      <c r="AH794" s="25"/>
      <c r="AI794" s="25"/>
    </row>
    <row r="795">
      <c r="AH795" s="25"/>
      <c r="AI795" s="25"/>
    </row>
    <row r="796">
      <c r="AH796" s="25"/>
      <c r="AI796" s="25"/>
    </row>
    <row r="797">
      <c r="AH797" s="25"/>
      <c r="AI797" s="25"/>
    </row>
    <row r="799">
      <c r="AH799" s="25"/>
      <c r="AI799" s="25"/>
    </row>
    <row r="800">
      <c r="AH800" s="25"/>
      <c r="AI800" s="25"/>
    </row>
    <row r="801">
      <c r="AH801" s="25"/>
      <c r="AI801" s="25"/>
    </row>
    <row r="802">
      <c r="AH802" s="25"/>
      <c r="AI802" s="25"/>
    </row>
    <row r="804">
      <c r="AH804" s="25"/>
      <c r="AI804" s="25"/>
    </row>
    <row r="805">
      <c r="AH805" s="25"/>
      <c r="AI805" s="25"/>
    </row>
    <row r="806">
      <c r="AH806" s="25"/>
      <c r="AI806" s="25"/>
    </row>
    <row r="807">
      <c r="AH807" s="25"/>
      <c r="AI807" s="25"/>
    </row>
    <row r="808">
      <c r="AH808" s="25"/>
      <c r="AI808" s="25"/>
    </row>
    <row r="809">
      <c r="AH809" s="25"/>
      <c r="AI809" s="25"/>
    </row>
    <row r="810">
      <c r="AH810" s="25"/>
      <c r="AI810" s="25"/>
    </row>
    <row r="811">
      <c r="AH811" s="25"/>
      <c r="AI811" s="25"/>
    </row>
    <row r="812">
      <c r="AH812" s="25"/>
      <c r="AI812" s="25"/>
    </row>
    <row r="813">
      <c r="AH813" s="25"/>
      <c r="AI813" s="25"/>
    </row>
    <row r="814">
      <c r="AH814" s="25"/>
      <c r="AI814" s="25"/>
    </row>
    <row r="815">
      <c r="AH815" s="25"/>
      <c r="AI815" s="25"/>
    </row>
    <row r="816">
      <c r="AH816" s="25"/>
      <c r="AI816" s="25"/>
    </row>
    <row r="817">
      <c r="AH817" s="25"/>
      <c r="AI817" s="25"/>
    </row>
    <row r="818">
      <c r="AH818" s="25"/>
      <c r="AI818" s="25"/>
    </row>
    <row r="819">
      <c r="AH819" s="25"/>
      <c r="AI819" s="25"/>
    </row>
    <row r="820">
      <c r="AH820" s="25"/>
      <c r="AI820" s="25"/>
    </row>
    <row r="821">
      <c r="AH821" s="25"/>
      <c r="AI821" s="25"/>
    </row>
    <row r="822">
      <c r="AH822" s="25"/>
      <c r="AI822" s="25"/>
    </row>
    <row r="823">
      <c r="AH823" s="25"/>
      <c r="AI823" s="25"/>
    </row>
    <row r="824">
      <c r="AH824" s="25"/>
      <c r="AI824" s="25"/>
    </row>
    <row r="825">
      <c r="AH825" s="25"/>
      <c r="AI825" s="25"/>
    </row>
    <row r="826">
      <c r="AH826" s="25"/>
      <c r="AI826" s="25"/>
    </row>
    <row r="827">
      <c r="AH827" s="25"/>
      <c r="AI827" s="25"/>
    </row>
    <row r="828">
      <c r="AH828" s="25"/>
      <c r="AI828" s="25"/>
    </row>
    <row r="829">
      <c r="AH829" s="25"/>
      <c r="AI829" s="25"/>
    </row>
    <row r="830">
      <c r="AH830" s="25"/>
      <c r="AI830" s="25"/>
    </row>
    <row r="831">
      <c r="AH831" s="25"/>
      <c r="AI831" s="25"/>
    </row>
    <row r="832">
      <c r="AH832" s="25"/>
      <c r="AI832" s="25"/>
    </row>
    <row r="833">
      <c r="AH833" s="25"/>
      <c r="AI833" s="25"/>
    </row>
    <row r="834">
      <c r="AH834" s="25"/>
      <c r="AI834" s="25"/>
    </row>
    <row r="836">
      <c r="AH836" s="25"/>
      <c r="AI836" s="25"/>
    </row>
    <row r="837">
      <c r="AH837" s="25"/>
      <c r="AI837" s="25"/>
    </row>
    <row r="838">
      <c r="AH838" s="25"/>
      <c r="AI838" s="25"/>
    </row>
    <row r="839">
      <c r="AH839" s="25"/>
      <c r="AI839" s="25"/>
    </row>
    <row r="840">
      <c r="AH840" s="25"/>
      <c r="AI840" s="25"/>
    </row>
    <row r="841">
      <c r="AH841" s="25"/>
      <c r="AI841" s="25"/>
    </row>
    <row r="842">
      <c r="AH842" s="25"/>
      <c r="AI842" s="25"/>
    </row>
    <row r="843">
      <c r="AH843" s="25"/>
      <c r="AI843" s="25"/>
    </row>
    <row r="845">
      <c r="AH845" s="25"/>
      <c r="AI845" s="25"/>
    </row>
    <row r="846">
      <c r="AH846" s="25"/>
      <c r="AI846" s="25"/>
    </row>
    <row r="847">
      <c r="AH847" s="25"/>
      <c r="AI847" s="25"/>
    </row>
    <row r="848">
      <c r="AH848" s="25"/>
      <c r="AI848" s="25"/>
    </row>
    <row r="849">
      <c r="AH849" s="25"/>
      <c r="AI849" s="25"/>
    </row>
    <row r="850">
      <c r="AH850" s="25"/>
      <c r="AI850" s="25"/>
    </row>
    <row r="851">
      <c r="AH851" s="25"/>
      <c r="AI851" s="25"/>
    </row>
    <row r="852">
      <c r="AH852" s="25"/>
      <c r="AI852" s="25"/>
    </row>
    <row r="853">
      <c r="AH853" s="25"/>
      <c r="AI853" s="25"/>
    </row>
    <row r="854">
      <c r="AH854" s="25"/>
      <c r="AI854" s="25"/>
    </row>
    <row r="855">
      <c r="AH855" s="25"/>
      <c r="AI855" s="25"/>
    </row>
    <row r="856">
      <c r="AH856" s="25"/>
      <c r="AI856" s="25"/>
    </row>
    <row r="857">
      <c r="AH857" s="25"/>
      <c r="AI857" s="25"/>
    </row>
    <row r="858">
      <c r="AH858" s="25"/>
      <c r="AI858" s="25"/>
    </row>
    <row r="859">
      <c r="AH859" s="25"/>
      <c r="AI859" s="25"/>
    </row>
    <row r="860">
      <c r="AH860" s="25"/>
      <c r="AI860" s="25"/>
    </row>
    <row r="861">
      <c r="AH861" s="25"/>
      <c r="AI861" s="25"/>
    </row>
    <row r="862">
      <c r="AH862" s="25"/>
      <c r="AI862" s="25"/>
    </row>
    <row r="863">
      <c r="AH863" s="25"/>
      <c r="AI863" s="25"/>
    </row>
    <row r="865">
      <c r="AH865" s="25"/>
      <c r="AI865" s="25"/>
    </row>
    <row r="866">
      <c r="AH866" s="25"/>
      <c r="AI866" s="25"/>
    </row>
    <row r="867">
      <c r="AH867" s="25"/>
      <c r="AI867" s="25"/>
    </row>
    <row r="868">
      <c r="AH868" s="25"/>
      <c r="AI868" s="25"/>
    </row>
    <row r="869">
      <c r="AH869" s="25"/>
      <c r="AI869" s="25"/>
    </row>
    <row r="870">
      <c r="AH870" s="25"/>
      <c r="AI870" s="25"/>
    </row>
    <row r="872">
      <c r="AH872" s="25"/>
      <c r="AI872" s="25"/>
    </row>
    <row r="873">
      <c r="AH873" s="25"/>
      <c r="AI873" s="25"/>
    </row>
    <row r="874">
      <c r="AH874" s="25"/>
      <c r="AI874" s="25"/>
    </row>
    <row r="875">
      <c r="AH875" s="25"/>
      <c r="AI875" s="25"/>
    </row>
    <row r="876">
      <c r="AH876" s="25"/>
      <c r="AI876" s="25"/>
    </row>
    <row r="877">
      <c r="AH877" s="25"/>
      <c r="AI877" s="25"/>
    </row>
    <row r="878">
      <c r="AH878" s="25"/>
      <c r="AI878" s="25"/>
    </row>
    <row r="879">
      <c r="AH879" s="25"/>
      <c r="AI879" s="25"/>
    </row>
    <row r="880">
      <c r="AH880" s="25"/>
      <c r="AI880" s="25"/>
    </row>
    <row r="881">
      <c r="AH881" s="25"/>
      <c r="AI881" s="25"/>
    </row>
    <row r="882">
      <c r="AH882" s="25"/>
      <c r="AI882" s="25"/>
    </row>
    <row r="883">
      <c r="AH883" s="25"/>
      <c r="AI883" s="25"/>
    </row>
    <row r="884">
      <c r="AH884" s="25"/>
      <c r="AI884" s="25"/>
    </row>
    <row r="885">
      <c r="AH885" s="25"/>
      <c r="AI885" s="25"/>
    </row>
    <row r="886">
      <c r="AH886" s="25"/>
      <c r="AI886" s="25"/>
    </row>
    <row r="888">
      <c r="AH888" s="25"/>
      <c r="AI888" s="25"/>
    </row>
    <row r="889">
      <c r="AH889" s="25"/>
      <c r="AI889" s="25"/>
    </row>
    <row r="890">
      <c r="AH890" s="25"/>
      <c r="AI890" s="25"/>
    </row>
    <row r="891">
      <c r="AH891" s="25"/>
      <c r="AI891" s="25"/>
    </row>
    <row r="892">
      <c r="AH892" s="25"/>
      <c r="AI892" s="25"/>
    </row>
    <row r="893">
      <c r="AH893" s="25"/>
      <c r="AI893" s="25"/>
    </row>
    <row r="895">
      <c r="AH895" s="25"/>
      <c r="AI895" s="25"/>
    </row>
    <row r="896">
      <c r="AH896" s="25"/>
      <c r="AI896" s="25"/>
    </row>
    <row r="897">
      <c r="AH897" s="25"/>
      <c r="AI897" s="25"/>
    </row>
    <row r="898">
      <c r="AH898" s="25"/>
      <c r="AI898" s="25"/>
    </row>
    <row r="899">
      <c r="AH899" s="25"/>
      <c r="AI899" s="25"/>
    </row>
    <row r="900">
      <c r="AH900" s="25"/>
      <c r="AI900" s="25"/>
    </row>
    <row r="901">
      <c r="AH901" s="25"/>
      <c r="AI901" s="25"/>
    </row>
    <row r="902">
      <c r="AH902" s="25"/>
      <c r="AI902" s="25"/>
    </row>
    <row r="903">
      <c r="AH903" s="25"/>
      <c r="AI903" s="25"/>
    </row>
    <row r="904">
      <c r="AH904" s="25"/>
      <c r="AI904" s="25"/>
    </row>
    <row r="905">
      <c r="AH905" s="25"/>
      <c r="AI905" s="25"/>
    </row>
    <row r="906">
      <c r="AH906" s="25"/>
      <c r="AI906" s="25"/>
    </row>
    <row r="907">
      <c r="AH907" s="25"/>
      <c r="AI907" s="25"/>
    </row>
    <row r="909">
      <c r="AH909" s="25"/>
      <c r="AI909" s="25"/>
    </row>
    <row r="910">
      <c r="AH910" s="25"/>
      <c r="AI91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6.88"/>
    <col customWidth="1" min="21" max="21" width="18.13"/>
  </cols>
  <sheetData>
    <row r="1">
      <c r="A1" s="19" t="s">
        <v>259</v>
      </c>
      <c r="B1" s="19">
        <v>0.15031</v>
      </c>
      <c r="D1" s="19" t="s">
        <v>260</v>
      </c>
      <c r="G1" s="19" t="s">
        <v>261</v>
      </c>
      <c r="H1" s="19" t="s">
        <v>262</v>
      </c>
      <c r="I1" s="19" t="s">
        <v>263</v>
      </c>
      <c r="J1" s="19" t="s">
        <v>264</v>
      </c>
      <c r="K1" s="19" t="s">
        <v>265</v>
      </c>
      <c r="L1" s="19" t="s">
        <v>266</v>
      </c>
      <c r="M1" s="19" t="s">
        <v>267</v>
      </c>
      <c r="N1" s="19" t="s">
        <v>268</v>
      </c>
      <c r="O1" s="19" t="s">
        <v>269</v>
      </c>
      <c r="P1" s="19" t="s">
        <v>270</v>
      </c>
      <c r="R1" s="19" t="s">
        <v>260</v>
      </c>
      <c r="S1" s="19" t="s">
        <v>271</v>
      </c>
      <c r="T1" s="19" t="s">
        <v>272</v>
      </c>
      <c r="U1" s="19" t="s">
        <v>273</v>
      </c>
      <c r="V1" s="19" t="s">
        <v>274</v>
      </c>
      <c r="W1" s="19" t="s">
        <v>274</v>
      </c>
      <c r="X1" s="19" t="s">
        <v>250</v>
      </c>
      <c r="Y1" s="19" t="s">
        <v>275</v>
      </c>
      <c r="Z1" s="19" t="s">
        <v>276</v>
      </c>
    </row>
    <row r="2">
      <c r="A2" s="19" t="s">
        <v>277</v>
      </c>
      <c r="B2" s="19">
        <v>8.432E-8</v>
      </c>
      <c r="D2" s="15">
        <f>$B$1+($B$2)+($B$3)+($B$4)+($B$5)+($B$6)+($B$7)+($B$8)+($B$9)+($B$10)+($B$11)</f>
        <v>-0.1813205724</v>
      </c>
      <c r="G2" s="19">
        <v>1108436.85</v>
      </c>
      <c r="H2" s="19">
        <v>604692.31</v>
      </c>
      <c r="I2" s="19">
        <v>662350.79</v>
      </c>
      <c r="J2" s="19">
        <v>12.62</v>
      </c>
      <c r="K2" s="19">
        <v>0.34</v>
      </c>
      <c r="L2" s="19">
        <v>13.27</v>
      </c>
      <c r="M2" s="19">
        <v>1.04</v>
      </c>
      <c r="N2" s="19">
        <v>7.34</v>
      </c>
      <c r="O2" s="19">
        <v>2.85</v>
      </c>
      <c r="P2" s="19">
        <v>128.16</v>
      </c>
      <c r="R2" s="15">
        <f>$B$1+($B$2)+($B$3)+($B$4)+($B$5)+($B$6)+($B$7)+($B$8)+($B$9)+($B$10)+($B$11)</f>
        <v>-0.1813205724</v>
      </c>
      <c r="S2" s="15">
        <f t="shared" ref="S2:S183" si="1">$B$1+($B$2*G2)+($B$3*H2)+($B$4*I2)+($B$5*J2)+($B$6*K2)+($B$7*L2)+($B$8*M2)+($B$9*N2)+($B$10*O2)+($B$11*P2)</f>
        <v>-1.888565451</v>
      </c>
      <c r="T2" s="15">
        <f t="shared" ref="T2:T183" si="2">NORMSDIST(S2)</f>
        <v>0.02947504001</v>
      </c>
      <c r="V2" s="15">
        <f t="shared" ref="V2:V183" si="3">if(T2&gt;=0.5,1,0)</f>
        <v>0</v>
      </c>
      <c r="W2" s="15">
        <v>0.0</v>
      </c>
      <c r="X2" s="19">
        <v>0.0</v>
      </c>
      <c r="Y2" s="15">
        <f t="shared" ref="Y2:Y4" si="4">if(W2=X2,1,0)</f>
        <v>1</v>
      </c>
      <c r="Z2" s="19">
        <v>1.0</v>
      </c>
    </row>
    <row r="3">
      <c r="A3" s="19" t="s">
        <v>278</v>
      </c>
      <c r="B3" s="19">
        <v>4.124E-8</v>
      </c>
      <c r="G3" s="19">
        <v>1967716.04</v>
      </c>
      <c r="H3" s="19">
        <v>244397.24</v>
      </c>
      <c r="I3" s="19">
        <v>2208969.73</v>
      </c>
      <c r="J3" s="19">
        <v>3.61</v>
      </c>
      <c r="K3" s="19">
        <v>0.98</v>
      </c>
      <c r="L3" s="19">
        <v>4.22</v>
      </c>
      <c r="M3" s="19">
        <v>0.78</v>
      </c>
      <c r="N3" s="19">
        <v>75.77</v>
      </c>
      <c r="O3" s="19">
        <v>6.36</v>
      </c>
      <c r="P3" s="19">
        <v>57.37</v>
      </c>
      <c r="S3" s="15">
        <f t="shared" si="1"/>
        <v>-2.278073754</v>
      </c>
      <c r="T3" s="15">
        <f t="shared" si="2"/>
        <v>0.01136109185</v>
      </c>
      <c r="V3" s="15">
        <f t="shared" si="3"/>
        <v>0</v>
      </c>
      <c r="W3" s="15">
        <v>0.0</v>
      </c>
      <c r="X3" s="19">
        <v>0.0</v>
      </c>
      <c r="Y3" s="15">
        <f t="shared" si="4"/>
        <v>1</v>
      </c>
      <c r="Z3" s="19">
        <v>1.0</v>
      </c>
    </row>
    <row r="4">
      <c r="A4" s="19" t="s">
        <v>279</v>
      </c>
      <c r="B4" s="19">
        <v>-6.9796E-7</v>
      </c>
      <c r="G4" s="19">
        <v>1032348.63</v>
      </c>
      <c r="H4" s="19">
        <v>150000.0</v>
      </c>
      <c r="I4" s="19">
        <v>1884243.36</v>
      </c>
      <c r="J4" s="19">
        <v>4.58</v>
      </c>
      <c r="K4" s="19">
        <v>1.89</v>
      </c>
      <c r="L4" s="19">
        <v>3.32</v>
      </c>
      <c r="M4" s="19">
        <v>0.42</v>
      </c>
      <c r="N4" s="19">
        <v>40.53</v>
      </c>
      <c r="O4" s="19">
        <v>28.13</v>
      </c>
      <c r="P4" s="19">
        <v>12.98</v>
      </c>
      <c r="S4" s="15">
        <f t="shared" si="1"/>
        <v>-4.366622759</v>
      </c>
      <c r="T4" s="15">
        <f t="shared" si="2"/>
        <v>0.000006309119137</v>
      </c>
      <c r="V4" s="15">
        <f t="shared" si="3"/>
        <v>0</v>
      </c>
      <c r="W4" s="15">
        <v>0.0</v>
      </c>
      <c r="X4" s="19">
        <v>0.0</v>
      </c>
      <c r="Y4" s="15">
        <f t="shared" si="4"/>
        <v>1</v>
      </c>
      <c r="Z4" s="19">
        <v>1.0</v>
      </c>
    </row>
    <row r="5">
      <c r="A5" s="19" t="s">
        <v>280</v>
      </c>
      <c r="B5" s="19">
        <v>-0.06735</v>
      </c>
      <c r="G5" s="19">
        <v>3551406.37</v>
      </c>
      <c r="H5" s="19">
        <v>158205.58</v>
      </c>
      <c r="I5" s="19">
        <v>-203876.35</v>
      </c>
      <c r="J5" s="19">
        <v>6.52</v>
      </c>
      <c r="K5" s="19">
        <v>30.08</v>
      </c>
      <c r="L5" s="19">
        <v>0.57</v>
      </c>
      <c r="M5" s="19" t="s">
        <v>46</v>
      </c>
      <c r="N5" s="19" t="s">
        <v>46</v>
      </c>
      <c r="O5" s="19" t="s">
        <v>46</v>
      </c>
      <c r="P5" s="19" t="s">
        <v>46</v>
      </c>
      <c r="S5" s="15" t="str">
        <f t="shared" si="1"/>
        <v>#VALUE!</v>
      </c>
      <c r="T5" s="15" t="str">
        <f t="shared" si="2"/>
        <v>#VALUE!</v>
      </c>
      <c r="V5" s="15" t="str">
        <f t="shared" si="3"/>
        <v>#VALUE!</v>
      </c>
      <c r="Z5" s="19">
        <v>1.0</v>
      </c>
    </row>
    <row r="6">
      <c r="A6" s="19" t="s">
        <v>281</v>
      </c>
      <c r="B6" s="19">
        <v>0.05357</v>
      </c>
      <c r="G6" s="19">
        <v>1454046.22</v>
      </c>
      <c r="H6" s="19">
        <v>362999.96</v>
      </c>
      <c r="I6" s="19">
        <v>1597305.33</v>
      </c>
      <c r="J6" s="19">
        <v>7.62</v>
      </c>
      <c r="K6" s="19">
        <v>1.13</v>
      </c>
      <c r="L6" s="19">
        <v>13.9</v>
      </c>
      <c r="M6" s="19">
        <v>0.66</v>
      </c>
      <c r="N6" s="19">
        <v>82.36</v>
      </c>
      <c r="O6" s="19">
        <v>5.6</v>
      </c>
      <c r="P6" s="19">
        <v>65.19</v>
      </c>
      <c r="S6" s="15">
        <f t="shared" si="1"/>
        <v>-2.245360733</v>
      </c>
      <c r="T6" s="15">
        <f t="shared" si="2"/>
        <v>0.01237249206</v>
      </c>
      <c r="V6" s="15">
        <f t="shared" si="3"/>
        <v>0</v>
      </c>
      <c r="W6" s="15">
        <v>0.0</v>
      </c>
      <c r="X6" s="19">
        <v>0.0</v>
      </c>
      <c r="Y6" s="15">
        <f>if(W6=X6,1,0)</f>
        <v>1</v>
      </c>
      <c r="Z6" s="19">
        <v>1.0</v>
      </c>
    </row>
    <row r="7">
      <c r="A7" s="19" t="s">
        <v>282</v>
      </c>
      <c r="B7" s="19">
        <v>-0.02046</v>
      </c>
      <c r="G7" s="19">
        <v>649617.01</v>
      </c>
      <c r="H7" s="28">
        <v>80000.0</v>
      </c>
      <c r="I7" s="19">
        <v>402116.89</v>
      </c>
      <c r="J7" s="19">
        <v>27.31</v>
      </c>
      <c r="K7" s="19">
        <v>0.18</v>
      </c>
      <c r="L7" s="19">
        <v>335.6</v>
      </c>
      <c r="M7" s="19">
        <v>6.73</v>
      </c>
      <c r="N7" s="19">
        <v>76.71</v>
      </c>
      <c r="O7" s="19">
        <v>4.34</v>
      </c>
      <c r="P7" s="19">
        <v>84.16</v>
      </c>
      <c r="S7" s="15">
        <f t="shared" si="1"/>
        <v>-10.5026881</v>
      </c>
      <c r="T7" s="15">
        <f t="shared" si="2"/>
        <v>0</v>
      </c>
      <c r="V7" s="15">
        <f t="shared" si="3"/>
        <v>0</v>
      </c>
    </row>
    <row r="8">
      <c r="A8" s="19" t="s">
        <v>283</v>
      </c>
      <c r="B8" s="19">
        <v>-0.19202</v>
      </c>
      <c r="G8" s="19">
        <v>2311539.48</v>
      </c>
      <c r="H8" s="19">
        <v>400000.0</v>
      </c>
      <c r="I8" s="19">
        <v>98483.9</v>
      </c>
      <c r="J8" s="19">
        <v>4.43</v>
      </c>
      <c r="K8" s="19">
        <v>3.36</v>
      </c>
      <c r="L8" s="19">
        <v>2.86</v>
      </c>
      <c r="M8" s="19">
        <v>0.06</v>
      </c>
      <c r="N8" s="19" t="s">
        <v>46</v>
      </c>
      <c r="O8" s="19" t="s">
        <v>46</v>
      </c>
      <c r="P8" s="19" t="s">
        <v>46</v>
      </c>
      <c r="S8" s="15" t="str">
        <f t="shared" si="1"/>
        <v>#VALUE!</v>
      </c>
      <c r="T8" s="15" t="str">
        <f t="shared" si="2"/>
        <v>#VALUE!</v>
      </c>
      <c r="V8" s="15" t="str">
        <f t="shared" si="3"/>
        <v>#VALUE!</v>
      </c>
    </row>
    <row r="9">
      <c r="A9" s="19" t="s">
        <v>284</v>
      </c>
      <c r="B9" s="19">
        <v>0.00106</v>
      </c>
      <c r="G9" s="19">
        <v>1.022286962E7</v>
      </c>
      <c r="H9" s="19">
        <v>1578719.63</v>
      </c>
      <c r="I9" s="19">
        <v>874909.54</v>
      </c>
      <c r="J9" s="19">
        <v>3.1</v>
      </c>
      <c r="K9" s="19">
        <v>1.24</v>
      </c>
      <c r="L9" s="19">
        <v>2.05</v>
      </c>
      <c r="M9" s="19">
        <v>0.14</v>
      </c>
      <c r="P9" s="19" t="s">
        <v>46</v>
      </c>
      <c r="S9" s="15" t="str">
        <f t="shared" si="1"/>
        <v>#VALUE!</v>
      </c>
      <c r="T9" s="15" t="str">
        <f t="shared" si="2"/>
        <v>#VALUE!</v>
      </c>
      <c r="V9" s="15" t="str">
        <f t="shared" si="3"/>
        <v>#VALUE!</v>
      </c>
    </row>
    <row r="10">
      <c r="A10" s="19" t="s">
        <v>285</v>
      </c>
      <c r="B10" s="19">
        <v>-0.10566</v>
      </c>
      <c r="G10" s="19">
        <v>724224.85</v>
      </c>
      <c r="H10" s="19">
        <v>202000.0</v>
      </c>
      <c r="I10" s="19">
        <v>344378.79</v>
      </c>
      <c r="J10" s="19">
        <v>8.51</v>
      </c>
      <c r="K10" s="19">
        <v>0.22</v>
      </c>
      <c r="L10" s="19">
        <v>12.64</v>
      </c>
      <c r="M10" s="19">
        <v>4.69</v>
      </c>
      <c r="N10" s="19">
        <v>101.92</v>
      </c>
      <c r="O10" s="19">
        <v>5.27</v>
      </c>
      <c r="P10" s="19">
        <v>69.27</v>
      </c>
      <c r="S10" s="15">
        <f t="shared" si="1"/>
        <v>-2.243337701</v>
      </c>
      <c r="T10" s="15">
        <f t="shared" si="2"/>
        <v>0.01243752298</v>
      </c>
      <c r="V10" s="15">
        <f t="shared" si="3"/>
        <v>0</v>
      </c>
      <c r="W10" s="15">
        <v>0.0</v>
      </c>
      <c r="X10" s="19">
        <v>0.0</v>
      </c>
      <c r="Y10" s="15">
        <f t="shared" ref="Y10:Y21" si="5">if(W10=X10,1,0)</f>
        <v>1</v>
      </c>
      <c r="Z10" s="19">
        <v>1.0</v>
      </c>
    </row>
    <row r="11">
      <c r="A11" s="19" t="s">
        <v>286</v>
      </c>
      <c r="B11" s="19">
        <v>-7.7E-4</v>
      </c>
      <c r="G11" s="19">
        <v>7899116.83</v>
      </c>
      <c r="H11" s="19">
        <v>671632.22</v>
      </c>
      <c r="I11" s="19">
        <v>1277985.35</v>
      </c>
      <c r="J11" s="19">
        <v>-1.06</v>
      </c>
      <c r="K11" s="19">
        <v>2.93</v>
      </c>
      <c r="L11" s="19">
        <v>-0.27</v>
      </c>
      <c r="M11" s="19">
        <v>0.05</v>
      </c>
      <c r="N11" s="19">
        <v>39.04</v>
      </c>
      <c r="O11" s="19">
        <v>1.38</v>
      </c>
      <c r="P11" s="19">
        <v>264.01</v>
      </c>
      <c r="S11" s="15">
        <f t="shared" si="1"/>
        <v>-0.131362811</v>
      </c>
      <c r="T11" s="15">
        <f t="shared" si="2"/>
        <v>0.4477441531</v>
      </c>
      <c r="V11" s="15">
        <f t="shared" si="3"/>
        <v>0</v>
      </c>
      <c r="W11" s="15">
        <v>0.0</v>
      </c>
      <c r="X11" s="19">
        <v>0.0</v>
      </c>
      <c r="Y11" s="15">
        <f t="shared" si="5"/>
        <v>1</v>
      </c>
      <c r="Z11" s="19">
        <v>1.0</v>
      </c>
    </row>
    <row r="12">
      <c r="G12" s="19">
        <v>937237.12</v>
      </c>
      <c r="H12" s="19">
        <v>301612.26</v>
      </c>
      <c r="I12" s="19">
        <v>466990.71</v>
      </c>
      <c r="J12" s="19">
        <v>4.25</v>
      </c>
      <c r="K12" s="19">
        <v>0.4</v>
      </c>
      <c r="L12" s="19">
        <v>793.49</v>
      </c>
      <c r="M12" s="19">
        <v>0.54</v>
      </c>
      <c r="N12" s="19">
        <v>7.03</v>
      </c>
      <c r="O12" s="19">
        <v>2.46</v>
      </c>
      <c r="P12" s="19">
        <v>148.15</v>
      </c>
      <c r="S12" s="15">
        <f t="shared" si="1"/>
        <v>-17.05401751</v>
      </c>
      <c r="T12" s="15">
        <f t="shared" si="2"/>
        <v>0</v>
      </c>
      <c r="V12" s="15">
        <f t="shared" si="3"/>
        <v>0</v>
      </c>
      <c r="W12" s="15">
        <v>0.0</v>
      </c>
      <c r="X12" s="19">
        <v>0.0</v>
      </c>
      <c r="Y12" s="15">
        <f t="shared" si="5"/>
        <v>1</v>
      </c>
      <c r="Z12" s="19">
        <v>1.0</v>
      </c>
    </row>
    <row r="13">
      <c r="G13" s="19">
        <v>4118537.29</v>
      </c>
      <c r="H13" s="19">
        <v>258958.39</v>
      </c>
      <c r="I13" s="19">
        <v>1876152.25</v>
      </c>
      <c r="J13" s="19">
        <v>5.9</v>
      </c>
      <c r="K13" s="19">
        <v>0.7</v>
      </c>
      <c r="L13" s="19">
        <v>5.55</v>
      </c>
      <c r="M13" s="19">
        <v>0.42</v>
      </c>
      <c r="N13" s="19">
        <v>31.04</v>
      </c>
      <c r="O13" s="19">
        <v>15.46</v>
      </c>
      <c r="P13" s="19">
        <v>23.62</v>
      </c>
      <c r="S13" s="15">
        <f t="shared" si="1"/>
        <v>-2.974070716</v>
      </c>
      <c r="T13" s="15">
        <f t="shared" si="2"/>
        <v>0.001469386699</v>
      </c>
      <c r="V13" s="15">
        <f t="shared" si="3"/>
        <v>0</v>
      </c>
      <c r="W13" s="15">
        <v>0.0</v>
      </c>
      <c r="X13" s="19">
        <v>0.0</v>
      </c>
      <c r="Y13" s="15">
        <f t="shared" si="5"/>
        <v>1</v>
      </c>
      <c r="Z13" s="19">
        <v>1.0</v>
      </c>
    </row>
    <row r="14">
      <c r="G14" s="19">
        <v>732921.86</v>
      </c>
      <c r="H14" s="19">
        <v>140000.0</v>
      </c>
      <c r="I14" s="19">
        <v>717042.21</v>
      </c>
      <c r="J14" s="19">
        <v>11.75</v>
      </c>
      <c r="K14" s="19">
        <v>1.05</v>
      </c>
      <c r="L14" s="19">
        <v>248.02</v>
      </c>
      <c r="M14" s="19">
        <v>1.49</v>
      </c>
      <c r="N14" s="19">
        <v>35.9</v>
      </c>
      <c r="O14" s="19">
        <v>4.11</v>
      </c>
      <c r="P14" s="19">
        <v>88.9</v>
      </c>
      <c r="S14" s="15">
        <f t="shared" si="1"/>
        <v>-6.84295781</v>
      </c>
      <c r="T14" s="15">
        <f t="shared" si="2"/>
        <v>0</v>
      </c>
      <c r="V14" s="15">
        <f t="shared" si="3"/>
        <v>0</v>
      </c>
      <c r="W14" s="15">
        <v>0.0</v>
      </c>
      <c r="X14" s="19">
        <v>0.0</v>
      </c>
      <c r="Y14" s="15">
        <f t="shared" si="5"/>
        <v>1</v>
      </c>
      <c r="Z14" s="19">
        <v>1.0</v>
      </c>
    </row>
    <row r="15">
      <c r="G15" s="19">
        <v>955393.48</v>
      </c>
      <c r="H15" s="19">
        <v>300000.0</v>
      </c>
      <c r="I15" s="19">
        <v>216243.81</v>
      </c>
      <c r="J15" s="19">
        <v>-3.02</v>
      </c>
      <c r="K15" s="19">
        <v>1.44</v>
      </c>
      <c r="L15" s="19">
        <v>-1.24</v>
      </c>
      <c r="M15" s="19">
        <v>0.02</v>
      </c>
      <c r="N15" s="19">
        <v>16.35</v>
      </c>
      <c r="O15" s="19">
        <v>1.86</v>
      </c>
      <c r="P15" s="19">
        <v>196.76</v>
      </c>
      <c r="S15" s="15">
        <f t="shared" si="1"/>
        <v>0.06367724861</v>
      </c>
      <c r="T15" s="15">
        <f t="shared" si="2"/>
        <v>0.5253863895</v>
      </c>
      <c r="V15" s="15">
        <f t="shared" si="3"/>
        <v>1</v>
      </c>
      <c r="W15" s="15">
        <v>1.0</v>
      </c>
      <c r="X15" s="19">
        <v>1.0</v>
      </c>
      <c r="Y15" s="15">
        <f t="shared" si="5"/>
        <v>1</v>
      </c>
      <c r="Z15" s="19">
        <v>1.0</v>
      </c>
    </row>
    <row r="16">
      <c r="G16" s="19">
        <v>257788.44</v>
      </c>
      <c r="H16" s="19">
        <v>116500.0</v>
      </c>
      <c r="I16" s="19">
        <v>163025.82</v>
      </c>
      <c r="J16" s="19">
        <v>2.44</v>
      </c>
      <c r="K16" s="19">
        <v>0.21</v>
      </c>
      <c r="L16" s="19">
        <v>-16.74</v>
      </c>
      <c r="M16" s="19">
        <v>4.59</v>
      </c>
      <c r="N16" s="19">
        <v>151.68</v>
      </c>
      <c r="O16" s="19">
        <v>4.03</v>
      </c>
      <c r="P16" s="19">
        <v>90.54</v>
      </c>
      <c r="S16" s="15">
        <f t="shared" si="1"/>
        <v>-0.9636348201</v>
      </c>
      <c r="T16" s="15">
        <f t="shared" si="2"/>
        <v>0.1676145216</v>
      </c>
      <c r="V16" s="15">
        <f t="shared" si="3"/>
        <v>0</v>
      </c>
      <c r="W16" s="15">
        <v>0.0</v>
      </c>
      <c r="X16" s="19">
        <v>0.0</v>
      </c>
      <c r="Y16" s="15">
        <f t="shared" si="5"/>
        <v>1</v>
      </c>
      <c r="Z16" s="19">
        <v>1.0</v>
      </c>
    </row>
    <row r="17">
      <c r="G17" s="19">
        <v>1596016.36</v>
      </c>
      <c r="H17" s="19">
        <v>256896.9</v>
      </c>
      <c r="I17" s="19">
        <v>911840.19</v>
      </c>
      <c r="J17" s="19">
        <v>10.9</v>
      </c>
      <c r="K17" s="19">
        <v>0.29</v>
      </c>
      <c r="L17" s="19">
        <v>26.77</v>
      </c>
      <c r="M17" s="19">
        <v>1.38</v>
      </c>
      <c r="N17" s="19">
        <v>107.6</v>
      </c>
      <c r="O17" s="19">
        <v>10.24</v>
      </c>
      <c r="P17" s="19">
        <v>35.65</v>
      </c>
      <c r="S17" s="15">
        <f t="shared" si="1"/>
        <v>-2.867581851</v>
      </c>
      <c r="T17" s="15">
        <f t="shared" si="2"/>
        <v>0.00206810899</v>
      </c>
      <c r="V17" s="15">
        <f t="shared" si="3"/>
        <v>0</v>
      </c>
      <c r="W17" s="15">
        <v>0.0</v>
      </c>
      <c r="X17" s="19">
        <v>0.0</v>
      </c>
      <c r="Y17" s="15">
        <f t="shared" si="5"/>
        <v>1</v>
      </c>
      <c r="Z17" s="19">
        <v>1.0</v>
      </c>
    </row>
    <row r="18">
      <c r="G18" s="19">
        <v>597920.99</v>
      </c>
      <c r="H18" s="19">
        <v>93599.98</v>
      </c>
      <c r="I18" s="19">
        <v>127830.83</v>
      </c>
      <c r="J18" s="19">
        <v>4.44</v>
      </c>
      <c r="K18" s="19">
        <v>0.96</v>
      </c>
      <c r="L18" s="19">
        <v>6.79</v>
      </c>
      <c r="M18" s="19">
        <v>3.64</v>
      </c>
      <c r="N18" s="19">
        <v>164.55</v>
      </c>
      <c r="O18" s="19">
        <v>1.98</v>
      </c>
      <c r="P18" s="19">
        <v>184.03</v>
      </c>
      <c r="S18" s="15">
        <f t="shared" si="1"/>
        <v>-1.146603945</v>
      </c>
      <c r="T18" s="15">
        <f t="shared" si="2"/>
        <v>0.1257726726</v>
      </c>
      <c r="V18" s="15">
        <f t="shared" si="3"/>
        <v>0</v>
      </c>
      <c r="W18" s="15">
        <v>0.0</v>
      </c>
      <c r="X18" s="19">
        <v>0.0</v>
      </c>
      <c r="Y18" s="15">
        <f t="shared" si="5"/>
        <v>1</v>
      </c>
      <c r="Z18" s="19">
        <v>1.0</v>
      </c>
    </row>
    <row r="19">
      <c r="G19" s="19">
        <v>1103537.23</v>
      </c>
      <c r="H19" s="19">
        <v>170577.51</v>
      </c>
      <c r="I19" s="19">
        <v>441655.41</v>
      </c>
      <c r="J19" s="19">
        <v>5.6</v>
      </c>
      <c r="K19" s="19">
        <v>1.22</v>
      </c>
      <c r="L19" s="19">
        <v>3.92</v>
      </c>
      <c r="M19" s="19">
        <v>0.6</v>
      </c>
      <c r="N19" s="19">
        <v>50.09</v>
      </c>
      <c r="O19" s="19">
        <v>8.8</v>
      </c>
      <c r="P19" s="19">
        <v>41.47</v>
      </c>
      <c r="S19" s="15">
        <f t="shared" si="1"/>
        <v>-1.473727234</v>
      </c>
      <c r="T19" s="15">
        <f t="shared" si="2"/>
        <v>0.07027752353</v>
      </c>
      <c r="V19" s="15">
        <f t="shared" si="3"/>
        <v>0</v>
      </c>
      <c r="W19" s="15">
        <v>0.0</v>
      </c>
      <c r="X19" s="19">
        <v>0.0</v>
      </c>
      <c r="Y19" s="15">
        <f t="shared" si="5"/>
        <v>1</v>
      </c>
      <c r="Z19" s="19">
        <v>1.0</v>
      </c>
    </row>
    <row r="20">
      <c r="G20" s="19">
        <v>1131991.76</v>
      </c>
      <c r="H20" s="19">
        <v>81562.36</v>
      </c>
      <c r="I20" s="19">
        <v>613611.07</v>
      </c>
      <c r="J20" s="19">
        <v>1.25</v>
      </c>
      <c r="K20" s="19">
        <v>0.4</v>
      </c>
      <c r="L20" s="19">
        <v>1.32</v>
      </c>
      <c r="M20" s="19">
        <v>1.72</v>
      </c>
      <c r="N20" s="19">
        <v>9.23</v>
      </c>
      <c r="O20" s="19">
        <v>3.89</v>
      </c>
      <c r="P20" s="19">
        <v>93.73</v>
      </c>
      <c r="S20" s="15">
        <f t="shared" si="1"/>
        <v>-1.072599605</v>
      </c>
      <c r="T20" s="15">
        <f t="shared" si="2"/>
        <v>0.1417254009</v>
      </c>
      <c r="V20" s="15">
        <f t="shared" si="3"/>
        <v>0</v>
      </c>
      <c r="W20" s="15">
        <v>0.0</v>
      </c>
      <c r="X20" s="19">
        <v>0.0</v>
      </c>
      <c r="Y20" s="15">
        <f t="shared" si="5"/>
        <v>1</v>
      </c>
      <c r="Z20" s="19">
        <v>1.0</v>
      </c>
    </row>
    <row r="21">
      <c r="G21" s="19">
        <v>1825551.23</v>
      </c>
      <c r="H21" s="19">
        <v>137500.0</v>
      </c>
      <c r="I21" s="19">
        <v>556554.05</v>
      </c>
      <c r="J21" s="19">
        <v>19.15</v>
      </c>
      <c r="K21" s="19">
        <v>2.38</v>
      </c>
      <c r="L21" s="19">
        <v>14.96</v>
      </c>
      <c r="M21" s="19">
        <v>1.51</v>
      </c>
      <c r="N21" s="19">
        <v>48.59</v>
      </c>
      <c r="O21" s="19">
        <v>1.11</v>
      </c>
      <c r="P21" s="19">
        <v>329.3</v>
      </c>
      <c r="S21" s="15">
        <f t="shared" si="1"/>
        <v>-2.156167385</v>
      </c>
      <c r="T21" s="15">
        <f t="shared" si="2"/>
        <v>0.01553529864</v>
      </c>
      <c r="V21" s="15">
        <f t="shared" si="3"/>
        <v>0</v>
      </c>
      <c r="W21" s="15">
        <v>0.0</v>
      </c>
      <c r="X21" s="19">
        <v>0.0</v>
      </c>
      <c r="Y21" s="15">
        <f t="shared" si="5"/>
        <v>1</v>
      </c>
      <c r="Z21" s="19">
        <v>1.0</v>
      </c>
    </row>
    <row r="22">
      <c r="G22" s="19">
        <v>650996.93</v>
      </c>
      <c r="H22" s="19">
        <v>50000.0</v>
      </c>
      <c r="I22" s="19">
        <v>229265.08</v>
      </c>
      <c r="J22" s="19">
        <v>19.75</v>
      </c>
      <c r="K22" s="19">
        <v>0.2</v>
      </c>
      <c r="L22" s="19">
        <v>141.23</v>
      </c>
      <c r="M22" s="19">
        <v>5.56</v>
      </c>
      <c r="N22" s="19">
        <v>63.77</v>
      </c>
      <c r="O22" s="19">
        <v>2.28</v>
      </c>
      <c r="P22" s="19">
        <v>160.16</v>
      </c>
      <c r="S22" s="15">
        <f t="shared" si="1"/>
        <v>-5.526031094</v>
      </c>
      <c r="T22" s="15">
        <f t="shared" si="2"/>
        <v>0.00000001637780533</v>
      </c>
      <c r="V22" s="15">
        <f t="shared" si="3"/>
        <v>0</v>
      </c>
    </row>
    <row r="23">
      <c r="G23" s="19">
        <v>4022200.15</v>
      </c>
      <c r="H23" s="19">
        <v>507000.0</v>
      </c>
      <c r="I23" s="19">
        <v>330168.05</v>
      </c>
      <c r="J23" s="19">
        <v>-2.66</v>
      </c>
      <c r="K23" s="19">
        <v>5.77</v>
      </c>
      <c r="L23" s="19">
        <v>-0.74</v>
      </c>
      <c r="M23" s="19">
        <v>0.56</v>
      </c>
      <c r="N23" s="19">
        <v>197.99</v>
      </c>
      <c r="O23" s="19">
        <v>0.52</v>
      </c>
      <c r="P23" s="19">
        <v>702.73</v>
      </c>
      <c r="S23" s="15">
        <f t="shared" si="1"/>
        <v>0.2896097045</v>
      </c>
      <c r="T23" s="15">
        <f t="shared" si="2"/>
        <v>0.613942579</v>
      </c>
      <c r="V23" s="15">
        <f t="shared" si="3"/>
        <v>1</v>
      </c>
      <c r="W23" s="15">
        <v>1.0</v>
      </c>
      <c r="X23" s="19">
        <v>0.0</v>
      </c>
      <c r="Y23" s="15">
        <f>if(W23=X23,1,0)</f>
        <v>0</v>
      </c>
      <c r="Z23" s="19">
        <v>1.0</v>
      </c>
    </row>
    <row r="24">
      <c r="G24" s="19">
        <v>761467.15</v>
      </c>
      <c r="H24" s="19">
        <v>100000.0</v>
      </c>
      <c r="I24" s="19">
        <v>294966.39</v>
      </c>
      <c r="J24" s="19">
        <v>16.17</v>
      </c>
      <c r="K24" s="19">
        <v>0.23</v>
      </c>
      <c r="L24" s="19">
        <v>43.43</v>
      </c>
      <c r="M24" s="19">
        <v>6.73</v>
      </c>
      <c r="N24" s="19">
        <v>44.86</v>
      </c>
      <c r="O24" s="19">
        <v>2.78</v>
      </c>
      <c r="P24" s="19">
        <v>131.08</v>
      </c>
      <c r="S24" s="15">
        <f t="shared" si="1"/>
        <v>-3.591949431</v>
      </c>
      <c r="T24" s="15">
        <f t="shared" si="2"/>
        <v>0.0001641067739</v>
      </c>
      <c r="V24" s="15">
        <f t="shared" si="3"/>
        <v>0</v>
      </c>
    </row>
    <row r="25">
      <c r="G25" s="19">
        <v>1013030.3</v>
      </c>
      <c r="H25" s="19">
        <v>181759.95</v>
      </c>
      <c r="I25" s="19">
        <v>355734.58</v>
      </c>
      <c r="J25" s="19">
        <v>-0.29</v>
      </c>
      <c r="K25" s="19">
        <v>1.56</v>
      </c>
      <c r="L25" s="19">
        <v>-0.16</v>
      </c>
      <c r="M25" s="19">
        <v>1.41</v>
      </c>
      <c r="N25" s="19">
        <v>25.45</v>
      </c>
      <c r="O25" s="19">
        <v>7.6</v>
      </c>
      <c r="P25" s="19">
        <v>48.0</v>
      </c>
      <c r="S25" s="15">
        <f t="shared" si="1"/>
        <v>-0.9824369122</v>
      </c>
      <c r="T25" s="15">
        <f t="shared" si="2"/>
        <v>0.1629423245</v>
      </c>
      <c r="V25" s="15">
        <f t="shared" si="3"/>
        <v>0</v>
      </c>
      <c r="W25" s="15">
        <v>0.0</v>
      </c>
      <c r="X25" s="19">
        <v>1.0</v>
      </c>
      <c r="Y25" s="15">
        <f t="shared" ref="Y25:Y26" si="6">if(W25=X25,1,0)</f>
        <v>0</v>
      </c>
      <c r="Z25" s="19">
        <v>1.0</v>
      </c>
    </row>
    <row r="26">
      <c r="G26" s="19">
        <v>1807811.32</v>
      </c>
      <c r="H26" s="19">
        <v>200000.0</v>
      </c>
      <c r="I26" s="19">
        <v>2383636.41</v>
      </c>
      <c r="J26" s="19">
        <v>28.67</v>
      </c>
      <c r="K26" s="19">
        <v>1.15</v>
      </c>
      <c r="L26" s="19">
        <v>22.74</v>
      </c>
      <c r="M26" s="19">
        <v>1.58</v>
      </c>
      <c r="N26" s="19">
        <v>53.23</v>
      </c>
      <c r="O26" s="19">
        <v>3.41</v>
      </c>
      <c r="P26" s="19">
        <v>107.1</v>
      </c>
      <c r="S26" s="15">
        <f t="shared" si="1"/>
        <v>-4.377005018</v>
      </c>
      <c r="T26" s="15">
        <f t="shared" si="2"/>
        <v>0.00000601606026</v>
      </c>
      <c r="V26" s="15">
        <f t="shared" si="3"/>
        <v>0</v>
      </c>
      <c r="W26" s="15">
        <v>0.0</v>
      </c>
      <c r="X26" s="19">
        <v>0.0</v>
      </c>
      <c r="Y26" s="15">
        <f t="shared" si="6"/>
        <v>1</v>
      </c>
      <c r="Z26" s="19">
        <v>1.0</v>
      </c>
    </row>
    <row r="27">
      <c r="G27" s="19">
        <v>1342117.11</v>
      </c>
      <c r="H27" s="19">
        <v>235945.88</v>
      </c>
      <c r="I27" s="19">
        <v>1050542.1</v>
      </c>
      <c r="J27" s="19">
        <v>6.32</v>
      </c>
      <c r="K27" s="19">
        <v>0.71</v>
      </c>
      <c r="L27" s="19">
        <v>6.97</v>
      </c>
      <c r="M27" s="19">
        <v>0.57</v>
      </c>
      <c r="N27" s="19">
        <v>64.36</v>
      </c>
      <c r="O27" s="19">
        <v>4.2</v>
      </c>
      <c r="P27" s="19">
        <v>86.88</v>
      </c>
      <c r="S27" s="15">
        <f t="shared" si="1"/>
        <v>-1.542151541</v>
      </c>
      <c r="T27" s="15">
        <f t="shared" si="2"/>
        <v>0.0615183863</v>
      </c>
      <c r="V27" s="15">
        <f t="shared" si="3"/>
        <v>0</v>
      </c>
    </row>
    <row r="28">
      <c r="G28" s="19">
        <v>1045498.75</v>
      </c>
      <c r="H28" s="19">
        <v>82050.55</v>
      </c>
      <c r="I28" s="19">
        <v>374547.64</v>
      </c>
      <c r="J28" s="19">
        <v>26.73</v>
      </c>
      <c r="K28" s="19">
        <v>0.38</v>
      </c>
      <c r="L28" s="19">
        <v>167.63</v>
      </c>
      <c r="M28" s="19">
        <v>1.07</v>
      </c>
      <c r="N28" s="19">
        <v>68.75</v>
      </c>
      <c r="O28" s="19">
        <v>1.26</v>
      </c>
      <c r="P28" s="19">
        <v>289.81</v>
      </c>
      <c r="S28" s="15">
        <f t="shared" si="1"/>
        <v>-5.718059452</v>
      </c>
      <c r="T28" s="15">
        <f t="shared" si="2"/>
        <v>0.000000005387372326</v>
      </c>
      <c r="V28" s="15">
        <f t="shared" si="3"/>
        <v>0</v>
      </c>
      <c r="W28" s="15">
        <v>0.0</v>
      </c>
      <c r="X28" s="19">
        <v>0.0</v>
      </c>
      <c r="Y28" s="15">
        <f t="shared" ref="Y28:Y39" si="7">if(W28=X28,1,0)</f>
        <v>1</v>
      </c>
      <c r="Z28" s="19">
        <v>1.0</v>
      </c>
    </row>
    <row r="29">
      <c r="G29" s="19">
        <v>3902909.96</v>
      </c>
      <c r="H29" s="19">
        <v>1031660.15</v>
      </c>
      <c r="I29" s="19">
        <v>413540.51</v>
      </c>
      <c r="J29" s="19">
        <v>15.79</v>
      </c>
      <c r="K29" s="19">
        <v>0.17</v>
      </c>
      <c r="L29" s="19">
        <v>61.89</v>
      </c>
      <c r="M29" s="19">
        <v>1.38</v>
      </c>
      <c r="N29" s="19">
        <v>90.96</v>
      </c>
      <c r="O29" s="19">
        <v>3.05</v>
      </c>
      <c r="P29" s="19">
        <v>119.78</v>
      </c>
      <c r="S29" s="15">
        <f t="shared" si="1"/>
        <v>-2.670368302</v>
      </c>
      <c r="T29" s="15">
        <f t="shared" si="2"/>
        <v>0.003788404395</v>
      </c>
      <c r="V29" s="15">
        <f t="shared" si="3"/>
        <v>0</v>
      </c>
      <c r="W29" s="15">
        <v>0.0</v>
      </c>
      <c r="X29" s="19">
        <v>0.0</v>
      </c>
      <c r="Y29" s="15">
        <f t="shared" si="7"/>
        <v>1</v>
      </c>
      <c r="Z29" s="19">
        <v>1.0</v>
      </c>
    </row>
    <row r="30">
      <c r="G30" s="19">
        <v>1576424.74</v>
      </c>
      <c r="H30" s="19">
        <v>213050.62</v>
      </c>
      <c r="I30" s="19">
        <v>664208.84</v>
      </c>
      <c r="J30" s="19">
        <v>-2.96</v>
      </c>
      <c r="K30" s="19">
        <v>2.28</v>
      </c>
      <c r="L30" s="19">
        <v>-1.42</v>
      </c>
      <c r="M30" s="19">
        <v>0.16</v>
      </c>
      <c r="N30" s="19">
        <v>55.74</v>
      </c>
      <c r="O30" s="19">
        <v>3.39</v>
      </c>
      <c r="P30" s="19">
        <v>107.82</v>
      </c>
      <c r="S30" s="15">
        <f t="shared" si="1"/>
        <v>-0.2338696603</v>
      </c>
      <c r="T30" s="15">
        <f t="shared" si="2"/>
        <v>0.4075430838</v>
      </c>
      <c r="V30" s="15">
        <f t="shared" si="3"/>
        <v>0</v>
      </c>
      <c r="W30" s="15">
        <v>0.0</v>
      </c>
      <c r="X30" s="19">
        <v>0.0</v>
      </c>
      <c r="Y30" s="15">
        <f t="shared" si="7"/>
        <v>1</v>
      </c>
      <c r="Z30" s="19">
        <v>1.0</v>
      </c>
    </row>
    <row r="31">
      <c r="G31" s="19">
        <v>1651713.53</v>
      </c>
      <c r="H31" s="19">
        <v>378000.0</v>
      </c>
      <c r="I31" s="19">
        <v>1398178.25</v>
      </c>
      <c r="J31" s="19">
        <v>-7.32</v>
      </c>
      <c r="K31" s="19">
        <v>0.64</v>
      </c>
      <c r="L31" s="19">
        <v>-8.95</v>
      </c>
      <c r="M31" s="19">
        <v>0.4</v>
      </c>
      <c r="N31" s="19">
        <v>62.49</v>
      </c>
      <c r="O31" s="19">
        <v>8.55</v>
      </c>
      <c r="P31" s="19">
        <v>42.71</v>
      </c>
      <c r="S31" s="15">
        <f t="shared" si="1"/>
        <v>-0.9071457865</v>
      </c>
      <c r="T31" s="15">
        <f t="shared" si="2"/>
        <v>0.1821648541</v>
      </c>
      <c r="V31" s="15">
        <f t="shared" si="3"/>
        <v>0</v>
      </c>
      <c r="W31" s="15">
        <v>0.0</v>
      </c>
      <c r="X31" s="19">
        <v>0.0</v>
      </c>
      <c r="Y31" s="15">
        <f t="shared" si="7"/>
        <v>1</v>
      </c>
      <c r="Z31" s="19">
        <v>1.0</v>
      </c>
    </row>
    <row r="32">
      <c r="G32" s="19">
        <v>1972523.51</v>
      </c>
      <c r="H32" s="19">
        <v>146999.88</v>
      </c>
      <c r="I32" s="19">
        <v>1994775.39</v>
      </c>
      <c r="J32" s="19">
        <v>11.21</v>
      </c>
      <c r="K32" s="19">
        <v>1.98</v>
      </c>
      <c r="L32" s="19">
        <v>6.78</v>
      </c>
      <c r="M32" s="19">
        <v>0.5</v>
      </c>
      <c r="N32" s="19">
        <v>43.99</v>
      </c>
      <c r="O32" s="19">
        <v>5.91</v>
      </c>
      <c r="P32" s="19">
        <v>61.8</v>
      </c>
      <c r="S32" s="15">
        <f t="shared" si="1"/>
        <v>-2.578638874</v>
      </c>
      <c r="T32" s="15">
        <f t="shared" si="2"/>
        <v>0.004959521039</v>
      </c>
      <c r="V32" s="15">
        <f t="shared" si="3"/>
        <v>0</v>
      </c>
      <c r="W32" s="15">
        <v>0.0</v>
      </c>
      <c r="X32" s="19">
        <v>0.0</v>
      </c>
      <c r="Y32" s="15">
        <f t="shared" si="7"/>
        <v>1</v>
      </c>
      <c r="Z32" s="19">
        <v>1.0</v>
      </c>
    </row>
    <row r="33">
      <c r="G33" s="19">
        <v>6760268.15</v>
      </c>
      <c r="H33" s="19">
        <v>1275027.88</v>
      </c>
      <c r="I33" s="19">
        <v>1956881.07</v>
      </c>
      <c r="J33" s="19">
        <v>2.52</v>
      </c>
      <c r="K33" s="19">
        <v>2.55</v>
      </c>
      <c r="L33" s="19">
        <v>2.17</v>
      </c>
      <c r="M33" s="19">
        <v>0.2</v>
      </c>
      <c r="N33" s="19">
        <v>4.9</v>
      </c>
      <c r="O33" s="19">
        <v>3.69</v>
      </c>
      <c r="P33" s="19">
        <v>99.01</v>
      </c>
      <c r="S33" s="15">
        <f t="shared" si="1"/>
        <v>-1.169756551</v>
      </c>
      <c r="T33" s="15">
        <f t="shared" si="2"/>
        <v>0.1210494765</v>
      </c>
      <c r="V33" s="15">
        <f t="shared" si="3"/>
        <v>0</v>
      </c>
      <c r="W33" s="15">
        <v>0.0</v>
      </c>
      <c r="X33" s="19">
        <v>0.0</v>
      </c>
      <c r="Y33" s="15">
        <f t="shared" si="7"/>
        <v>1</v>
      </c>
      <c r="Z33" s="19">
        <v>1.0</v>
      </c>
    </row>
    <row r="34">
      <c r="G34" s="19">
        <v>3221703.0</v>
      </c>
      <c r="H34" s="19">
        <v>448877.0</v>
      </c>
      <c r="I34" s="19">
        <v>709547.0</v>
      </c>
      <c r="J34" s="19">
        <v>-8.46</v>
      </c>
      <c r="K34" s="19">
        <v>2.66</v>
      </c>
      <c r="L34" s="19">
        <v>-1.29</v>
      </c>
      <c r="M34" s="19">
        <v>0.11</v>
      </c>
      <c r="N34" s="19">
        <v>187.92</v>
      </c>
      <c r="O34" s="19">
        <v>1.98</v>
      </c>
      <c r="P34" s="19">
        <v>183.97</v>
      </c>
      <c r="S34" s="15">
        <f t="shared" si="1"/>
        <v>0.5111201603</v>
      </c>
      <c r="T34" s="15">
        <f t="shared" si="2"/>
        <v>0.69536654</v>
      </c>
      <c r="V34" s="15">
        <f t="shared" si="3"/>
        <v>1</v>
      </c>
      <c r="W34" s="15">
        <v>1.0</v>
      </c>
      <c r="X34" s="19">
        <v>0.0</v>
      </c>
      <c r="Y34" s="15">
        <f t="shared" si="7"/>
        <v>0</v>
      </c>
      <c r="Z34" s="19">
        <v>1.0</v>
      </c>
    </row>
    <row r="35">
      <c r="G35" s="19">
        <v>9898990.09</v>
      </c>
      <c r="H35" s="19">
        <v>800000.0</v>
      </c>
      <c r="I35" s="19">
        <v>333634.4</v>
      </c>
      <c r="J35" s="19">
        <v>0.24</v>
      </c>
      <c r="K35" s="19">
        <v>11.13</v>
      </c>
      <c r="L35" s="19">
        <v>0.14</v>
      </c>
      <c r="M35" s="19">
        <v>0.06</v>
      </c>
      <c r="N35" s="19">
        <v>609.6</v>
      </c>
      <c r="O35" s="19">
        <v>0.43</v>
      </c>
      <c r="P35" s="19">
        <v>845.4</v>
      </c>
      <c r="S35" s="15">
        <f t="shared" si="1"/>
        <v>1.300590079</v>
      </c>
      <c r="T35" s="15">
        <f t="shared" si="2"/>
        <v>0.9033005976</v>
      </c>
      <c r="V35" s="15">
        <f t="shared" si="3"/>
        <v>1</v>
      </c>
      <c r="W35" s="15">
        <v>1.0</v>
      </c>
      <c r="X35" s="19">
        <v>1.0</v>
      </c>
      <c r="Y35" s="15">
        <f t="shared" si="7"/>
        <v>1</v>
      </c>
      <c r="Z35" s="19">
        <v>1.0</v>
      </c>
    </row>
    <row r="36">
      <c r="G36" s="19">
        <v>864324.39</v>
      </c>
      <c r="H36" s="19">
        <v>432394.34</v>
      </c>
      <c r="I36" s="19">
        <v>1207884.12</v>
      </c>
      <c r="J36" s="19">
        <v>-11.48</v>
      </c>
      <c r="K36" s="19">
        <v>2.6</v>
      </c>
      <c r="L36" s="19">
        <v>-3.79</v>
      </c>
      <c r="M36" s="19">
        <v>0.34</v>
      </c>
      <c r="N36" s="19">
        <v>58.75</v>
      </c>
      <c r="O36" s="19">
        <v>4.15</v>
      </c>
      <c r="P36" s="19">
        <v>87.96</v>
      </c>
      <c r="S36" s="15">
        <f t="shared" si="1"/>
        <v>-0.1212596252</v>
      </c>
      <c r="T36" s="15">
        <f t="shared" si="2"/>
        <v>0.4517426992</v>
      </c>
      <c r="V36" s="15">
        <f t="shared" si="3"/>
        <v>0</v>
      </c>
      <c r="W36" s="15">
        <v>0.0</v>
      </c>
      <c r="X36" s="19">
        <v>1.0</v>
      </c>
      <c r="Y36" s="15">
        <f t="shared" si="7"/>
        <v>0</v>
      </c>
      <c r="Z36" s="19">
        <v>1.0</v>
      </c>
    </row>
    <row r="37">
      <c r="G37" s="19">
        <v>1007157.72</v>
      </c>
      <c r="H37" s="19">
        <v>255462.73</v>
      </c>
      <c r="I37" s="19">
        <v>600075.18</v>
      </c>
      <c r="J37" s="19">
        <v>-9.39</v>
      </c>
      <c r="K37" s="19">
        <v>1.54</v>
      </c>
      <c r="L37" s="19">
        <v>-4.94</v>
      </c>
      <c r="M37" s="19">
        <v>0.42</v>
      </c>
      <c r="N37" s="19">
        <v>160.21</v>
      </c>
      <c r="O37" s="19">
        <v>2.87</v>
      </c>
      <c r="P37" s="19">
        <v>127.35</v>
      </c>
      <c r="S37" s="15">
        <f t="shared" si="1"/>
        <v>0.3307975493</v>
      </c>
      <c r="T37" s="15">
        <f t="shared" si="2"/>
        <v>0.6296012939</v>
      </c>
      <c r="V37" s="15">
        <f t="shared" si="3"/>
        <v>1</v>
      </c>
      <c r="W37" s="15">
        <v>1.0</v>
      </c>
      <c r="X37" s="19">
        <v>0.0</v>
      </c>
      <c r="Y37" s="15">
        <f t="shared" si="7"/>
        <v>0</v>
      </c>
      <c r="Z37" s="19">
        <v>1.0</v>
      </c>
    </row>
    <row r="38">
      <c r="G38" s="19">
        <v>1377824.5</v>
      </c>
      <c r="H38" s="19">
        <v>588964.62</v>
      </c>
      <c r="I38" s="19">
        <v>1120312.16</v>
      </c>
      <c r="J38" s="19">
        <v>5.39</v>
      </c>
      <c r="K38" s="19">
        <v>0.72</v>
      </c>
      <c r="L38" s="19">
        <v>12.55</v>
      </c>
      <c r="M38" s="19">
        <v>0.53</v>
      </c>
      <c r="N38" s="19">
        <v>73.37</v>
      </c>
      <c r="O38" s="19">
        <v>5.22</v>
      </c>
      <c r="P38" s="19">
        <v>69.99</v>
      </c>
      <c r="S38" s="15">
        <f t="shared" si="1"/>
        <v>-1.701811012</v>
      </c>
      <c r="T38" s="15">
        <f t="shared" si="2"/>
        <v>0.04439540073</v>
      </c>
      <c r="V38" s="15">
        <f t="shared" si="3"/>
        <v>0</v>
      </c>
      <c r="W38" s="15">
        <v>0.0</v>
      </c>
      <c r="X38" s="19">
        <v>0.0</v>
      </c>
      <c r="Y38" s="15">
        <f t="shared" si="7"/>
        <v>1</v>
      </c>
      <c r="Z38" s="19">
        <v>1.0</v>
      </c>
    </row>
    <row r="39">
      <c r="G39" s="19">
        <v>489116.53</v>
      </c>
      <c r="H39" s="19">
        <v>67000.0</v>
      </c>
      <c r="I39" s="19">
        <v>133975.25</v>
      </c>
      <c r="J39" s="19">
        <v>-4.07</v>
      </c>
      <c r="K39" s="19">
        <v>0.17</v>
      </c>
      <c r="L39" s="19">
        <v>-49.61</v>
      </c>
      <c r="M39" s="19">
        <v>8.86</v>
      </c>
      <c r="N39" s="19">
        <v>62.2</v>
      </c>
      <c r="O39" s="19">
        <v>2.02</v>
      </c>
      <c r="P39" s="19">
        <v>180.67</v>
      </c>
      <c r="S39" s="15">
        <f t="shared" si="1"/>
        <v>-0.5888662797</v>
      </c>
      <c r="T39" s="15">
        <f t="shared" si="2"/>
        <v>0.2779754898</v>
      </c>
      <c r="V39" s="15">
        <f t="shared" si="3"/>
        <v>0</v>
      </c>
      <c r="W39" s="15">
        <v>0.0</v>
      </c>
      <c r="X39" s="19">
        <v>0.0</v>
      </c>
      <c r="Y39" s="15">
        <f t="shared" si="7"/>
        <v>1</v>
      </c>
      <c r="Z39" s="19">
        <v>1.0</v>
      </c>
    </row>
    <row r="40">
      <c r="G40" s="19">
        <v>608616.96</v>
      </c>
      <c r="H40" s="19">
        <v>150000.0</v>
      </c>
      <c r="I40" s="19">
        <v>264929.48</v>
      </c>
      <c r="J40" s="19">
        <v>8.3</v>
      </c>
      <c r="K40" s="19">
        <v>0.57</v>
      </c>
      <c r="L40" s="19">
        <v>3.18</v>
      </c>
      <c r="M40" s="19">
        <v>0.99</v>
      </c>
      <c r="N40" s="19">
        <v>42.08</v>
      </c>
      <c r="O40" s="19">
        <v>5.86</v>
      </c>
      <c r="P40" s="19">
        <v>62.3</v>
      </c>
      <c r="S40" s="15">
        <f t="shared" si="1"/>
        <v>-1.383262098</v>
      </c>
      <c r="T40" s="15">
        <f t="shared" si="2"/>
        <v>0.0832922576</v>
      </c>
      <c r="V40" s="15">
        <f t="shared" si="3"/>
        <v>0</v>
      </c>
    </row>
    <row r="41">
      <c r="G41" s="19">
        <v>687817.69</v>
      </c>
      <c r="H41" s="19">
        <v>199000.0</v>
      </c>
      <c r="I41" s="19">
        <v>397417.73</v>
      </c>
      <c r="J41" s="19">
        <v>12.75</v>
      </c>
      <c r="K41" s="19">
        <v>0.15</v>
      </c>
      <c r="L41" s="19">
        <v>315.3</v>
      </c>
      <c r="M41" s="19">
        <v>4.95</v>
      </c>
      <c r="N41" s="19">
        <v>69.03</v>
      </c>
      <c r="O41" s="19">
        <v>7.3</v>
      </c>
      <c r="P41" s="19">
        <v>50.0</v>
      </c>
      <c r="S41" s="15">
        <f t="shared" si="1"/>
        <v>-9.049728331</v>
      </c>
      <c r="T41" s="15">
        <f t="shared" si="2"/>
        <v>0</v>
      </c>
      <c r="V41" s="15">
        <f t="shared" si="3"/>
        <v>0</v>
      </c>
      <c r="W41" s="15">
        <v>0.0</v>
      </c>
      <c r="X41" s="19">
        <v>0.0</v>
      </c>
      <c r="Y41" s="15">
        <f>if(W41=X41,1,0)</f>
        <v>1</v>
      </c>
      <c r="Z41" s="19">
        <v>1.0</v>
      </c>
    </row>
    <row r="42">
      <c r="G42" s="19">
        <v>1051150.43</v>
      </c>
      <c r="H42" s="19">
        <v>250000.0</v>
      </c>
      <c r="I42" s="19">
        <v>875292.55</v>
      </c>
      <c r="J42" s="19">
        <v>2.26</v>
      </c>
      <c r="K42" s="19">
        <v>1.85</v>
      </c>
      <c r="L42" s="19">
        <v>2.41</v>
      </c>
      <c r="M42" s="19">
        <v>0.68</v>
      </c>
      <c r="N42" s="19">
        <v>127.18</v>
      </c>
      <c r="O42" s="19">
        <v>7.58</v>
      </c>
      <c r="P42" s="19">
        <v>48.15</v>
      </c>
      <c r="S42" s="15">
        <f t="shared" si="1"/>
        <v>-1.297822384</v>
      </c>
      <c r="T42" s="15">
        <f t="shared" si="2"/>
        <v>0.097174188</v>
      </c>
      <c r="V42" s="15">
        <f t="shared" si="3"/>
        <v>0</v>
      </c>
    </row>
    <row r="43">
      <c r="G43" s="19">
        <v>1108296.19</v>
      </c>
      <c r="H43" s="19">
        <v>143999.86</v>
      </c>
      <c r="I43" s="19">
        <v>544147.57</v>
      </c>
      <c r="J43" s="19">
        <v>-0.87</v>
      </c>
      <c r="K43" s="19">
        <v>1.46</v>
      </c>
      <c r="L43" s="19">
        <v>-0.62</v>
      </c>
      <c r="M43" s="19">
        <v>0.68</v>
      </c>
      <c r="N43" s="19">
        <v>76.87</v>
      </c>
      <c r="O43" s="19">
        <v>4.45</v>
      </c>
      <c r="P43" s="19">
        <v>81.96</v>
      </c>
      <c r="S43" s="15">
        <f t="shared" si="1"/>
        <v>-0.562988849</v>
      </c>
      <c r="T43" s="15">
        <f t="shared" si="2"/>
        <v>0.2867212386</v>
      </c>
      <c r="V43" s="15">
        <f t="shared" si="3"/>
        <v>0</v>
      </c>
      <c r="W43" s="15">
        <v>0.0</v>
      </c>
      <c r="X43" s="19">
        <v>1.0</v>
      </c>
      <c r="Y43" s="15">
        <f>if(W43=X43,1,0)</f>
        <v>0</v>
      </c>
      <c r="Z43" s="19">
        <v>1.0</v>
      </c>
    </row>
    <row r="44">
      <c r="G44" s="19">
        <v>733005.92</v>
      </c>
      <c r="H44" s="19">
        <v>420000.0</v>
      </c>
      <c r="I44" s="19">
        <v>66566.89</v>
      </c>
      <c r="J44" s="19">
        <v>-0.58</v>
      </c>
      <c r="K44" s="19">
        <v>0.63</v>
      </c>
      <c r="L44" s="19">
        <v>-1.16</v>
      </c>
      <c r="M44" s="19">
        <v>0.14</v>
      </c>
      <c r="N44" s="19">
        <v>0.15</v>
      </c>
      <c r="O44" s="19">
        <v>21.26</v>
      </c>
      <c r="P44" s="19">
        <v>17.17</v>
      </c>
      <c r="S44" s="15">
        <f t="shared" si="1"/>
        <v>-2.006753767</v>
      </c>
      <c r="T44" s="15">
        <f t="shared" si="2"/>
        <v>0.02238794392</v>
      </c>
      <c r="V44" s="15">
        <f t="shared" si="3"/>
        <v>0</v>
      </c>
    </row>
    <row r="45">
      <c r="G45" s="19">
        <v>393324.97</v>
      </c>
      <c r="H45" s="19">
        <v>932561.78</v>
      </c>
      <c r="I45" s="19">
        <v>230647.57</v>
      </c>
      <c r="J45" s="19">
        <v>-23.62</v>
      </c>
      <c r="K45" s="19">
        <v>0.41</v>
      </c>
      <c r="L45" s="19">
        <v>-22.69</v>
      </c>
      <c r="M45" s="19">
        <v>2.21</v>
      </c>
      <c r="N45" s="19">
        <v>152.78</v>
      </c>
      <c r="O45" s="19">
        <v>2.24</v>
      </c>
      <c r="P45" s="19">
        <v>162.69</v>
      </c>
      <c r="S45" s="15">
        <f t="shared" si="1"/>
        <v>1.513592231</v>
      </c>
      <c r="T45" s="15">
        <f t="shared" si="2"/>
        <v>0.9349353537</v>
      </c>
      <c r="V45" s="15">
        <f t="shared" si="3"/>
        <v>1</v>
      </c>
      <c r="W45" s="15">
        <v>1.0</v>
      </c>
      <c r="X45" s="19">
        <v>1.0</v>
      </c>
      <c r="Y45" s="15">
        <f>if(W45=X45,1,0)</f>
        <v>1</v>
      </c>
      <c r="Z45" s="19">
        <v>1.0</v>
      </c>
    </row>
    <row r="46">
      <c r="G46" s="19">
        <v>1342900.34</v>
      </c>
      <c r="H46" s="19">
        <v>220000.0</v>
      </c>
      <c r="I46" s="19">
        <v>889269.89</v>
      </c>
      <c r="J46" s="19">
        <v>23.86</v>
      </c>
      <c r="K46" s="19">
        <v>0.3</v>
      </c>
      <c r="L46" s="19">
        <v>42.54</v>
      </c>
      <c r="M46" s="19">
        <v>2.46</v>
      </c>
      <c r="N46" s="19">
        <v>66.93</v>
      </c>
      <c r="O46" s="19">
        <v>7.99</v>
      </c>
      <c r="P46" s="19">
        <v>45.69</v>
      </c>
      <c r="S46" s="15">
        <f t="shared" si="1"/>
        <v>-4.090155156</v>
      </c>
      <c r="T46" s="15">
        <f t="shared" si="2"/>
        <v>0.00002155423566</v>
      </c>
      <c r="V46" s="15">
        <f t="shared" si="3"/>
        <v>0</v>
      </c>
    </row>
    <row r="47">
      <c r="G47" s="19">
        <v>1626994.99</v>
      </c>
      <c r="H47" s="19">
        <v>205000.25</v>
      </c>
      <c r="I47" s="19">
        <v>746822.52</v>
      </c>
      <c r="J47" s="19">
        <v>16.17</v>
      </c>
      <c r="K47" s="19">
        <v>0.29</v>
      </c>
      <c r="L47" s="19">
        <v>40.47</v>
      </c>
      <c r="M47" s="19">
        <v>1.93</v>
      </c>
      <c r="N47" s="19">
        <v>111.15</v>
      </c>
      <c r="O47" s="19">
        <v>3.03</v>
      </c>
      <c r="P47" s="19">
        <v>120.28</v>
      </c>
      <c r="S47" s="15">
        <f t="shared" si="1"/>
        <v>-2.792375218</v>
      </c>
      <c r="T47" s="15">
        <f t="shared" si="2"/>
        <v>0.002616132193</v>
      </c>
      <c r="V47" s="15">
        <f t="shared" si="3"/>
        <v>0</v>
      </c>
      <c r="W47" s="15">
        <v>0.0</v>
      </c>
      <c r="X47" s="19">
        <v>0.0</v>
      </c>
      <c r="Y47" s="15">
        <f>if(W47=X47,1,0)</f>
        <v>1</v>
      </c>
      <c r="Z47" s="19">
        <v>1.0</v>
      </c>
    </row>
    <row r="48">
      <c r="G48" s="19">
        <v>991552.07</v>
      </c>
      <c r="H48" s="19">
        <v>230000.0</v>
      </c>
      <c r="I48" s="19">
        <v>683696.9</v>
      </c>
      <c r="J48" s="19">
        <v>9.26</v>
      </c>
      <c r="K48" s="19">
        <v>0.66</v>
      </c>
      <c r="L48" s="19">
        <v>9.94</v>
      </c>
      <c r="M48" s="19">
        <v>1.62</v>
      </c>
      <c r="N48" s="19">
        <v>126.25</v>
      </c>
      <c r="O48" s="19">
        <v>1.82</v>
      </c>
      <c r="P48" s="19">
        <v>201.05</v>
      </c>
      <c r="S48" s="15">
        <f t="shared" si="1"/>
        <v>-1.549824518</v>
      </c>
      <c r="T48" s="15">
        <f t="shared" si="2"/>
        <v>0.06059182031</v>
      </c>
      <c r="V48" s="15">
        <f t="shared" si="3"/>
        <v>0</v>
      </c>
    </row>
    <row r="49">
      <c r="G49" s="19">
        <v>536530.85</v>
      </c>
      <c r="H49" s="19">
        <v>1430416.19</v>
      </c>
      <c r="I49" s="19">
        <v>245748.03</v>
      </c>
      <c r="J49" s="19">
        <v>-7.53</v>
      </c>
      <c r="K49" s="19">
        <v>0.17</v>
      </c>
      <c r="L49" s="19">
        <v>-21.34</v>
      </c>
      <c r="M49" s="19">
        <v>6.37</v>
      </c>
      <c r="N49" s="19">
        <v>264.1</v>
      </c>
      <c r="O49" s="19">
        <v>2.99</v>
      </c>
      <c r="P49" s="19">
        <v>122.15</v>
      </c>
      <c r="S49" s="15">
        <f t="shared" si="1"/>
        <v>-0.3173131501</v>
      </c>
      <c r="T49" s="15">
        <f t="shared" si="2"/>
        <v>0.3755030001</v>
      </c>
      <c r="V49" s="15">
        <f t="shared" si="3"/>
        <v>0</v>
      </c>
      <c r="W49" s="15">
        <v>0.0</v>
      </c>
      <c r="X49" s="19">
        <v>0.0</v>
      </c>
      <c r="Y49" s="15">
        <f t="shared" ref="Y49:Y52" si="8">if(W49=X49,1,0)</f>
        <v>1</v>
      </c>
      <c r="Z49" s="19">
        <v>1.0</v>
      </c>
    </row>
    <row r="50">
      <c r="G50" s="19">
        <v>3756203.01</v>
      </c>
      <c r="H50" s="19">
        <v>239871.9</v>
      </c>
      <c r="I50" s="19">
        <v>1445707.83</v>
      </c>
      <c r="J50" s="19">
        <v>5.14</v>
      </c>
      <c r="K50" s="19">
        <v>1.83</v>
      </c>
      <c r="L50" s="19">
        <v>1.39</v>
      </c>
      <c r="M50" s="19">
        <v>0.29</v>
      </c>
      <c r="N50" s="19">
        <v>95.96</v>
      </c>
      <c r="O50" s="19">
        <v>4.76</v>
      </c>
      <c r="P50" s="19">
        <v>76.62</v>
      </c>
      <c r="S50" s="15">
        <f t="shared" si="1"/>
        <v>-1.324613382</v>
      </c>
      <c r="T50" s="15">
        <f t="shared" si="2"/>
        <v>0.09264970757</v>
      </c>
      <c r="V50" s="15">
        <f t="shared" si="3"/>
        <v>0</v>
      </c>
      <c r="W50" s="15">
        <v>0.0</v>
      </c>
      <c r="X50" s="19">
        <v>0.0</v>
      </c>
      <c r="Y50" s="15">
        <f t="shared" si="8"/>
        <v>1</v>
      </c>
      <c r="Z50" s="19">
        <v>1.0</v>
      </c>
    </row>
    <row r="51">
      <c r="G51" s="19">
        <v>1677188.0</v>
      </c>
      <c r="H51" s="19">
        <v>2998399.0</v>
      </c>
      <c r="I51" s="19">
        <v>1904218.0</v>
      </c>
      <c r="J51" s="19">
        <v>51.14</v>
      </c>
      <c r="K51" s="19">
        <v>3.27</v>
      </c>
      <c r="L51" s="19">
        <v>16.91</v>
      </c>
      <c r="M51" s="19">
        <v>0.76</v>
      </c>
      <c r="N51" s="19">
        <v>87.78</v>
      </c>
      <c r="O51" s="19">
        <v>2.73</v>
      </c>
      <c r="P51" s="19">
        <v>133.59</v>
      </c>
      <c r="S51" s="15">
        <f t="shared" si="1"/>
        <v>-4.972971728</v>
      </c>
      <c r="T51" s="15">
        <f t="shared" si="2"/>
        <v>0.0000003296713984</v>
      </c>
      <c r="V51" s="15">
        <f t="shared" si="3"/>
        <v>0</v>
      </c>
      <c r="W51" s="15">
        <v>0.0</v>
      </c>
      <c r="X51" s="19">
        <v>0.0</v>
      </c>
      <c r="Y51" s="15">
        <f t="shared" si="8"/>
        <v>1</v>
      </c>
      <c r="Z51" s="19">
        <v>1.0</v>
      </c>
    </row>
    <row r="52">
      <c r="G52" s="19">
        <v>1865437.32</v>
      </c>
      <c r="H52" s="19">
        <v>280000.0</v>
      </c>
      <c r="I52" s="19">
        <v>1316841.39</v>
      </c>
      <c r="J52" s="19">
        <v>3.7</v>
      </c>
      <c r="K52" s="19">
        <v>1.11</v>
      </c>
      <c r="L52" s="19">
        <v>1.93</v>
      </c>
      <c r="M52" s="19">
        <v>0.55</v>
      </c>
      <c r="N52" s="19">
        <v>75.45</v>
      </c>
      <c r="O52" s="19">
        <v>6.56</v>
      </c>
      <c r="P52" s="19">
        <v>55.66</v>
      </c>
      <c r="S52" s="15">
        <f t="shared" si="1"/>
        <v>-1.590793642</v>
      </c>
      <c r="T52" s="15">
        <f t="shared" si="2"/>
        <v>0.05582801218</v>
      </c>
      <c r="V52" s="15">
        <f t="shared" si="3"/>
        <v>0</v>
      </c>
      <c r="W52" s="15">
        <v>0.0</v>
      </c>
      <c r="X52" s="19">
        <v>0.0</v>
      </c>
      <c r="Y52" s="15">
        <f t="shared" si="8"/>
        <v>1</v>
      </c>
      <c r="Z52" s="19">
        <v>1.0</v>
      </c>
    </row>
    <row r="53">
      <c r="G53" s="19">
        <v>495425.73</v>
      </c>
      <c r="H53" s="19">
        <v>180000.0</v>
      </c>
      <c r="I53" s="19">
        <v>376790.51</v>
      </c>
      <c r="J53" s="19">
        <v>1.28</v>
      </c>
      <c r="K53" s="19">
        <v>0.2</v>
      </c>
      <c r="L53" s="19" t="s">
        <v>46</v>
      </c>
      <c r="M53" s="19">
        <v>4.77</v>
      </c>
      <c r="N53" s="19">
        <v>72.4</v>
      </c>
      <c r="O53" s="19">
        <v>7.16</v>
      </c>
      <c r="P53" s="19">
        <v>51.0</v>
      </c>
      <c r="S53" s="15" t="str">
        <f t="shared" si="1"/>
        <v>#VALUE!</v>
      </c>
      <c r="T53" s="15" t="str">
        <f t="shared" si="2"/>
        <v>#VALUE!</v>
      </c>
      <c r="V53" s="15" t="str">
        <f t="shared" si="3"/>
        <v>#VALUE!</v>
      </c>
    </row>
    <row r="54">
      <c r="G54" s="19">
        <v>3131484.0</v>
      </c>
      <c r="H54" s="19">
        <v>378257.0</v>
      </c>
      <c r="I54" s="19">
        <v>1755290.0</v>
      </c>
      <c r="J54" s="19">
        <v>13.38</v>
      </c>
      <c r="K54" s="19">
        <v>0.73</v>
      </c>
      <c r="L54" s="19">
        <v>24.09</v>
      </c>
      <c r="M54" s="19">
        <v>1.07</v>
      </c>
      <c r="N54" s="19">
        <v>154.56</v>
      </c>
      <c r="O54" s="19">
        <v>4.64</v>
      </c>
      <c r="P54" s="19">
        <v>78.69</v>
      </c>
      <c r="S54" s="15">
        <f t="shared" si="1"/>
        <v>-2.742565959</v>
      </c>
      <c r="T54" s="15">
        <f t="shared" si="2"/>
        <v>0.003048060268</v>
      </c>
      <c r="V54" s="15">
        <f t="shared" si="3"/>
        <v>0</v>
      </c>
    </row>
    <row r="55">
      <c r="G55" s="19">
        <v>2937196.5</v>
      </c>
      <c r="H55" s="19">
        <v>390000.0</v>
      </c>
      <c r="I55" s="19">
        <v>2424663.78</v>
      </c>
      <c r="J55" s="19">
        <v>15.73</v>
      </c>
      <c r="K55" s="19">
        <v>1.61</v>
      </c>
      <c r="L55" s="19">
        <v>25.27</v>
      </c>
      <c r="M55" s="19">
        <v>0.22</v>
      </c>
      <c r="N55" s="19">
        <v>54.77</v>
      </c>
      <c r="O55" s="19">
        <v>3.41</v>
      </c>
      <c r="P55" s="19">
        <v>107.14</v>
      </c>
      <c r="S55" s="15">
        <f t="shared" si="1"/>
        <v>-3.195438923</v>
      </c>
      <c r="T55" s="15">
        <f t="shared" si="2"/>
        <v>0.0006980916526</v>
      </c>
      <c r="V55" s="15">
        <f t="shared" si="3"/>
        <v>0</v>
      </c>
      <c r="W55" s="15">
        <v>0.0</v>
      </c>
      <c r="X55" s="19">
        <v>0.0</v>
      </c>
      <c r="Y55" s="15">
        <f t="shared" ref="Y55:Y56" si="9">if(W55=X55,1,0)</f>
        <v>1</v>
      </c>
      <c r="Z55" s="19">
        <v>1.0</v>
      </c>
    </row>
    <row r="56">
      <c r="G56" s="19">
        <v>843820.81</v>
      </c>
      <c r="H56" s="19">
        <v>282571.48</v>
      </c>
      <c r="I56" s="19">
        <v>595311.94</v>
      </c>
      <c r="J56" s="19">
        <v>7.03</v>
      </c>
      <c r="K56" s="19">
        <v>0.93</v>
      </c>
      <c r="L56" s="19">
        <v>8.05</v>
      </c>
      <c r="M56" s="19">
        <v>1.04</v>
      </c>
      <c r="N56" s="19">
        <v>109.11</v>
      </c>
      <c r="O56" s="19">
        <v>2.76</v>
      </c>
      <c r="P56" s="19">
        <v>132.28</v>
      </c>
      <c r="S56" s="15">
        <f t="shared" si="1"/>
        <v>-1.248264503</v>
      </c>
      <c r="T56" s="15">
        <f t="shared" si="2"/>
        <v>0.1059671045</v>
      </c>
      <c r="V56" s="15">
        <f t="shared" si="3"/>
        <v>0</v>
      </c>
      <c r="W56" s="15">
        <v>0.0</v>
      </c>
      <c r="X56" s="19">
        <v>0.0</v>
      </c>
      <c r="Y56" s="15">
        <f t="shared" si="9"/>
        <v>1</v>
      </c>
      <c r="Z56" s="19">
        <v>1.0</v>
      </c>
    </row>
    <row r="57">
      <c r="G57" s="19">
        <v>1866926.85</v>
      </c>
      <c r="H57" s="19">
        <v>150000.0</v>
      </c>
      <c r="I57" s="19">
        <v>202554.59</v>
      </c>
      <c r="J57" s="19">
        <v>2.4</v>
      </c>
      <c r="K57" s="19">
        <v>3.07</v>
      </c>
      <c r="L57" s="19">
        <v>0.41</v>
      </c>
      <c r="M57" s="19">
        <v>0.05</v>
      </c>
      <c r="P57" s="19" t="s">
        <v>46</v>
      </c>
      <c r="S57" s="15" t="str">
        <f t="shared" si="1"/>
        <v>#VALUE!</v>
      </c>
      <c r="T57" s="15" t="str">
        <f t="shared" si="2"/>
        <v>#VALUE!</v>
      </c>
      <c r="V57" s="15" t="str">
        <f t="shared" si="3"/>
        <v>#VALUE!</v>
      </c>
    </row>
    <row r="58">
      <c r="G58" s="19">
        <v>315806.69</v>
      </c>
      <c r="H58" s="19">
        <v>135000.0</v>
      </c>
      <c r="I58" s="19">
        <v>74803.89</v>
      </c>
      <c r="J58" s="19">
        <v>8.23</v>
      </c>
      <c r="K58" s="19">
        <v>0.06</v>
      </c>
      <c r="L58" s="29" t="s">
        <v>46</v>
      </c>
      <c r="M58" s="19">
        <v>11.34</v>
      </c>
      <c r="N58" s="19">
        <v>16.11</v>
      </c>
      <c r="O58" s="19">
        <v>2.11</v>
      </c>
      <c r="P58" s="19">
        <v>173.01</v>
      </c>
      <c r="S58" s="15" t="str">
        <f t="shared" si="1"/>
        <v>#VALUE!</v>
      </c>
      <c r="T58" s="15" t="str">
        <f t="shared" si="2"/>
        <v>#VALUE!</v>
      </c>
      <c r="V58" s="15" t="str">
        <f t="shared" si="3"/>
        <v>#VALUE!</v>
      </c>
    </row>
    <row r="59">
      <c r="G59" s="19">
        <v>238733.89</v>
      </c>
      <c r="H59" s="19">
        <v>125000.0</v>
      </c>
      <c r="I59" s="19">
        <v>104860.4</v>
      </c>
      <c r="J59" s="19">
        <v>-5.91</v>
      </c>
      <c r="K59" s="19">
        <v>0.14</v>
      </c>
      <c r="L59" s="19">
        <v>-9.96</v>
      </c>
      <c r="M59" s="19">
        <v>32.07</v>
      </c>
      <c r="N59" s="19">
        <v>39.14</v>
      </c>
      <c r="O59" s="19">
        <v>30.64</v>
      </c>
      <c r="P59" s="19">
        <v>11.91</v>
      </c>
      <c r="S59" s="15">
        <f t="shared" si="1"/>
        <v>-8.651459523</v>
      </c>
      <c r="T59" s="15">
        <f t="shared" si="2"/>
        <v>0</v>
      </c>
      <c r="V59" s="15">
        <f t="shared" si="3"/>
        <v>0</v>
      </c>
    </row>
    <row r="60">
      <c r="G60" s="19">
        <v>1016255.68</v>
      </c>
      <c r="H60" s="19">
        <v>240000.0</v>
      </c>
      <c r="I60" s="19">
        <v>962996.87</v>
      </c>
      <c r="J60" s="19">
        <v>-6.6</v>
      </c>
      <c r="K60" s="19">
        <v>0.56</v>
      </c>
      <c r="L60" s="19">
        <v>-29.41</v>
      </c>
      <c r="M60" s="19">
        <v>1.0</v>
      </c>
      <c r="N60" s="19">
        <v>66.84</v>
      </c>
      <c r="O60" s="19">
        <v>3.99</v>
      </c>
      <c r="P60" s="19">
        <v>91.45</v>
      </c>
      <c r="S60" s="15">
        <f t="shared" si="1"/>
        <v>0.03683328355</v>
      </c>
      <c r="T60" s="15">
        <f t="shared" si="2"/>
        <v>0.5146910322</v>
      </c>
      <c r="V60" s="15">
        <f t="shared" si="3"/>
        <v>1</v>
      </c>
      <c r="W60" s="15">
        <v>1.0</v>
      </c>
      <c r="X60" s="19">
        <v>0.0</v>
      </c>
      <c r="Y60" s="15">
        <f t="shared" ref="Y60:Y63" si="10">if(W60=X60,1,0)</f>
        <v>0</v>
      </c>
      <c r="Z60" s="19">
        <v>1.0</v>
      </c>
    </row>
    <row r="61">
      <c r="G61" s="19">
        <v>4733310.17</v>
      </c>
      <c r="H61" s="19">
        <v>5065171.46</v>
      </c>
      <c r="I61" s="19">
        <v>271789.62</v>
      </c>
      <c r="J61" s="19">
        <v>1.39</v>
      </c>
      <c r="K61" s="19">
        <v>0.47</v>
      </c>
      <c r="L61" s="19">
        <v>0.82</v>
      </c>
      <c r="M61" s="19">
        <v>0.38</v>
      </c>
      <c r="N61" s="19">
        <v>413.67</v>
      </c>
      <c r="O61" s="19">
        <v>1.91</v>
      </c>
      <c r="P61" s="19">
        <v>190.84</v>
      </c>
      <c r="S61" s="15">
        <f t="shared" si="1"/>
        <v>0.5001615014</v>
      </c>
      <c r="T61" s="15">
        <f t="shared" si="2"/>
        <v>0.691519318</v>
      </c>
      <c r="V61" s="15">
        <f t="shared" si="3"/>
        <v>1</v>
      </c>
      <c r="W61" s="15">
        <v>1.0</v>
      </c>
      <c r="X61" s="19">
        <v>1.0</v>
      </c>
      <c r="Y61" s="15">
        <f t="shared" si="10"/>
        <v>1</v>
      </c>
      <c r="Z61" s="19">
        <v>1.0</v>
      </c>
    </row>
    <row r="62">
      <c r="G62" s="19">
        <v>1685723.3</v>
      </c>
      <c r="H62" s="19">
        <v>292250.0</v>
      </c>
      <c r="I62" s="19">
        <v>953777.8</v>
      </c>
      <c r="J62" s="19">
        <v>5.52</v>
      </c>
      <c r="K62" s="19">
        <v>0.28</v>
      </c>
      <c r="L62" s="19">
        <v>39.99</v>
      </c>
      <c r="M62" s="19">
        <v>2.38</v>
      </c>
      <c r="N62" s="19">
        <v>90.08</v>
      </c>
      <c r="O62" s="19">
        <v>3.84</v>
      </c>
      <c r="P62" s="19">
        <v>95.02</v>
      </c>
      <c r="S62" s="15">
        <f t="shared" si="1"/>
        <v>-2.376586575</v>
      </c>
      <c r="T62" s="15">
        <f t="shared" si="2"/>
        <v>0.008736830186</v>
      </c>
      <c r="V62" s="15">
        <f t="shared" si="3"/>
        <v>0</v>
      </c>
      <c r="W62" s="15">
        <v>0.0</v>
      </c>
      <c r="X62" s="19">
        <v>0.0</v>
      </c>
      <c r="Y62" s="15">
        <f t="shared" si="10"/>
        <v>1</v>
      </c>
      <c r="Z62" s="19">
        <v>1.0</v>
      </c>
    </row>
    <row r="63">
      <c r="G63" s="19">
        <v>1425586.6</v>
      </c>
      <c r="H63" s="19">
        <v>4588523.55</v>
      </c>
      <c r="I63" s="19">
        <v>184180.2</v>
      </c>
      <c r="J63" s="19">
        <v>-7.86</v>
      </c>
      <c r="K63" s="19">
        <v>0.16</v>
      </c>
      <c r="L63" s="19">
        <v>-31.23</v>
      </c>
      <c r="M63" s="19">
        <v>1.15</v>
      </c>
      <c r="N63" s="19">
        <v>71.88</v>
      </c>
      <c r="O63" s="19">
        <v>1.54</v>
      </c>
      <c r="P63" s="19">
        <v>237.71</v>
      </c>
      <c r="S63" s="15">
        <f t="shared" si="1"/>
        <v>1.017720461</v>
      </c>
      <c r="T63" s="15">
        <f t="shared" si="2"/>
        <v>0.8455945896</v>
      </c>
      <c r="V63" s="15">
        <f t="shared" si="3"/>
        <v>1</v>
      </c>
      <c r="W63" s="15">
        <v>1.0</v>
      </c>
      <c r="X63" s="19">
        <v>1.0</v>
      </c>
      <c r="Y63" s="15">
        <f t="shared" si="10"/>
        <v>1</v>
      </c>
      <c r="Z63" s="19">
        <v>1.0</v>
      </c>
    </row>
    <row r="64">
      <c r="G64" s="19">
        <v>1118302.79</v>
      </c>
      <c r="H64" s="19">
        <v>136000.0</v>
      </c>
      <c r="I64" s="19">
        <v>1113731.17</v>
      </c>
      <c r="J64" s="19">
        <v>13.54</v>
      </c>
      <c r="K64" s="19">
        <v>0.29</v>
      </c>
      <c r="L64" s="19">
        <v>19.24</v>
      </c>
      <c r="M64" s="19">
        <v>4.99</v>
      </c>
      <c r="N64" s="19">
        <v>4.56</v>
      </c>
      <c r="O64" s="19">
        <v>8.19</v>
      </c>
      <c r="P64" s="19">
        <v>44.59</v>
      </c>
      <c r="S64" s="15">
        <f t="shared" si="1"/>
        <v>-3.670195876</v>
      </c>
      <c r="T64" s="15">
        <f t="shared" si="2"/>
        <v>0.0001211823374</v>
      </c>
      <c r="V64" s="15">
        <f t="shared" si="3"/>
        <v>0</v>
      </c>
    </row>
    <row r="65">
      <c r="G65" s="19">
        <v>354795.98</v>
      </c>
      <c r="H65" s="19">
        <v>165519.83</v>
      </c>
      <c r="I65" s="19">
        <v>189949.32</v>
      </c>
      <c r="J65" s="19">
        <v>5.85</v>
      </c>
      <c r="K65" s="19">
        <v>0.15</v>
      </c>
      <c r="L65" s="19">
        <v>47.1</v>
      </c>
      <c r="M65" s="19">
        <v>4.08</v>
      </c>
      <c r="N65" s="19">
        <v>57.56</v>
      </c>
      <c r="O65" s="19">
        <v>6.84</v>
      </c>
      <c r="P65" s="19">
        <v>53.4</v>
      </c>
      <c r="S65" s="15">
        <f t="shared" si="1"/>
        <v>-2.781412993</v>
      </c>
      <c r="T65" s="15">
        <f t="shared" si="2"/>
        <v>0.002706141815</v>
      </c>
      <c r="V65" s="15">
        <f t="shared" si="3"/>
        <v>0</v>
      </c>
      <c r="W65" s="15">
        <v>0.0</v>
      </c>
      <c r="X65" s="19">
        <v>0.0</v>
      </c>
      <c r="Y65" s="15">
        <f t="shared" ref="Y65:Y67" si="11">if(W65=X65,1,0)</f>
        <v>1</v>
      </c>
      <c r="Z65" s="19">
        <v>1.0</v>
      </c>
    </row>
    <row r="66">
      <c r="G66" s="19">
        <v>459644.0</v>
      </c>
      <c r="H66" s="19">
        <v>2304683.04</v>
      </c>
      <c r="I66" s="19">
        <v>297311.44</v>
      </c>
      <c r="J66" s="19">
        <v>-0.97</v>
      </c>
      <c r="K66" s="19">
        <v>2.77</v>
      </c>
      <c r="L66" s="19">
        <v>-0.29</v>
      </c>
      <c r="M66" s="19">
        <v>0.92</v>
      </c>
      <c r="N66" s="19">
        <v>147.15</v>
      </c>
      <c r="O66" s="19">
        <v>1.75</v>
      </c>
      <c r="P66" s="19">
        <v>208.82</v>
      </c>
      <c r="S66" s="15">
        <f t="shared" si="1"/>
        <v>-0.07012318201</v>
      </c>
      <c r="T66" s="15">
        <f t="shared" si="2"/>
        <v>0.4720478078</v>
      </c>
      <c r="V66" s="15">
        <f t="shared" si="3"/>
        <v>0</v>
      </c>
      <c r="W66" s="15">
        <v>0.0</v>
      </c>
      <c r="X66" s="19">
        <v>1.0</v>
      </c>
      <c r="Y66" s="15">
        <f t="shared" si="11"/>
        <v>0</v>
      </c>
      <c r="Z66" s="19">
        <v>1.0</v>
      </c>
    </row>
    <row r="67">
      <c r="G67" s="19">
        <v>1041901.95</v>
      </c>
      <c r="H67" s="19">
        <v>225000.0</v>
      </c>
      <c r="I67" s="19">
        <v>1564603.39</v>
      </c>
      <c r="J67" s="19">
        <v>15.88</v>
      </c>
      <c r="K67" s="19">
        <v>0.55</v>
      </c>
      <c r="L67" s="19">
        <v>219.46</v>
      </c>
      <c r="M67" s="19">
        <v>1.49</v>
      </c>
      <c r="N67" s="19">
        <v>44.38</v>
      </c>
      <c r="O67" s="19">
        <v>5.28</v>
      </c>
      <c r="P67" s="19">
        <v>69.11</v>
      </c>
      <c r="S67" s="15">
        <f t="shared" si="1"/>
        <v>-7.22496101</v>
      </c>
      <c r="T67" s="15">
        <f t="shared" si="2"/>
        <v>0</v>
      </c>
      <c r="V67" s="15">
        <f t="shared" si="3"/>
        <v>0</v>
      </c>
      <c r="W67" s="15">
        <v>0.0</v>
      </c>
      <c r="X67" s="19">
        <v>0.0</v>
      </c>
      <c r="Y67" s="15">
        <f t="shared" si="11"/>
        <v>1</v>
      </c>
      <c r="Z67" s="19">
        <v>1.0</v>
      </c>
    </row>
    <row r="68">
      <c r="G68" s="19">
        <v>796996.68</v>
      </c>
      <c r="H68" s="19">
        <v>50000.0</v>
      </c>
      <c r="I68" s="19">
        <v>588819.98</v>
      </c>
      <c r="J68" s="19">
        <v>14.1</v>
      </c>
      <c r="K68" s="19">
        <v>0.44</v>
      </c>
      <c r="L68" s="19">
        <v>182.27</v>
      </c>
      <c r="M68" s="19">
        <v>1.52</v>
      </c>
      <c r="N68" s="19">
        <v>60.35</v>
      </c>
      <c r="O68" s="19">
        <v>7.89</v>
      </c>
      <c r="P68" s="19">
        <v>46.28</v>
      </c>
      <c r="S68" s="15">
        <f t="shared" si="1"/>
        <v>-5.943898833</v>
      </c>
      <c r="T68" s="15">
        <f t="shared" si="2"/>
        <v>0.000000001391607052</v>
      </c>
      <c r="V68" s="15">
        <f t="shared" si="3"/>
        <v>0</v>
      </c>
    </row>
    <row r="69">
      <c r="G69" s="19">
        <v>1180098.63</v>
      </c>
      <c r="H69" s="19">
        <v>107500.0</v>
      </c>
      <c r="I69" s="19">
        <v>421326.64</v>
      </c>
      <c r="J69" s="19">
        <v>63.61</v>
      </c>
      <c r="K69" s="19">
        <v>0.4</v>
      </c>
      <c r="L69" s="19">
        <v>60.72</v>
      </c>
      <c r="M69" s="19">
        <v>2.51</v>
      </c>
      <c r="N69" s="19">
        <v>19.51</v>
      </c>
      <c r="O69" s="19">
        <v>7.3</v>
      </c>
      <c r="P69" s="19">
        <v>49.99</v>
      </c>
      <c r="S69" s="15">
        <f t="shared" si="1"/>
        <v>-6.815956525</v>
      </c>
      <c r="T69" s="15">
        <f t="shared" si="2"/>
        <v>0</v>
      </c>
      <c r="V69" s="15">
        <f t="shared" si="3"/>
        <v>0</v>
      </c>
      <c r="W69" s="15">
        <v>0.0</v>
      </c>
      <c r="X69" s="19">
        <v>0.0</v>
      </c>
      <c r="Y69" s="15">
        <f>if(W69=X69,1,0)</f>
        <v>1</v>
      </c>
      <c r="Z69" s="19">
        <v>1.0</v>
      </c>
    </row>
    <row r="70">
      <c r="G70" s="19">
        <v>671570.2</v>
      </c>
      <c r="H70" s="19">
        <v>175000.0</v>
      </c>
      <c r="I70" s="19">
        <v>454564.42</v>
      </c>
      <c r="J70" s="19">
        <v>2.75</v>
      </c>
      <c r="K70" s="19">
        <v>0.77</v>
      </c>
      <c r="L70" s="19">
        <v>29.49</v>
      </c>
      <c r="M70" s="19">
        <v>1.03</v>
      </c>
      <c r="N70" s="19">
        <v>120.61</v>
      </c>
      <c r="O70" s="19">
        <v>1.57</v>
      </c>
      <c r="P70" s="19">
        <v>232.45</v>
      </c>
      <c r="S70" s="15">
        <f t="shared" si="1"/>
        <v>-1.265249683</v>
      </c>
      <c r="T70" s="15">
        <f t="shared" si="2"/>
        <v>0.1028909187</v>
      </c>
      <c r="V70" s="15">
        <f t="shared" si="3"/>
        <v>0</v>
      </c>
    </row>
    <row r="71">
      <c r="G71" s="19">
        <v>1216164.15</v>
      </c>
      <c r="H71" s="19">
        <v>307999.98</v>
      </c>
      <c r="I71" s="19">
        <v>1102441.37</v>
      </c>
      <c r="J71" s="19">
        <v>16.8</v>
      </c>
      <c r="K71" s="19">
        <v>0.26</v>
      </c>
      <c r="L71" s="19">
        <v>254.6</v>
      </c>
      <c r="M71" s="19">
        <v>1.76</v>
      </c>
      <c r="N71" s="19">
        <v>102.4</v>
      </c>
      <c r="O71" s="19">
        <v>3.17</v>
      </c>
      <c r="P71" s="19">
        <v>115.07</v>
      </c>
      <c r="S71" s="15">
        <f t="shared" si="1"/>
        <v>-7.483526198</v>
      </c>
      <c r="T71" s="15">
        <f t="shared" si="2"/>
        <v>0</v>
      </c>
      <c r="V71" s="15">
        <f t="shared" si="3"/>
        <v>0</v>
      </c>
      <c r="W71" s="15">
        <v>0.0</v>
      </c>
      <c r="X71" s="19">
        <v>0.0</v>
      </c>
      <c r="Y71" s="15">
        <f t="shared" ref="Y71:Y73" si="12">if(W71=X71,1,0)</f>
        <v>1</v>
      </c>
      <c r="Z71" s="19">
        <v>1.0</v>
      </c>
    </row>
    <row r="72">
      <c r="G72" s="19">
        <v>1327043.55</v>
      </c>
      <c r="H72" s="19">
        <v>149005.26</v>
      </c>
      <c r="I72" s="19">
        <v>775213.16</v>
      </c>
      <c r="J72" s="19">
        <v>14.03</v>
      </c>
      <c r="K72" s="19">
        <v>0.69</v>
      </c>
      <c r="L72" s="19">
        <v>18.19</v>
      </c>
      <c r="M72" s="19">
        <v>1.39</v>
      </c>
      <c r="N72" s="19">
        <v>90.78</v>
      </c>
      <c r="O72" s="19">
        <v>3.73</v>
      </c>
      <c r="P72" s="19">
        <v>97.88</v>
      </c>
      <c r="S72" s="15">
        <f t="shared" si="1"/>
        <v>-2.193001488</v>
      </c>
      <c r="T72" s="15">
        <f t="shared" si="2"/>
        <v>0.01415363594</v>
      </c>
      <c r="V72" s="15">
        <f t="shared" si="3"/>
        <v>0</v>
      </c>
      <c r="W72" s="15">
        <v>0.0</v>
      </c>
      <c r="X72" s="19">
        <v>0.0</v>
      </c>
      <c r="Y72" s="15">
        <f t="shared" si="12"/>
        <v>1</v>
      </c>
      <c r="Z72" s="19">
        <v>1.0</v>
      </c>
    </row>
    <row r="73">
      <c r="G73" s="19">
        <v>805004.18</v>
      </c>
      <c r="H73" s="19">
        <v>206650.84</v>
      </c>
      <c r="I73" s="19">
        <v>731438.12</v>
      </c>
      <c r="J73" s="19">
        <v>4.86</v>
      </c>
      <c r="K73" s="19">
        <v>1.53</v>
      </c>
      <c r="L73" s="19">
        <v>2.0</v>
      </c>
      <c r="M73" s="19">
        <v>0.82</v>
      </c>
      <c r="N73" s="19">
        <v>174.08</v>
      </c>
      <c r="O73" s="19">
        <v>3.27</v>
      </c>
      <c r="P73" s="19">
        <v>111.77</v>
      </c>
      <c r="S73" s="15">
        <f t="shared" si="1"/>
        <v>-0.9745859171</v>
      </c>
      <c r="T73" s="15">
        <f t="shared" si="2"/>
        <v>0.164882851</v>
      </c>
      <c r="V73" s="15">
        <f t="shared" si="3"/>
        <v>0</v>
      </c>
      <c r="W73" s="15">
        <v>0.0</v>
      </c>
      <c r="X73" s="19">
        <v>0.0</v>
      </c>
      <c r="Y73" s="15">
        <f t="shared" si="12"/>
        <v>1</v>
      </c>
      <c r="Z73" s="19">
        <v>1.0</v>
      </c>
    </row>
    <row r="74">
      <c r="G74" s="19">
        <v>662787.13</v>
      </c>
      <c r="H74" s="19">
        <v>320000.0</v>
      </c>
      <c r="I74" s="19">
        <v>164715.13</v>
      </c>
      <c r="J74" s="19">
        <v>2.87</v>
      </c>
      <c r="K74" s="19">
        <v>0.56</v>
      </c>
      <c r="L74" s="19">
        <v>2.73</v>
      </c>
      <c r="M74" s="19">
        <v>0.12</v>
      </c>
      <c r="N74" s="19">
        <v>2.24</v>
      </c>
      <c r="O74" s="19">
        <v>9.73</v>
      </c>
      <c r="P74" s="19">
        <v>37.5</v>
      </c>
      <c r="S74" s="15">
        <f t="shared" si="1"/>
        <v>-1.192337461</v>
      </c>
      <c r="T74" s="15">
        <f t="shared" si="2"/>
        <v>0.1165644757</v>
      </c>
      <c r="V74" s="15">
        <f t="shared" si="3"/>
        <v>0</v>
      </c>
    </row>
    <row r="75">
      <c r="G75" s="19">
        <v>1196160.31</v>
      </c>
      <c r="H75" s="19">
        <v>329340.68</v>
      </c>
      <c r="I75" s="19">
        <v>748571.72</v>
      </c>
      <c r="J75" s="19">
        <v>-27.12</v>
      </c>
      <c r="K75" s="19">
        <v>83.92</v>
      </c>
      <c r="L75" s="19">
        <v>-8.19</v>
      </c>
      <c r="M75" s="19">
        <v>0.09</v>
      </c>
      <c r="N75" s="19">
        <v>44.55</v>
      </c>
      <c r="O75" s="19">
        <v>0.82</v>
      </c>
      <c r="P75" s="19">
        <v>442.57</v>
      </c>
      <c r="S75" s="15">
        <f t="shared" si="1"/>
        <v>5.834494029</v>
      </c>
      <c r="T75" s="15">
        <f t="shared" si="2"/>
        <v>0.9999999973</v>
      </c>
      <c r="V75" s="15">
        <f t="shared" si="3"/>
        <v>1</v>
      </c>
    </row>
    <row r="76">
      <c r="G76" s="19">
        <v>1260636.81</v>
      </c>
      <c r="H76" s="19">
        <v>227500.0</v>
      </c>
      <c r="I76" s="19">
        <v>380828.63</v>
      </c>
      <c r="J76" s="19">
        <v>5.54</v>
      </c>
      <c r="K76" s="19">
        <v>0.3</v>
      </c>
      <c r="L76" s="19">
        <v>4.44</v>
      </c>
      <c r="M76" s="19">
        <v>5.71</v>
      </c>
      <c r="N76" s="19">
        <v>32.26</v>
      </c>
      <c r="O76" s="19">
        <v>7.92</v>
      </c>
      <c r="P76" s="19">
        <v>46.06</v>
      </c>
      <c r="S76" s="15">
        <f t="shared" si="1"/>
        <v>-2.382236555</v>
      </c>
      <c r="T76" s="15">
        <f t="shared" si="2"/>
        <v>0.008603919778</v>
      </c>
      <c r="V76" s="15">
        <f t="shared" si="3"/>
        <v>0</v>
      </c>
    </row>
    <row r="77">
      <c r="G77" s="19">
        <v>2098125.61</v>
      </c>
      <c r="H77" s="19">
        <v>174273.13</v>
      </c>
      <c r="I77" s="19">
        <v>1250812.17</v>
      </c>
      <c r="J77" s="19">
        <v>13.85</v>
      </c>
      <c r="K77" s="19">
        <v>0.58</v>
      </c>
      <c r="L77" s="19">
        <v>66.29</v>
      </c>
      <c r="M77" s="19">
        <v>2.11</v>
      </c>
      <c r="N77" s="19">
        <v>32.83</v>
      </c>
      <c r="O77" s="19">
        <v>2.15</v>
      </c>
      <c r="P77" s="19">
        <v>169.72</v>
      </c>
      <c r="S77" s="15">
        <f t="shared" si="1"/>
        <v>-3.524841987</v>
      </c>
      <c r="T77" s="15">
        <f t="shared" si="2"/>
        <v>0.0002118677337</v>
      </c>
      <c r="V77" s="15">
        <f t="shared" si="3"/>
        <v>0</v>
      </c>
      <c r="W77" s="15">
        <v>0.0</v>
      </c>
      <c r="X77" s="19">
        <v>0.0</v>
      </c>
      <c r="Y77" s="15">
        <f t="shared" ref="Y77:Y81" si="13">if(W77=X77,1,0)</f>
        <v>1</v>
      </c>
      <c r="Z77" s="19">
        <v>1.0</v>
      </c>
    </row>
    <row r="78">
      <c r="G78" s="19">
        <v>854125.83</v>
      </c>
      <c r="H78" s="19">
        <v>179999.77</v>
      </c>
      <c r="I78" s="19">
        <v>817123.27</v>
      </c>
      <c r="J78" s="19">
        <v>-3.74</v>
      </c>
      <c r="K78" s="19">
        <v>3.25</v>
      </c>
      <c r="L78" s="19">
        <v>-2.47</v>
      </c>
      <c r="M78" s="19">
        <v>0.47</v>
      </c>
      <c r="N78" s="19">
        <v>57.52</v>
      </c>
      <c r="O78" s="19">
        <v>2.7</v>
      </c>
      <c r="P78" s="19">
        <v>135.02</v>
      </c>
      <c r="S78" s="15">
        <f t="shared" si="1"/>
        <v>-0.282564177</v>
      </c>
      <c r="T78" s="15">
        <f t="shared" si="2"/>
        <v>0.3887554721</v>
      </c>
      <c r="V78" s="15">
        <f t="shared" si="3"/>
        <v>0</v>
      </c>
      <c r="W78" s="15">
        <v>0.0</v>
      </c>
      <c r="X78" s="19">
        <v>1.0</v>
      </c>
      <c r="Y78" s="15">
        <f t="shared" si="13"/>
        <v>0</v>
      </c>
      <c r="Z78" s="19">
        <v>1.0</v>
      </c>
    </row>
    <row r="79">
      <c r="G79" s="19">
        <v>670038.3</v>
      </c>
      <c r="H79" s="19">
        <v>278000.0</v>
      </c>
      <c r="I79" s="19">
        <v>605749.66</v>
      </c>
      <c r="J79" s="19">
        <v>-10.49</v>
      </c>
      <c r="K79" s="19">
        <v>1.83</v>
      </c>
      <c r="L79" s="19">
        <v>-15.45</v>
      </c>
      <c r="M79" s="19">
        <v>0.61</v>
      </c>
      <c r="N79" s="19">
        <v>113.81</v>
      </c>
      <c r="O79" s="19">
        <v>5.49</v>
      </c>
      <c r="P79" s="19">
        <v>66.52</v>
      </c>
      <c r="S79" s="15">
        <f t="shared" si="1"/>
        <v>0.2883375168</v>
      </c>
      <c r="T79" s="15">
        <f t="shared" si="2"/>
        <v>0.6134558041</v>
      </c>
      <c r="V79" s="15">
        <f t="shared" si="3"/>
        <v>1</v>
      </c>
      <c r="W79" s="15">
        <v>1.0</v>
      </c>
      <c r="X79" s="19">
        <v>1.0</v>
      </c>
      <c r="Y79" s="15">
        <f t="shared" si="13"/>
        <v>1</v>
      </c>
      <c r="Z79" s="19">
        <v>1.0</v>
      </c>
    </row>
    <row r="80">
      <c r="G80" s="19">
        <v>636829.11</v>
      </c>
      <c r="H80" s="19">
        <v>170000.0</v>
      </c>
      <c r="I80" s="19">
        <v>438578.17</v>
      </c>
      <c r="J80" s="19">
        <v>0.2</v>
      </c>
      <c r="K80" s="19">
        <v>0.43</v>
      </c>
      <c r="L80" s="19">
        <v>0.27</v>
      </c>
      <c r="M80" s="19">
        <v>0.33</v>
      </c>
      <c r="N80" s="19">
        <v>41.79</v>
      </c>
      <c r="O80" s="19">
        <v>9.97</v>
      </c>
      <c r="P80" s="19">
        <v>36.61</v>
      </c>
      <c r="S80" s="15">
        <f t="shared" si="1"/>
        <v>-1.191739989</v>
      </c>
      <c r="T80" s="15">
        <f t="shared" si="2"/>
        <v>0.1166816065</v>
      </c>
      <c r="V80" s="15">
        <f t="shared" si="3"/>
        <v>0</v>
      </c>
      <c r="W80" s="15">
        <v>0.0</v>
      </c>
      <c r="X80" s="19">
        <v>0.0</v>
      </c>
      <c r="Y80" s="15">
        <f t="shared" si="13"/>
        <v>1</v>
      </c>
      <c r="Z80" s="19">
        <v>1.0</v>
      </c>
    </row>
    <row r="81">
      <c r="G81" s="19">
        <v>950957.91</v>
      </c>
      <c r="H81" s="19">
        <v>1124417.3</v>
      </c>
      <c r="I81" s="19">
        <v>572982.98</v>
      </c>
      <c r="J81" s="19">
        <v>-7.47</v>
      </c>
      <c r="K81" s="19">
        <v>0.54</v>
      </c>
      <c r="L81" s="19">
        <v>-6.71</v>
      </c>
      <c r="M81" s="19">
        <v>1.02</v>
      </c>
      <c r="N81" s="19">
        <v>85.45</v>
      </c>
      <c r="O81" s="19">
        <v>7.23</v>
      </c>
      <c r="P81" s="19">
        <v>50.47</v>
      </c>
      <c r="S81" s="15">
        <f t="shared" si="1"/>
        <v>-0.3618016603</v>
      </c>
      <c r="T81" s="15">
        <f t="shared" si="2"/>
        <v>0.3587501257</v>
      </c>
      <c r="V81" s="15">
        <f t="shared" si="3"/>
        <v>0</v>
      </c>
      <c r="W81" s="15">
        <v>0.0</v>
      </c>
      <c r="X81" s="19">
        <v>0.0</v>
      </c>
      <c r="Y81" s="15">
        <f t="shared" si="13"/>
        <v>1</v>
      </c>
      <c r="Z81" s="19">
        <v>1.0</v>
      </c>
    </row>
    <row r="82">
      <c r="G82" s="19">
        <v>383560.03</v>
      </c>
      <c r="H82" s="19">
        <v>115000.0</v>
      </c>
      <c r="I82" s="19">
        <v>971881.38</v>
      </c>
      <c r="J82" s="19">
        <v>9.56</v>
      </c>
      <c r="K82" s="19">
        <v>1.2</v>
      </c>
      <c r="L82" s="19">
        <v>11.39</v>
      </c>
      <c r="M82" s="19">
        <v>0.36</v>
      </c>
      <c r="N82" s="19">
        <v>5.74</v>
      </c>
      <c r="O82" s="19">
        <v>7.16</v>
      </c>
      <c r="P82" s="19">
        <v>50.99</v>
      </c>
      <c r="S82" s="15">
        <f t="shared" si="1"/>
        <v>-2.162392046</v>
      </c>
      <c r="T82" s="15">
        <f t="shared" si="2"/>
        <v>0.01529398506</v>
      </c>
      <c r="V82" s="15">
        <f t="shared" si="3"/>
        <v>0</v>
      </c>
    </row>
    <row r="83">
      <c r="G83" s="19">
        <v>630255.51</v>
      </c>
      <c r="H83" s="19">
        <v>214250.0</v>
      </c>
      <c r="I83" s="19">
        <v>558283.15</v>
      </c>
      <c r="J83" s="19">
        <v>-2.19</v>
      </c>
      <c r="K83" s="19">
        <v>0.57</v>
      </c>
      <c r="L83" s="19">
        <v>-1.51</v>
      </c>
      <c r="M83" s="19">
        <v>0.75</v>
      </c>
      <c r="N83" s="19">
        <v>60.57</v>
      </c>
      <c r="O83" s="19">
        <v>6.21</v>
      </c>
      <c r="P83" s="19">
        <v>58.8</v>
      </c>
      <c r="S83" s="15">
        <f t="shared" si="1"/>
        <v>-0.7496798928</v>
      </c>
      <c r="T83" s="15">
        <f t="shared" si="2"/>
        <v>0.2267237602</v>
      </c>
      <c r="V83" s="15">
        <f t="shared" si="3"/>
        <v>0</v>
      </c>
      <c r="W83" s="15">
        <v>0.0</v>
      </c>
      <c r="X83" s="19">
        <v>0.0</v>
      </c>
      <c r="Y83" s="15">
        <f t="shared" ref="Y83:Y87" si="14">if(W83=X83,1,0)</f>
        <v>1</v>
      </c>
      <c r="Z83" s="19">
        <v>1.0</v>
      </c>
    </row>
    <row r="84">
      <c r="G84" s="19">
        <v>690626.01</v>
      </c>
      <c r="H84" s="19">
        <v>215000.0</v>
      </c>
      <c r="I84" s="19">
        <v>398751.46</v>
      </c>
      <c r="J84" s="19">
        <v>11.12</v>
      </c>
      <c r="K84" s="19">
        <v>0.34</v>
      </c>
      <c r="L84" s="19">
        <v>20.82</v>
      </c>
      <c r="M84" s="19">
        <v>2.51</v>
      </c>
      <c r="N84" s="19">
        <v>97.99</v>
      </c>
      <c r="O84" s="19">
        <v>7.49</v>
      </c>
      <c r="P84" s="19">
        <v>48.76</v>
      </c>
      <c r="S84" s="15">
        <f t="shared" si="1"/>
        <v>-2.424637184</v>
      </c>
      <c r="T84" s="15">
        <f t="shared" si="2"/>
        <v>0.007661846281</v>
      </c>
      <c r="V84" s="15">
        <f t="shared" si="3"/>
        <v>0</v>
      </c>
      <c r="W84" s="15">
        <v>0.0</v>
      </c>
      <c r="X84" s="19">
        <v>0.0</v>
      </c>
      <c r="Y84" s="15">
        <f t="shared" si="14"/>
        <v>1</v>
      </c>
      <c r="Z84" s="19">
        <v>1.0</v>
      </c>
    </row>
    <row r="85">
      <c r="G85" s="19">
        <v>1822473.87</v>
      </c>
      <c r="H85" s="19">
        <v>343199.96</v>
      </c>
      <c r="I85" s="19">
        <v>801001.39</v>
      </c>
      <c r="J85" s="19">
        <v>13.68</v>
      </c>
      <c r="K85" s="19">
        <v>1.92</v>
      </c>
      <c r="L85" s="19">
        <v>1048.78</v>
      </c>
      <c r="M85" s="19">
        <v>0.24</v>
      </c>
      <c r="N85" s="19">
        <v>6.91</v>
      </c>
      <c r="O85" s="19">
        <v>3.43</v>
      </c>
      <c r="P85" s="19">
        <v>106.56</v>
      </c>
      <c r="S85" s="15">
        <f t="shared" si="1"/>
        <v>-23.00068997</v>
      </c>
      <c r="T85" s="15">
        <f t="shared" si="2"/>
        <v>0</v>
      </c>
      <c r="V85" s="15">
        <f t="shared" si="3"/>
        <v>0</v>
      </c>
      <c r="W85" s="15">
        <v>0.0</v>
      </c>
      <c r="X85" s="19">
        <v>0.0</v>
      </c>
      <c r="Y85" s="15">
        <f t="shared" si="14"/>
        <v>1</v>
      </c>
      <c r="Z85" s="19">
        <v>1.0</v>
      </c>
    </row>
    <row r="86">
      <c r="G86" s="19">
        <v>730862.04</v>
      </c>
      <c r="H86" s="19">
        <v>210000.0</v>
      </c>
      <c r="I86" s="19">
        <v>479316.79</v>
      </c>
      <c r="J86" s="19">
        <v>15.65</v>
      </c>
      <c r="K86" s="19">
        <v>0.46</v>
      </c>
      <c r="L86" s="19">
        <v>25.25</v>
      </c>
      <c r="M86" s="19">
        <v>1.3</v>
      </c>
      <c r="N86" s="19">
        <v>58.8</v>
      </c>
      <c r="O86" s="19">
        <v>14.01</v>
      </c>
      <c r="P86" s="19">
        <v>26.05</v>
      </c>
      <c r="S86" s="15">
        <f t="shared" si="1"/>
        <v>-3.34760066</v>
      </c>
      <c r="T86" s="15">
        <f t="shared" si="2"/>
        <v>0.0004075718942</v>
      </c>
      <c r="V86" s="15">
        <f t="shared" si="3"/>
        <v>0</v>
      </c>
      <c r="W86" s="15">
        <v>0.0</v>
      </c>
      <c r="X86" s="19">
        <v>0.0</v>
      </c>
      <c r="Y86" s="15">
        <f t="shared" si="14"/>
        <v>1</v>
      </c>
      <c r="Z86" s="19">
        <v>1.0</v>
      </c>
    </row>
    <row r="87">
      <c r="G87" s="19">
        <v>467924.2</v>
      </c>
      <c r="H87" s="19">
        <v>150000.0</v>
      </c>
      <c r="I87" s="19">
        <v>384348.18</v>
      </c>
      <c r="J87" s="19">
        <v>-2.48</v>
      </c>
      <c r="K87" s="19">
        <v>1.22</v>
      </c>
      <c r="L87" s="19">
        <v>-0.78</v>
      </c>
      <c r="M87" s="19">
        <v>1.29</v>
      </c>
      <c r="N87" s="19">
        <v>10.41</v>
      </c>
      <c r="O87" s="19">
        <v>8.58</v>
      </c>
      <c r="P87" s="19">
        <v>42.56</v>
      </c>
      <c r="S87" s="15">
        <f t="shared" si="1"/>
        <v>-0.9999712872</v>
      </c>
      <c r="T87" s="15">
        <f t="shared" si="2"/>
        <v>0.1586622017</v>
      </c>
      <c r="V87" s="15">
        <f t="shared" si="3"/>
        <v>0</v>
      </c>
      <c r="W87" s="15">
        <v>0.0</v>
      </c>
      <c r="X87" s="19">
        <v>1.0</v>
      </c>
      <c r="Y87" s="15">
        <f t="shared" si="14"/>
        <v>0</v>
      </c>
      <c r="Z87" s="19">
        <v>1.0</v>
      </c>
    </row>
    <row r="88">
      <c r="G88" s="19">
        <v>1610843.89</v>
      </c>
      <c r="H88" s="19">
        <v>160000.0</v>
      </c>
      <c r="I88" s="19">
        <v>3148813.94</v>
      </c>
      <c r="J88" s="19">
        <v>18.98</v>
      </c>
      <c r="K88" s="19">
        <v>1.04</v>
      </c>
      <c r="L88" s="19">
        <v>49.67</v>
      </c>
      <c r="M88" s="19">
        <v>1.87</v>
      </c>
      <c r="N88" s="19">
        <v>68.8</v>
      </c>
      <c r="O88" s="19">
        <v>9.77</v>
      </c>
      <c r="P88" s="19">
        <v>37.37</v>
      </c>
      <c r="S88" s="15">
        <f t="shared" si="1"/>
        <v>-5.491072321</v>
      </c>
      <c r="T88" s="15">
        <f t="shared" si="2"/>
        <v>0.00000001997503651</v>
      </c>
      <c r="V88" s="15">
        <f t="shared" si="3"/>
        <v>0</v>
      </c>
    </row>
    <row r="89">
      <c r="G89" s="19">
        <v>2157121.78</v>
      </c>
      <c r="H89" s="19">
        <v>221449.46</v>
      </c>
      <c r="I89" s="19">
        <v>363290.71</v>
      </c>
      <c r="J89" s="19">
        <v>-1.33</v>
      </c>
      <c r="K89" s="19">
        <v>1.3</v>
      </c>
      <c r="L89" s="19">
        <v>-0.37</v>
      </c>
      <c r="M89" s="19">
        <v>0.09</v>
      </c>
      <c r="P89" s="19" t="s">
        <v>46</v>
      </c>
      <c r="S89" s="15" t="str">
        <f t="shared" si="1"/>
        <v>#VALUE!</v>
      </c>
      <c r="T89" s="15" t="str">
        <f t="shared" si="2"/>
        <v>#VALUE!</v>
      </c>
      <c r="V89" s="15" t="str">
        <f t="shared" si="3"/>
        <v>#VALUE!</v>
      </c>
    </row>
    <row r="90">
      <c r="G90" s="19">
        <v>1466162.47</v>
      </c>
      <c r="H90" s="19">
        <v>191895.14</v>
      </c>
      <c r="I90" s="19">
        <v>1394749.02</v>
      </c>
      <c r="J90" s="19">
        <v>6.52</v>
      </c>
      <c r="K90" s="19">
        <v>1.67</v>
      </c>
      <c r="L90" s="19">
        <v>4.36</v>
      </c>
      <c r="M90" s="19">
        <v>0.49</v>
      </c>
      <c r="N90" s="19">
        <v>70.34</v>
      </c>
      <c r="O90" s="19">
        <v>5.24</v>
      </c>
      <c r="P90" s="19">
        <v>69.67</v>
      </c>
      <c r="S90" s="15">
        <f t="shared" si="1"/>
        <v>-1.757327851</v>
      </c>
      <c r="T90" s="15">
        <f t="shared" si="2"/>
        <v>0.03943097162</v>
      </c>
      <c r="V90" s="15">
        <f t="shared" si="3"/>
        <v>0</v>
      </c>
      <c r="W90" s="15">
        <v>0.0</v>
      </c>
      <c r="X90" s="19">
        <v>0.0</v>
      </c>
      <c r="Y90" s="15">
        <f t="shared" ref="Y90:Y92" si="15">if(W90=X90,1,0)</f>
        <v>1</v>
      </c>
      <c r="Z90" s="19">
        <v>1.0</v>
      </c>
    </row>
    <row r="91">
      <c r="G91" s="19">
        <v>5886132.53</v>
      </c>
      <c r="H91" s="19">
        <v>1651175.66</v>
      </c>
      <c r="I91" s="19">
        <v>164175.47</v>
      </c>
      <c r="J91" s="19">
        <v>-1.04</v>
      </c>
      <c r="K91" s="19">
        <v>1.75</v>
      </c>
      <c r="L91" s="19">
        <v>-1.35</v>
      </c>
      <c r="M91" s="19">
        <v>0.51</v>
      </c>
      <c r="N91" s="19">
        <v>9078.55</v>
      </c>
      <c r="O91" s="19">
        <v>0.03</v>
      </c>
      <c r="P91" s="19">
        <v>10771.56</v>
      </c>
      <c r="S91" s="15">
        <f t="shared" si="1"/>
        <v>2.019609568</v>
      </c>
      <c r="T91" s="15">
        <f t="shared" si="2"/>
        <v>0.9782880491</v>
      </c>
      <c r="V91" s="15">
        <f t="shared" si="3"/>
        <v>1</v>
      </c>
      <c r="W91" s="15">
        <v>1.0</v>
      </c>
      <c r="X91" s="19">
        <v>1.0</v>
      </c>
      <c r="Y91" s="15">
        <f t="shared" si="15"/>
        <v>1</v>
      </c>
      <c r="Z91" s="19">
        <v>1.0</v>
      </c>
    </row>
    <row r="92">
      <c r="G92" s="19">
        <v>855737.56</v>
      </c>
      <c r="H92" s="19">
        <v>200000.0</v>
      </c>
      <c r="I92" s="19">
        <v>805525.83</v>
      </c>
      <c r="J92" s="19">
        <v>20.22</v>
      </c>
      <c r="K92" s="19">
        <v>0.32</v>
      </c>
      <c r="L92" s="19">
        <v>131.76</v>
      </c>
      <c r="M92" s="19">
        <v>2.1</v>
      </c>
      <c r="N92" s="19">
        <v>68.09</v>
      </c>
      <c r="O92" s="19">
        <v>12.92</v>
      </c>
      <c r="P92" s="19">
        <v>28.26</v>
      </c>
      <c r="S92" s="15">
        <f t="shared" si="1"/>
        <v>-6.089949217</v>
      </c>
      <c r="T92" s="15">
        <f t="shared" si="2"/>
        <v>0.000000000564732483</v>
      </c>
      <c r="V92" s="15">
        <f t="shared" si="3"/>
        <v>0</v>
      </c>
      <c r="W92" s="15">
        <v>0.0</v>
      </c>
      <c r="X92" s="19">
        <v>0.0</v>
      </c>
      <c r="Y92" s="15">
        <f t="shared" si="15"/>
        <v>1</v>
      </c>
      <c r="Z92" s="19">
        <v>1.0</v>
      </c>
    </row>
    <row r="93">
      <c r="G93" s="19">
        <v>1573558.42</v>
      </c>
      <c r="H93" s="19">
        <v>375187.18</v>
      </c>
      <c r="I93" s="19">
        <v>503468.4</v>
      </c>
      <c r="J93" s="19">
        <v>3.2</v>
      </c>
      <c r="K93" s="19">
        <v>1.16</v>
      </c>
      <c r="L93" s="19">
        <v>1.65</v>
      </c>
      <c r="M93" s="19">
        <v>0.16</v>
      </c>
      <c r="P93" s="19" t="s">
        <v>46</v>
      </c>
      <c r="S93" s="15" t="str">
        <f t="shared" si="1"/>
        <v>#VALUE!</v>
      </c>
      <c r="T93" s="15" t="str">
        <f t="shared" si="2"/>
        <v>#VALUE!</v>
      </c>
      <c r="V93" s="15" t="str">
        <f t="shared" si="3"/>
        <v>#VALUE!</v>
      </c>
    </row>
    <row r="94">
      <c r="G94" s="19">
        <v>1364857.74</v>
      </c>
      <c r="H94" s="19">
        <v>168722.63</v>
      </c>
      <c r="I94" s="19">
        <v>789746.45</v>
      </c>
      <c r="J94" s="19">
        <v>7.29</v>
      </c>
      <c r="K94" s="19">
        <v>0.29</v>
      </c>
      <c r="L94" s="19">
        <v>200.91</v>
      </c>
      <c r="M94" s="19">
        <v>1.37</v>
      </c>
      <c r="N94" s="19">
        <v>83.78</v>
      </c>
      <c r="O94" s="19">
        <v>2.49</v>
      </c>
      <c r="P94" s="19">
        <v>146.78</v>
      </c>
      <c r="S94" s="15">
        <f t="shared" si="1"/>
        <v>-5.415297906</v>
      </c>
      <c r="T94" s="15">
        <f t="shared" si="2"/>
        <v>0.00000003059337306</v>
      </c>
      <c r="V94" s="15">
        <f t="shared" si="3"/>
        <v>0</v>
      </c>
      <c r="W94" s="15">
        <v>0.0</v>
      </c>
      <c r="X94" s="19">
        <v>0.0</v>
      </c>
      <c r="Y94" s="15">
        <f t="shared" ref="Y94:Y103" si="16">if(W94=X94,1,0)</f>
        <v>1</v>
      </c>
      <c r="Z94" s="19">
        <v>1.0</v>
      </c>
    </row>
    <row r="95">
      <c r="G95" s="19">
        <v>1628123.0</v>
      </c>
      <c r="H95" s="19">
        <v>326543.58</v>
      </c>
      <c r="I95" s="19">
        <v>136345.86</v>
      </c>
      <c r="J95" s="19">
        <v>107.59</v>
      </c>
      <c r="K95" s="19">
        <v>0.12</v>
      </c>
      <c r="L95" s="19">
        <v>431.23</v>
      </c>
      <c r="M95" s="19">
        <v>0.17</v>
      </c>
      <c r="N95" s="19">
        <v>62.29</v>
      </c>
      <c r="O95" s="19">
        <v>0.88</v>
      </c>
      <c r="P95" s="19">
        <v>416.15</v>
      </c>
      <c r="S95" s="15">
        <f t="shared" si="1"/>
        <v>-16.23686017</v>
      </c>
      <c r="T95" s="15">
        <f t="shared" si="2"/>
        <v>0</v>
      </c>
      <c r="V95" s="15">
        <f t="shared" si="3"/>
        <v>0</v>
      </c>
      <c r="W95" s="15">
        <v>0.0</v>
      </c>
      <c r="X95" s="19">
        <v>0.0</v>
      </c>
      <c r="Y95" s="15">
        <f t="shared" si="16"/>
        <v>1</v>
      </c>
      <c r="Z95" s="19">
        <v>1.0</v>
      </c>
    </row>
    <row r="96">
      <c r="G96" s="19">
        <v>4896555.9</v>
      </c>
      <c r="H96" s="19">
        <v>1053386.75</v>
      </c>
      <c r="I96" s="19">
        <v>2333630.28</v>
      </c>
      <c r="J96" s="19">
        <v>-0.36</v>
      </c>
      <c r="K96" s="19">
        <v>1.32</v>
      </c>
      <c r="L96" s="19">
        <v>-0.17</v>
      </c>
      <c r="M96" s="19">
        <v>0.28</v>
      </c>
      <c r="N96" s="19">
        <v>20.48</v>
      </c>
      <c r="O96" s="19">
        <v>2.16</v>
      </c>
      <c r="P96" s="19">
        <v>169.26</v>
      </c>
      <c r="S96" s="15">
        <f t="shared" si="1"/>
        <v>-1.314327327</v>
      </c>
      <c r="T96" s="15">
        <f t="shared" si="2"/>
        <v>0.09436803743</v>
      </c>
      <c r="V96" s="15">
        <f t="shared" si="3"/>
        <v>0</v>
      </c>
      <c r="W96" s="15">
        <v>0.0</v>
      </c>
      <c r="X96" s="19">
        <v>1.0</v>
      </c>
      <c r="Y96" s="15">
        <f t="shared" si="16"/>
        <v>0</v>
      </c>
      <c r="Z96" s="19">
        <v>1.0</v>
      </c>
    </row>
    <row r="97">
      <c r="G97" s="19">
        <v>403151.4</v>
      </c>
      <c r="H97" s="19">
        <v>124205.85</v>
      </c>
      <c r="I97" s="19">
        <v>261081.33</v>
      </c>
      <c r="J97" s="19">
        <v>8.59</v>
      </c>
      <c r="K97" s="19">
        <v>0.76</v>
      </c>
      <c r="L97" s="19">
        <v>3.79</v>
      </c>
      <c r="M97" s="19">
        <v>1.91</v>
      </c>
      <c r="N97" s="19">
        <v>216.44</v>
      </c>
      <c r="O97" s="19">
        <v>3.11</v>
      </c>
      <c r="P97" s="19">
        <v>117.46</v>
      </c>
      <c r="S97" s="15">
        <f t="shared" si="1"/>
        <v>-1.16454365</v>
      </c>
      <c r="T97" s="15">
        <f t="shared" si="2"/>
        <v>0.1221018824</v>
      </c>
      <c r="V97" s="15">
        <f t="shared" si="3"/>
        <v>0</v>
      </c>
      <c r="W97" s="15">
        <v>0.0</v>
      </c>
      <c r="X97" s="19">
        <v>0.0</v>
      </c>
      <c r="Y97" s="15">
        <f t="shared" si="16"/>
        <v>1</v>
      </c>
      <c r="Z97" s="19">
        <v>1.0</v>
      </c>
    </row>
    <row r="98">
      <c r="G98" s="19">
        <v>1052526.51</v>
      </c>
      <c r="H98" s="19">
        <v>116538.06</v>
      </c>
      <c r="I98" s="19">
        <v>1789543.49</v>
      </c>
      <c r="J98" s="19">
        <v>15.65</v>
      </c>
      <c r="K98" s="19">
        <v>1.42</v>
      </c>
      <c r="L98" s="19">
        <v>11.6</v>
      </c>
      <c r="M98" s="19">
        <v>1.08</v>
      </c>
      <c r="N98" s="19">
        <v>58.66</v>
      </c>
      <c r="O98" s="19">
        <v>8.46</v>
      </c>
      <c r="P98" s="19">
        <v>43.15</v>
      </c>
      <c r="S98" s="15">
        <f t="shared" si="1"/>
        <v>-3.292769909</v>
      </c>
      <c r="T98" s="15">
        <f t="shared" si="2"/>
        <v>0.000496028126</v>
      </c>
      <c r="V98" s="15">
        <f t="shared" si="3"/>
        <v>0</v>
      </c>
      <c r="W98" s="15">
        <v>0.0</v>
      </c>
      <c r="X98" s="19">
        <v>0.0</v>
      </c>
      <c r="Y98" s="15">
        <f t="shared" si="16"/>
        <v>1</v>
      </c>
      <c r="Z98" s="19">
        <v>1.0</v>
      </c>
    </row>
    <row r="99">
      <c r="G99" s="19">
        <v>1226244.67</v>
      </c>
      <c r="H99" s="19">
        <v>346891.51</v>
      </c>
      <c r="I99" s="19">
        <v>800658.61</v>
      </c>
      <c r="J99" s="19">
        <v>4.43</v>
      </c>
      <c r="K99" s="19">
        <v>0.35</v>
      </c>
      <c r="L99" s="19">
        <v>12.0</v>
      </c>
      <c r="M99" s="19">
        <v>1.06</v>
      </c>
      <c r="N99" s="19">
        <v>49.49</v>
      </c>
      <c r="O99" s="19">
        <v>8.56</v>
      </c>
      <c r="P99" s="19">
        <v>42.64</v>
      </c>
      <c r="S99" s="15">
        <f t="shared" si="1"/>
        <v>-1.904310127</v>
      </c>
      <c r="T99" s="15">
        <f t="shared" si="2"/>
        <v>0.02843490305</v>
      </c>
      <c r="V99" s="15">
        <f t="shared" si="3"/>
        <v>0</v>
      </c>
      <c r="W99" s="15">
        <v>0.0</v>
      </c>
      <c r="X99" s="19">
        <v>0.0</v>
      </c>
      <c r="Y99" s="15">
        <f t="shared" si="16"/>
        <v>1</v>
      </c>
      <c r="Z99" s="19">
        <v>1.0</v>
      </c>
    </row>
    <row r="100">
      <c r="G100" s="19">
        <v>639575.9</v>
      </c>
      <c r="H100" s="19">
        <v>200000.0</v>
      </c>
      <c r="I100" s="19">
        <v>216443.17</v>
      </c>
      <c r="J100" s="19">
        <v>30.44</v>
      </c>
      <c r="K100" s="19">
        <v>0.33</v>
      </c>
      <c r="L100" s="19">
        <v>1424.4</v>
      </c>
      <c r="M100" s="19">
        <v>1.01</v>
      </c>
      <c r="N100" s="19">
        <v>58.07</v>
      </c>
      <c r="O100" s="19">
        <v>11.11</v>
      </c>
      <c r="P100" s="19">
        <v>32.84</v>
      </c>
      <c r="S100" s="15">
        <f t="shared" si="1"/>
        <v>-32.44581694</v>
      </c>
      <c r="T100" s="15">
        <f t="shared" si="2"/>
        <v>0</v>
      </c>
      <c r="V100" s="15">
        <f t="shared" si="3"/>
        <v>0</v>
      </c>
      <c r="W100" s="15">
        <v>0.0</v>
      </c>
      <c r="X100" s="19">
        <v>0.0</v>
      </c>
      <c r="Y100" s="15">
        <f t="shared" si="16"/>
        <v>1</v>
      </c>
      <c r="Z100" s="19">
        <v>1.0</v>
      </c>
    </row>
    <row r="101">
      <c r="G101" s="19">
        <v>840004.06</v>
      </c>
      <c r="H101" s="19">
        <v>7.565019765E7</v>
      </c>
      <c r="I101" s="19">
        <v>144808.22</v>
      </c>
      <c r="J101" s="19">
        <v>11.32</v>
      </c>
      <c r="K101" s="19">
        <v>0.14</v>
      </c>
      <c r="L101" s="19">
        <v>109.08</v>
      </c>
      <c r="M101" s="19">
        <v>1.09</v>
      </c>
      <c r="N101" s="19">
        <v>239.88</v>
      </c>
      <c r="O101" s="19">
        <v>0.42</v>
      </c>
      <c r="P101" s="19">
        <v>865.44</v>
      </c>
      <c r="S101" s="15">
        <f t="shared" si="1"/>
        <v>-0.4125910518</v>
      </c>
      <c r="T101" s="15">
        <f t="shared" si="2"/>
        <v>0.3399531292</v>
      </c>
      <c r="V101" s="15">
        <f t="shared" si="3"/>
        <v>0</v>
      </c>
      <c r="W101" s="15">
        <v>0.0</v>
      </c>
      <c r="X101" s="19">
        <v>0.0</v>
      </c>
      <c r="Y101" s="15">
        <f t="shared" si="16"/>
        <v>1</v>
      </c>
      <c r="Z101" s="19">
        <v>1.0</v>
      </c>
    </row>
    <row r="102">
      <c r="G102" s="19">
        <v>463722.96</v>
      </c>
      <c r="H102" s="19">
        <v>100000.0</v>
      </c>
      <c r="I102" s="19">
        <v>167474.73</v>
      </c>
      <c r="J102" s="19">
        <v>-3.77</v>
      </c>
      <c r="K102" s="19">
        <v>0.12</v>
      </c>
      <c r="L102" s="19">
        <v>-32.83</v>
      </c>
      <c r="M102" s="19">
        <v>8.59</v>
      </c>
      <c r="N102" s="19">
        <v>124.81</v>
      </c>
      <c r="O102" s="19">
        <v>11.49</v>
      </c>
      <c r="P102" s="19">
        <v>31.78</v>
      </c>
      <c r="S102" s="15">
        <f t="shared" si="1"/>
        <v>-1.746973043</v>
      </c>
      <c r="T102" s="15">
        <f t="shared" si="2"/>
        <v>0.04032100716</v>
      </c>
      <c r="V102" s="15">
        <f t="shared" si="3"/>
        <v>0</v>
      </c>
      <c r="W102" s="15">
        <v>0.0</v>
      </c>
      <c r="X102" s="19">
        <v>0.0</v>
      </c>
      <c r="Y102" s="15">
        <f t="shared" si="16"/>
        <v>1</v>
      </c>
      <c r="Z102" s="19">
        <v>1.0</v>
      </c>
    </row>
    <row r="103">
      <c r="G103" s="19">
        <v>1002969.55</v>
      </c>
      <c r="H103" s="19">
        <v>559999.99</v>
      </c>
      <c r="I103" s="19">
        <v>586835.17</v>
      </c>
      <c r="J103" s="19">
        <v>8.27</v>
      </c>
      <c r="K103" s="19">
        <v>0.11</v>
      </c>
      <c r="L103" s="19">
        <v>36.75</v>
      </c>
      <c r="M103" s="19">
        <v>8.53</v>
      </c>
      <c r="N103" s="19">
        <v>63.53</v>
      </c>
      <c r="O103" s="19">
        <v>11.51</v>
      </c>
      <c r="P103" s="19">
        <v>31.71</v>
      </c>
      <c r="S103" s="15">
        <f t="shared" si="1"/>
        <v>-4.265761583</v>
      </c>
      <c r="T103" s="15">
        <f t="shared" si="2"/>
        <v>0.000009961072009</v>
      </c>
      <c r="V103" s="15">
        <f t="shared" si="3"/>
        <v>0</v>
      </c>
      <c r="W103" s="15">
        <v>0.0</v>
      </c>
      <c r="X103" s="19">
        <v>0.0</v>
      </c>
      <c r="Y103" s="15">
        <f t="shared" si="16"/>
        <v>1</v>
      </c>
      <c r="Z103" s="19">
        <v>1.0</v>
      </c>
    </row>
    <row r="104">
      <c r="G104" s="19">
        <v>1145272.38</v>
      </c>
      <c r="H104" s="19">
        <v>500000.0</v>
      </c>
      <c r="I104" s="19">
        <v>587731.38</v>
      </c>
      <c r="J104" s="19">
        <v>12.99</v>
      </c>
      <c r="K104" s="19">
        <v>0.27</v>
      </c>
      <c r="L104" s="19">
        <v>21.5</v>
      </c>
      <c r="M104" s="19">
        <v>1.18</v>
      </c>
      <c r="N104" s="19">
        <v>61.38</v>
      </c>
      <c r="O104" s="19">
        <v>5.4</v>
      </c>
      <c r="P104" s="19">
        <v>67.63</v>
      </c>
      <c r="S104" s="15">
        <f t="shared" si="1"/>
        <v>-2.227176127</v>
      </c>
      <c r="T104" s="15">
        <f t="shared" si="2"/>
        <v>0.01296775249</v>
      </c>
      <c r="V104" s="15">
        <f t="shared" si="3"/>
        <v>0</v>
      </c>
    </row>
    <row r="105">
      <c r="G105" s="19">
        <v>764480.1</v>
      </c>
      <c r="H105" s="19">
        <v>135000.0</v>
      </c>
      <c r="I105" s="19">
        <v>615876.15</v>
      </c>
      <c r="J105" s="19">
        <v>9.34</v>
      </c>
      <c r="K105" s="19">
        <v>0.3</v>
      </c>
      <c r="L105" s="19">
        <v>221.53</v>
      </c>
      <c r="M105" s="19">
        <v>2.55</v>
      </c>
      <c r="N105" s="19">
        <v>53.68</v>
      </c>
      <c r="O105" s="19">
        <v>5.03</v>
      </c>
      <c r="P105" s="19">
        <v>72.6</v>
      </c>
      <c r="S105" s="15">
        <f t="shared" si="1"/>
        <v>-6.375122356</v>
      </c>
      <c r="T105" s="15">
        <f t="shared" si="2"/>
        <v>0</v>
      </c>
      <c r="V105" s="15">
        <f t="shared" si="3"/>
        <v>0</v>
      </c>
      <c r="W105" s="15">
        <v>0.0</v>
      </c>
      <c r="X105" s="19">
        <v>0.0</v>
      </c>
      <c r="Y105" s="15">
        <f t="shared" ref="Y105:Y107" si="17">if(W105=X105,1,0)</f>
        <v>1</v>
      </c>
      <c r="Z105" s="19">
        <v>1.0</v>
      </c>
    </row>
    <row r="106">
      <c r="G106" s="19">
        <v>636229.65</v>
      </c>
      <c r="H106" s="19">
        <v>202500.23</v>
      </c>
      <c r="I106" s="19">
        <v>1122185.06</v>
      </c>
      <c r="J106" s="19">
        <v>16.9</v>
      </c>
      <c r="K106" s="19">
        <v>0.83</v>
      </c>
      <c r="L106" s="19">
        <v>38.02</v>
      </c>
      <c r="M106" s="19">
        <v>0.96</v>
      </c>
      <c r="N106" s="19">
        <v>53.25</v>
      </c>
      <c r="O106" s="19">
        <v>5.75</v>
      </c>
      <c r="P106" s="19">
        <v>63.46</v>
      </c>
      <c r="S106" s="15">
        <f t="shared" si="1"/>
        <v>-3.226876791</v>
      </c>
      <c r="T106" s="15">
        <f t="shared" si="2"/>
        <v>0.0006257466838</v>
      </c>
      <c r="V106" s="15">
        <f t="shared" si="3"/>
        <v>0</v>
      </c>
      <c r="W106" s="15">
        <v>0.0</v>
      </c>
      <c r="X106" s="19">
        <v>0.0</v>
      </c>
      <c r="Y106" s="15">
        <f t="shared" si="17"/>
        <v>1</v>
      </c>
      <c r="Z106" s="19">
        <v>1.0</v>
      </c>
    </row>
    <row r="107">
      <c r="G107" s="19">
        <v>646338.3</v>
      </c>
      <c r="H107" s="19">
        <v>215624.56</v>
      </c>
      <c r="I107" s="19">
        <v>705579.97</v>
      </c>
      <c r="J107" s="19">
        <v>-4.67</v>
      </c>
      <c r="K107" s="19">
        <v>0.92</v>
      </c>
      <c r="L107" s="19">
        <v>-13.5</v>
      </c>
      <c r="M107" s="19">
        <v>1.37</v>
      </c>
      <c r="N107" s="19">
        <v>60.94</v>
      </c>
      <c r="O107" s="19">
        <v>3.28</v>
      </c>
      <c r="P107" s="19">
        <v>111.18</v>
      </c>
      <c r="S107" s="15">
        <f t="shared" si="1"/>
        <v>-0.2693904936</v>
      </c>
      <c r="T107" s="15">
        <f t="shared" si="2"/>
        <v>0.3938146005</v>
      </c>
      <c r="V107" s="15">
        <f t="shared" si="3"/>
        <v>0</v>
      </c>
      <c r="W107" s="15">
        <v>0.0</v>
      </c>
      <c r="X107" s="19">
        <v>0.0</v>
      </c>
      <c r="Y107" s="15">
        <f t="shared" si="17"/>
        <v>1</v>
      </c>
      <c r="Z107" s="19">
        <v>1.0</v>
      </c>
    </row>
    <row r="108">
      <c r="I108" s="19">
        <v>905725.94</v>
      </c>
      <c r="J108" s="19">
        <v>0.0</v>
      </c>
      <c r="L108" s="19">
        <v>893.7</v>
      </c>
      <c r="P108" s="19" t="s">
        <v>46</v>
      </c>
      <c r="S108" s="15" t="str">
        <f t="shared" si="1"/>
        <v>#VALUE!</v>
      </c>
      <c r="T108" s="15" t="str">
        <f t="shared" si="2"/>
        <v>#VALUE!</v>
      </c>
      <c r="V108" s="15" t="str">
        <f t="shared" si="3"/>
        <v>#VALUE!</v>
      </c>
    </row>
    <row r="109">
      <c r="G109" s="19">
        <v>3028418.96</v>
      </c>
      <c r="H109" s="19">
        <v>287039.97</v>
      </c>
      <c r="I109" s="19">
        <v>2835361.08</v>
      </c>
      <c r="J109" s="19">
        <v>8.51</v>
      </c>
      <c r="K109" s="19">
        <v>1.54</v>
      </c>
      <c r="L109" s="19">
        <v>5.15</v>
      </c>
      <c r="M109" s="19">
        <v>0.62</v>
      </c>
      <c r="N109" s="19">
        <v>81.73</v>
      </c>
      <c r="O109" s="19">
        <v>5.32</v>
      </c>
      <c r="P109" s="19">
        <v>68.57</v>
      </c>
      <c r="S109" s="15">
        <f t="shared" si="1"/>
        <v>-2.804813204</v>
      </c>
      <c r="T109" s="15">
        <f t="shared" si="2"/>
        <v>0.002517287368</v>
      </c>
      <c r="V109" s="15">
        <f t="shared" si="3"/>
        <v>0</v>
      </c>
      <c r="W109" s="15">
        <v>0.0</v>
      </c>
      <c r="X109" s="19">
        <v>0.0</v>
      </c>
      <c r="Y109" s="15">
        <f t="shared" ref="Y109:Y112" si="18">if(W109=X109,1,0)</f>
        <v>1</v>
      </c>
      <c r="Z109" s="19">
        <v>1.0</v>
      </c>
    </row>
    <row r="110">
      <c r="G110" s="19">
        <v>834001.36</v>
      </c>
      <c r="H110" s="19">
        <v>375000.0</v>
      </c>
      <c r="I110" s="19">
        <v>412132.86</v>
      </c>
      <c r="J110" s="19">
        <v>2.92</v>
      </c>
      <c r="K110" s="19">
        <v>0.37</v>
      </c>
      <c r="L110" s="19">
        <v>2.55</v>
      </c>
      <c r="M110" s="19">
        <v>2.4</v>
      </c>
      <c r="N110" s="19">
        <v>195.07</v>
      </c>
      <c r="O110" s="19">
        <v>3.43</v>
      </c>
      <c r="P110" s="19">
        <v>106.56</v>
      </c>
      <c r="S110" s="15">
        <f t="shared" si="1"/>
        <v>-0.9791071563</v>
      </c>
      <c r="T110" s="15">
        <f t="shared" si="2"/>
        <v>0.163763518</v>
      </c>
      <c r="V110" s="15">
        <f t="shared" si="3"/>
        <v>0</v>
      </c>
      <c r="W110" s="15">
        <v>0.0</v>
      </c>
      <c r="X110" s="19">
        <v>0.0</v>
      </c>
      <c r="Y110" s="15">
        <f t="shared" si="18"/>
        <v>1</v>
      </c>
      <c r="Z110" s="19">
        <v>1.0</v>
      </c>
    </row>
    <row r="111">
      <c r="G111" s="19">
        <v>1866440.34</v>
      </c>
      <c r="H111" s="19">
        <v>211000.05</v>
      </c>
      <c r="I111" s="19">
        <v>1918165.42</v>
      </c>
      <c r="J111" s="19">
        <v>8.34</v>
      </c>
      <c r="K111" s="19">
        <v>0.98</v>
      </c>
      <c r="L111" s="19">
        <v>11.02</v>
      </c>
      <c r="M111" s="19">
        <v>0.51</v>
      </c>
      <c r="N111" s="19">
        <v>64.35</v>
      </c>
      <c r="O111" s="19">
        <v>42.42</v>
      </c>
      <c r="P111" s="19">
        <v>8.6</v>
      </c>
      <c r="S111" s="15">
        <f t="shared" si="1"/>
        <v>-6.275520845</v>
      </c>
      <c r="T111" s="15">
        <f t="shared" si="2"/>
        <v>0.0000000001742330724</v>
      </c>
      <c r="V111" s="15">
        <f t="shared" si="3"/>
        <v>0</v>
      </c>
      <c r="W111" s="15">
        <v>0.0</v>
      </c>
      <c r="X111" s="19">
        <v>0.0</v>
      </c>
      <c r="Y111" s="15">
        <f t="shared" si="18"/>
        <v>1</v>
      </c>
      <c r="Z111" s="19">
        <v>1.0</v>
      </c>
    </row>
    <row r="112">
      <c r="G112" s="19">
        <v>646773.73</v>
      </c>
      <c r="H112" s="19">
        <v>214963.79</v>
      </c>
      <c r="I112" s="19">
        <v>359988.18</v>
      </c>
      <c r="J112" s="19">
        <v>6.97</v>
      </c>
      <c r="K112" s="19">
        <v>1.12</v>
      </c>
      <c r="L112" s="19">
        <v>2.26</v>
      </c>
      <c r="M112" s="19">
        <v>0.58</v>
      </c>
      <c r="N112" s="19">
        <v>97.37</v>
      </c>
      <c r="O112" s="19">
        <v>6.88</v>
      </c>
      <c r="P112" s="19">
        <v>53.03</v>
      </c>
      <c r="S112" s="15">
        <f t="shared" si="1"/>
        <v>-1.269150282</v>
      </c>
      <c r="T112" s="15">
        <f t="shared" si="2"/>
        <v>0.1021937347</v>
      </c>
      <c r="V112" s="15">
        <f t="shared" si="3"/>
        <v>0</v>
      </c>
      <c r="W112" s="15">
        <v>0.0</v>
      </c>
      <c r="X112" s="19">
        <v>0.0</v>
      </c>
      <c r="Y112" s="15">
        <f t="shared" si="18"/>
        <v>1</v>
      </c>
      <c r="Z112" s="19">
        <v>1.0</v>
      </c>
    </row>
    <row r="113">
      <c r="G113" s="19">
        <v>1115536.75</v>
      </c>
      <c r="H113" s="19">
        <v>170000.0</v>
      </c>
      <c r="I113" s="19">
        <v>729237.2</v>
      </c>
      <c r="J113" s="19">
        <v>1.67</v>
      </c>
      <c r="K113" s="19">
        <v>1.35</v>
      </c>
      <c r="L113" s="19">
        <v>1.04</v>
      </c>
      <c r="M113" s="19">
        <v>0.66</v>
      </c>
      <c r="N113" s="19">
        <v>83.12</v>
      </c>
      <c r="O113" s="19">
        <v>4.15</v>
      </c>
      <c r="P113" s="19">
        <v>87.93</v>
      </c>
      <c r="S113" s="15">
        <f t="shared" si="1"/>
        <v>-0.8638500374</v>
      </c>
      <c r="T113" s="15">
        <f t="shared" si="2"/>
        <v>0.1938351381</v>
      </c>
      <c r="V113" s="15">
        <f t="shared" si="3"/>
        <v>0</v>
      </c>
    </row>
    <row r="114">
      <c r="G114" s="19">
        <v>1078605.35</v>
      </c>
      <c r="H114" s="19">
        <v>158000.0</v>
      </c>
      <c r="I114" s="19">
        <v>1014617.88</v>
      </c>
      <c r="J114" s="19">
        <v>5.38</v>
      </c>
      <c r="K114" s="19">
        <v>1.57</v>
      </c>
      <c r="L114" s="19">
        <v>4.81</v>
      </c>
      <c r="M114" s="19">
        <v>1.21</v>
      </c>
      <c r="N114" s="19">
        <v>124.59</v>
      </c>
      <c r="O114" s="19">
        <v>2.54</v>
      </c>
      <c r="P114" s="19">
        <v>143.54</v>
      </c>
      <c r="S114" s="15">
        <f t="shared" si="1"/>
        <v>-1.316220472</v>
      </c>
      <c r="T114" s="15">
        <f t="shared" si="2"/>
        <v>0.09405002714</v>
      </c>
      <c r="V114" s="15">
        <f t="shared" si="3"/>
        <v>0</v>
      </c>
    </row>
    <row r="115">
      <c r="G115" s="19">
        <v>987100.05</v>
      </c>
      <c r="H115" s="19">
        <v>270000.0</v>
      </c>
      <c r="I115" s="19">
        <v>990012.22</v>
      </c>
      <c r="J115" s="19">
        <v>5.71</v>
      </c>
      <c r="K115" s="19">
        <v>0.85</v>
      </c>
      <c r="L115" s="19">
        <v>42.14</v>
      </c>
      <c r="M115" s="19">
        <v>1.13</v>
      </c>
      <c r="N115" s="19">
        <v>87.75</v>
      </c>
      <c r="O115" s="19">
        <v>2.69</v>
      </c>
      <c r="P115" s="19">
        <v>135.61</v>
      </c>
      <c r="S115" s="15">
        <f t="shared" si="1"/>
        <v>-2.160142953</v>
      </c>
      <c r="T115" s="15">
        <f t="shared" si="2"/>
        <v>0.01538080238</v>
      </c>
      <c r="V115" s="15">
        <f t="shared" si="3"/>
        <v>0</v>
      </c>
    </row>
    <row r="116">
      <c r="G116" s="19">
        <v>3988156.81</v>
      </c>
      <c r="H116" s="19">
        <v>641469.42</v>
      </c>
      <c r="I116" s="19">
        <v>101973.39</v>
      </c>
      <c r="J116" s="19">
        <v>-3.28</v>
      </c>
      <c r="K116" s="19">
        <v>5.69</v>
      </c>
      <c r="L116" s="19">
        <v>-5.73</v>
      </c>
      <c r="M116" s="19">
        <v>0.14</v>
      </c>
      <c r="N116" s="19" t="s">
        <v>46</v>
      </c>
      <c r="O116" s="19" t="s">
        <v>46</v>
      </c>
      <c r="P116" s="19" t="s">
        <v>46</v>
      </c>
      <c r="S116" s="15" t="str">
        <f t="shared" si="1"/>
        <v>#VALUE!</v>
      </c>
      <c r="T116" s="15" t="str">
        <f t="shared" si="2"/>
        <v>#VALUE!</v>
      </c>
      <c r="V116" s="15" t="str">
        <f t="shared" si="3"/>
        <v>#VALUE!</v>
      </c>
    </row>
    <row r="117">
      <c r="G117" s="19">
        <v>1291547.34</v>
      </c>
      <c r="H117" s="19">
        <v>6.499243816E7</v>
      </c>
      <c r="I117" s="19">
        <v>104651.27</v>
      </c>
      <c r="J117" s="19">
        <v>-7.61</v>
      </c>
      <c r="K117" s="19">
        <v>0.08</v>
      </c>
      <c r="L117" s="19">
        <v>-34.64</v>
      </c>
      <c r="M117" s="19">
        <v>16.78</v>
      </c>
      <c r="N117" s="19">
        <v>185.02</v>
      </c>
      <c r="O117" s="19">
        <v>0.56</v>
      </c>
      <c r="P117" s="19">
        <v>657.64</v>
      </c>
      <c r="S117" s="15">
        <f t="shared" si="1"/>
        <v>0.500485721</v>
      </c>
      <c r="T117" s="15">
        <f t="shared" si="2"/>
        <v>0.691633446</v>
      </c>
      <c r="V117" s="15">
        <f t="shared" si="3"/>
        <v>1</v>
      </c>
      <c r="W117" s="15">
        <v>1.0</v>
      </c>
      <c r="X117" s="19">
        <v>1.0</v>
      </c>
      <c r="Y117" s="15">
        <f t="shared" ref="Y117:Y124" si="19">if(W117=X117,1,0)</f>
        <v>1</v>
      </c>
      <c r="Z117" s="19">
        <v>1.0</v>
      </c>
    </row>
    <row r="118">
      <c r="G118" s="19">
        <v>7666344.02</v>
      </c>
      <c r="H118" s="19">
        <v>1185974.79</v>
      </c>
      <c r="I118" s="19">
        <v>2385741.27</v>
      </c>
      <c r="J118" s="19">
        <v>-0.57</v>
      </c>
      <c r="K118" s="19">
        <v>0.5</v>
      </c>
      <c r="L118" s="19">
        <v>-0.73</v>
      </c>
      <c r="M118" s="19">
        <v>0.22</v>
      </c>
      <c r="N118" s="19">
        <v>85.74</v>
      </c>
      <c r="O118" s="19">
        <v>3.62</v>
      </c>
      <c r="P118" s="19">
        <v>100.86</v>
      </c>
      <c r="S118" s="15">
        <f t="shared" si="1"/>
        <v>-1.150907349</v>
      </c>
      <c r="T118" s="15">
        <f t="shared" si="2"/>
        <v>0.1248851771</v>
      </c>
      <c r="V118" s="15">
        <f t="shared" si="3"/>
        <v>0</v>
      </c>
      <c r="W118" s="15">
        <v>0.0</v>
      </c>
      <c r="X118" s="19">
        <v>0.0</v>
      </c>
      <c r="Y118" s="15">
        <f t="shared" si="19"/>
        <v>1</v>
      </c>
      <c r="Z118" s="19">
        <v>1.0</v>
      </c>
    </row>
    <row r="119">
      <c r="G119" s="19">
        <v>506884.27</v>
      </c>
      <c r="H119" s="19">
        <v>98568.49</v>
      </c>
      <c r="I119" s="19">
        <v>384991.05</v>
      </c>
      <c r="J119" s="19">
        <v>1.39</v>
      </c>
      <c r="K119" s="19">
        <v>0.16</v>
      </c>
      <c r="L119" s="19">
        <v>10.22</v>
      </c>
      <c r="M119" s="19">
        <v>5.69</v>
      </c>
      <c r="N119" s="19">
        <v>83.43</v>
      </c>
      <c r="O119" s="19">
        <v>8.47</v>
      </c>
      <c r="P119" s="19">
        <v>43.11</v>
      </c>
      <c r="S119" s="15">
        <f t="shared" si="1"/>
        <v>-2.298032307</v>
      </c>
      <c r="T119" s="15">
        <f t="shared" si="2"/>
        <v>0.01077997522</v>
      </c>
      <c r="V119" s="15">
        <f t="shared" si="3"/>
        <v>0</v>
      </c>
      <c r="W119" s="15">
        <v>0.0</v>
      </c>
      <c r="X119" s="19">
        <v>0.0</v>
      </c>
      <c r="Y119" s="15">
        <f t="shared" si="19"/>
        <v>1</v>
      </c>
      <c r="Z119" s="19">
        <v>1.0</v>
      </c>
    </row>
    <row r="120">
      <c r="G120" s="19">
        <v>1193303.77</v>
      </c>
      <c r="H120" s="19">
        <v>200811.61</v>
      </c>
      <c r="I120" s="19">
        <v>498100.86</v>
      </c>
      <c r="J120" s="19">
        <v>-10.32</v>
      </c>
      <c r="K120" s="19">
        <v>0.69</v>
      </c>
      <c r="L120" s="19">
        <v>-9.02</v>
      </c>
      <c r="M120" s="19">
        <v>0.55</v>
      </c>
      <c r="N120" s="19">
        <v>24.41</v>
      </c>
      <c r="O120" s="19">
        <v>8.8</v>
      </c>
      <c r="P120" s="19">
        <v>41.5</v>
      </c>
      <c r="S120" s="15">
        <f t="shared" si="1"/>
        <v>-0.2133785316</v>
      </c>
      <c r="T120" s="15">
        <f t="shared" si="2"/>
        <v>0.4155158621</v>
      </c>
      <c r="V120" s="15">
        <f t="shared" si="3"/>
        <v>0</v>
      </c>
      <c r="W120" s="15">
        <v>0.0</v>
      </c>
      <c r="X120" s="19">
        <v>0.0</v>
      </c>
      <c r="Y120" s="15">
        <f t="shared" si="19"/>
        <v>1</v>
      </c>
      <c r="Z120" s="19">
        <v>1.0</v>
      </c>
    </row>
    <row r="121">
      <c r="G121" s="19">
        <v>1764123.82</v>
      </c>
      <c r="H121" s="19">
        <v>318727.59</v>
      </c>
      <c r="I121" s="19">
        <v>806210.27</v>
      </c>
      <c r="J121" s="19">
        <v>12.7</v>
      </c>
      <c r="K121" s="19">
        <v>0.29</v>
      </c>
      <c r="L121" s="19">
        <v>14.5</v>
      </c>
      <c r="M121" s="19">
        <v>4.27</v>
      </c>
      <c r="N121" s="19">
        <v>92.13</v>
      </c>
      <c r="O121" s="19">
        <v>17.26</v>
      </c>
      <c r="P121" s="19">
        <v>21.15</v>
      </c>
      <c r="S121" s="15">
        <f t="shared" si="1"/>
        <v>-3.949221674</v>
      </c>
      <c r="T121" s="15">
        <f t="shared" si="2"/>
        <v>0.00003920285886</v>
      </c>
      <c r="V121" s="15">
        <f t="shared" si="3"/>
        <v>0</v>
      </c>
      <c r="W121" s="15">
        <v>0.0</v>
      </c>
      <c r="X121" s="19">
        <v>0.0</v>
      </c>
      <c r="Y121" s="15">
        <f t="shared" si="19"/>
        <v>1</v>
      </c>
      <c r="Z121" s="19">
        <v>1.0</v>
      </c>
    </row>
    <row r="122">
      <c r="G122" s="19">
        <v>429122.29</v>
      </c>
      <c r="H122" s="19">
        <v>150000.0</v>
      </c>
      <c r="I122" s="19">
        <v>39145.29</v>
      </c>
      <c r="J122" s="19">
        <v>8.65</v>
      </c>
      <c r="K122" s="19">
        <v>0.4</v>
      </c>
      <c r="L122" s="19">
        <v>11.49</v>
      </c>
      <c r="M122" s="19">
        <v>3.08</v>
      </c>
      <c r="N122" s="19">
        <v>41.71</v>
      </c>
      <c r="O122" s="19">
        <v>7.56</v>
      </c>
      <c r="P122" s="19">
        <v>48.25</v>
      </c>
      <c r="S122" s="15">
        <f t="shared" si="1"/>
        <v>-2.014028255</v>
      </c>
      <c r="T122" s="15">
        <f t="shared" si="2"/>
        <v>0.02200328353</v>
      </c>
      <c r="V122" s="15">
        <f t="shared" si="3"/>
        <v>0</v>
      </c>
      <c r="W122" s="15">
        <v>0.0</v>
      </c>
      <c r="X122" s="19">
        <v>0.0</v>
      </c>
      <c r="Y122" s="15">
        <f t="shared" si="19"/>
        <v>1</v>
      </c>
      <c r="Z122" s="19">
        <v>1.0</v>
      </c>
    </row>
    <row r="123">
      <c r="G123" s="19">
        <v>1939180.97</v>
      </c>
      <c r="H123" s="19">
        <v>380121.02</v>
      </c>
      <c r="I123" s="19">
        <v>1300734.68</v>
      </c>
      <c r="J123" s="19">
        <v>0.31</v>
      </c>
      <c r="K123" s="19">
        <v>0.22</v>
      </c>
      <c r="L123" s="19">
        <v>1.18</v>
      </c>
      <c r="M123" s="19">
        <v>2.04</v>
      </c>
      <c r="N123" s="19">
        <v>89.07</v>
      </c>
      <c r="O123" s="19">
        <v>7.19</v>
      </c>
      <c r="P123" s="19">
        <v>50.77</v>
      </c>
      <c r="S123" s="15">
        <f t="shared" si="1"/>
        <v>-1.707693647</v>
      </c>
      <c r="T123" s="15">
        <f t="shared" si="2"/>
        <v>0.04384660079</v>
      </c>
      <c r="V123" s="15">
        <f t="shared" si="3"/>
        <v>0</v>
      </c>
      <c r="W123" s="15">
        <v>0.0</v>
      </c>
      <c r="X123" s="19">
        <v>1.0</v>
      </c>
      <c r="Y123" s="15">
        <f t="shared" si="19"/>
        <v>0</v>
      </c>
      <c r="Z123" s="19">
        <v>1.0</v>
      </c>
    </row>
    <row r="124">
      <c r="G124" s="19">
        <v>500643.16</v>
      </c>
      <c r="H124" s="19">
        <v>154271.93</v>
      </c>
      <c r="I124" s="19">
        <v>632093.11</v>
      </c>
      <c r="J124" s="19">
        <v>4.1</v>
      </c>
      <c r="K124" s="19">
        <v>1.68</v>
      </c>
      <c r="L124" s="19">
        <v>2.52</v>
      </c>
      <c r="M124" s="19">
        <v>0.57</v>
      </c>
      <c r="N124" s="19">
        <v>56.9</v>
      </c>
      <c r="O124" s="19">
        <v>5.63</v>
      </c>
      <c r="P124" s="19">
        <v>64.88</v>
      </c>
      <c r="S124" s="15">
        <f t="shared" si="1"/>
        <v>-1.173946701</v>
      </c>
      <c r="T124" s="15">
        <f t="shared" si="2"/>
        <v>0.1202081874</v>
      </c>
      <c r="V124" s="15">
        <f t="shared" si="3"/>
        <v>0</v>
      </c>
      <c r="W124" s="15">
        <v>0.0</v>
      </c>
      <c r="X124" s="19">
        <v>0.0</v>
      </c>
      <c r="Y124" s="15">
        <f t="shared" si="19"/>
        <v>1</v>
      </c>
      <c r="Z124" s="19">
        <v>1.0</v>
      </c>
    </row>
    <row r="125">
      <c r="G125" s="19">
        <v>488160.18</v>
      </c>
      <c r="H125" s="19">
        <v>311998.99</v>
      </c>
      <c r="I125" s="19">
        <v>471225.01</v>
      </c>
      <c r="J125" s="19">
        <v>9.9</v>
      </c>
      <c r="K125" s="19">
        <v>0.47</v>
      </c>
      <c r="L125" s="19">
        <v>29.21</v>
      </c>
      <c r="M125" s="19">
        <v>1.22</v>
      </c>
      <c r="N125" s="19">
        <v>91.84</v>
      </c>
      <c r="O125" s="19">
        <v>4.16</v>
      </c>
      <c r="P125" s="19">
        <v>87.73</v>
      </c>
      <c r="S125" s="15">
        <f t="shared" si="1"/>
        <v>-2.007793103</v>
      </c>
      <c r="T125" s="15">
        <f t="shared" si="2"/>
        <v>0.02233264102</v>
      </c>
      <c r="V125" s="15">
        <f t="shared" si="3"/>
        <v>0</v>
      </c>
    </row>
    <row r="126">
      <c r="G126" s="19">
        <v>3096597.36</v>
      </c>
      <c r="H126" s="19">
        <v>649507.47</v>
      </c>
      <c r="I126" s="19">
        <v>1.135703786E7</v>
      </c>
      <c r="J126" s="19">
        <v>10.06</v>
      </c>
      <c r="K126" s="19">
        <v>0.85</v>
      </c>
      <c r="L126" s="19">
        <v>12.93</v>
      </c>
      <c r="M126" s="19">
        <v>1.23</v>
      </c>
      <c r="N126" s="19">
        <v>30.66</v>
      </c>
      <c r="O126" s="19">
        <v>17.08</v>
      </c>
      <c r="P126" s="19">
        <v>21.37</v>
      </c>
      <c r="S126" s="15">
        <f t="shared" si="1"/>
        <v>-10.40992437</v>
      </c>
      <c r="T126" s="15">
        <f t="shared" si="2"/>
        <v>0</v>
      </c>
      <c r="V126" s="15">
        <f t="shared" si="3"/>
        <v>0</v>
      </c>
      <c r="W126" s="15">
        <v>0.0</v>
      </c>
      <c r="X126" s="19">
        <v>0.0</v>
      </c>
      <c r="Y126" s="15">
        <f>if(W126=X126,1,0)</f>
        <v>1</v>
      </c>
      <c r="Z126" s="19">
        <v>1.0</v>
      </c>
    </row>
    <row r="127">
      <c r="G127" s="19">
        <v>736016.56</v>
      </c>
      <c r="H127" s="19">
        <v>51370.5</v>
      </c>
      <c r="I127" s="19">
        <v>749393.92</v>
      </c>
      <c r="J127" s="19">
        <v>14.38</v>
      </c>
      <c r="K127" s="19">
        <v>0.28</v>
      </c>
      <c r="L127" s="19">
        <v>53.0</v>
      </c>
      <c r="M127" s="19">
        <v>4.42</v>
      </c>
      <c r="N127" s="19">
        <v>68.3</v>
      </c>
      <c r="O127" s="19">
        <v>5.4</v>
      </c>
      <c r="P127" s="19">
        <v>67.6</v>
      </c>
      <c r="S127" s="15">
        <f t="shared" si="1"/>
        <v>-3.745377345</v>
      </c>
      <c r="T127" s="15">
        <f t="shared" si="2"/>
        <v>0.000090061417</v>
      </c>
      <c r="V127" s="15">
        <f t="shared" si="3"/>
        <v>0</v>
      </c>
    </row>
    <row r="128">
      <c r="G128" s="19">
        <v>1756915.0</v>
      </c>
      <c r="H128" s="19">
        <v>228999.0</v>
      </c>
      <c r="I128" s="19">
        <v>1340426.0</v>
      </c>
      <c r="J128" s="19">
        <v>7.44</v>
      </c>
      <c r="K128" s="19">
        <v>1.63</v>
      </c>
      <c r="L128" s="19">
        <v>5.9</v>
      </c>
      <c r="M128" s="19">
        <v>0.85</v>
      </c>
      <c r="N128" s="19">
        <v>76.25</v>
      </c>
      <c r="O128" s="19">
        <v>4.73</v>
      </c>
      <c r="P128" s="19">
        <v>77.23</v>
      </c>
      <c r="S128" s="15">
        <f t="shared" si="1"/>
        <v>-1.803776539</v>
      </c>
      <c r="T128" s="15">
        <f t="shared" si="2"/>
        <v>0.03563317255</v>
      </c>
      <c r="V128" s="15">
        <f t="shared" si="3"/>
        <v>0</v>
      </c>
      <c r="W128" s="15">
        <v>0.0</v>
      </c>
      <c r="X128" s="19">
        <v>0.0</v>
      </c>
      <c r="Y128" s="15">
        <f t="shared" ref="Y128:Y129" si="20">if(W128=X128,1,0)</f>
        <v>1</v>
      </c>
      <c r="Z128" s="19">
        <v>1.0</v>
      </c>
    </row>
    <row r="129">
      <c r="G129" s="19">
        <v>6044676.34</v>
      </c>
      <c r="H129" s="19">
        <v>2100000.0</v>
      </c>
      <c r="I129" s="19">
        <v>1533469.04</v>
      </c>
      <c r="J129" s="19">
        <v>-3.54</v>
      </c>
      <c r="K129" s="19">
        <v>0.61</v>
      </c>
      <c r="L129" s="19">
        <v>-2.16</v>
      </c>
      <c r="M129" s="19">
        <v>0.14</v>
      </c>
      <c r="N129" s="19">
        <v>63.33</v>
      </c>
      <c r="O129" s="19">
        <v>3.06</v>
      </c>
      <c r="P129" s="19">
        <v>119.25</v>
      </c>
      <c r="S129" s="15">
        <f t="shared" si="1"/>
        <v>-0.3833037422</v>
      </c>
      <c r="T129" s="15">
        <f t="shared" si="2"/>
        <v>0.3507472825</v>
      </c>
      <c r="V129" s="15">
        <f t="shared" si="3"/>
        <v>0</v>
      </c>
      <c r="W129" s="15">
        <v>0.0</v>
      </c>
      <c r="X129" s="19">
        <v>1.0</v>
      </c>
      <c r="Y129" s="15">
        <f t="shared" si="20"/>
        <v>0</v>
      </c>
      <c r="Z129" s="19">
        <v>1.0</v>
      </c>
    </row>
    <row r="130">
      <c r="G130" s="19">
        <v>943791.64</v>
      </c>
      <c r="H130" s="19">
        <v>220000.0</v>
      </c>
      <c r="I130" s="19">
        <v>666040.14</v>
      </c>
      <c r="J130" s="19">
        <v>16.28</v>
      </c>
      <c r="K130" s="19">
        <v>0.28</v>
      </c>
      <c r="L130" s="19">
        <v>25.3</v>
      </c>
      <c r="M130" s="19">
        <v>2.44</v>
      </c>
      <c r="N130" s="19">
        <v>73.99</v>
      </c>
      <c r="O130" s="19">
        <v>5.97</v>
      </c>
      <c r="P130" s="19">
        <v>61.17</v>
      </c>
      <c r="S130" s="15">
        <f t="shared" si="1"/>
        <v>-2.892992965</v>
      </c>
      <c r="T130" s="15">
        <f t="shared" si="2"/>
        <v>0.00190794922</v>
      </c>
      <c r="V130" s="15">
        <f t="shared" si="3"/>
        <v>0</v>
      </c>
    </row>
    <row r="131">
      <c r="G131" s="19">
        <v>2594980.99</v>
      </c>
      <c r="H131" s="19">
        <v>1637500.0</v>
      </c>
      <c r="I131" s="19">
        <v>297848.57</v>
      </c>
      <c r="J131" s="19">
        <v>4.79</v>
      </c>
      <c r="K131" s="19">
        <v>0.49</v>
      </c>
      <c r="L131" s="19">
        <v>1.96</v>
      </c>
      <c r="M131" s="19">
        <v>0.07</v>
      </c>
      <c r="N131" s="19" t="s">
        <v>46</v>
      </c>
      <c r="O131" s="19" t="s">
        <v>46</v>
      </c>
      <c r="P131" s="19" t="s">
        <v>46</v>
      </c>
      <c r="S131" s="15" t="str">
        <f t="shared" si="1"/>
        <v>#VALUE!</v>
      </c>
      <c r="T131" s="15" t="str">
        <f t="shared" si="2"/>
        <v>#VALUE!</v>
      </c>
      <c r="V131" s="15" t="str">
        <f t="shared" si="3"/>
        <v>#VALUE!</v>
      </c>
    </row>
    <row r="132">
      <c r="G132" s="19">
        <v>484813.06</v>
      </c>
      <c r="H132" s="19">
        <v>200000.0</v>
      </c>
      <c r="I132" s="19">
        <v>360176.97</v>
      </c>
      <c r="J132" s="19">
        <v>14.31</v>
      </c>
      <c r="K132" s="19">
        <v>0.23</v>
      </c>
      <c r="L132" s="19">
        <v>93.92</v>
      </c>
      <c r="M132" s="19">
        <v>2.98</v>
      </c>
      <c r="N132" s="19">
        <v>53.61</v>
      </c>
      <c r="O132" s="19">
        <v>5.0</v>
      </c>
      <c r="P132" s="19">
        <v>73.04</v>
      </c>
      <c r="S132" s="15">
        <f t="shared" si="1"/>
        <v>-4.024946081</v>
      </c>
      <c r="T132" s="15">
        <f t="shared" si="2"/>
        <v>0.00002849418574</v>
      </c>
      <c r="V132" s="15">
        <f t="shared" si="3"/>
        <v>0</v>
      </c>
    </row>
    <row r="133">
      <c r="G133" s="19">
        <v>1760668.69</v>
      </c>
      <c r="H133" s="19">
        <v>648564.61</v>
      </c>
      <c r="I133" s="19">
        <v>827955.29</v>
      </c>
      <c r="J133" s="19">
        <v>8.77</v>
      </c>
      <c r="K133" s="19">
        <v>0.53</v>
      </c>
      <c r="L133" s="19">
        <v>5.15</v>
      </c>
      <c r="M133" s="19">
        <v>0.62</v>
      </c>
      <c r="N133" s="19">
        <v>72.66</v>
      </c>
      <c r="O133" s="19">
        <v>3.33</v>
      </c>
      <c r="P133" s="19">
        <v>109.7</v>
      </c>
      <c r="S133" s="15">
        <f t="shared" si="1"/>
        <v>-1.398349286</v>
      </c>
      <c r="T133" s="15">
        <f t="shared" si="2"/>
        <v>0.08100410219</v>
      </c>
      <c r="V133" s="15">
        <f t="shared" si="3"/>
        <v>0</v>
      </c>
      <c r="W133" s="15">
        <v>0.0</v>
      </c>
      <c r="X133" s="19">
        <v>0.0</v>
      </c>
      <c r="Y133" s="15">
        <f>if(W133=X133,1,0)</f>
        <v>1</v>
      </c>
      <c r="Z133" s="19">
        <v>1.0</v>
      </c>
    </row>
    <row r="134">
      <c r="G134" s="19">
        <v>530095.88</v>
      </c>
      <c r="H134" s="19">
        <v>230000.0</v>
      </c>
      <c r="I134" s="19">
        <v>604722.38</v>
      </c>
      <c r="J134" s="19">
        <v>6.38</v>
      </c>
      <c r="K134" s="19">
        <v>0.5</v>
      </c>
      <c r="L134" s="19">
        <v>32.62</v>
      </c>
      <c r="M134" s="19">
        <v>1.36</v>
      </c>
      <c r="N134" s="19">
        <v>50.34</v>
      </c>
      <c r="O134" s="19">
        <v>8.59</v>
      </c>
      <c r="P134" s="19">
        <v>42.47</v>
      </c>
      <c r="S134" s="15">
        <f t="shared" si="1"/>
        <v>-2.436000448</v>
      </c>
      <c r="T134" s="15">
        <f t="shared" si="2"/>
        <v>0.007425333072</v>
      </c>
      <c r="V134" s="15">
        <f t="shared" si="3"/>
        <v>0</v>
      </c>
    </row>
    <row r="135">
      <c r="G135" s="19">
        <v>134946.62</v>
      </c>
      <c r="H135" s="19">
        <v>128077.7</v>
      </c>
      <c r="I135" s="19">
        <v>170662.42</v>
      </c>
      <c r="J135" s="19">
        <v>10.34</v>
      </c>
      <c r="K135" s="19">
        <v>1.81</v>
      </c>
      <c r="L135" s="19">
        <v>40.11</v>
      </c>
      <c r="M135" s="19">
        <v>0.91</v>
      </c>
      <c r="N135" s="19">
        <v>49.76</v>
      </c>
      <c r="O135" s="19">
        <v>2.12</v>
      </c>
      <c r="P135" s="19">
        <v>171.91</v>
      </c>
      <c r="S135" s="15">
        <f t="shared" si="1"/>
        <v>-1.850595319</v>
      </c>
      <c r="T135" s="15">
        <f t="shared" si="2"/>
        <v>0.0321138968</v>
      </c>
      <c r="V135" s="15">
        <f t="shared" si="3"/>
        <v>0</v>
      </c>
      <c r="W135" s="15">
        <v>0.0</v>
      </c>
      <c r="X135" s="19">
        <v>0.0</v>
      </c>
      <c r="Y135" s="15">
        <f t="shared" ref="Y135:Y136" si="21">if(W135=X135,1,0)</f>
        <v>1</v>
      </c>
      <c r="Z135" s="19">
        <v>1.0</v>
      </c>
    </row>
    <row r="136">
      <c r="G136" s="19">
        <v>722299.0</v>
      </c>
      <c r="H136" s="19">
        <v>520783.0</v>
      </c>
      <c r="I136" s="19">
        <v>409087.0</v>
      </c>
      <c r="J136" s="19">
        <v>7.42</v>
      </c>
      <c r="K136" s="19">
        <v>0.19</v>
      </c>
      <c r="L136" s="19">
        <v>23.61</v>
      </c>
      <c r="M136" s="19">
        <v>3.02</v>
      </c>
      <c r="N136" s="19">
        <v>66.34</v>
      </c>
      <c r="O136" s="19">
        <v>5.7</v>
      </c>
      <c r="P136" s="19">
        <v>64.04</v>
      </c>
      <c r="S136" s="15">
        <f t="shared" si="1"/>
        <v>-2.18660712</v>
      </c>
      <c r="T136" s="15">
        <f t="shared" si="2"/>
        <v>0.01438560857</v>
      </c>
      <c r="V136" s="15">
        <f t="shared" si="3"/>
        <v>0</v>
      </c>
      <c r="W136" s="15">
        <v>0.0</v>
      </c>
      <c r="X136" s="19">
        <v>0.0</v>
      </c>
      <c r="Y136" s="15">
        <f t="shared" si="21"/>
        <v>1</v>
      </c>
      <c r="Z136" s="19">
        <v>1.0</v>
      </c>
    </row>
    <row r="137">
      <c r="G137" s="19">
        <v>1377124.33</v>
      </c>
      <c r="H137" s="19">
        <v>107000.0</v>
      </c>
      <c r="I137" s="19">
        <v>1207350.63</v>
      </c>
      <c r="J137" s="19">
        <v>40.28</v>
      </c>
      <c r="K137" s="19">
        <v>0.53</v>
      </c>
      <c r="L137" s="19">
        <v>36.54</v>
      </c>
      <c r="M137" s="19">
        <v>1.97</v>
      </c>
      <c r="N137" s="19">
        <v>50.53</v>
      </c>
      <c r="O137" s="19">
        <v>15.04</v>
      </c>
      <c r="P137" s="19">
        <v>24.28</v>
      </c>
      <c r="S137" s="15">
        <f t="shared" si="1"/>
        <v>-5.936454542</v>
      </c>
      <c r="T137" s="15">
        <f t="shared" si="2"/>
        <v>0.000000001456258225</v>
      </c>
      <c r="V137" s="15">
        <f t="shared" si="3"/>
        <v>0</v>
      </c>
    </row>
    <row r="138">
      <c r="G138" s="19">
        <v>1657097.41</v>
      </c>
      <c r="H138" s="19">
        <v>358659.4</v>
      </c>
      <c r="I138" s="19">
        <v>3072316.96</v>
      </c>
      <c r="J138" s="19">
        <v>22.54</v>
      </c>
      <c r="K138" s="19">
        <v>0.61</v>
      </c>
      <c r="L138" s="19">
        <v>31.38</v>
      </c>
      <c r="M138" s="19">
        <v>1.81</v>
      </c>
      <c r="N138" s="19">
        <v>51.39</v>
      </c>
      <c r="O138" s="19">
        <v>20.94</v>
      </c>
      <c r="P138" s="19">
        <v>17.43</v>
      </c>
      <c r="S138" s="15">
        <f t="shared" si="1"/>
        <v>-6.485977178</v>
      </c>
      <c r="T138" s="15">
        <f t="shared" si="2"/>
        <v>0</v>
      </c>
      <c r="V138" s="15">
        <f t="shared" si="3"/>
        <v>0</v>
      </c>
      <c r="W138" s="15">
        <v>0.0</v>
      </c>
      <c r="X138" s="19">
        <v>0.0</v>
      </c>
      <c r="Y138" s="15">
        <f t="shared" ref="Y138:Y141" si="22">if(W138=X138,1,0)</f>
        <v>1</v>
      </c>
      <c r="Z138" s="19">
        <v>1.0</v>
      </c>
    </row>
    <row r="139">
      <c r="G139" s="19">
        <v>2257836.92</v>
      </c>
      <c r="H139" s="19">
        <v>213749.98</v>
      </c>
      <c r="I139" s="19">
        <v>426211.01</v>
      </c>
      <c r="J139" s="19">
        <v>-10.28</v>
      </c>
      <c r="K139" s="19">
        <v>2.65</v>
      </c>
      <c r="L139" s="19">
        <v>-5.69</v>
      </c>
      <c r="M139" s="19">
        <v>0.33</v>
      </c>
      <c r="N139" s="19">
        <v>50.63</v>
      </c>
      <c r="O139" s="19">
        <v>7.8</v>
      </c>
      <c r="P139" s="19">
        <v>46.81</v>
      </c>
      <c r="S139" s="15">
        <f t="shared" si="1"/>
        <v>0.1328730217</v>
      </c>
      <c r="T139" s="15">
        <f t="shared" si="2"/>
        <v>0.5528530984</v>
      </c>
      <c r="V139" s="15">
        <f t="shared" si="3"/>
        <v>1</v>
      </c>
      <c r="W139" s="15">
        <v>1.0</v>
      </c>
      <c r="X139" s="19">
        <v>0.0</v>
      </c>
      <c r="Y139" s="15">
        <f t="shared" si="22"/>
        <v>0</v>
      </c>
      <c r="Z139" s="19">
        <v>1.0</v>
      </c>
    </row>
    <row r="140">
      <c r="G140" s="19">
        <v>791784.71</v>
      </c>
      <c r="H140" s="19">
        <v>200000.0</v>
      </c>
      <c r="I140" s="19">
        <v>5408013.9</v>
      </c>
      <c r="J140" s="19">
        <v>19.96</v>
      </c>
      <c r="K140" s="19">
        <v>0.61</v>
      </c>
      <c r="L140" s="19">
        <v>19.29</v>
      </c>
      <c r="M140" s="19">
        <v>0.96</v>
      </c>
      <c r="N140" s="19">
        <v>4.75</v>
      </c>
      <c r="O140" s="19">
        <v>39.63</v>
      </c>
      <c r="P140" s="19">
        <v>9.21</v>
      </c>
      <c r="S140" s="15">
        <f t="shared" si="1"/>
        <v>-9.629259495</v>
      </c>
      <c r="T140" s="15">
        <f t="shared" si="2"/>
        <v>0</v>
      </c>
      <c r="V140" s="15">
        <f t="shared" si="3"/>
        <v>0</v>
      </c>
      <c r="W140" s="15">
        <v>0.0</v>
      </c>
      <c r="X140" s="19">
        <v>0.0</v>
      </c>
      <c r="Y140" s="15">
        <f t="shared" si="22"/>
        <v>1</v>
      </c>
      <c r="Z140" s="19">
        <v>1.0</v>
      </c>
    </row>
    <row r="141">
      <c r="G141" s="19">
        <v>2403209.0</v>
      </c>
      <c r="H141" s="19">
        <v>338350.0</v>
      </c>
      <c r="I141" s="19">
        <v>1041802.0</v>
      </c>
      <c r="J141" s="19">
        <v>-3.36</v>
      </c>
      <c r="K141" s="19">
        <v>1.7</v>
      </c>
      <c r="L141" s="19">
        <v>-3.81</v>
      </c>
      <c r="M141" s="19">
        <v>0.66</v>
      </c>
      <c r="N141" s="19">
        <v>138.42</v>
      </c>
      <c r="O141" s="19">
        <v>3.26</v>
      </c>
      <c r="P141" s="19">
        <v>111.92</v>
      </c>
      <c r="S141" s="15">
        <f t="shared" si="1"/>
        <v>-0.375554387</v>
      </c>
      <c r="T141" s="15">
        <f t="shared" si="2"/>
        <v>0.3536241031</v>
      </c>
      <c r="V141" s="15">
        <f t="shared" si="3"/>
        <v>0</v>
      </c>
      <c r="W141" s="15">
        <v>0.0</v>
      </c>
      <c r="X141" s="19">
        <v>0.0</v>
      </c>
      <c r="Y141" s="15">
        <f t="shared" si="22"/>
        <v>1</v>
      </c>
      <c r="Z141" s="19">
        <v>1.0</v>
      </c>
    </row>
    <row r="142">
      <c r="G142" s="19">
        <v>241648.47</v>
      </c>
      <c r="H142" s="19">
        <v>238636.98</v>
      </c>
      <c r="I142" s="19">
        <v>-8068.88</v>
      </c>
      <c r="J142" s="19">
        <v>5.98</v>
      </c>
      <c r="K142" s="19">
        <v>0.11</v>
      </c>
      <c r="L142" s="19">
        <v>4.21</v>
      </c>
      <c r="M142" s="19">
        <v>1.24</v>
      </c>
      <c r="N142" s="19" t="s">
        <v>46</v>
      </c>
      <c r="O142" s="19" t="s">
        <v>46</v>
      </c>
      <c r="P142" s="19" t="s">
        <v>46</v>
      </c>
      <c r="S142" s="15" t="str">
        <f t="shared" si="1"/>
        <v>#VALUE!</v>
      </c>
      <c r="T142" s="15" t="str">
        <f t="shared" si="2"/>
        <v>#VALUE!</v>
      </c>
      <c r="V142" s="15" t="str">
        <f t="shared" si="3"/>
        <v>#VALUE!</v>
      </c>
    </row>
    <row r="143">
      <c r="G143" s="19">
        <v>588334.85</v>
      </c>
      <c r="H143" s="19">
        <v>284000.0</v>
      </c>
      <c r="I143" s="19">
        <v>413279.63</v>
      </c>
      <c r="J143" s="19">
        <v>1.3</v>
      </c>
      <c r="K143" s="19">
        <v>0.58</v>
      </c>
      <c r="L143" s="19">
        <v>2.12</v>
      </c>
      <c r="M143" s="19">
        <v>0.66</v>
      </c>
      <c r="N143" s="19">
        <v>100.1</v>
      </c>
      <c r="O143" s="19">
        <v>4.09</v>
      </c>
      <c r="P143" s="19">
        <v>89.25</v>
      </c>
      <c r="S143" s="15">
        <f t="shared" si="1"/>
        <v>-0.698180796</v>
      </c>
      <c r="T143" s="15">
        <f t="shared" si="2"/>
        <v>0.2425320674</v>
      </c>
      <c r="V143" s="15">
        <f t="shared" si="3"/>
        <v>0</v>
      </c>
      <c r="W143" s="15">
        <v>0.0</v>
      </c>
      <c r="X143" s="19">
        <v>0.0</v>
      </c>
      <c r="Y143" s="15">
        <f t="shared" ref="Y143:Y152" si="23">if(W143=X143,1,0)</f>
        <v>1</v>
      </c>
      <c r="Z143" s="19">
        <v>1.0</v>
      </c>
    </row>
    <row r="144">
      <c r="G144" s="19">
        <v>1946372.61</v>
      </c>
      <c r="H144" s="19">
        <v>134000.0</v>
      </c>
      <c r="I144" s="19">
        <v>1519935.95</v>
      </c>
      <c r="J144" s="19">
        <v>11.67</v>
      </c>
      <c r="K144" s="19">
        <v>1.16</v>
      </c>
      <c r="L144" s="19">
        <v>19.9</v>
      </c>
      <c r="M144" s="19">
        <v>0.47</v>
      </c>
      <c r="N144" s="19">
        <v>55.83</v>
      </c>
      <c r="O144" s="19">
        <v>6.92</v>
      </c>
      <c r="P144" s="19">
        <v>52.76</v>
      </c>
      <c r="S144" s="15">
        <f t="shared" si="1"/>
        <v>-2.674749497</v>
      </c>
      <c r="T144" s="15">
        <f t="shared" si="2"/>
        <v>0.003739255336</v>
      </c>
      <c r="V144" s="15">
        <f t="shared" si="3"/>
        <v>0</v>
      </c>
      <c r="W144" s="15">
        <v>0.0</v>
      </c>
      <c r="X144" s="19">
        <v>0.0</v>
      </c>
      <c r="Y144" s="15">
        <f t="shared" si="23"/>
        <v>1</v>
      </c>
      <c r="Z144" s="19">
        <v>1.0</v>
      </c>
    </row>
    <row r="145">
      <c r="G145" s="19">
        <v>851741.44</v>
      </c>
      <c r="H145" s="19">
        <v>2632981.72</v>
      </c>
      <c r="I145" s="19">
        <v>278347.57</v>
      </c>
      <c r="J145" s="19">
        <v>-4.27</v>
      </c>
      <c r="K145" s="19">
        <v>0.38</v>
      </c>
      <c r="L145" s="19">
        <v>-2.41</v>
      </c>
      <c r="M145" s="19">
        <v>2.35</v>
      </c>
      <c r="N145" s="19">
        <v>164.09</v>
      </c>
      <c r="O145" s="19">
        <v>1.63</v>
      </c>
      <c r="P145" s="19">
        <v>224.43</v>
      </c>
      <c r="S145" s="15">
        <f t="shared" si="1"/>
        <v>-0.1286612656</v>
      </c>
      <c r="T145" s="15">
        <f t="shared" si="2"/>
        <v>0.4488128431</v>
      </c>
      <c r="V145" s="15">
        <f t="shared" si="3"/>
        <v>0</v>
      </c>
      <c r="W145" s="15">
        <v>0.0</v>
      </c>
      <c r="X145" s="19">
        <v>1.0</v>
      </c>
      <c r="Y145" s="15">
        <f t="shared" si="23"/>
        <v>0</v>
      </c>
      <c r="Z145" s="19">
        <v>1.0</v>
      </c>
    </row>
    <row r="146">
      <c r="G146" s="19">
        <v>1217819.1</v>
      </c>
      <c r="H146" s="19">
        <v>163522.21</v>
      </c>
      <c r="I146" s="19">
        <v>1618715.19</v>
      </c>
      <c r="J146" s="19">
        <v>18.21</v>
      </c>
      <c r="K146" s="19">
        <v>0.71</v>
      </c>
      <c r="L146" s="19">
        <v>112.32</v>
      </c>
      <c r="M146" s="19">
        <v>1.26</v>
      </c>
      <c r="N146" s="19">
        <v>59.59</v>
      </c>
      <c r="O146" s="19">
        <v>3.73</v>
      </c>
      <c r="P146" s="19">
        <v>97.95</v>
      </c>
      <c r="S146" s="15">
        <f t="shared" si="1"/>
        <v>-5.004847392</v>
      </c>
      <c r="T146" s="15">
        <f t="shared" si="2"/>
        <v>0.0000002795315209</v>
      </c>
      <c r="V146" s="15">
        <f t="shared" si="3"/>
        <v>0</v>
      </c>
      <c r="W146" s="15">
        <v>0.0</v>
      </c>
      <c r="X146" s="19">
        <v>0.0</v>
      </c>
      <c r="Y146" s="15">
        <f t="shared" si="23"/>
        <v>1</v>
      </c>
      <c r="Z146" s="19">
        <v>1.0</v>
      </c>
    </row>
    <row r="147">
      <c r="G147" s="19">
        <v>1064608.72</v>
      </c>
      <c r="H147" s="19">
        <v>152000.0</v>
      </c>
      <c r="I147" s="19">
        <v>1083619.08</v>
      </c>
      <c r="J147" s="19">
        <v>25.87</v>
      </c>
      <c r="K147" s="19">
        <v>0.43</v>
      </c>
      <c r="L147" s="19">
        <v>249.34</v>
      </c>
      <c r="M147" s="19">
        <v>1.39</v>
      </c>
      <c r="N147" s="19">
        <v>68.51</v>
      </c>
      <c r="O147" s="19">
        <v>3.69</v>
      </c>
      <c r="P147" s="19">
        <v>98.98</v>
      </c>
      <c r="S147" s="15">
        <f t="shared" si="1"/>
        <v>-7.991169486</v>
      </c>
      <c r="T147" s="15">
        <f t="shared" si="2"/>
        <v>0</v>
      </c>
      <c r="V147" s="15">
        <f t="shared" si="3"/>
        <v>0</v>
      </c>
      <c r="W147" s="15">
        <v>0.0</v>
      </c>
      <c r="X147" s="19">
        <v>0.0</v>
      </c>
      <c r="Y147" s="15">
        <f t="shared" si="23"/>
        <v>1</v>
      </c>
      <c r="Z147" s="19">
        <v>1.0</v>
      </c>
    </row>
    <row r="148">
      <c r="G148" s="19">
        <v>2722319.1</v>
      </c>
      <c r="H148" s="19">
        <v>400000.12</v>
      </c>
      <c r="I148" s="19">
        <v>2543168.17</v>
      </c>
      <c r="J148" s="19">
        <v>8.47</v>
      </c>
      <c r="K148" s="19">
        <v>1.02</v>
      </c>
      <c r="L148" s="19">
        <v>8.72</v>
      </c>
      <c r="M148" s="19">
        <v>0.77</v>
      </c>
      <c r="N148" s="19">
        <v>44.5</v>
      </c>
      <c r="O148" s="19">
        <v>5.8</v>
      </c>
      <c r="P148" s="19">
        <v>62.96</v>
      </c>
      <c r="S148" s="15">
        <f t="shared" si="1"/>
        <v>-2.834894604</v>
      </c>
      <c r="T148" s="15">
        <f t="shared" si="2"/>
        <v>0.002292040308</v>
      </c>
      <c r="V148" s="15">
        <f t="shared" si="3"/>
        <v>0</v>
      </c>
      <c r="W148" s="15">
        <v>0.0</v>
      </c>
      <c r="X148" s="19">
        <v>0.0</v>
      </c>
      <c r="Y148" s="15">
        <f t="shared" si="23"/>
        <v>1</v>
      </c>
      <c r="Z148" s="19">
        <v>1.0</v>
      </c>
    </row>
    <row r="149">
      <c r="G149" s="19">
        <v>2573117.0</v>
      </c>
      <c r="H149" s="19">
        <v>411864.0</v>
      </c>
      <c r="I149" s="19">
        <v>2552497.0</v>
      </c>
      <c r="J149" s="19">
        <v>3.47</v>
      </c>
      <c r="K149" s="19">
        <v>1.72</v>
      </c>
      <c r="L149" s="19">
        <v>1.74</v>
      </c>
      <c r="M149" s="19">
        <v>0.3</v>
      </c>
      <c r="N149" s="19">
        <v>46.5</v>
      </c>
      <c r="O149" s="19">
        <v>6.11</v>
      </c>
      <c r="P149" s="19">
        <v>59.69</v>
      </c>
      <c r="S149" s="15">
        <f t="shared" si="1"/>
        <v>-2.274304709</v>
      </c>
      <c r="T149" s="15">
        <f t="shared" si="2"/>
        <v>0.01147383611</v>
      </c>
      <c r="V149" s="15">
        <f t="shared" si="3"/>
        <v>0</v>
      </c>
      <c r="W149" s="15">
        <v>0.0</v>
      </c>
      <c r="X149" s="19">
        <v>0.0</v>
      </c>
      <c r="Y149" s="15">
        <f t="shared" si="23"/>
        <v>1</v>
      </c>
      <c r="Z149" s="19">
        <v>1.0</v>
      </c>
    </row>
    <row r="150">
      <c r="G150" s="19">
        <v>975947.58</v>
      </c>
      <c r="H150" s="19">
        <v>253212.0</v>
      </c>
      <c r="I150" s="19">
        <v>310426.54</v>
      </c>
      <c r="J150" s="19">
        <v>2.4</v>
      </c>
      <c r="K150" s="19">
        <v>1.37</v>
      </c>
      <c r="L150" s="19">
        <v>1.76</v>
      </c>
      <c r="M150" s="19">
        <v>0.21</v>
      </c>
      <c r="N150" s="19">
        <v>77.72</v>
      </c>
      <c r="O150" s="19">
        <v>4.02</v>
      </c>
      <c r="P150" s="19">
        <v>90.84</v>
      </c>
      <c r="S150" s="15">
        <f t="shared" si="1"/>
        <v>-0.550520645</v>
      </c>
      <c r="T150" s="15">
        <f t="shared" si="2"/>
        <v>0.2909811603</v>
      </c>
      <c r="V150" s="15">
        <f t="shared" si="3"/>
        <v>0</v>
      </c>
      <c r="W150" s="15">
        <v>0.0</v>
      </c>
      <c r="X150" s="19">
        <v>0.0</v>
      </c>
      <c r="Y150" s="15">
        <f t="shared" si="23"/>
        <v>1</v>
      </c>
      <c r="Z150" s="19">
        <v>1.0</v>
      </c>
    </row>
    <row r="151">
      <c r="G151" s="19">
        <v>644239.8</v>
      </c>
      <c r="H151" s="19">
        <v>170000.0</v>
      </c>
      <c r="I151" s="19">
        <v>349744.05</v>
      </c>
      <c r="J151" s="19">
        <v>0.69</v>
      </c>
      <c r="K151" s="19">
        <v>0.7</v>
      </c>
      <c r="L151" s="19">
        <v>0.77</v>
      </c>
      <c r="M151" s="19">
        <v>0.9</v>
      </c>
      <c r="N151" s="19">
        <v>95.31</v>
      </c>
      <c r="O151" s="19">
        <v>3.04</v>
      </c>
      <c r="P151" s="19">
        <v>119.98</v>
      </c>
      <c r="S151" s="15">
        <f t="shared" si="1"/>
        <v>-0.5425713572</v>
      </c>
      <c r="T151" s="15">
        <f t="shared" si="2"/>
        <v>0.2937124822</v>
      </c>
      <c r="V151" s="15">
        <f t="shared" si="3"/>
        <v>0</v>
      </c>
      <c r="W151" s="15">
        <v>0.0</v>
      </c>
      <c r="X151" s="19">
        <v>1.0</v>
      </c>
      <c r="Y151" s="15">
        <f t="shared" si="23"/>
        <v>0</v>
      </c>
      <c r="Z151" s="19">
        <v>1.0</v>
      </c>
    </row>
    <row r="152">
      <c r="G152" s="19">
        <v>832183.98</v>
      </c>
      <c r="H152" s="19">
        <v>230000.0</v>
      </c>
      <c r="I152" s="19">
        <v>684790.53</v>
      </c>
      <c r="J152" s="19">
        <v>4.98</v>
      </c>
      <c r="K152" s="19">
        <v>0.38</v>
      </c>
      <c r="L152" s="19">
        <v>41.68</v>
      </c>
      <c r="M152" s="19">
        <v>0.98</v>
      </c>
      <c r="N152" s="19">
        <v>82.52</v>
      </c>
      <c r="O152" s="19">
        <v>5.95</v>
      </c>
      <c r="P152" s="19">
        <v>61.32</v>
      </c>
      <c r="S152" s="15">
        <f t="shared" si="1"/>
        <v>-2.192412445</v>
      </c>
      <c r="T152" s="15">
        <f t="shared" si="2"/>
        <v>0.01417486941</v>
      </c>
      <c r="V152" s="15">
        <f t="shared" si="3"/>
        <v>0</v>
      </c>
      <c r="W152" s="15">
        <v>0.0</v>
      </c>
      <c r="X152" s="19">
        <v>0.0</v>
      </c>
      <c r="Y152" s="15">
        <f t="shared" si="23"/>
        <v>1</v>
      </c>
      <c r="Z152" s="19">
        <v>1.0</v>
      </c>
    </row>
    <row r="153">
      <c r="G153" s="19">
        <v>1478449.06</v>
      </c>
      <c r="H153" s="19">
        <v>362812.75</v>
      </c>
      <c r="I153" s="19">
        <v>210429.48</v>
      </c>
      <c r="J153" s="19">
        <v>-9.38</v>
      </c>
      <c r="K153" s="19">
        <v>1.49</v>
      </c>
      <c r="L153" s="19">
        <v>-17.95</v>
      </c>
      <c r="M153" s="19">
        <v>0.11</v>
      </c>
      <c r="N153" s="19" t="s">
        <v>46</v>
      </c>
      <c r="O153" s="19">
        <v>24.95</v>
      </c>
      <c r="P153" s="19">
        <v>14.63</v>
      </c>
      <c r="S153" s="15" t="str">
        <f t="shared" si="1"/>
        <v>#VALUE!</v>
      </c>
      <c r="T153" s="15" t="str">
        <f t="shared" si="2"/>
        <v>#VALUE!</v>
      </c>
      <c r="V153" s="15" t="str">
        <f t="shared" si="3"/>
        <v>#VALUE!</v>
      </c>
    </row>
    <row r="154">
      <c r="G154" s="19">
        <v>841226.98</v>
      </c>
      <c r="H154" s="19">
        <v>153999.99</v>
      </c>
      <c r="I154" s="19">
        <v>620326.75</v>
      </c>
      <c r="J154" s="19">
        <v>6.37</v>
      </c>
      <c r="K154" s="19">
        <v>0.66</v>
      </c>
      <c r="L154" s="19">
        <v>9.99</v>
      </c>
      <c r="M154" s="19">
        <v>1.28</v>
      </c>
      <c r="N154" s="19">
        <v>110.14</v>
      </c>
      <c r="O154" s="19">
        <v>7.73</v>
      </c>
      <c r="P154" s="19">
        <v>47.22</v>
      </c>
      <c r="S154" s="15">
        <f t="shared" si="1"/>
        <v>-1.78557714</v>
      </c>
      <c r="T154" s="15">
        <f t="shared" si="2"/>
        <v>0.0370838755</v>
      </c>
      <c r="V154" s="15">
        <f t="shared" si="3"/>
        <v>0</v>
      </c>
    </row>
    <row r="155">
      <c r="G155" s="19">
        <v>709117.09</v>
      </c>
      <c r="H155" s="19">
        <v>458773.72</v>
      </c>
      <c r="I155" s="19">
        <v>333966.78</v>
      </c>
      <c r="J155" s="19">
        <v>-4.21</v>
      </c>
      <c r="K155" s="19">
        <v>1.16</v>
      </c>
      <c r="L155" s="19">
        <v>-2.8</v>
      </c>
      <c r="M155" s="19">
        <v>0.12</v>
      </c>
      <c r="N155" s="19">
        <v>48.1</v>
      </c>
      <c r="O155" s="19">
        <v>3.29</v>
      </c>
      <c r="P155" s="19">
        <v>111.02</v>
      </c>
      <c r="S155" s="15">
        <f t="shared" si="1"/>
        <v>-0.006263372527</v>
      </c>
      <c r="T155" s="15">
        <f t="shared" si="2"/>
        <v>0.4975012922</v>
      </c>
      <c r="V155" s="15">
        <f t="shared" si="3"/>
        <v>0</v>
      </c>
      <c r="W155" s="15">
        <v>0.0</v>
      </c>
      <c r="X155" s="19">
        <v>1.0</v>
      </c>
      <c r="Y155" s="15">
        <f t="shared" ref="Y155:Y159" si="24">if(W155=X155,1,0)</f>
        <v>0</v>
      </c>
      <c r="Z155" s="19">
        <v>1.0</v>
      </c>
    </row>
    <row r="156">
      <c r="G156" s="19">
        <v>626705.7</v>
      </c>
      <c r="H156" s="19">
        <v>167860.22</v>
      </c>
      <c r="I156" s="19">
        <v>478107.56</v>
      </c>
      <c r="J156" s="19">
        <v>1.55</v>
      </c>
      <c r="K156" s="19">
        <v>1.74</v>
      </c>
      <c r="L156" s="19">
        <v>0.74</v>
      </c>
      <c r="M156" s="19">
        <v>0.8</v>
      </c>
      <c r="N156" s="19">
        <v>101.12</v>
      </c>
      <c r="O156" s="19">
        <v>4.12</v>
      </c>
      <c r="P156" s="19">
        <v>88.5</v>
      </c>
      <c r="S156" s="15">
        <f t="shared" si="1"/>
        <v>-0.6998376725</v>
      </c>
      <c r="T156" s="15">
        <f t="shared" si="2"/>
        <v>0.2420143425</v>
      </c>
      <c r="V156" s="15">
        <f t="shared" si="3"/>
        <v>0</v>
      </c>
      <c r="W156" s="15">
        <v>0.0</v>
      </c>
      <c r="X156" s="19">
        <v>0.0</v>
      </c>
      <c r="Y156" s="15">
        <f t="shared" si="24"/>
        <v>1</v>
      </c>
      <c r="Z156" s="19">
        <v>1.0</v>
      </c>
    </row>
    <row r="157">
      <c r="G157" s="19">
        <v>1824311.34</v>
      </c>
      <c r="H157" s="19">
        <v>398664.06</v>
      </c>
      <c r="I157" s="19">
        <v>1341304.55</v>
      </c>
      <c r="J157" s="19">
        <v>9.42</v>
      </c>
      <c r="K157" s="19">
        <v>0.72</v>
      </c>
      <c r="L157" s="19">
        <v>15.99</v>
      </c>
      <c r="M157" s="19">
        <v>0.54</v>
      </c>
      <c r="N157" s="19">
        <v>48.29</v>
      </c>
      <c r="O157" s="19">
        <v>18.81</v>
      </c>
      <c r="P157" s="19">
        <v>19.4</v>
      </c>
      <c r="S157" s="15">
        <f t="shared" si="1"/>
        <v>-3.593528086</v>
      </c>
      <c r="T157" s="15">
        <f t="shared" si="2"/>
        <v>0.0001631152331</v>
      </c>
      <c r="V157" s="15">
        <f t="shared" si="3"/>
        <v>0</v>
      </c>
      <c r="W157" s="15">
        <v>0.0</v>
      </c>
      <c r="X157" s="19">
        <v>0.0</v>
      </c>
      <c r="Y157" s="15">
        <f t="shared" si="24"/>
        <v>1</v>
      </c>
      <c r="Z157" s="19">
        <v>1.0</v>
      </c>
    </row>
    <row r="158">
      <c r="G158" s="19">
        <v>3220219.0</v>
      </c>
      <c r="H158" s="19">
        <v>199500.0</v>
      </c>
      <c r="I158" s="19">
        <v>2863670.06</v>
      </c>
      <c r="J158" s="19">
        <v>5.16</v>
      </c>
      <c r="K158" s="19">
        <v>0.26</v>
      </c>
      <c r="L158" s="19">
        <v>41.26</v>
      </c>
      <c r="M158" s="19">
        <v>1.7</v>
      </c>
      <c r="N158" s="19">
        <v>64.23</v>
      </c>
      <c r="O158" s="19">
        <v>5.62</v>
      </c>
      <c r="P158" s="19">
        <v>65.0</v>
      </c>
      <c r="S158" s="15">
        <f t="shared" si="1"/>
        <v>-3.648647709</v>
      </c>
      <c r="T158" s="15">
        <f t="shared" si="2"/>
        <v>0.0001318121578</v>
      </c>
      <c r="V158" s="15">
        <f t="shared" si="3"/>
        <v>0</v>
      </c>
      <c r="W158" s="15">
        <v>0.0</v>
      </c>
      <c r="X158" s="19">
        <v>0.0</v>
      </c>
      <c r="Y158" s="15">
        <f t="shared" si="24"/>
        <v>1</v>
      </c>
      <c r="Z158" s="19">
        <v>1.0</v>
      </c>
    </row>
    <row r="159">
      <c r="G159" s="19">
        <v>1171182.66</v>
      </c>
      <c r="H159" s="19">
        <v>120470.62</v>
      </c>
      <c r="I159" s="19">
        <v>306915.29</v>
      </c>
      <c r="J159" s="19">
        <v>1.65</v>
      </c>
      <c r="K159" s="19">
        <v>1.43</v>
      </c>
      <c r="L159" s="19">
        <v>0.47</v>
      </c>
      <c r="M159" s="19">
        <v>0.13</v>
      </c>
      <c r="N159" s="19">
        <v>92.76</v>
      </c>
      <c r="O159" s="19">
        <v>52.92</v>
      </c>
      <c r="P159" s="19">
        <v>6.9</v>
      </c>
      <c r="S159" s="15">
        <f t="shared" si="1"/>
        <v>-5.527798066</v>
      </c>
      <c r="T159" s="15">
        <f t="shared" si="2"/>
        <v>0.00000001621374968</v>
      </c>
      <c r="V159" s="15">
        <f t="shared" si="3"/>
        <v>0</v>
      </c>
      <c r="W159" s="15">
        <v>0.0</v>
      </c>
      <c r="X159" s="19">
        <v>0.0</v>
      </c>
      <c r="Y159" s="15">
        <f t="shared" si="24"/>
        <v>1</v>
      </c>
      <c r="Z159" s="19">
        <v>1.0</v>
      </c>
    </row>
    <row r="160">
      <c r="G160" s="19">
        <v>2791231.0</v>
      </c>
      <c r="H160" s="19">
        <v>180000.0</v>
      </c>
      <c r="I160" s="19">
        <v>1897831.7</v>
      </c>
      <c r="J160" s="19">
        <v>20.97</v>
      </c>
      <c r="K160" s="19">
        <v>0.2</v>
      </c>
      <c r="L160" s="19" t="s">
        <v>46</v>
      </c>
      <c r="M160" s="19">
        <v>2.35</v>
      </c>
      <c r="N160" s="19">
        <v>41.99</v>
      </c>
      <c r="O160" s="19">
        <v>10.16</v>
      </c>
      <c r="P160" s="19">
        <v>35.92</v>
      </c>
      <c r="S160" s="15" t="str">
        <f t="shared" si="1"/>
        <v>#VALUE!</v>
      </c>
      <c r="T160" s="15" t="str">
        <f t="shared" si="2"/>
        <v>#VALUE!</v>
      </c>
      <c r="V160" s="15" t="str">
        <f t="shared" si="3"/>
        <v>#VALUE!</v>
      </c>
    </row>
    <row r="161">
      <c r="G161" s="19">
        <v>1189307.08</v>
      </c>
      <c r="H161" s="19">
        <v>200000.0</v>
      </c>
      <c r="I161" s="19">
        <v>2399623.32</v>
      </c>
      <c r="J161" s="19">
        <v>21.49</v>
      </c>
      <c r="K161" s="19">
        <v>0.31</v>
      </c>
      <c r="L161" s="19">
        <v>111.14</v>
      </c>
      <c r="M161" s="19">
        <v>0.79</v>
      </c>
      <c r="N161" s="19">
        <v>2.54</v>
      </c>
      <c r="O161" s="19">
        <v>13.03</v>
      </c>
      <c r="P161" s="19">
        <v>28.01</v>
      </c>
      <c r="S161" s="15">
        <f t="shared" si="1"/>
        <v>-6.667990819</v>
      </c>
      <c r="T161" s="15">
        <f t="shared" si="2"/>
        <v>0</v>
      </c>
      <c r="V161" s="15">
        <f t="shared" si="3"/>
        <v>0</v>
      </c>
      <c r="W161" s="15">
        <v>0.0</v>
      </c>
      <c r="X161" s="19">
        <v>0.0</v>
      </c>
      <c r="Y161" s="15">
        <f t="shared" ref="Y161:Y163" si="25">if(W161=X161,1,0)</f>
        <v>1</v>
      </c>
      <c r="Z161" s="19">
        <v>1.0</v>
      </c>
    </row>
    <row r="162">
      <c r="G162" s="19">
        <v>9526684.97</v>
      </c>
      <c r="H162" s="19">
        <v>401200.0</v>
      </c>
      <c r="I162" s="19">
        <v>2019255.12</v>
      </c>
      <c r="J162" s="19">
        <v>5.05</v>
      </c>
      <c r="K162" s="19">
        <v>1.54</v>
      </c>
      <c r="L162" s="19">
        <v>2.84</v>
      </c>
      <c r="M162" s="19">
        <v>0.81</v>
      </c>
      <c r="N162" s="19">
        <v>73.67</v>
      </c>
      <c r="O162" s="19">
        <v>5.53</v>
      </c>
      <c r="P162" s="19">
        <v>66.0</v>
      </c>
      <c r="S162" s="15">
        <f t="shared" si="1"/>
        <v>-1.467505639</v>
      </c>
      <c r="T162" s="15">
        <f t="shared" si="2"/>
        <v>0.07111927822</v>
      </c>
      <c r="V162" s="15">
        <f t="shared" si="3"/>
        <v>0</v>
      </c>
      <c r="W162" s="15">
        <v>0.0</v>
      </c>
      <c r="X162" s="19">
        <v>0.0</v>
      </c>
      <c r="Y162" s="15">
        <f t="shared" si="25"/>
        <v>1</v>
      </c>
      <c r="Z162" s="19">
        <v>1.0</v>
      </c>
    </row>
    <row r="163">
      <c r="G163" s="19">
        <v>380988.52</v>
      </c>
      <c r="H163" s="19">
        <v>135000.0</v>
      </c>
      <c r="I163" s="19">
        <v>469542.5</v>
      </c>
      <c r="J163" s="19">
        <v>11.01</v>
      </c>
      <c r="K163" s="19">
        <v>0.19</v>
      </c>
      <c r="L163" s="19">
        <v>823.03</v>
      </c>
      <c r="M163" s="19">
        <v>2.76</v>
      </c>
      <c r="N163" s="19">
        <v>44.12</v>
      </c>
      <c r="O163" s="19">
        <v>10.19</v>
      </c>
      <c r="P163" s="19">
        <v>35.82</v>
      </c>
      <c r="S163" s="15">
        <f t="shared" si="1"/>
        <v>-19.29772333</v>
      </c>
      <c r="T163" s="15">
        <f t="shared" si="2"/>
        <v>0</v>
      </c>
      <c r="V163" s="15">
        <f t="shared" si="3"/>
        <v>0</v>
      </c>
      <c r="W163" s="15">
        <v>0.0</v>
      </c>
      <c r="X163" s="19">
        <v>0.0</v>
      </c>
      <c r="Y163" s="15">
        <f t="shared" si="25"/>
        <v>1</v>
      </c>
      <c r="Z163" s="19">
        <v>1.0</v>
      </c>
    </row>
    <row r="164">
      <c r="G164" s="19">
        <v>774214.33</v>
      </c>
      <c r="H164" s="19">
        <v>167999.94</v>
      </c>
      <c r="I164" s="19">
        <v>543834.19</v>
      </c>
      <c r="J164" s="19">
        <v>6.54</v>
      </c>
      <c r="K164" s="19">
        <v>0.9</v>
      </c>
      <c r="L164" s="19">
        <v>99.97</v>
      </c>
      <c r="M164" s="19">
        <v>1.1</v>
      </c>
      <c r="N164" s="19">
        <v>93.96</v>
      </c>
      <c r="O164" s="19">
        <v>2.28</v>
      </c>
      <c r="P164" s="19">
        <v>160.15</v>
      </c>
      <c r="S164" s="15">
        <f t="shared" si="1"/>
        <v>-3.070541341</v>
      </c>
      <c r="T164" s="15">
        <f t="shared" si="2"/>
        <v>0.001068355517</v>
      </c>
      <c r="V164" s="15">
        <f t="shared" si="3"/>
        <v>0</v>
      </c>
    </row>
    <row r="165">
      <c r="G165" s="19">
        <v>547358.39</v>
      </c>
      <c r="H165" s="19">
        <v>115000.0</v>
      </c>
      <c r="I165" s="19">
        <v>134732.36</v>
      </c>
      <c r="J165" s="19">
        <v>31.99</v>
      </c>
      <c r="K165" s="19">
        <v>0.19</v>
      </c>
      <c r="L165" s="19">
        <v>165.04</v>
      </c>
      <c r="M165" s="19">
        <v>5.98</v>
      </c>
      <c r="N165" s="19">
        <v>41.27</v>
      </c>
      <c r="O165" s="19">
        <v>1.19</v>
      </c>
      <c r="P165" s="19">
        <v>306.12</v>
      </c>
      <c r="S165" s="15">
        <f t="shared" si="1"/>
        <v>-6.879879739</v>
      </c>
      <c r="T165" s="15">
        <f t="shared" si="2"/>
        <v>0</v>
      </c>
      <c r="V165" s="15">
        <f t="shared" si="3"/>
        <v>0</v>
      </c>
    </row>
    <row r="166">
      <c r="G166" s="19">
        <v>2811229.78</v>
      </c>
      <c r="H166" s="19">
        <v>308008.27</v>
      </c>
      <c r="I166" s="19">
        <v>1902626.24</v>
      </c>
      <c r="J166" s="19">
        <v>4.72</v>
      </c>
      <c r="K166" s="19">
        <v>1.51</v>
      </c>
      <c r="L166" s="19">
        <v>3.03</v>
      </c>
      <c r="M166" s="19">
        <v>0.84</v>
      </c>
      <c r="N166" s="19">
        <v>155.63</v>
      </c>
      <c r="O166" s="19">
        <v>4.29</v>
      </c>
      <c r="P166" s="19">
        <v>85.05</v>
      </c>
      <c r="S166" s="15">
        <f t="shared" si="1"/>
        <v>-1.741995854</v>
      </c>
      <c r="T166" s="15">
        <f t="shared" si="2"/>
        <v>0.04075458484</v>
      </c>
      <c r="V166" s="15">
        <f t="shared" si="3"/>
        <v>0</v>
      </c>
      <c r="W166" s="15">
        <v>0.0</v>
      </c>
      <c r="X166" s="19">
        <v>0.0</v>
      </c>
      <c r="Y166" s="15">
        <f>if(W166=X166,1,0)</f>
        <v>1</v>
      </c>
      <c r="Z166" s="19">
        <v>1.0</v>
      </c>
    </row>
    <row r="167">
      <c r="G167" s="19">
        <v>366892.35</v>
      </c>
      <c r="H167" s="19">
        <v>105000.0</v>
      </c>
      <c r="I167" s="19">
        <v>146267.11</v>
      </c>
      <c r="J167" s="19">
        <v>10.17</v>
      </c>
      <c r="K167" s="19">
        <v>0.22</v>
      </c>
      <c r="L167" s="19">
        <v>17.14</v>
      </c>
      <c r="M167" s="19">
        <v>3.73</v>
      </c>
      <c r="N167" s="19">
        <v>89.03</v>
      </c>
      <c r="O167" s="19">
        <v>3.18</v>
      </c>
      <c r="P167" s="19">
        <v>114.77</v>
      </c>
      <c r="S167" s="15">
        <f t="shared" si="1"/>
        <v>-1.986595029</v>
      </c>
      <c r="T167" s="15">
        <f t="shared" si="2"/>
        <v>0.02348364626</v>
      </c>
      <c r="V167" s="15">
        <f t="shared" si="3"/>
        <v>0</v>
      </c>
    </row>
    <row r="168">
      <c r="G168" s="19">
        <v>501769.61</v>
      </c>
      <c r="H168" s="19">
        <v>365549.29</v>
      </c>
      <c r="I168" s="19">
        <v>118045.56</v>
      </c>
      <c r="J168" s="19">
        <v>-0.33</v>
      </c>
      <c r="K168" s="19">
        <v>0.49</v>
      </c>
      <c r="L168" s="19">
        <v>-2.43</v>
      </c>
      <c r="M168" s="19">
        <v>4.46</v>
      </c>
      <c r="N168" s="19">
        <v>172.31</v>
      </c>
      <c r="O168" s="19">
        <v>1.33</v>
      </c>
      <c r="P168" s="19">
        <v>274.34</v>
      </c>
      <c r="S168" s="15">
        <f t="shared" si="1"/>
        <v>-0.8020342128</v>
      </c>
      <c r="T168" s="15">
        <f t="shared" si="2"/>
        <v>0.211266584</v>
      </c>
      <c r="V168" s="15">
        <f t="shared" si="3"/>
        <v>0</v>
      </c>
      <c r="W168" s="15">
        <v>0.0</v>
      </c>
      <c r="X168" s="19">
        <v>0.0</v>
      </c>
      <c r="Y168" s="15">
        <f t="shared" ref="Y168:Y174" si="26">if(W168=X168,1,0)</f>
        <v>1</v>
      </c>
      <c r="Z168" s="19">
        <v>1.0</v>
      </c>
    </row>
    <row r="169">
      <c r="G169" s="19">
        <v>1379776.18</v>
      </c>
      <c r="H169" s="19">
        <v>447707.46</v>
      </c>
      <c r="I169" s="19">
        <v>3067018.22</v>
      </c>
      <c r="J169" s="19">
        <v>-23.1</v>
      </c>
      <c r="K169" s="19">
        <v>1.36</v>
      </c>
      <c r="L169" s="19">
        <v>-48.08</v>
      </c>
      <c r="M169" s="19">
        <v>0.38</v>
      </c>
      <c r="N169" s="19">
        <v>24.74</v>
      </c>
      <c r="O169" s="19">
        <v>5.54</v>
      </c>
      <c r="P169" s="19">
        <v>65.91</v>
      </c>
      <c r="S169" s="15">
        <f t="shared" si="1"/>
        <v>0.07396684632</v>
      </c>
      <c r="T169" s="15">
        <f t="shared" si="2"/>
        <v>0.5294816171</v>
      </c>
      <c r="V169" s="15">
        <f t="shared" si="3"/>
        <v>1</v>
      </c>
      <c r="W169" s="15">
        <v>1.0</v>
      </c>
      <c r="X169" s="19">
        <v>0.0</v>
      </c>
      <c r="Y169" s="15">
        <f t="shared" si="26"/>
        <v>0</v>
      </c>
      <c r="Z169" s="19">
        <v>1.0</v>
      </c>
    </row>
    <row r="170">
      <c r="G170" s="19">
        <v>744013.4</v>
      </c>
      <c r="H170" s="19">
        <v>200007.52</v>
      </c>
      <c r="I170" s="19">
        <v>279653.09</v>
      </c>
      <c r="J170" s="19">
        <v>3.32</v>
      </c>
      <c r="K170" s="19">
        <v>0.18</v>
      </c>
      <c r="L170" s="19">
        <v>18.2</v>
      </c>
      <c r="M170" s="19">
        <v>2.19</v>
      </c>
      <c r="N170" s="19">
        <v>63.82</v>
      </c>
      <c r="O170" s="19">
        <v>4.17</v>
      </c>
      <c r="P170" s="19">
        <v>87.62</v>
      </c>
      <c r="S170" s="15">
        <f t="shared" si="1"/>
        <v>-1.421168751</v>
      </c>
      <c r="T170" s="15">
        <f t="shared" si="2"/>
        <v>0.07763385349</v>
      </c>
      <c r="V170" s="15">
        <f t="shared" si="3"/>
        <v>0</v>
      </c>
      <c r="W170" s="15">
        <v>0.0</v>
      </c>
      <c r="X170" s="19">
        <v>0.0</v>
      </c>
      <c r="Y170" s="15">
        <f t="shared" si="26"/>
        <v>1</v>
      </c>
      <c r="Z170" s="19">
        <v>1.0</v>
      </c>
    </row>
    <row r="171">
      <c r="G171" s="19">
        <v>977579.98</v>
      </c>
      <c r="H171" s="19">
        <v>227999.99</v>
      </c>
      <c r="I171" s="19">
        <v>1129005.1</v>
      </c>
      <c r="J171" s="19">
        <v>6.89</v>
      </c>
      <c r="K171" s="19">
        <v>0.96</v>
      </c>
      <c r="L171" s="19">
        <v>20.4</v>
      </c>
      <c r="M171" s="19">
        <v>0.97</v>
      </c>
      <c r="N171" s="19">
        <v>105.99</v>
      </c>
      <c r="O171" s="19">
        <v>4.93</v>
      </c>
      <c r="P171" s="19">
        <v>73.97</v>
      </c>
      <c r="S171" s="15">
        <f t="shared" si="1"/>
        <v>-2.027627136</v>
      </c>
      <c r="T171" s="15">
        <f t="shared" si="2"/>
        <v>0.02129915865</v>
      </c>
      <c r="V171" s="15">
        <f t="shared" si="3"/>
        <v>0</v>
      </c>
      <c r="W171" s="15">
        <v>0.0</v>
      </c>
      <c r="X171" s="19">
        <v>0.0</v>
      </c>
      <c r="Y171" s="15">
        <f t="shared" si="26"/>
        <v>1</v>
      </c>
      <c r="Z171" s="19">
        <v>1.0</v>
      </c>
    </row>
    <row r="172">
      <c r="G172" s="19">
        <v>1401526.67</v>
      </c>
      <c r="H172" s="19">
        <v>142627.65</v>
      </c>
      <c r="I172" s="19">
        <v>462688.74</v>
      </c>
      <c r="J172" s="19">
        <v>0.94</v>
      </c>
      <c r="K172" s="19">
        <v>0.08</v>
      </c>
      <c r="L172" s="19">
        <v>154.02</v>
      </c>
      <c r="M172" s="19">
        <v>11.7</v>
      </c>
      <c r="N172" s="19">
        <v>62.79</v>
      </c>
      <c r="O172" s="19">
        <v>7.3</v>
      </c>
      <c r="P172" s="19">
        <v>50.03</v>
      </c>
      <c r="S172" s="15">
        <f t="shared" si="1"/>
        <v>-6.24875984</v>
      </c>
      <c r="T172" s="15">
        <f t="shared" si="2"/>
        <v>0.0000000002068623051</v>
      </c>
      <c r="V172" s="15">
        <f t="shared" si="3"/>
        <v>0</v>
      </c>
      <c r="W172" s="15">
        <v>0.0</v>
      </c>
      <c r="X172" s="19">
        <v>0.0</v>
      </c>
      <c r="Y172" s="15">
        <f t="shared" si="26"/>
        <v>1</v>
      </c>
      <c r="Z172" s="19">
        <v>1.0</v>
      </c>
    </row>
    <row r="173">
      <c r="G173" s="19">
        <v>2311058.73</v>
      </c>
      <c r="H173" s="19">
        <v>290513.06</v>
      </c>
      <c r="I173" s="19">
        <v>2890138.08</v>
      </c>
      <c r="J173" s="19">
        <v>7.06</v>
      </c>
      <c r="K173" s="19">
        <v>0.91</v>
      </c>
      <c r="L173" s="19">
        <v>14.87</v>
      </c>
      <c r="M173" s="19">
        <v>1.22</v>
      </c>
      <c r="N173" s="19">
        <v>89.26</v>
      </c>
      <c r="O173" s="19">
        <v>8.93</v>
      </c>
      <c r="P173" s="19">
        <v>40.85</v>
      </c>
      <c r="S173" s="15">
        <f t="shared" si="1"/>
        <v>-3.505671144</v>
      </c>
      <c r="T173" s="15">
        <f t="shared" si="2"/>
        <v>0.0002277287904</v>
      </c>
      <c r="V173" s="15">
        <f t="shared" si="3"/>
        <v>0</v>
      </c>
      <c r="W173" s="15">
        <v>0.0</v>
      </c>
      <c r="X173" s="19">
        <v>0.0</v>
      </c>
      <c r="Y173" s="15">
        <f t="shared" si="26"/>
        <v>1</v>
      </c>
      <c r="Z173" s="19">
        <v>1.0</v>
      </c>
    </row>
    <row r="174">
      <c r="G174" s="19">
        <v>655015.52</v>
      </c>
      <c r="H174" s="19">
        <v>572599.8</v>
      </c>
      <c r="I174" s="19">
        <v>232197.48</v>
      </c>
      <c r="J174" s="19">
        <v>-4.52</v>
      </c>
      <c r="K174" s="19">
        <v>2.77</v>
      </c>
      <c r="L174" s="19">
        <v>-1.88</v>
      </c>
      <c r="M174" s="19">
        <v>0.17</v>
      </c>
      <c r="N174" s="19">
        <v>78.75</v>
      </c>
      <c r="O174" s="19">
        <v>4.27</v>
      </c>
      <c r="P174" s="19">
        <v>85.43</v>
      </c>
      <c r="S174" s="15">
        <f t="shared" si="1"/>
        <v>0.09224837126</v>
      </c>
      <c r="T174" s="15">
        <f t="shared" si="2"/>
        <v>0.5367496464</v>
      </c>
      <c r="V174" s="15">
        <f t="shared" si="3"/>
        <v>1</v>
      </c>
      <c r="W174" s="15">
        <v>1.0</v>
      </c>
      <c r="X174" s="19">
        <v>1.0</v>
      </c>
      <c r="Y174" s="15">
        <f t="shared" si="26"/>
        <v>1</v>
      </c>
      <c r="Z174" s="19">
        <v>1.0</v>
      </c>
    </row>
    <row r="175">
      <c r="G175" s="19">
        <v>1092832.79</v>
      </c>
      <c r="H175" s="19">
        <v>335350.4</v>
      </c>
      <c r="I175" s="19">
        <v>139254.9</v>
      </c>
      <c r="J175" s="19">
        <v>2.37</v>
      </c>
      <c r="K175" s="19">
        <v>0.43</v>
      </c>
      <c r="L175" s="19" t="s">
        <v>46</v>
      </c>
      <c r="M175" s="19">
        <v>0.91</v>
      </c>
      <c r="N175" s="19">
        <v>151.81</v>
      </c>
      <c r="O175" s="19">
        <v>0.73</v>
      </c>
      <c r="P175" s="19">
        <v>500.58</v>
      </c>
      <c r="S175" s="15" t="str">
        <f t="shared" si="1"/>
        <v>#VALUE!</v>
      </c>
      <c r="T175" s="15" t="str">
        <f t="shared" si="2"/>
        <v>#VALUE!</v>
      </c>
      <c r="V175" s="15" t="str">
        <f t="shared" si="3"/>
        <v>#VALUE!</v>
      </c>
    </row>
    <row r="176">
      <c r="G176" s="19">
        <v>1285326.06</v>
      </c>
      <c r="H176" s="19">
        <v>153502.6</v>
      </c>
      <c r="I176" s="19">
        <v>1700172.63</v>
      </c>
      <c r="J176" s="19">
        <v>14.1</v>
      </c>
      <c r="K176" s="19">
        <v>1.1</v>
      </c>
      <c r="L176" s="19">
        <v>25.1</v>
      </c>
      <c r="M176" s="19">
        <v>1.25</v>
      </c>
      <c r="N176" s="19">
        <v>123.46</v>
      </c>
      <c r="O176" s="19">
        <v>3.0</v>
      </c>
      <c r="P176" s="19">
        <v>121.56</v>
      </c>
      <c r="S176" s="15">
        <f t="shared" si="1"/>
        <v>-2.845625948</v>
      </c>
      <c r="T176" s="15">
        <f t="shared" si="2"/>
        <v>0.002216211353</v>
      </c>
      <c r="V176" s="15">
        <f t="shared" si="3"/>
        <v>0</v>
      </c>
      <c r="W176" s="15">
        <v>0.0</v>
      </c>
      <c r="X176" s="19">
        <v>0.0</v>
      </c>
      <c r="Y176" s="15">
        <f t="shared" ref="Y176:Y177" si="27">if(W176=X176,1,0)</f>
        <v>1</v>
      </c>
      <c r="Z176" s="19">
        <v>1.0</v>
      </c>
    </row>
    <row r="177">
      <c r="G177" s="19">
        <v>1951962.62</v>
      </c>
      <c r="H177" s="19">
        <v>483346.35</v>
      </c>
      <c r="I177" s="19">
        <v>603176.94</v>
      </c>
      <c r="J177" s="19">
        <v>3.57</v>
      </c>
      <c r="K177" s="19">
        <v>1.18</v>
      </c>
      <c r="L177" s="19">
        <v>1.79</v>
      </c>
      <c r="M177" s="19">
        <v>1.32</v>
      </c>
      <c r="N177" s="19">
        <v>41.79</v>
      </c>
      <c r="O177" s="19">
        <v>13.45</v>
      </c>
      <c r="P177" s="19">
        <v>27.13</v>
      </c>
      <c r="S177" s="15">
        <f t="shared" si="1"/>
        <v>-1.951197085</v>
      </c>
      <c r="T177" s="15">
        <f t="shared" si="2"/>
        <v>0.02551680278</v>
      </c>
      <c r="V177" s="15">
        <f t="shared" si="3"/>
        <v>0</v>
      </c>
      <c r="W177" s="15">
        <v>0.0</v>
      </c>
      <c r="X177" s="19">
        <v>0.0</v>
      </c>
      <c r="Y177" s="15">
        <f t="shared" si="27"/>
        <v>1</v>
      </c>
      <c r="Z177" s="19">
        <v>1.0</v>
      </c>
    </row>
    <row r="178">
      <c r="G178" s="19">
        <v>755461.32</v>
      </c>
      <c r="H178" s="19">
        <v>200000.0</v>
      </c>
      <c r="I178" s="19">
        <v>481609.26</v>
      </c>
      <c r="J178" s="19">
        <v>12.36</v>
      </c>
      <c r="K178" s="19">
        <v>0.32</v>
      </c>
      <c r="L178" s="19">
        <v>15.62</v>
      </c>
      <c r="M178" s="19">
        <v>2.33</v>
      </c>
      <c r="N178" s="19">
        <v>118.5</v>
      </c>
      <c r="O178" s="19">
        <v>3.84</v>
      </c>
      <c r="P178" s="19">
        <v>95.1</v>
      </c>
      <c r="S178" s="15">
        <f t="shared" si="1"/>
        <v>-2.049532301</v>
      </c>
      <c r="T178" s="15">
        <f t="shared" si="2"/>
        <v>0.02020504635</v>
      </c>
      <c r="V178" s="15">
        <f t="shared" si="3"/>
        <v>0</v>
      </c>
    </row>
    <row r="179">
      <c r="G179" s="19">
        <v>1280265.44</v>
      </c>
      <c r="H179" s="19">
        <v>149993.67</v>
      </c>
      <c r="I179" s="19">
        <v>1665312.15</v>
      </c>
      <c r="J179" s="19">
        <v>11.95</v>
      </c>
      <c r="K179" s="19">
        <v>0.88</v>
      </c>
      <c r="L179" s="19">
        <v>23.18</v>
      </c>
      <c r="M179" s="19">
        <v>0.68</v>
      </c>
      <c r="N179" s="19">
        <v>68.29</v>
      </c>
      <c r="O179" s="19">
        <v>5.43</v>
      </c>
      <c r="P179" s="19">
        <v>67.22</v>
      </c>
      <c r="S179" s="15">
        <f t="shared" si="1"/>
        <v>-2.813506647</v>
      </c>
      <c r="T179" s="15">
        <f t="shared" si="2"/>
        <v>0.002450218648</v>
      </c>
      <c r="V179" s="15">
        <f t="shared" si="3"/>
        <v>0</v>
      </c>
      <c r="W179" s="15">
        <v>0.0</v>
      </c>
      <c r="X179" s="19">
        <v>0.0</v>
      </c>
      <c r="Y179" s="15">
        <f t="shared" ref="Y179:Y180" si="28">if(W179=X179,1,0)</f>
        <v>1</v>
      </c>
      <c r="Z179" s="19">
        <v>1.0</v>
      </c>
    </row>
    <row r="180">
      <c r="G180" s="19">
        <v>1371515.36</v>
      </c>
      <c r="H180" s="19">
        <v>212382.19</v>
      </c>
      <c r="I180" s="19">
        <v>1054578.77</v>
      </c>
      <c r="J180" s="19">
        <v>36.92</v>
      </c>
      <c r="K180" s="19">
        <v>0.21</v>
      </c>
      <c r="L180" s="19">
        <v>309.6</v>
      </c>
      <c r="M180" s="19">
        <v>1.16</v>
      </c>
      <c r="N180" s="19">
        <v>24.66</v>
      </c>
      <c r="O180" s="19">
        <v>6.96</v>
      </c>
      <c r="P180" s="19">
        <v>52.43</v>
      </c>
      <c r="S180" s="15">
        <f t="shared" si="1"/>
        <v>-10.24343558</v>
      </c>
      <c r="T180" s="15">
        <f t="shared" si="2"/>
        <v>0</v>
      </c>
      <c r="V180" s="15">
        <f t="shared" si="3"/>
        <v>0</v>
      </c>
      <c r="W180" s="15">
        <v>0.0</v>
      </c>
      <c r="X180" s="19">
        <v>0.0</v>
      </c>
      <c r="Y180" s="15">
        <f t="shared" si="28"/>
        <v>1</v>
      </c>
      <c r="Z180" s="19">
        <v>1.0</v>
      </c>
    </row>
    <row r="181">
      <c r="G181" s="19">
        <v>454366.35</v>
      </c>
      <c r="H181" s="19">
        <v>90000.0</v>
      </c>
      <c r="I181" s="19">
        <v>173530.76</v>
      </c>
      <c r="J181" s="19">
        <v>27.06</v>
      </c>
      <c r="K181" s="19">
        <v>0.1</v>
      </c>
      <c r="L181" s="19">
        <v>311.65</v>
      </c>
      <c r="M181" s="19">
        <v>7.58</v>
      </c>
      <c r="N181" s="19">
        <v>19.71</v>
      </c>
      <c r="O181" s="19">
        <v>11.37</v>
      </c>
      <c r="P181" s="19">
        <v>32.11</v>
      </c>
      <c r="S181" s="15">
        <f t="shared" si="1"/>
        <v>-10.78297466</v>
      </c>
      <c r="T181" s="15">
        <f t="shared" si="2"/>
        <v>0</v>
      </c>
      <c r="V181" s="15">
        <f t="shared" si="3"/>
        <v>0</v>
      </c>
    </row>
    <row r="182">
      <c r="G182" s="19">
        <v>1469467.02</v>
      </c>
      <c r="H182" s="19" t="s">
        <v>46</v>
      </c>
      <c r="I182" s="19">
        <v>2139166.7</v>
      </c>
      <c r="J182" s="19">
        <v>8.5</v>
      </c>
      <c r="K182" s="19">
        <v>0.56</v>
      </c>
      <c r="L182" s="19">
        <v>153.09</v>
      </c>
      <c r="M182" s="19">
        <v>1.74</v>
      </c>
      <c r="N182" s="19">
        <v>58.71</v>
      </c>
      <c r="O182" s="19">
        <v>4.49</v>
      </c>
      <c r="P182" s="19">
        <v>81.29</v>
      </c>
      <c r="S182" s="15" t="str">
        <f t="shared" si="1"/>
        <v>#VALUE!</v>
      </c>
      <c r="T182" s="15" t="str">
        <f t="shared" si="2"/>
        <v>#VALUE!</v>
      </c>
      <c r="V182" s="15" t="str">
        <f t="shared" si="3"/>
        <v>#VALUE!</v>
      </c>
    </row>
    <row r="183">
      <c r="G183" s="19">
        <v>1809997.54</v>
      </c>
      <c r="H183" s="19" t="s">
        <v>46</v>
      </c>
      <c r="I183" s="19">
        <v>939104.33</v>
      </c>
      <c r="J183" s="19">
        <v>16.27</v>
      </c>
      <c r="K183" s="19">
        <v>0.82</v>
      </c>
      <c r="L183" s="19">
        <v>12.89</v>
      </c>
      <c r="M183" s="19">
        <v>0.63</v>
      </c>
      <c r="N183" s="19">
        <v>54.81</v>
      </c>
      <c r="O183" s="19">
        <v>15.37</v>
      </c>
      <c r="P183" s="19">
        <v>23.75</v>
      </c>
      <c r="S183" s="15" t="str">
        <f t="shared" si="1"/>
        <v>#VALUE!</v>
      </c>
      <c r="T183" s="15" t="str">
        <f t="shared" si="2"/>
        <v>#VALUE!</v>
      </c>
      <c r="V183" s="15" t="str">
        <f t="shared" si="3"/>
        <v>#VALUE!</v>
      </c>
    </row>
    <row r="184">
      <c r="Y184" s="15">
        <f t="shared" ref="Y184:Z184" si="29">SUM(Y2:Y183)</f>
        <v>112</v>
      </c>
      <c r="Z184" s="15">
        <f t="shared" si="29"/>
        <v>131</v>
      </c>
    </row>
    <row r="186">
      <c r="Y186" s="21">
        <f>Y184/Z184</f>
        <v>0.8549618321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3" max="23" width="15.25"/>
    <col customWidth="1" min="33" max="33" width="14.13"/>
    <col customWidth="1" min="34" max="34" width="14.0"/>
    <col customWidth="1" min="35" max="35" width="14.25"/>
    <col customWidth="1" min="36" max="36" width="13.5"/>
    <col customWidth="1" min="39" max="39" width="17.25"/>
    <col customWidth="1" min="40" max="40" width="19.25"/>
    <col customWidth="1" min="43" max="43" width="15.75"/>
    <col customWidth="1" min="48" max="48" width="29.5"/>
    <col hidden="1" min="52" max="56" width="12.63"/>
  </cols>
  <sheetData>
    <row r="1">
      <c r="A1" s="30"/>
      <c r="B1" s="30"/>
      <c r="C1" s="3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287</v>
      </c>
      <c r="L1" s="2" t="s">
        <v>288</v>
      </c>
      <c r="M1" s="2" t="s">
        <v>289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290</v>
      </c>
      <c r="X1" s="2">
        <v>2020.0</v>
      </c>
      <c r="Y1" s="2">
        <v>2019.0</v>
      </c>
      <c r="Z1" s="2" t="s">
        <v>9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243</v>
      </c>
      <c r="AQ1" s="3" t="s">
        <v>291</v>
      </c>
      <c r="AR1" s="19" t="s">
        <v>292</v>
      </c>
      <c r="AS1" s="19" t="s">
        <v>36</v>
      </c>
      <c r="AT1" s="14">
        <f>AT185/AS185%</f>
        <v>38.32335329</v>
      </c>
      <c r="AU1" s="16" t="s">
        <v>33</v>
      </c>
      <c r="AV1" s="5" t="s">
        <v>293</v>
      </c>
      <c r="AW1" s="32" t="s">
        <v>35</v>
      </c>
      <c r="AX1" s="32" t="s">
        <v>294</v>
      </c>
      <c r="AY1" s="33" t="str">
        <f>AX185/AW185</f>
        <v>#REF!</v>
      </c>
      <c r="AZ1" s="32" t="s">
        <v>37</v>
      </c>
      <c r="BA1" s="32" t="s">
        <v>38</v>
      </c>
      <c r="BB1" s="32" t="s">
        <v>39</v>
      </c>
      <c r="BC1" s="32" t="s">
        <v>40</v>
      </c>
      <c r="BD1" s="32" t="s">
        <v>246</v>
      </c>
      <c r="BE1" s="32"/>
      <c r="BF1" s="32"/>
      <c r="BG1" s="32"/>
      <c r="BH1" s="32"/>
      <c r="BI1" s="32"/>
    </row>
    <row r="2">
      <c r="A2" s="8" t="s">
        <v>42</v>
      </c>
      <c r="B2" s="34">
        <f t="shared" ref="B2:B183" si="1">N2</f>
        <v>0</v>
      </c>
      <c r="C2" s="9">
        <v>1108436.85</v>
      </c>
      <c r="D2" s="9">
        <v>281435.92</v>
      </c>
      <c r="E2" s="9">
        <v>604692.31</v>
      </c>
      <c r="F2" s="9">
        <v>809634.36</v>
      </c>
      <c r="G2" s="9">
        <v>855936.48</v>
      </c>
      <c r="H2" s="9">
        <v>662350.79</v>
      </c>
      <c r="I2" s="9">
        <v>192024.52</v>
      </c>
      <c r="J2" s="9">
        <v>187982.2</v>
      </c>
      <c r="K2" s="9">
        <v>130692.77</v>
      </c>
      <c r="L2" s="9">
        <f t="array" ref="L2:L183">VLOOKUP(A2:A183,twozero,10,FALSE)</f>
        <v>57239.21</v>
      </c>
      <c r="M2" s="10">
        <f t="array" ref="M2:M183">VLOOKUP(A2:A183,onenine,10,FALSE)</f>
        <v>43411.97</v>
      </c>
      <c r="N2" s="10">
        <f t="shared" ref="N2:N6" si="2">IF(AND(K2&lt;0,L2&lt;0,M2&lt;0),1,0)</f>
        <v>0</v>
      </c>
      <c r="O2" s="12">
        <v>0.11</v>
      </c>
      <c r="P2" s="9">
        <v>653528.48</v>
      </c>
      <c r="Q2" s="9">
        <v>-76905.25</v>
      </c>
      <c r="R2" s="9">
        <v>-654665.89</v>
      </c>
      <c r="S2" s="9">
        <v>-78042.66</v>
      </c>
      <c r="T2" s="12">
        <v>17.57</v>
      </c>
      <c r="U2" s="12">
        <v>12.62</v>
      </c>
      <c r="V2" s="12">
        <v>35.58</v>
      </c>
      <c r="W2" s="12">
        <v>15.85</v>
      </c>
      <c r="X2" s="12">
        <f t="array" ref="X2:X183">VLOOKUP(A2:A183,'2020'!A2:S176,19,False)</f>
        <v>7.15</v>
      </c>
      <c r="Y2" s="12">
        <f t="array" ref="Y2:Y183">VLOOKUP(A2:A183,'2019'!A2:S170,19,False)</f>
        <v>8.75</v>
      </c>
      <c r="Z2" s="12">
        <f t="shared" ref="Z2:Z183" si="3">IF(AND(W2&lt;0,X2&lt;0,Y2&lt;0),1,0)</f>
        <v>0</v>
      </c>
      <c r="AA2" s="12"/>
      <c r="AB2" s="12">
        <v>21.96</v>
      </c>
      <c r="AC2" s="12">
        <v>0.34</v>
      </c>
      <c r="AD2" s="12">
        <v>13.27</v>
      </c>
      <c r="AE2" s="12">
        <v>5.32</v>
      </c>
      <c r="AF2" s="12">
        <v>1.04</v>
      </c>
      <c r="AG2" s="12">
        <v>108.68</v>
      </c>
      <c r="AH2" s="12">
        <v>0.57</v>
      </c>
      <c r="AI2" s="12">
        <v>0.64</v>
      </c>
      <c r="AJ2" s="12">
        <v>570.6</v>
      </c>
      <c r="AK2" s="12">
        <v>49.75</v>
      </c>
      <c r="AL2" s="12">
        <v>7.34</v>
      </c>
      <c r="AM2" s="12">
        <v>2.85</v>
      </c>
      <c r="AN2" s="12">
        <v>128.16</v>
      </c>
      <c r="AO2" s="12">
        <v>449.78</v>
      </c>
      <c r="AP2" s="12">
        <f t="shared" ref="AP2:AP183" si="4">-1.306+(E2*0)+(H2*0)+(U2*0.304)-(W2*0.4)-(AC2*1.515)+(AD2*0.002)+(AE2*0.28)+(AL2*0.029)+(AN2*0.008)</f>
        <v>-1.57034</v>
      </c>
      <c r="AQ2" s="13">
        <f t="array" ref="AQ2:AQ183">1/(1+EXP(-AP2:AP183))</f>
        <v>0.1721679274</v>
      </c>
      <c r="AR2" s="15">
        <f t="shared" ref="AR2:AR183" si="5">IF(AQ2&lt;$AT$2,0,1)</f>
        <v>0</v>
      </c>
      <c r="AS2" s="15">
        <f t="shared" ref="AS2:AS4" si="6">IF(AR2=N2,1,0)</f>
        <v>1</v>
      </c>
      <c r="AT2" s="19">
        <v>0.5</v>
      </c>
      <c r="AU2" s="15">
        <f>2.551996+('2021'!C2*0.000000012919)+('2021'!E2*0.000003)-('2021'!H2*0.000002)
-('2021'!U2*0.123062)+('2021'!AC2*0.831)-('2021'!AD2*0.008464)-('2021'!AF2*0.15884)
-('2021'!AL2*0.025383)-('2021'!AM2*0.427021)-('2021'!AN2*0.009878)
</f>
        <v>-1.161607624</v>
      </c>
      <c r="AV2" s="14">
        <f t="array" ref="AV2:AV183">1/(1+EXP(-AU2:AU183))</f>
        <v>0.2383752942</v>
      </c>
      <c r="AW2" s="14">
        <f t="shared" ref="AW2:AW183" si="7">IF(AV2&lt;$AT$2,0,1)</f>
        <v>0</v>
      </c>
      <c r="AX2" s="14" t="str">
        <f t="shared" ref="AX2:AX4" si="8">IF(AW2='temp result 2022'!B2,1,IF(Z2="-",1,0))</f>
        <v>#REF!</v>
      </c>
      <c r="AZ2" s="15" t="str">
        <f>IF(and(AW2=0,AX2=1),1,0)</f>
        <v>#REF!</v>
      </c>
      <c r="BA2" s="15" t="str">
        <f>IF(AND(AW2=0,AX2=0),1,0)</f>
        <v>#REF!</v>
      </c>
      <c r="BB2" s="15" t="str">
        <f>IF(AND(AW2=1,AX2=0),1,0)</f>
        <v>#REF!</v>
      </c>
      <c r="BC2" s="15" t="str">
        <f>IF(AND(AW2=1,AX2=1),1,0)</f>
        <v>#REF!</v>
      </c>
      <c r="BD2" s="15" t="str">
        <f>IF(AZ2+BA2+BB2+BC2&gt;1,1,0)</f>
        <v>#REF!</v>
      </c>
    </row>
    <row r="3">
      <c r="A3" s="8" t="s">
        <v>295</v>
      </c>
      <c r="B3" s="34">
        <f t="shared" si="1"/>
        <v>0</v>
      </c>
      <c r="C3" s="9">
        <v>1967716.04</v>
      </c>
      <c r="D3" s="9">
        <v>976374.97</v>
      </c>
      <c r="E3" s="9">
        <v>244397.24</v>
      </c>
      <c r="F3" s="9">
        <v>991341.07</v>
      </c>
      <c r="G3" s="9">
        <v>2312005.11</v>
      </c>
      <c r="H3" s="9">
        <v>2208969.73</v>
      </c>
      <c r="I3" s="9">
        <v>172742.73</v>
      </c>
      <c r="J3" s="9">
        <v>72011.18</v>
      </c>
      <c r="K3" s="9">
        <v>46112.85</v>
      </c>
      <c r="L3" s="9">
        <v>80834.75</v>
      </c>
      <c r="M3" s="9">
        <v>57617.71</v>
      </c>
      <c r="N3" s="10">
        <f t="shared" si="2"/>
        <v>0</v>
      </c>
      <c r="O3" s="12">
        <v>0.19</v>
      </c>
      <c r="P3" s="9">
        <v>139162.78</v>
      </c>
      <c r="Q3" s="9">
        <v>-8847.5</v>
      </c>
      <c r="R3" s="9">
        <v>-99026.38</v>
      </c>
      <c r="S3" s="9">
        <v>31288.9</v>
      </c>
      <c r="T3" s="12">
        <v>4.78</v>
      </c>
      <c r="U3" s="12">
        <v>3.61</v>
      </c>
      <c r="V3" s="12">
        <v>7.58</v>
      </c>
      <c r="W3" s="12">
        <v>1.99</v>
      </c>
      <c r="X3" s="12">
        <v>3.87</v>
      </c>
      <c r="Y3" s="12">
        <v>4.63</v>
      </c>
      <c r="Z3" s="12">
        <f t="shared" si="3"/>
        <v>0</v>
      </c>
      <c r="AA3" s="12"/>
      <c r="AB3" s="12">
        <v>3.11</v>
      </c>
      <c r="AC3" s="12">
        <v>0.98</v>
      </c>
      <c r="AD3" s="12">
        <v>4.22</v>
      </c>
      <c r="AE3" s="12">
        <v>1.02</v>
      </c>
      <c r="AF3" s="12">
        <v>0.78</v>
      </c>
      <c r="AG3" s="12">
        <v>2.66</v>
      </c>
      <c r="AH3" s="12">
        <v>1.16</v>
      </c>
      <c r="AI3" s="12">
        <v>15.21</v>
      </c>
      <c r="AJ3" s="12">
        <v>24.0</v>
      </c>
      <c r="AK3" s="12">
        <v>4.82</v>
      </c>
      <c r="AL3" s="12">
        <v>75.77</v>
      </c>
      <c r="AM3" s="12">
        <v>6.36</v>
      </c>
      <c r="AN3" s="12">
        <v>57.37</v>
      </c>
      <c r="AO3" s="12">
        <v>42.4</v>
      </c>
      <c r="AP3" s="12">
        <f t="shared" si="4"/>
        <v>0.46107</v>
      </c>
      <c r="AQ3" s="35">
        <v>0.6132679791656578</v>
      </c>
      <c r="AR3" s="15">
        <f t="shared" si="5"/>
        <v>1</v>
      </c>
      <c r="AS3" s="15">
        <f t="shared" si="6"/>
        <v>0</v>
      </c>
      <c r="AU3" s="15">
        <f>2.551996+('2021'!C3*0.000000012919)+('2021'!E3*0.000003)-('2021'!H3*0.000002)
-('2021'!U3*0.123062)+('2021'!AC3*0.831)-('2021'!AD3*0.008464)-('2021'!AF3*0.15884)
-('2021'!AL3*0.025383)-('2021'!AM3*0.427021)-('2021'!AN3*0.009878)
</f>
        <v>-6.102642246</v>
      </c>
      <c r="AV3" s="15">
        <v>0.0022319565587780575</v>
      </c>
      <c r="AW3" s="14">
        <f t="shared" si="7"/>
        <v>0</v>
      </c>
      <c r="AX3" s="14" t="str">
        <f t="shared" si="8"/>
        <v>#REF!</v>
      </c>
    </row>
    <row r="4">
      <c r="A4" s="8" t="s">
        <v>43</v>
      </c>
      <c r="B4" s="34">
        <f t="shared" si="1"/>
        <v>0</v>
      </c>
      <c r="C4" s="9">
        <v>1032348.63</v>
      </c>
      <c r="D4" s="9">
        <v>674710.81</v>
      </c>
      <c r="E4" s="9">
        <v>150000.0</v>
      </c>
      <c r="F4" s="9">
        <v>373416.33</v>
      </c>
      <c r="G4" s="9">
        <v>1928100.84</v>
      </c>
      <c r="H4" s="9">
        <v>1884243.36</v>
      </c>
      <c r="I4" s="9">
        <v>66180.29</v>
      </c>
      <c r="J4" s="9">
        <v>44061.96</v>
      </c>
      <c r="K4" s="9">
        <v>26796.22</v>
      </c>
      <c r="L4" s="9">
        <v>18616.74</v>
      </c>
      <c r="M4" s="9">
        <v>-15656.35</v>
      </c>
      <c r="N4" s="10">
        <f t="shared" si="2"/>
        <v>0</v>
      </c>
      <c r="O4" s="12">
        <v>0.09</v>
      </c>
      <c r="P4" s="9">
        <v>-34614.18</v>
      </c>
      <c r="Q4" s="9">
        <v>-6889.53</v>
      </c>
      <c r="R4" s="9">
        <v>15504.25</v>
      </c>
      <c r="S4" s="9">
        <v>-25999.45</v>
      </c>
      <c r="T4" s="12">
        <v>8.75</v>
      </c>
      <c r="U4" s="12">
        <v>4.58</v>
      </c>
      <c r="V4" s="12">
        <v>16.32</v>
      </c>
      <c r="W4" s="12">
        <v>1.15</v>
      </c>
      <c r="X4" s="12">
        <v>1.09</v>
      </c>
      <c r="Y4" s="12">
        <v>-1.68</v>
      </c>
      <c r="Z4" s="12">
        <f t="shared" si="3"/>
        <v>0</v>
      </c>
      <c r="AA4" s="12"/>
      <c r="AB4" s="12">
        <v>2.29</v>
      </c>
      <c r="AC4" s="12">
        <v>1.89</v>
      </c>
      <c r="AD4" s="12">
        <v>3.32</v>
      </c>
      <c r="AE4" s="12">
        <v>0.89</v>
      </c>
      <c r="AF4" s="12">
        <v>0.42</v>
      </c>
      <c r="AG4" s="12">
        <v>4.74</v>
      </c>
      <c r="AH4" s="12">
        <v>2.0</v>
      </c>
      <c r="AI4" s="12">
        <v>7.25</v>
      </c>
      <c r="AJ4" s="12">
        <v>50.37</v>
      </c>
      <c r="AK4" s="12">
        <v>9.01</v>
      </c>
      <c r="AL4" s="12">
        <v>40.53</v>
      </c>
      <c r="AM4" s="12">
        <v>28.13</v>
      </c>
      <c r="AN4" s="12">
        <v>12.98</v>
      </c>
      <c r="AO4" s="12">
        <v>77.93</v>
      </c>
      <c r="AP4" s="12">
        <f t="shared" si="4"/>
        <v>-1.70198</v>
      </c>
      <c r="AQ4" s="35">
        <v>0.15420684259098422</v>
      </c>
      <c r="AR4" s="15">
        <f t="shared" si="5"/>
        <v>0</v>
      </c>
      <c r="AS4" s="15">
        <f t="shared" si="6"/>
        <v>1</v>
      </c>
      <c r="AU4" s="15">
        <f>2.551996+('2021'!C4*0.000000012919)+('2021'!E4*0.000003)-('2021'!H4*0.000002)
-('2021'!U4*0.123062)+('2021'!AC4*0.831)-('2021'!AD4*0.008464)-('2021'!AF4*0.15884)
-('2021'!AL4*0.025383)-('2021'!AM4*0.427021)-('2021'!AN4*0.009878)
</f>
        <v>-13.01009121</v>
      </c>
      <c r="AV4" s="15">
        <v>2.2376296470034572E-6</v>
      </c>
      <c r="AW4" s="14">
        <f t="shared" si="7"/>
        <v>0</v>
      </c>
      <c r="AX4" s="14" t="str">
        <f t="shared" si="8"/>
        <v>#REF!</v>
      </c>
      <c r="AZ4" s="15" t="str">
        <f>IF(and(AW4=0,AX4=1),1,0)</f>
        <v>#REF!</v>
      </c>
      <c r="BA4" s="15" t="str">
        <f>IF(AND(AW4=0,AX4=0),1,0)</f>
        <v>#REF!</v>
      </c>
      <c r="BB4" s="15" t="str">
        <f>IF(AND(AW4=1,AX4=0),1,0)</f>
        <v>#REF!</v>
      </c>
      <c r="BC4" s="15" t="str">
        <f>IF(AND(AW4=1,AX4=1),1,0)</f>
        <v>#REF!</v>
      </c>
      <c r="BD4" s="15" t="str">
        <f>IF(AZ4+BA4+BB4+BC4&gt;1,1,0)</f>
        <v>#REF!</v>
      </c>
      <c r="BF4" s="18" t="s">
        <v>44</v>
      </c>
      <c r="BG4" s="36"/>
      <c r="BH4" s="19" t="s">
        <v>296</v>
      </c>
      <c r="BI4" s="21" t="str">
        <f>AY1</f>
        <v>#REF!</v>
      </c>
    </row>
    <row r="5">
      <c r="A5" s="8" t="s">
        <v>45</v>
      </c>
      <c r="B5" s="34">
        <f t="shared" si="1"/>
        <v>1</v>
      </c>
      <c r="C5" s="9">
        <v>3551406.37</v>
      </c>
      <c r="D5" s="9">
        <v>3437152.63</v>
      </c>
      <c r="E5" s="9">
        <v>158205.58</v>
      </c>
      <c r="F5" s="9">
        <v>114253.74</v>
      </c>
      <c r="G5" s="9">
        <v>26013.93</v>
      </c>
      <c r="H5" s="9">
        <v>-203876.35</v>
      </c>
      <c r="I5" s="9">
        <v>245793.24</v>
      </c>
      <c r="J5" s="9">
        <v>229890.28</v>
      </c>
      <c r="K5" s="9">
        <v>-226252.78</v>
      </c>
      <c r="L5" s="9">
        <v>-355322.49</v>
      </c>
      <c r="M5" s="9">
        <v>-190530.2</v>
      </c>
      <c r="N5" s="10">
        <f t="shared" si="2"/>
        <v>1</v>
      </c>
      <c r="O5" s="12">
        <v>-0.72</v>
      </c>
      <c r="P5" s="9">
        <v>131551.42</v>
      </c>
      <c r="Q5" s="9">
        <v>-213661.51</v>
      </c>
      <c r="R5" s="9">
        <v>-118132.09</v>
      </c>
      <c r="S5" s="9">
        <v>-200242.19</v>
      </c>
      <c r="T5" s="12">
        <v>-99.71</v>
      </c>
      <c r="U5" s="12">
        <v>6.52</v>
      </c>
      <c r="V5" s="9">
        <v>-1597.55</v>
      </c>
      <c r="W5" s="12">
        <v>-869.74</v>
      </c>
      <c r="X5" s="12">
        <v>-982.38</v>
      </c>
      <c r="Y5" s="12">
        <v>-54.6</v>
      </c>
      <c r="Z5" s="12">
        <f t="shared" si="3"/>
        <v>1</v>
      </c>
      <c r="AA5" s="12"/>
      <c r="AB5" s="12">
        <v>883.72</v>
      </c>
      <c r="AC5" s="12">
        <v>30.08</v>
      </c>
      <c r="AD5" s="12">
        <v>0.57</v>
      </c>
      <c r="AE5" s="12">
        <v>0.18</v>
      </c>
      <c r="AF5" s="12">
        <v>0.0</v>
      </c>
      <c r="AG5" s="12" t="s">
        <v>46</v>
      </c>
      <c r="AH5" s="12">
        <v>0.01</v>
      </c>
      <c r="AI5" s="12" t="s">
        <v>47</v>
      </c>
      <c r="AJ5" s="12" t="s">
        <v>46</v>
      </c>
      <c r="AK5" s="12" t="s">
        <v>47</v>
      </c>
      <c r="AL5" s="12" t="s">
        <v>46</v>
      </c>
      <c r="AM5" s="12" t="s">
        <v>47</v>
      </c>
      <c r="AN5" s="12" t="s">
        <v>46</v>
      </c>
      <c r="AO5" s="12" t="s">
        <v>46</v>
      </c>
      <c r="AP5" s="12" t="str">
        <f t="shared" si="4"/>
        <v>#VALUE!</v>
      </c>
      <c r="AQ5" s="35" t="e">
        <v>#VALUE!</v>
      </c>
      <c r="AR5" s="15" t="str">
        <f t="shared" si="5"/>
        <v>#VALUE!</v>
      </c>
      <c r="AU5" s="15" t="str">
        <f>2.551996+('2021'!C5*0.000000012919)+('2021'!E5*0.000003)-('2021'!H5*0.000002)
-('2021'!U5*0.123062)+('2021'!AC5*0.831)-('2021'!AD5*0.008464)-('2021'!AF5*0.15884)
-('2021'!AL5*0.025383)-('2021'!AM5*0.427021)-('2021'!AN5*0.009878)
</f>
        <v>#VALUE!</v>
      </c>
      <c r="AV5" s="15" t="e">
        <v>#VALUE!</v>
      </c>
      <c r="AW5" s="14" t="str">
        <f t="shared" si="7"/>
        <v>#VALUE!</v>
      </c>
      <c r="AX5" s="14"/>
      <c r="BF5" s="37" t="s">
        <v>297</v>
      </c>
      <c r="BH5" s="19" t="s">
        <v>298</v>
      </c>
      <c r="BI5" s="21" t="str">
        <f>BF10</f>
        <v>#REF!</v>
      </c>
    </row>
    <row r="6">
      <c r="A6" s="8" t="s">
        <v>48</v>
      </c>
      <c r="B6" s="34">
        <f t="shared" si="1"/>
        <v>0</v>
      </c>
      <c r="C6" s="9">
        <v>1454046.22</v>
      </c>
      <c r="D6" s="9">
        <v>770514.42</v>
      </c>
      <c r="E6" s="9">
        <v>362999.96</v>
      </c>
      <c r="F6" s="9">
        <v>683531.8</v>
      </c>
      <c r="G6" s="9">
        <v>1689817.7</v>
      </c>
      <c r="H6" s="9">
        <v>1597305.33</v>
      </c>
      <c r="I6" s="9">
        <v>154485.48</v>
      </c>
      <c r="J6" s="9">
        <v>102747.3</v>
      </c>
      <c r="K6" s="9">
        <v>75683.57</v>
      </c>
      <c r="L6" s="9">
        <v>69660.73</v>
      </c>
      <c r="M6" s="9">
        <v>3263.14</v>
      </c>
      <c r="N6" s="10">
        <f t="shared" si="2"/>
        <v>0</v>
      </c>
      <c r="O6" s="12">
        <v>0.1</v>
      </c>
      <c r="P6" s="9">
        <v>2986.79</v>
      </c>
      <c r="Q6" s="9">
        <v>-34729.07</v>
      </c>
      <c r="R6" s="9">
        <v>60208.32</v>
      </c>
      <c r="S6" s="9">
        <v>28466.03</v>
      </c>
      <c r="T6" s="12">
        <v>11.39</v>
      </c>
      <c r="U6" s="12">
        <v>7.62</v>
      </c>
      <c r="V6" s="12">
        <v>16.36</v>
      </c>
      <c r="W6" s="12">
        <v>4.48</v>
      </c>
      <c r="X6" s="12">
        <v>5.06</v>
      </c>
      <c r="Y6" s="12">
        <v>0.24</v>
      </c>
      <c r="Z6" s="12">
        <f t="shared" si="3"/>
        <v>0</v>
      </c>
      <c r="AA6" s="12"/>
      <c r="AB6" s="12">
        <v>6.08</v>
      </c>
      <c r="AC6" s="12">
        <v>1.13</v>
      </c>
      <c r="AD6" s="12">
        <v>13.9</v>
      </c>
      <c r="AE6" s="12">
        <v>1.36</v>
      </c>
      <c r="AF6" s="12">
        <v>0.66</v>
      </c>
      <c r="AG6" s="12">
        <v>3.25</v>
      </c>
      <c r="AH6" s="12">
        <v>1.25</v>
      </c>
      <c r="AI6" s="12">
        <v>3.73</v>
      </c>
      <c r="AJ6" s="12">
        <v>97.78</v>
      </c>
      <c r="AK6" s="12">
        <v>4.43</v>
      </c>
      <c r="AL6" s="12">
        <v>82.36</v>
      </c>
      <c r="AM6" s="12">
        <v>5.6</v>
      </c>
      <c r="AN6" s="12">
        <v>65.19</v>
      </c>
      <c r="AO6" s="12">
        <v>114.94</v>
      </c>
      <c r="AP6" s="12">
        <f t="shared" si="4"/>
        <v>0.82509</v>
      </c>
      <c r="AQ6" s="35">
        <v>0.6953157363414024</v>
      </c>
      <c r="AR6" s="15">
        <f t="shared" si="5"/>
        <v>1</v>
      </c>
      <c r="AS6" s="15">
        <f t="shared" ref="AS6:AS7" si="9">IF(AR6=N6,1,0)</f>
        <v>0</v>
      </c>
      <c r="AU6" s="15">
        <f>2.551996+('2021'!C6*0.000000012919)+('2021'!E6*0.000003)-('2021'!H6*0.000002)
-('2021'!U6*0.123062)+('2021'!AC6*0.831)-('2021'!AD6*0.008464)-('2021'!AF6*0.15884)
-('2021'!AL6*0.025383)-('2021'!AM6*0.427021)-('2021'!AN6*0.009878)
</f>
        <v>-4.881824697</v>
      </c>
      <c r="AV6" s="15">
        <v>0.007526092819977832</v>
      </c>
      <c r="AW6" s="14">
        <f t="shared" si="7"/>
        <v>0</v>
      </c>
      <c r="AX6" s="14" t="str">
        <f>IF(AW6='temp result 2022'!B6,1,IF(Z6="-",1,0))</f>
        <v>#REF!</v>
      </c>
      <c r="AZ6" s="15" t="str">
        <f>IF(and(AW6=0,AX6=1),1,0)</f>
        <v>#REF!</v>
      </c>
      <c r="BA6" s="15" t="str">
        <f>IF(AND(AW6=0,AX6=0),1,0)</f>
        <v>#REF!</v>
      </c>
      <c r="BB6" s="15" t="str">
        <f>IF(AND(AW6=1,AX6=0),1,0)</f>
        <v>#REF!</v>
      </c>
      <c r="BC6" s="15" t="str">
        <f>IF(AND(AW6=1,AX6=1),1,0)</f>
        <v>#REF!</v>
      </c>
      <c r="BD6" s="15" t="str">
        <f>IF(AZ6+BA6+BB6+BC6&gt;1,1,0)</f>
        <v>#REF!</v>
      </c>
      <c r="BE6" s="37" t="s">
        <v>244</v>
      </c>
      <c r="BF6" s="37">
        <v>0.0</v>
      </c>
      <c r="BG6" s="37">
        <v>1.0</v>
      </c>
      <c r="BH6" s="19" t="s">
        <v>299</v>
      </c>
      <c r="BI6" s="21" t="str">
        <f>BG8</f>
        <v>#REF!</v>
      </c>
    </row>
    <row r="7">
      <c r="A7" s="8" t="s">
        <v>49</v>
      </c>
      <c r="B7" s="34" t="str">
        <f t="shared" si="1"/>
        <v/>
      </c>
      <c r="C7" s="9">
        <v>649617.01</v>
      </c>
      <c r="D7" s="9">
        <v>99825.78</v>
      </c>
      <c r="E7" s="9">
        <v>80000.0</v>
      </c>
      <c r="F7" s="9">
        <v>549790.59</v>
      </c>
      <c r="G7" s="9">
        <v>515689.95</v>
      </c>
      <c r="H7" s="9">
        <v>402116.89</v>
      </c>
      <c r="I7" s="9">
        <v>116900.2</v>
      </c>
      <c r="J7" s="9">
        <v>113702.92</v>
      </c>
      <c r="K7" s="9">
        <v>98746.68</v>
      </c>
      <c r="L7" s="9" t="e">
        <v>#N/A</v>
      </c>
      <c r="M7" s="9" t="e">
        <v>#N/A</v>
      </c>
      <c r="N7" s="10"/>
      <c r="O7" s="12">
        <v>0.68</v>
      </c>
      <c r="P7" s="9">
        <v>82921.31</v>
      </c>
      <c r="Q7" s="12">
        <v>-73.94</v>
      </c>
      <c r="R7" s="9">
        <v>355822.32</v>
      </c>
      <c r="S7" s="9">
        <v>438669.69</v>
      </c>
      <c r="T7" s="12">
        <v>30.84</v>
      </c>
      <c r="U7" s="12">
        <v>27.31</v>
      </c>
      <c r="V7" s="12">
        <v>31.0</v>
      </c>
      <c r="W7" s="12">
        <v>19.15</v>
      </c>
      <c r="X7" s="12" t="e">
        <v>#N/A</v>
      </c>
      <c r="Y7" s="12" t="e">
        <v>#N/A</v>
      </c>
      <c r="Z7" s="12" t="str">
        <f t="shared" si="3"/>
        <v>#N/A</v>
      </c>
      <c r="AA7" s="12"/>
      <c r="AB7" s="12">
        <v>22.05</v>
      </c>
      <c r="AC7" s="12">
        <v>0.18</v>
      </c>
      <c r="AD7" s="12">
        <v>335.6</v>
      </c>
      <c r="AE7" s="12">
        <v>6.84</v>
      </c>
      <c r="AF7" s="12">
        <v>6.73</v>
      </c>
      <c r="AG7" s="12">
        <v>84.11</v>
      </c>
      <c r="AH7" s="12">
        <v>1.24</v>
      </c>
      <c r="AI7" s="12" t="s">
        <v>47</v>
      </c>
      <c r="AJ7" s="12" t="s">
        <v>46</v>
      </c>
      <c r="AK7" s="12">
        <v>4.76</v>
      </c>
      <c r="AL7" s="12">
        <v>76.71</v>
      </c>
      <c r="AM7" s="12">
        <v>4.34</v>
      </c>
      <c r="AN7" s="12">
        <v>84.16</v>
      </c>
      <c r="AO7" s="12">
        <v>-7.45</v>
      </c>
      <c r="AP7" s="12">
        <f t="shared" si="4"/>
        <v>4.54781</v>
      </c>
      <c r="AQ7" s="35">
        <v>0.9895206087304005</v>
      </c>
      <c r="AR7" s="15">
        <f t="shared" si="5"/>
        <v>1</v>
      </c>
      <c r="AS7" s="15">
        <f t="shared" si="9"/>
        <v>0</v>
      </c>
      <c r="AU7" s="15">
        <f>2.551996+('2021'!C7*0.000000012919)+('2021'!E7*0.000003)-('2021'!H7*0.000002)
-('2021'!U7*0.123062)+('2021'!AC7*0.831)-('2021'!AD7*0.008464)-('2021'!AF7*0.15884)
-('2021'!AL7*0.025383)-('2021'!AM7*0.427021)-('2021'!AN7*0.009878)
</f>
        <v>-9.756333748</v>
      </c>
      <c r="AV7" s="15">
        <v>5.792325155266712E-5</v>
      </c>
      <c r="AW7" s="14">
        <f t="shared" si="7"/>
        <v>0</v>
      </c>
      <c r="AX7" s="14"/>
      <c r="BE7" s="37">
        <v>0.0</v>
      </c>
      <c r="BF7" s="15" t="str">
        <f t="shared" ref="BF7:BG7" si="10">AZ185</f>
        <v>#REF!</v>
      </c>
      <c r="BG7" s="15" t="str">
        <f t="shared" si="10"/>
        <v>#REF!</v>
      </c>
    </row>
    <row r="8">
      <c r="A8" s="8" t="s">
        <v>50</v>
      </c>
      <c r="B8" s="34">
        <f t="shared" si="1"/>
        <v>0</v>
      </c>
      <c r="C8" s="9">
        <v>2311539.48</v>
      </c>
      <c r="D8" s="9">
        <v>1780784.02</v>
      </c>
      <c r="E8" s="9">
        <v>400000.0</v>
      </c>
      <c r="F8" s="9">
        <v>530755.46</v>
      </c>
      <c r="G8" s="9">
        <v>197832.28</v>
      </c>
      <c r="H8" s="9">
        <v>98483.9</v>
      </c>
      <c r="I8" s="9">
        <v>108009.77</v>
      </c>
      <c r="J8" s="9">
        <v>99348.38</v>
      </c>
      <c r="K8" s="9">
        <v>49516.43</v>
      </c>
      <c r="L8" s="9">
        <v>42713.22</v>
      </c>
      <c r="M8" s="9">
        <v>42158.88</v>
      </c>
      <c r="N8" s="10">
        <f t="shared" ref="N8:N21" si="12">IF(AND(K8&lt;0,L8&lt;0,M8&lt;0),1,0)</f>
        <v>0</v>
      </c>
      <c r="O8" s="12">
        <v>0.03</v>
      </c>
      <c r="P8" s="9">
        <v>-20055.44</v>
      </c>
      <c r="Q8" s="12">
        <v>-674.27</v>
      </c>
      <c r="R8" s="9">
        <v>58195.25</v>
      </c>
      <c r="S8" s="9">
        <v>37465.55</v>
      </c>
      <c r="T8" s="12">
        <v>9.41</v>
      </c>
      <c r="U8" s="12">
        <v>4.43</v>
      </c>
      <c r="V8" s="12">
        <v>82.29</v>
      </c>
      <c r="W8" s="12">
        <v>25.03</v>
      </c>
      <c r="X8" s="12">
        <v>20.35</v>
      </c>
      <c r="Y8" s="12">
        <v>18.28</v>
      </c>
      <c r="Z8" s="12">
        <f t="shared" si="3"/>
        <v>0</v>
      </c>
      <c r="AA8" s="12"/>
      <c r="AB8" s="12">
        <v>50.22</v>
      </c>
      <c r="AC8" s="12">
        <v>3.36</v>
      </c>
      <c r="AD8" s="12">
        <v>2.86</v>
      </c>
      <c r="AE8" s="12">
        <v>1.26</v>
      </c>
      <c r="AF8" s="12">
        <v>0.06</v>
      </c>
      <c r="AG8" s="12" t="s">
        <v>46</v>
      </c>
      <c r="AH8" s="12">
        <v>0.09</v>
      </c>
      <c r="AI8" s="12" t="s">
        <v>47</v>
      </c>
      <c r="AJ8" s="12" t="s">
        <v>46</v>
      </c>
      <c r="AK8" s="12" t="s">
        <v>47</v>
      </c>
      <c r="AL8" s="12" t="s">
        <v>46</v>
      </c>
      <c r="AM8" s="12" t="s">
        <v>47</v>
      </c>
      <c r="AN8" s="12" t="s">
        <v>46</v>
      </c>
      <c r="AO8" s="12" t="s">
        <v>46</v>
      </c>
      <c r="AP8" s="12" t="str">
        <f t="shared" si="4"/>
        <v>#VALUE!</v>
      </c>
      <c r="AQ8" s="35" t="e">
        <v>#VALUE!</v>
      </c>
      <c r="AR8" s="15" t="str">
        <f t="shared" si="5"/>
        <v>#VALUE!</v>
      </c>
      <c r="AU8" s="15" t="str">
        <f>2.551996+('2021'!C8*0.000000012919)+('2021'!E8*0.000003)-('2021'!H8*0.000002)
-('2021'!U8*0.123062)+('2021'!AC8*0.831)-('2021'!AD8*0.008464)-('2021'!AF8*0.15884)
-('2021'!AL8*0.025383)-('2021'!AM8*0.427021)-('2021'!AN8*0.009878)
</f>
        <v>#VALUE!</v>
      </c>
      <c r="AV8" s="15" t="e">
        <v>#VALUE!</v>
      </c>
      <c r="AW8" s="14" t="str">
        <f t="shared" si="7"/>
        <v>#VALUE!</v>
      </c>
      <c r="AX8" s="14"/>
      <c r="BE8" s="37"/>
      <c r="BF8" s="38" t="str">
        <f t="shared" ref="BF8:BG8" si="11">BF7/(BF7+BF9)</f>
        <v>#REF!</v>
      </c>
      <c r="BG8" s="38" t="str">
        <f t="shared" si="11"/>
        <v>#REF!</v>
      </c>
    </row>
    <row r="9">
      <c r="A9" s="8" t="s">
        <v>51</v>
      </c>
      <c r="B9" s="34">
        <f t="shared" si="1"/>
        <v>0</v>
      </c>
      <c r="C9" s="9">
        <v>1.022286962E7</v>
      </c>
      <c r="D9" s="9">
        <v>5655664.21</v>
      </c>
      <c r="E9" s="9">
        <v>1578719.63</v>
      </c>
      <c r="F9" s="9">
        <v>3688518.6</v>
      </c>
      <c r="G9" s="9">
        <v>1095613.73</v>
      </c>
      <c r="H9" s="9">
        <v>874909.54</v>
      </c>
      <c r="I9" s="9">
        <v>458988.39</v>
      </c>
      <c r="J9" s="9">
        <v>301436.08</v>
      </c>
      <c r="K9" s="9">
        <v>126394.4</v>
      </c>
      <c r="L9" s="9">
        <v>-37956.83</v>
      </c>
      <c r="M9" s="9">
        <v>-164960.13</v>
      </c>
      <c r="N9" s="10">
        <f t="shared" si="12"/>
        <v>0</v>
      </c>
      <c r="O9" s="12">
        <v>0.02</v>
      </c>
      <c r="P9" s="9">
        <v>-1149160.92</v>
      </c>
      <c r="Q9" s="9">
        <v>-69495.53</v>
      </c>
      <c r="R9" s="9">
        <v>850710.1</v>
      </c>
      <c r="S9" s="9">
        <v>-367946.35</v>
      </c>
      <c r="T9" s="12">
        <v>3.44</v>
      </c>
      <c r="U9" s="12">
        <v>3.1</v>
      </c>
      <c r="V9" s="12">
        <v>73.32</v>
      </c>
      <c r="W9" s="12">
        <v>10.67</v>
      </c>
      <c r="X9" s="12">
        <v>-7.72</v>
      </c>
      <c r="Y9" s="12">
        <v>-22.34</v>
      </c>
      <c r="Z9" s="12">
        <f t="shared" si="3"/>
        <v>0</v>
      </c>
      <c r="AA9" s="12"/>
      <c r="AB9" s="12">
        <v>27.51</v>
      </c>
      <c r="AC9" s="12">
        <v>1.24</v>
      </c>
      <c r="AD9" s="12">
        <v>2.05</v>
      </c>
      <c r="AE9" s="12">
        <v>1.18</v>
      </c>
      <c r="AF9" s="12">
        <v>0.14</v>
      </c>
      <c r="AG9" s="12" t="s">
        <v>46</v>
      </c>
      <c r="AH9" s="12">
        <v>0.11</v>
      </c>
      <c r="AI9" s="12" t="s">
        <v>47</v>
      </c>
      <c r="AJ9" s="12" t="s">
        <v>46</v>
      </c>
      <c r="AK9" s="12" t="s">
        <v>47</v>
      </c>
      <c r="AL9" s="12" t="s">
        <v>46</v>
      </c>
      <c r="AM9" s="12" t="s">
        <v>47</v>
      </c>
      <c r="AN9" s="12" t="s">
        <v>46</v>
      </c>
      <c r="AO9" s="12" t="s">
        <v>46</v>
      </c>
      <c r="AP9" s="12" t="str">
        <f t="shared" si="4"/>
        <v>#VALUE!</v>
      </c>
      <c r="AQ9" s="35" t="e">
        <v>#VALUE!</v>
      </c>
      <c r="AR9" s="15" t="str">
        <f t="shared" si="5"/>
        <v>#VALUE!</v>
      </c>
      <c r="AU9" s="15" t="str">
        <f>2.551996+('2021'!C9*0.000000012919)+('2021'!E9*0.000003)-('2021'!H9*0.000002)
-('2021'!U9*0.123062)+('2021'!AC9*0.831)-('2021'!AD9*0.008464)-('2021'!AF9*0.15884)
-('2021'!AL9*0.025383)-('2021'!AM9*0.427021)-('2021'!AN9*0.009878)
</f>
        <v>#VALUE!</v>
      </c>
      <c r="AV9" s="15" t="e">
        <v>#VALUE!</v>
      </c>
      <c r="AW9" s="14" t="str">
        <f t="shared" si="7"/>
        <v>#VALUE!</v>
      </c>
      <c r="AX9" s="14"/>
      <c r="BE9" s="37">
        <v>1.0</v>
      </c>
      <c r="BF9" s="15" t="str">
        <f t="shared" ref="BF9:BG9" si="13">BB185</f>
        <v>#REF!</v>
      </c>
      <c r="BG9" s="15" t="str">
        <f t="shared" si="13"/>
        <v>#REF!</v>
      </c>
    </row>
    <row r="10">
      <c r="A10" s="8" t="s">
        <v>52</v>
      </c>
      <c r="B10" s="34">
        <f t="shared" si="1"/>
        <v>0</v>
      </c>
      <c r="C10" s="9">
        <v>724224.85</v>
      </c>
      <c r="D10" s="9">
        <v>132588.04</v>
      </c>
      <c r="E10" s="9">
        <v>202000.0</v>
      </c>
      <c r="F10" s="9">
        <v>591636.82</v>
      </c>
      <c r="G10" s="9">
        <v>391455.52</v>
      </c>
      <c r="H10" s="9">
        <v>344378.79</v>
      </c>
      <c r="I10" s="9">
        <v>97452.64</v>
      </c>
      <c r="J10" s="9">
        <v>60454.35</v>
      </c>
      <c r="K10" s="9">
        <v>46841.33</v>
      </c>
      <c r="L10" s="9">
        <v>34652.0</v>
      </c>
      <c r="M10" s="9">
        <v>31298.61</v>
      </c>
      <c r="N10" s="10">
        <f t="shared" si="12"/>
        <v>0</v>
      </c>
      <c r="O10" s="12">
        <v>0.12</v>
      </c>
      <c r="P10" s="9">
        <v>86789.08</v>
      </c>
      <c r="Q10" s="9">
        <v>-15370.46</v>
      </c>
      <c r="R10" s="9">
        <v>-19501.77</v>
      </c>
      <c r="S10" s="9">
        <v>51916.86</v>
      </c>
      <c r="T10" s="12">
        <v>8.18</v>
      </c>
      <c r="U10" s="12">
        <v>8.51</v>
      </c>
      <c r="V10" s="12">
        <v>23.11</v>
      </c>
      <c r="W10" s="12">
        <v>11.97</v>
      </c>
      <c r="X10" s="12">
        <v>9.74</v>
      </c>
      <c r="Y10" s="12">
        <v>7.23</v>
      </c>
      <c r="Z10" s="12">
        <f t="shared" si="3"/>
        <v>0</v>
      </c>
      <c r="AA10" s="12"/>
      <c r="AB10" s="12">
        <v>15.44</v>
      </c>
      <c r="AC10" s="12">
        <v>0.22</v>
      </c>
      <c r="AD10" s="12">
        <v>12.64</v>
      </c>
      <c r="AE10" s="12">
        <v>4.77</v>
      </c>
      <c r="AF10" s="12">
        <v>4.69</v>
      </c>
      <c r="AG10" s="12">
        <v>2.56</v>
      </c>
      <c r="AH10" s="12">
        <v>0.55</v>
      </c>
      <c r="AI10" s="12" t="s">
        <v>47</v>
      </c>
      <c r="AJ10" s="12" t="s">
        <v>46</v>
      </c>
      <c r="AK10" s="12">
        <v>3.58</v>
      </c>
      <c r="AL10" s="12">
        <v>101.92</v>
      </c>
      <c r="AM10" s="12">
        <v>5.27</v>
      </c>
      <c r="AN10" s="12">
        <v>69.27</v>
      </c>
      <c r="AO10" s="12">
        <v>32.65</v>
      </c>
      <c r="AP10" s="12">
        <f t="shared" si="4"/>
        <v>1.03046</v>
      </c>
      <c r="AQ10" s="35">
        <v>0.7370050667087075</v>
      </c>
      <c r="AR10" s="15">
        <f t="shared" si="5"/>
        <v>1</v>
      </c>
      <c r="AS10" s="15">
        <f t="shared" ref="AS10:AS52" si="15">IF(AR10=N10,1,0)</f>
        <v>0</v>
      </c>
      <c r="AU10" s="15">
        <f>2.551996+('2021'!C10*0.000000012919)+('2021'!E10*0.000003)-('2021'!H10*0.000002)
-('2021'!U10*0.123062)+('2021'!AC10*0.831)-('2021'!AD10*0.008464)-('2021'!AF10*0.15884)
-('2021'!AL10*0.025383)-('2021'!AM10*0.427021)-('2021'!AN10*0.009878)
</f>
        <v>-4.759472589</v>
      </c>
      <c r="AV10" s="15">
        <v>0.008497305189549808</v>
      </c>
      <c r="AW10" s="14">
        <f t="shared" si="7"/>
        <v>0</v>
      </c>
      <c r="AX10" s="14" t="str">
        <f t="shared" ref="AX10:AX21" si="16">IF(AW10='temp result 2022'!B10,1,IF(Z10="-",1,0))</f>
        <v>#REF!</v>
      </c>
      <c r="AZ10" s="15" t="str">
        <f t="shared" ref="AZ10:AZ21" si="17">IF(and(AW10=0,AX10=1),1,0)</f>
        <v>#REF!</v>
      </c>
      <c r="BA10" s="15" t="str">
        <f t="shared" ref="BA10:BA21" si="18">IF(AND(AW10=0,AX10=0),1,0)</f>
        <v>#REF!</v>
      </c>
      <c r="BB10" s="15" t="str">
        <f t="shared" ref="BB10:BB21" si="19">IF(AND(AW10=1,AX10=0),1,0)</f>
        <v>#REF!</v>
      </c>
      <c r="BC10" s="15" t="str">
        <f t="shared" ref="BC10:BC21" si="20">IF(AND(AW10=1,AX10=1),1,0)</f>
        <v>#REF!</v>
      </c>
      <c r="BD10" s="15" t="str">
        <f t="shared" ref="BD10:BD21" si="21">IF(AZ10+BA10+BB10+BC10&gt;1,1,0)</f>
        <v>#REF!</v>
      </c>
      <c r="BE10" s="36"/>
      <c r="BF10" s="38" t="str">
        <f t="shared" ref="BF10:BG10" si="14">BF9/(BF7+BF9)</f>
        <v>#REF!</v>
      </c>
      <c r="BG10" s="38" t="str">
        <f t="shared" si="14"/>
        <v>#REF!</v>
      </c>
    </row>
    <row r="11">
      <c r="A11" s="8" t="s">
        <v>53</v>
      </c>
      <c r="B11" s="34">
        <f t="shared" si="1"/>
        <v>0</v>
      </c>
      <c r="C11" s="9">
        <v>7899116.83</v>
      </c>
      <c r="D11" s="9">
        <v>5891028.27</v>
      </c>
      <c r="E11" s="9">
        <v>671632.22</v>
      </c>
      <c r="F11" s="9">
        <v>2008074.6</v>
      </c>
      <c r="G11" s="9">
        <v>1290045.93</v>
      </c>
      <c r="H11" s="9">
        <v>1277985.35</v>
      </c>
      <c r="I11" s="9">
        <v>-58968.44</v>
      </c>
      <c r="J11" s="9">
        <v>-84966.64</v>
      </c>
      <c r="K11" s="9">
        <v>-347204.46</v>
      </c>
      <c r="L11" s="9">
        <v>241923.56</v>
      </c>
      <c r="M11" s="9">
        <v>501091.31</v>
      </c>
      <c r="N11" s="10">
        <f t="shared" si="12"/>
        <v>0</v>
      </c>
      <c r="O11" s="12">
        <v>-0.53</v>
      </c>
      <c r="P11" s="9">
        <v>-133135.92</v>
      </c>
      <c r="Q11" s="9">
        <v>-77126.08</v>
      </c>
      <c r="R11" s="9">
        <v>151882.98</v>
      </c>
      <c r="S11" s="9">
        <v>-58379.02</v>
      </c>
      <c r="T11" s="12">
        <v>-16.39</v>
      </c>
      <c r="U11" s="12">
        <v>-1.06</v>
      </c>
      <c r="V11" s="12">
        <v>21.79</v>
      </c>
      <c r="W11" s="12">
        <v>-26.91</v>
      </c>
      <c r="X11" s="12">
        <v>10.89</v>
      </c>
      <c r="Y11" s="12">
        <v>17.17</v>
      </c>
      <c r="Z11" s="12">
        <f t="shared" si="3"/>
        <v>0</v>
      </c>
      <c r="AA11" s="12"/>
      <c r="AB11" s="12">
        <v>-6.59</v>
      </c>
      <c r="AC11" s="12">
        <v>2.93</v>
      </c>
      <c r="AD11" s="12">
        <v>-0.27</v>
      </c>
      <c r="AE11" s="12">
        <v>1.72</v>
      </c>
      <c r="AF11" s="12">
        <v>0.05</v>
      </c>
      <c r="AG11" s="12">
        <v>9.71</v>
      </c>
      <c r="AH11" s="12">
        <v>0.16</v>
      </c>
      <c r="AI11" s="12">
        <v>0.21</v>
      </c>
      <c r="AJ11" s="9">
        <v>1732.91</v>
      </c>
      <c r="AK11" s="12">
        <v>9.35</v>
      </c>
      <c r="AL11" s="12">
        <v>39.04</v>
      </c>
      <c r="AM11" s="12">
        <v>1.38</v>
      </c>
      <c r="AN11" s="12">
        <v>264.01</v>
      </c>
      <c r="AO11" s="9">
        <v>1507.93</v>
      </c>
      <c r="AP11" s="12">
        <f t="shared" si="4"/>
        <v>8.42211</v>
      </c>
      <c r="AQ11" s="35">
        <v>0.9997800982991722</v>
      </c>
      <c r="AR11" s="15">
        <f t="shared" si="5"/>
        <v>1</v>
      </c>
      <c r="AS11" s="15">
        <f t="shared" si="15"/>
        <v>0</v>
      </c>
      <c r="AU11" s="15">
        <f>2.551996+('2021'!C11*0.000000012919)+('2021'!E11*0.000003)-('2021'!H11*0.000002)
-('2021'!U11*0.123062)+('2021'!AC11*0.831)-('2021'!AD11*0.008464)-('2021'!AF11*0.15884)
-('2021'!AL11*0.025383)-('2021'!AM11*0.427021)-('2021'!AN11*0.009878)
</f>
        <v>0.4844575703</v>
      </c>
      <c r="AV11" s="15">
        <v>0.6187999111669824</v>
      </c>
      <c r="AW11" s="14">
        <f t="shared" si="7"/>
        <v>1</v>
      </c>
      <c r="AX11" s="14" t="str">
        <f t="shared" si="16"/>
        <v>#REF!</v>
      </c>
      <c r="AZ11" s="15" t="str">
        <f t="shared" si="17"/>
        <v>#REF!</v>
      </c>
      <c r="BA11" s="15" t="str">
        <f t="shared" si="18"/>
        <v>#REF!</v>
      </c>
      <c r="BB11" s="15" t="str">
        <f t="shared" si="19"/>
        <v>#REF!</v>
      </c>
      <c r="BC11" s="15" t="str">
        <f t="shared" si="20"/>
        <v>#REF!</v>
      </c>
      <c r="BD11" s="15" t="str">
        <f t="shared" si="21"/>
        <v>#REF!</v>
      </c>
      <c r="BE11" s="39" t="s">
        <v>300</v>
      </c>
      <c r="BF11" s="15" t="str">
        <f t="shared" ref="BF11:BG11" si="22">BF7+BF9</f>
        <v>#REF!</v>
      </c>
      <c r="BG11" s="15" t="str">
        <f t="shared" si="22"/>
        <v>#REF!</v>
      </c>
    </row>
    <row r="12">
      <c r="A12" s="8" t="s">
        <v>54</v>
      </c>
      <c r="B12" s="34">
        <f t="shared" si="1"/>
        <v>0</v>
      </c>
      <c r="C12" s="9">
        <v>937237.12</v>
      </c>
      <c r="D12" s="9">
        <v>266437.71</v>
      </c>
      <c r="E12" s="9">
        <v>301612.26</v>
      </c>
      <c r="F12" s="9">
        <v>528748.13</v>
      </c>
      <c r="G12" s="9">
        <v>508403.02</v>
      </c>
      <c r="H12" s="9">
        <v>466990.71</v>
      </c>
      <c r="I12" s="9">
        <v>52252.63</v>
      </c>
      <c r="J12" s="9">
        <v>41412.31</v>
      </c>
      <c r="K12" s="9">
        <v>-1628.69</v>
      </c>
      <c r="L12" s="9">
        <v>58427.32</v>
      </c>
      <c r="M12" s="9">
        <v>-30.06</v>
      </c>
      <c r="N12" s="10">
        <f t="shared" si="12"/>
        <v>0</v>
      </c>
      <c r="O12" s="12" t="s">
        <v>46</v>
      </c>
      <c r="P12" s="9">
        <v>54425.58</v>
      </c>
      <c r="Q12" s="9">
        <v>1056.96</v>
      </c>
      <c r="R12" s="9">
        <v>22066.93</v>
      </c>
      <c r="S12" s="9">
        <v>77549.47</v>
      </c>
      <c r="T12" s="12">
        <v>-0.31</v>
      </c>
      <c r="U12" s="12">
        <v>4.25</v>
      </c>
      <c r="V12" s="12">
        <v>27.89</v>
      </c>
      <c r="W12" s="12">
        <v>5.12</v>
      </c>
      <c r="X12" s="12">
        <v>14.25</v>
      </c>
      <c r="Y12" s="12">
        <v>-0.29</v>
      </c>
      <c r="Z12" s="12">
        <f t="shared" si="3"/>
        <v>0</v>
      </c>
      <c r="AA12" s="12"/>
      <c r="AB12" s="12">
        <v>8.15</v>
      </c>
      <c r="AC12" s="12">
        <v>0.4</v>
      </c>
      <c r="AD12" s="12">
        <v>793.49</v>
      </c>
      <c r="AE12" s="12">
        <v>3.73</v>
      </c>
      <c r="AF12" s="12">
        <v>0.54</v>
      </c>
      <c r="AG12" s="12">
        <v>36.77</v>
      </c>
      <c r="AH12" s="12">
        <v>0.52</v>
      </c>
      <c r="AI12" s="12">
        <v>0.78</v>
      </c>
      <c r="AJ12" s="12">
        <v>467.4</v>
      </c>
      <c r="AK12" s="12">
        <v>51.96</v>
      </c>
      <c r="AL12" s="12">
        <v>7.03</v>
      </c>
      <c r="AM12" s="12">
        <v>2.46</v>
      </c>
      <c r="AN12" s="12">
        <v>148.15</v>
      </c>
      <c r="AO12" s="12">
        <v>326.27</v>
      </c>
      <c r="AP12" s="12">
        <f t="shared" si="4"/>
        <v>1.35245</v>
      </c>
      <c r="AQ12" s="35">
        <v>0.7945298845834982</v>
      </c>
      <c r="AR12" s="15">
        <f t="shared" si="5"/>
        <v>1</v>
      </c>
      <c r="AS12" s="15">
        <f t="shared" si="15"/>
        <v>0</v>
      </c>
      <c r="AU12" s="15">
        <f>2.551996+('2021'!C12*0.000000012919)+('2021'!E12*0.000003)-('2021'!H12*0.000002)
-('2021'!U12*0.123062)+('2021'!AC12*0.831)-('2021'!AD12*0.008464)-('2021'!AF12*0.15884)
-('2021'!AL12*0.025383)-('2021'!AM12*0.427021)-('2021'!AN12*0.009878)
</f>
        <v>-7.149866784</v>
      </c>
      <c r="AV12" s="15">
        <v>7.843529525319526E-4</v>
      </c>
      <c r="AW12" s="14">
        <f t="shared" si="7"/>
        <v>0</v>
      </c>
      <c r="AX12" s="14" t="str">
        <f t="shared" si="16"/>
        <v>#REF!</v>
      </c>
      <c r="AZ12" s="15" t="str">
        <f t="shared" si="17"/>
        <v>#REF!</v>
      </c>
      <c r="BA12" s="15" t="str">
        <f t="shared" si="18"/>
        <v>#REF!</v>
      </c>
      <c r="BB12" s="15" t="str">
        <f t="shared" si="19"/>
        <v>#REF!</v>
      </c>
      <c r="BC12" s="15" t="str">
        <f t="shared" si="20"/>
        <v>#REF!</v>
      </c>
      <c r="BD12" s="15" t="str">
        <f t="shared" si="21"/>
        <v>#REF!</v>
      </c>
      <c r="BF12" s="15" t="str">
        <f t="shared" ref="BF12:BG12" si="23">BF8+BF10</f>
        <v>#REF!</v>
      </c>
      <c r="BG12" s="15" t="str">
        <f t="shared" si="23"/>
        <v>#REF!</v>
      </c>
    </row>
    <row r="13">
      <c r="A13" s="8" t="s">
        <v>55</v>
      </c>
      <c r="B13" s="34">
        <f t="shared" si="1"/>
        <v>0</v>
      </c>
      <c r="C13" s="9">
        <v>4118537.29</v>
      </c>
      <c r="D13" s="9">
        <v>1696752.68</v>
      </c>
      <c r="E13" s="9">
        <v>258958.39</v>
      </c>
      <c r="F13" s="9">
        <v>2354705.23</v>
      </c>
      <c r="G13" s="9">
        <v>2098995.96</v>
      </c>
      <c r="H13" s="9">
        <v>1876152.25</v>
      </c>
      <c r="I13" s="9">
        <v>514416.25</v>
      </c>
      <c r="J13" s="9">
        <v>225145.77</v>
      </c>
      <c r="K13" s="9">
        <v>153507.49</v>
      </c>
      <c r="L13" s="9">
        <v>170336.77</v>
      </c>
      <c r="M13" s="9">
        <v>180519.63</v>
      </c>
      <c r="N13" s="10">
        <f t="shared" si="12"/>
        <v>0</v>
      </c>
      <c r="O13" s="12">
        <v>0.3</v>
      </c>
      <c r="P13" s="9">
        <v>455783.58</v>
      </c>
      <c r="Q13" s="9">
        <v>-387136.18</v>
      </c>
      <c r="R13" s="9">
        <v>-204612.46</v>
      </c>
      <c r="S13" s="9">
        <v>-135965.05</v>
      </c>
      <c r="T13" s="12">
        <v>6.84</v>
      </c>
      <c r="U13" s="12">
        <v>5.9</v>
      </c>
      <c r="V13" s="12">
        <v>17.62</v>
      </c>
      <c r="W13" s="12">
        <v>7.42</v>
      </c>
      <c r="X13" s="12">
        <v>9.38</v>
      </c>
      <c r="Y13" s="12">
        <v>9.45</v>
      </c>
      <c r="Z13" s="12">
        <f t="shared" si="3"/>
        <v>0</v>
      </c>
      <c r="AA13" s="12"/>
      <c r="AB13" s="12">
        <v>10.73</v>
      </c>
      <c r="AC13" s="12">
        <v>0.7</v>
      </c>
      <c r="AD13" s="12">
        <v>5.55</v>
      </c>
      <c r="AE13" s="12">
        <v>0.52</v>
      </c>
      <c r="AF13" s="12">
        <v>0.42</v>
      </c>
      <c r="AG13" s="12">
        <v>0.63</v>
      </c>
      <c r="AH13" s="12">
        <v>0.55</v>
      </c>
      <c r="AI13" s="12">
        <v>26.31</v>
      </c>
      <c r="AJ13" s="12">
        <v>13.87</v>
      </c>
      <c r="AK13" s="12">
        <v>11.76</v>
      </c>
      <c r="AL13" s="12">
        <v>31.04</v>
      </c>
      <c r="AM13" s="12">
        <v>15.46</v>
      </c>
      <c r="AN13" s="12">
        <v>23.62</v>
      </c>
      <c r="AO13" s="12">
        <v>21.29</v>
      </c>
      <c r="AP13" s="12">
        <f t="shared" si="4"/>
        <v>-2.29508</v>
      </c>
      <c r="AQ13" s="35">
        <v>0.09153125381327094</v>
      </c>
      <c r="AR13" s="15">
        <f t="shared" si="5"/>
        <v>0</v>
      </c>
      <c r="AS13" s="15">
        <f t="shared" si="15"/>
        <v>1</v>
      </c>
      <c r="AU13" s="15">
        <f>2.551996+('2021'!C13*0.000000012919)+('2021'!E13*0.000003)-('2021'!H13*0.000002)
-('2021'!U13*0.123062)+('2021'!AC13*0.831)-('2021'!AD13*0.008464)-('2021'!AF13*0.15884)
-('2021'!AL13*0.025383)-('2021'!AM13*0.427021)-('2021'!AN13*0.009878)
</f>
        <v>-8.251231087</v>
      </c>
      <c r="AV13" s="15">
        <v>2.6086905283032784E-4</v>
      </c>
      <c r="AW13" s="14">
        <f t="shared" si="7"/>
        <v>0</v>
      </c>
      <c r="AX13" s="14" t="str">
        <f t="shared" si="16"/>
        <v>#REF!</v>
      </c>
      <c r="AZ13" s="15" t="str">
        <f t="shared" si="17"/>
        <v>#REF!</v>
      </c>
      <c r="BA13" s="15" t="str">
        <f t="shared" si="18"/>
        <v>#REF!</v>
      </c>
      <c r="BB13" s="15" t="str">
        <f t="shared" si="19"/>
        <v>#REF!</v>
      </c>
      <c r="BC13" s="15" t="str">
        <f t="shared" si="20"/>
        <v>#REF!</v>
      </c>
      <c r="BD13" s="15" t="str">
        <f t="shared" si="21"/>
        <v>#REF!</v>
      </c>
    </row>
    <row r="14">
      <c r="A14" s="8" t="s">
        <v>57</v>
      </c>
      <c r="B14" s="34">
        <f t="shared" si="1"/>
        <v>0</v>
      </c>
      <c r="C14" s="9">
        <v>732921.86</v>
      </c>
      <c r="D14" s="9">
        <v>375711.93</v>
      </c>
      <c r="E14" s="9">
        <v>140000.0</v>
      </c>
      <c r="F14" s="9">
        <v>357461.34</v>
      </c>
      <c r="G14" s="9">
        <v>798906.75</v>
      </c>
      <c r="H14" s="9">
        <v>717042.21</v>
      </c>
      <c r="I14" s="9">
        <v>101383.97</v>
      </c>
      <c r="J14" s="9">
        <v>81864.54</v>
      </c>
      <c r="K14" s="9">
        <v>58459.21</v>
      </c>
      <c r="L14" s="9">
        <v>44996.94</v>
      </c>
      <c r="M14" s="9">
        <v>57482.1</v>
      </c>
      <c r="N14" s="10">
        <f t="shared" si="12"/>
        <v>0</v>
      </c>
      <c r="O14" s="12">
        <v>0.21</v>
      </c>
      <c r="P14" s="9">
        <v>80125.9</v>
      </c>
      <c r="Q14" s="9">
        <v>-36438.34</v>
      </c>
      <c r="R14" s="9">
        <v>-45523.34</v>
      </c>
      <c r="S14" s="9">
        <v>-1835.78</v>
      </c>
      <c r="T14" s="12">
        <v>16.75</v>
      </c>
      <c r="U14" s="12">
        <v>11.75</v>
      </c>
      <c r="V14" s="12">
        <v>43.56</v>
      </c>
      <c r="W14" s="12">
        <v>7.35</v>
      </c>
      <c r="X14" s="12">
        <v>6.83</v>
      </c>
      <c r="Y14" s="12">
        <v>7.84</v>
      </c>
      <c r="Z14" s="12">
        <f t="shared" si="3"/>
        <v>0</v>
      </c>
      <c r="AA14" s="12"/>
      <c r="AB14" s="12">
        <v>10.25</v>
      </c>
      <c r="AC14" s="12">
        <v>1.05</v>
      </c>
      <c r="AD14" s="12">
        <v>248.02</v>
      </c>
      <c r="AE14" s="12">
        <v>1.95</v>
      </c>
      <c r="AF14" s="12">
        <v>1.49</v>
      </c>
      <c r="AG14" s="12">
        <v>8.11</v>
      </c>
      <c r="AH14" s="12">
        <v>1.15</v>
      </c>
      <c r="AI14" s="12">
        <v>10.99</v>
      </c>
      <c r="AJ14" s="12">
        <v>33.22</v>
      </c>
      <c r="AK14" s="12">
        <v>10.17</v>
      </c>
      <c r="AL14" s="12">
        <v>35.9</v>
      </c>
      <c r="AM14" s="12">
        <v>4.11</v>
      </c>
      <c r="AN14" s="12">
        <v>88.9</v>
      </c>
      <c r="AO14" s="12">
        <v>-19.78</v>
      </c>
      <c r="AP14" s="12">
        <f t="shared" si="4"/>
        <v>0.52959</v>
      </c>
      <c r="AQ14" s="35">
        <v>0.629387480901142</v>
      </c>
      <c r="AR14" s="15">
        <f t="shared" si="5"/>
        <v>1</v>
      </c>
      <c r="AS14" s="15">
        <f t="shared" si="15"/>
        <v>0</v>
      </c>
      <c r="AU14" s="15">
        <f>2.551996+('2021'!C14*0.000000012919)+('2021'!E14*0.000003)-('2021'!H14*0.000002)
-('2021'!U14*0.123062)+('2021'!AC14*0.831)-('2021'!AD14*0.008464)-('2021'!AF14*0.15884)
-('2021'!AL14*0.025383)-('2021'!AM14*0.427021)-('2021'!AN14*0.009878)
</f>
        <v>-4.906421392</v>
      </c>
      <c r="AV14" s="15">
        <v>0.007344576909024845</v>
      </c>
      <c r="AW14" s="14">
        <f t="shared" si="7"/>
        <v>0</v>
      </c>
      <c r="AX14" s="14" t="str">
        <f t="shared" si="16"/>
        <v>#REF!</v>
      </c>
      <c r="AZ14" s="15" t="str">
        <f t="shared" si="17"/>
        <v>#REF!</v>
      </c>
      <c r="BA14" s="15" t="str">
        <f t="shared" si="18"/>
        <v>#REF!</v>
      </c>
      <c r="BB14" s="15" t="str">
        <f t="shared" si="19"/>
        <v>#REF!</v>
      </c>
      <c r="BC14" s="15" t="str">
        <f t="shared" si="20"/>
        <v>#REF!</v>
      </c>
      <c r="BD14" s="15" t="str">
        <f t="shared" si="21"/>
        <v>#REF!</v>
      </c>
    </row>
    <row r="15">
      <c r="A15" s="8" t="s">
        <v>58</v>
      </c>
      <c r="B15" s="34">
        <f t="shared" si="1"/>
        <v>1</v>
      </c>
      <c r="C15" s="9">
        <v>955393.48</v>
      </c>
      <c r="D15" s="9">
        <v>564516.61</v>
      </c>
      <c r="E15" s="9">
        <v>300000.0</v>
      </c>
      <c r="F15" s="9">
        <v>390876.87</v>
      </c>
      <c r="G15" s="9">
        <v>186507.08</v>
      </c>
      <c r="H15" s="9">
        <v>216243.81</v>
      </c>
      <c r="I15" s="9">
        <v>-22002.86</v>
      </c>
      <c r="J15" s="9">
        <v>-29736.73</v>
      </c>
      <c r="K15" s="9">
        <v>-54663.25</v>
      </c>
      <c r="L15" s="9">
        <v>-37327.57</v>
      </c>
      <c r="M15" s="9">
        <v>-14120.83</v>
      </c>
      <c r="N15" s="10">
        <f t="shared" si="12"/>
        <v>1</v>
      </c>
      <c r="O15" s="12">
        <v>-0.09</v>
      </c>
      <c r="P15" s="9">
        <v>-5631.62</v>
      </c>
      <c r="Q15" s="12">
        <v>-557.49</v>
      </c>
      <c r="R15" s="9">
        <v>3251.16</v>
      </c>
      <c r="S15" s="9">
        <v>-2937.96</v>
      </c>
      <c r="T15" s="12">
        <v>-13.12</v>
      </c>
      <c r="U15" s="12">
        <v>-3.02</v>
      </c>
      <c r="V15" s="12">
        <v>26.28</v>
      </c>
      <c r="W15" s="12">
        <v>-29.31</v>
      </c>
      <c r="X15" s="12">
        <v>-50.5</v>
      </c>
      <c r="Y15" s="12">
        <v>-8.71</v>
      </c>
      <c r="Z15" s="12">
        <f t="shared" si="3"/>
        <v>1</v>
      </c>
      <c r="AA15" s="12"/>
      <c r="AB15" s="12">
        <v>-15.94</v>
      </c>
      <c r="AC15" s="12">
        <v>1.44</v>
      </c>
      <c r="AD15" s="12">
        <v>-1.24</v>
      </c>
      <c r="AE15" s="12">
        <v>1.37</v>
      </c>
      <c r="AF15" s="12">
        <v>0.02</v>
      </c>
      <c r="AG15" s="12">
        <v>11.81</v>
      </c>
      <c r="AH15" s="12">
        <v>0.19</v>
      </c>
      <c r="AI15" s="12">
        <v>0.17</v>
      </c>
      <c r="AJ15" s="9">
        <v>2090.42</v>
      </c>
      <c r="AK15" s="12">
        <v>22.33</v>
      </c>
      <c r="AL15" s="12">
        <v>16.35</v>
      </c>
      <c r="AM15" s="12">
        <v>1.86</v>
      </c>
      <c r="AN15" s="12">
        <v>196.76</v>
      </c>
      <c r="AO15" s="9">
        <v>1910.0</v>
      </c>
      <c r="AP15" s="12">
        <f t="shared" si="4"/>
        <v>9.74767</v>
      </c>
      <c r="AQ15" s="35">
        <v>0.9999415727652831</v>
      </c>
      <c r="AR15" s="15">
        <f t="shared" si="5"/>
        <v>1</v>
      </c>
      <c r="AS15" s="15">
        <f t="shared" si="15"/>
        <v>1</v>
      </c>
      <c r="AU15" s="15">
        <f>2.551996+('2021'!C15*0.000000012919)+('2021'!E15*0.000003)-('2021'!H15*0.000002)
-('2021'!U15*0.123062)+('2021'!AC15*0.831)-('2021'!AD15*0.008464)-('2021'!AF15*0.15884)
-('2021'!AL15*0.025383)-('2021'!AM15*0.427021)-('2021'!AN15*0.009878)
</f>
        <v>1.454590518</v>
      </c>
      <c r="AV15" s="15">
        <v>0.8107039140438549</v>
      </c>
      <c r="AW15" s="14">
        <f t="shared" si="7"/>
        <v>1</v>
      </c>
      <c r="AX15" s="14" t="str">
        <f t="shared" si="16"/>
        <v>#REF!</v>
      </c>
      <c r="AZ15" s="15" t="str">
        <f t="shared" si="17"/>
        <v>#REF!</v>
      </c>
      <c r="BA15" s="15" t="str">
        <f t="shared" si="18"/>
        <v>#REF!</v>
      </c>
      <c r="BB15" s="15" t="str">
        <f t="shared" si="19"/>
        <v>#REF!</v>
      </c>
      <c r="BC15" s="15" t="str">
        <f t="shared" si="20"/>
        <v>#REF!</v>
      </c>
      <c r="BD15" s="15" t="str">
        <f t="shared" si="21"/>
        <v>#REF!</v>
      </c>
    </row>
    <row r="16">
      <c r="A16" s="8" t="s">
        <v>59</v>
      </c>
      <c r="B16" s="34">
        <f t="shared" si="1"/>
        <v>0</v>
      </c>
      <c r="C16" s="9">
        <v>257788.44</v>
      </c>
      <c r="D16" s="9">
        <v>44384.79</v>
      </c>
      <c r="E16" s="9">
        <v>116500.0</v>
      </c>
      <c r="F16" s="9">
        <v>213403.65</v>
      </c>
      <c r="G16" s="9">
        <v>169221.18</v>
      </c>
      <c r="H16" s="9">
        <v>163025.82</v>
      </c>
      <c r="I16" s="9">
        <v>12684.64</v>
      </c>
      <c r="J16" s="9">
        <v>6195.36</v>
      </c>
      <c r="K16" s="9">
        <v>5201.65</v>
      </c>
      <c r="L16" s="9">
        <v>3562.64</v>
      </c>
      <c r="M16" s="9">
        <v>1328.0</v>
      </c>
      <c r="N16" s="10">
        <f t="shared" si="12"/>
        <v>0</v>
      </c>
      <c r="O16" s="12">
        <v>0.01</v>
      </c>
      <c r="P16" s="9">
        <v>26962.29</v>
      </c>
      <c r="Q16" s="9">
        <v>-69765.24</v>
      </c>
      <c r="R16" s="12">
        <v>-432.0</v>
      </c>
      <c r="S16" s="9">
        <v>-43234.94</v>
      </c>
      <c r="T16" s="12">
        <v>2.47</v>
      </c>
      <c r="U16" s="12">
        <v>2.44</v>
      </c>
      <c r="V16" s="12">
        <v>29.84</v>
      </c>
      <c r="W16" s="12">
        <v>3.07</v>
      </c>
      <c r="X16" s="12">
        <v>1.58</v>
      </c>
      <c r="Y16" s="12">
        <v>0.8</v>
      </c>
      <c r="Z16" s="12">
        <f t="shared" si="3"/>
        <v>0</v>
      </c>
      <c r="AA16" s="12"/>
      <c r="AB16" s="12">
        <v>3.66</v>
      </c>
      <c r="AC16" s="12">
        <v>0.21</v>
      </c>
      <c r="AD16" s="12">
        <v>-16.74</v>
      </c>
      <c r="AE16" s="12">
        <v>5.02</v>
      </c>
      <c r="AF16" s="12">
        <v>4.59</v>
      </c>
      <c r="AG16" s="12">
        <v>3.76</v>
      </c>
      <c r="AH16" s="12">
        <v>0.67</v>
      </c>
      <c r="AI16" s="9">
        <v>1365.41</v>
      </c>
      <c r="AJ16" s="12">
        <v>0.27</v>
      </c>
      <c r="AK16" s="12">
        <v>2.41</v>
      </c>
      <c r="AL16" s="12">
        <v>151.68</v>
      </c>
      <c r="AM16" s="12">
        <v>4.03</v>
      </c>
      <c r="AN16" s="12">
        <v>90.54</v>
      </c>
      <c r="AO16" s="12">
        <v>61.41</v>
      </c>
      <c r="AP16" s="12">
        <f t="shared" si="4"/>
        <v>4.38477</v>
      </c>
      <c r="AQ16" s="35">
        <v>0.987687726851408</v>
      </c>
      <c r="AR16" s="15">
        <f t="shared" si="5"/>
        <v>1</v>
      </c>
      <c r="AS16" s="15">
        <f t="shared" si="15"/>
        <v>0</v>
      </c>
      <c r="AU16" s="15">
        <f>2.551996+('2021'!C16*0.000000012919)+('2021'!E16*0.000003)-('2021'!H16*0.000002)
-('2021'!U16*0.123062)+('2021'!AC16*0.831)-('2021'!AD16*0.008464)-('2021'!AF16*0.15884)
-('2021'!AL16*0.025383)-('2021'!AM16*0.427021)-('2021'!AN16*0.009878)
</f>
        <v>-4.599716981</v>
      </c>
      <c r="AV16" s="15">
        <v>0.009954590771546522</v>
      </c>
      <c r="AW16" s="14">
        <f t="shared" si="7"/>
        <v>0</v>
      </c>
      <c r="AX16" s="14" t="str">
        <f t="shared" si="16"/>
        <v>#REF!</v>
      </c>
      <c r="AZ16" s="15" t="str">
        <f t="shared" si="17"/>
        <v>#REF!</v>
      </c>
      <c r="BA16" s="15" t="str">
        <f t="shared" si="18"/>
        <v>#REF!</v>
      </c>
      <c r="BB16" s="15" t="str">
        <f t="shared" si="19"/>
        <v>#REF!</v>
      </c>
      <c r="BC16" s="15" t="str">
        <f t="shared" si="20"/>
        <v>#REF!</v>
      </c>
      <c r="BD16" s="15" t="str">
        <f t="shared" si="21"/>
        <v>#REF!</v>
      </c>
    </row>
    <row r="17">
      <c r="A17" s="8" t="s">
        <v>60</v>
      </c>
      <c r="B17" s="34">
        <f t="shared" si="1"/>
        <v>0</v>
      </c>
      <c r="C17" s="9">
        <v>1596016.36</v>
      </c>
      <c r="D17" s="9">
        <v>357030.52</v>
      </c>
      <c r="E17" s="9">
        <v>256896.9</v>
      </c>
      <c r="F17" s="9">
        <v>1265395.88</v>
      </c>
      <c r="G17" s="9">
        <v>1089874.8</v>
      </c>
      <c r="H17" s="9">
        <v>911840.19</v>
      </c>
      <c r="I17" s="9">
        <v>220352.77</v>
      </c>
      <c r="J17" s="9">
        <v>176707.9</v>
      </c>
      <c r="K17" s="9">
        <v>128737.87</v>
      </c>
      <c r="L17" s="9">
        <v>168983.77</v>
      </c>
      <c r="M17" s="9">
        <v>205469.92</v>
      </c>
      <c r="N17" s="10">
        <f t="shared" si="12"/>
        <v>0</v>
      </c>
      <c r="O17" s="12">
        <v>0.5</v>
      </c>
      <c r="P17" s="9">
        <v>219718.84</v>
      </c>
      <c r="Q17" s="9">
        <v>-16989.8</v>
      </c>
      <c r="R17" s="9">
        <v>-180429.75</v>
      </c>
      <c r="S17" s="9">
        <v>22299.29</v>
      </c>
      <c r="T17" s="12">
        <v>10.29</v>
      </c>
      <c r="U17" s="12">
        <v>10.9</v>
      </c>
      <c r="V17" s="12">
        <v>30.73</v>
      </c>
      <c r="W17" s="12">
        <v>11.81</v>
      </c>
      <c r="X17" s="12">
        <v>12.11</v>
      </c>
      <c r="Y17" s="12">
        <v>12.77</v>
      </c>
      <c r="Z17" s="12">
        <f t="shared" si="3"/>
        <v>0</v>
      </c>
      <c r="AA17" s="12"/>
      <c r="AB17" s="12">
        <v>16.21</v>
      </c>
      <c r="AC17" s="12">
        <v>0.29</v>
      </c>
      <c r="AD17" s="12">
        <v>26.77</v>
      </c>
      <c r="AE17" s="12">
        <v>3.94</v>
      </c>
      <c r="AF17" s="12">
        <v>1.38</v>
      </c>
      <c r="AG17" s="12">
        <v>2.11</v>
      </c>
      <c r="AH17" s="12">
        <v>0.67</v>
      </c>
      <c r="AI17" s="12">
        <v>1.11</v>
      </c>
      <c r="AJ17" s="12">
        <v>327.43</v>
      </c>
      <c r="AK17" s="12">
        <v>3.39</v>
      </c>
      <c r="AL17" s="12">
        <v>107.6</v>
      </c>
      <c r="AM17" s="12">
        <v>10.24</v>
      </c>
      <c r="AN17" s="12">
        <v>35.65</v>
      </c>
      <c r="AO17" s="12">
        <v>399.39</v>
      </c>
      <c r="AP17" s="12">
        <f t="shared" si="4"/>
        <v>1.40659</v>
      </c>
      <c r="AQ17" s="35">
        <v>0.8032275399372732</v>
      </c>
      <c r="AR17" s="15">
        <f t="shared" si="5"/>
        <v>1</v>
      </c>
      <c r="AS17" s="15">
        <f t="shared" si="15"/>
        <v>0</v>
      </c>
      <c r="AU17" s="15">
        <f>2.551996+('2021'!C17*0.000000012919)+('2021'!E17*0.000003)-('2021'!H17*0.000002)
-('2021'!U17*0.123062)+('2021'!AC17*0.831)-('2021'!AD17*0.008464)-('2021'!AF17*0.15884)
-('2021'!AL17*0.025383)-('2021'!AM17*0.427021)-('2021'!AN17*0.009878)
</f>
        <v>-7.482597565</v>
      </c>
      <c r="AV17" s="15">
        <v>5.624770639265871E-4</v>
      </c>
      <c r="AW17" s="14">
        <f t="shared" si="7"/>
        <v>0</v>
      </c>
      <c r="AX17" s="14" t="str">
        <f t="shared" si="16"/>
        <v>#REF!</v>
      </c>
      <c r="AZ17" s="15" t="str">
        <f t="shared" si="17"/>
        <v>#REF!</v>
      </c>
      <c r="BA17" s="15" t="str">
        <f t="shared" si="18"/>
        <v>#REF!</v>
      </c>
      <c r="BB17" s="15" t="str">
        <f t="shared" si="19"/>
        <v>#REF!</v>
      </c>
      <c r="BC17" s="15" t="str">
        <f t="shared" si="20"/>
        <v>#REF!</v>
      </c>
      <c r="BD17" s="15" t="str">
        <f t="shared" si="21"/>
        <v>#REF!</v>
      </c>
      <c r="BG17" s="15" t="str">
        <f>BF7+BG7+BF9+BG9</f>
        <v>#REF!</v>
      </c>
    </row>
    <row r="18">
      <c r="A18" s="8" t="s">
        <v>61</v>
      </c>
      <c r="B18" s="34">
        <f t="shared" si="1"/>
        <v>0</v>
      </c>
      <c r="C18" s="9">
        <v>597920.99</v>
      </c>
      <c r="D18" s="9">
        <v>292544.88</v>
      </c>
      <c r="E18" s="9">
        <v>93599.98</v>
      </c>
      <c r="F18" s="9">
        <v>305376.11</v>
      </c>
      <c r="G18" s="9">
        <v>149751.42</v>
      </c>
      <c r="H18" s="9">
        <v>127830.83</v>
      </c>
      <c r="I18" s="9">
        <v>32536.93</v>
      </c>
      <c r="J18" s="9">
        <v>21920.58</v>
      </c>
      <c r="K18" s="9">
        <v>14801.91</v>
      </c>
      <c r="L18" s="9">
        <v>14658.0</v>
      </c>
      <c r="M18" s="9">
        <v>30548.85</v>
      </c>
      <c r="N18" s="10">
        <f t="shared" si="12"/>
        <v>0</v>
      </c>
      <c r="O18" s="12">
        <v>0.08</v>
      </c>
      <c r="P18" s="9">
        <v>-92281.13</v>
      </c>
      <c r="Q18" s="9">
        <v>-6998.07</v>
      </c>
      <c r="R18" s="9">
        <v>192089.74</v>
      </c>
      <c r="S18" s="9">
        <v>92810.54</v>
      </c>
      <c r="T18" s="12">
        <v>4.95</v>
      </c>
      <c r="U18" s="12">
        <v>4.44</v>
      </c>
      <c r="V18" s="12">
        <v>44.32</v>
      </c>
      <c r="W18" s="12">
        <v>9.88</v>
      </c>
      <c r="X18" s="12">
        <v>10.06</v>
      </c>
      <c r="Y18" s="12">
        <v>19.14</v>
      </c>
      <c r="Z18" s="12">
        <f t="shared" si="3"/>
        <v>0</v>
      </c>
      <c r="AA18" s="12"/>
      <c r="AB18" s="12">
        <v>14.64</v>
      </c>
      <c r="AC18" s="12">
        <v>0.96</v>
      </c>
      <c r="AD18" s="12">
        <v>6.79</v>
      </c>
      <c r="AE18" s="12">
        <v>5.43</v>
      </c>
      <c r="AF18" s="12">
        <v>3.64</v>
      </c>
      <c r="AG18" s="12">
        <v>8.51</v>
      </c>
      <c r="AH18" s="12">
        <v>0.3</v>
      </c>
      <c r="AI18" s="12" t="s">
        <v>47</v>
      </c>
      <c r="AJ18" s="12" t="s">
        <v>46</v>
      </c>
      <c r="AK18" s="12">
        <v>2.22</v>
      </c>
      <c r="AL18" s="12">
        <v>164.55</v>
      </c>
      <c r="AM18" s="12">
        <v>1.98</v>
      </c>
      <c r="AN18" s="12">
        <v>184.03</v>
      </c>
      <c r="AO18" s="12">
        <v>-19.48</v>
      </c>
      <c r="AP18" s="12">
        <f t="shared" si="4"/>
        <v>2.41553</v>
      </c>
      <c r="AQ18" s="35">
        <v>0.9180039034761031</v>
      </c>
      <c r="AR18" s="15">
        <f t="shared" si="5"/>
        <v>1</v>
      </c>
      <c r="AS18" s="15">
        <f t="shared" si="15"/>
        <v>0</v>
      </c>
      <c r="AU18" s="15">
        <f>2.551996+('2021'!C18*0.000000012919)+('2021'!E18*0.000003)-('2021'!H18*0.000002)
-('2021'!U18*0.123062)+('2021'!AC18*0.831)-('2021'!AD18*0.008464)-('2021'!AF18*0.15884)
-('2021'!AL18*0.025383)-('2021'!AM18*0.427021)-('2021'!AN18*0.009878)
</f>
        <v>-4.639547189</v>
      </c>
      <c r="AV18" s="15">
        <v>0.009569609478877908</v>
      </c>
      <c r="AW18" s="14">
        <f t="shared" si="7"/>
        <v>0</v>
      </c>
      <c r="AX18" s="14" t="str">
        <f t="shared" si="16"/>
        <v>#REF!</v>
      </c>
      <c r="AZ18" s="15" t="str">
        <f t="shared" si="17"/>
        <v>#REF!</v>
      </c>
      <c r="BA18" s="15" t="str">
        <f t="shared" si="18"/>
        <v>#REF!</v>
      </c>
      <c r="BB18" s="15" t="str">
        <f t="shared" si="19"/>
        <v>#REF!</v>
      </c>
      <c r="BC18" s="15" t="str">
        <f t="shared" si="20"/>
        <v>#REF!</v>
      </c>
      <c r="BD18" s="15" t="str">
        <f t="shared" si="21"/>
        <v>#REF!</v>
      </c>
      <c r="BE18" s="19">
        <v>0.0</v>
      </c>
      <c r="BF18" s="40">
        <v>0.1032</v>
      </c>
    </row>
    <row r="19">
      <c r="A19" s="8" t="s">
        <v>62</v>
      </c>
      <c r="B19" s="34">
        <f t="shared" si="1"/>
        <v>0</v>
      </c>
      <c r="C19" s="9">
        <v>1103537.23</v>
      </c>
      <c r="D19" s="9">
        <v>605415.65</v>
      </c>
      <c r="E19" s="9">
        <v>170577.51</v>
      </c>
      <c r="F19" s="9">
        <v>498121.58</v>
      </c>
      <c r="G19" s="9">
        <v>495586.4</v>
      </c>
      <c r="H19" s="9">
        <v>441655.41</v>
      </c>
      <c r="I19" s="9">
        <v>130660.94</v>
      </c>
      <c r="J19" s="9">
        <v>53930.99</v>
      </c>
      <c r="K19" s="9">
        <v>33118.14</v>
      </c>
      <c r="L19" s="9">
        <v>28750.08</v>
      </c>
      <c r="M19" s="9">
        <v>46820.89</v>
      </c>
      <c r="N19" s="10">
        <f t="shared" si="12"/>
        <v>0</v>
      </c>
      <c r="O19" s="12">
        <v>0.05</v>
      </c>
      <c r="P19" s="9">
        <v>125872.47</v>
      </c>
      <c r="Q19" s="9">
        <v>-27744.64</v>
      </c>
      <c r="R19" s="9">
        <v>-81843.46</v>
      </c>
      <c r="S19" s="9">
        <v>16284.37</v>
      </c>
      <c r="T19" s="12">
        <v>7.21</v>
      </c>
      <c r="U19" s="12">
        <v>5.6</v>
      </c>
      <c r="V19" s="12">
        <v>20.52</v>
      </c>
      <c r="W19" s="12">
        <v>6.68</v>
      </c>
      <c r="X19" s="12">
        <v>7.34</v>
      </c>
      <c r="Y19" s="12">
        <v>10.2</v>
      </c>
      <c r="Z19" s="12">
        <f t="shared" si="3"/>
        <v>0</v>
      </c>
      <c r="AA19" s="12"/>
      <c r="AB19" s="12">
        <v>10.88</v>
      </c>
      <c r="AC19" s="12">
        <v>1.22</v>
      </c>
      <c r="AD19" s="12">
        <v>3.92</v>
      </c>
      <c r="AE19" s="12">
        <v>0.66</v>
      </c>
      <c r="AF19" s="12">
        <v>0.6</v>
      </c>
      <c r="AG19" s="12">
        <v>0.6</v>
      </c>
      <c r="AH19" s="12">
        <v>0.51</v>
      </c>
      <c r="AI19" s="12">
        <v>348.32</v>
      </c>
      <c r="AJ19" s="12">
        <v>1.05</v>
      </c>
      <c r="AK19" s="12">
        <v>7.29</v>
      </c>
      <c r="AL19" s="12">
        <v>50.09</v>
      </c>
      <c r="AM19" s="12">
        <v>8.8</v>
      </c>
      <c r="AN19" s="12">
        <v>41.47</v>
      </c>
      <c r="AO19" s="12">
        <v>9.67</v>
      </c>
      <c r="AP19" s="12">
        <f t="shared" si="4"/>
        <v>-2.14689</v>
      </c>
      <c r="AQ19" s="35">
        <v>0.10462219867969373</v>
      </c>
      <c r="AR19" s="15">
        <f t="shared" si="5"/>
        <v>0</v>
      </c>
      <c r="AS19" s="15">
        <f t="shared" si="15"/>
        <v>1</v>
      </c>
      <c r="AU19" s="15">
        <f>2.551996+('2021'!C19*0.000000012919)+('2021'!E19*0.000003)-('2021'!H19*0.000002)
-('2021'!U19*0.123062)+('2021'!AC19*0.831)-('2021'!AD19*0.008464)-('2021'!AF19*0.15884)
-('2021'!AL19*0.025383)-('2021'!AM19*0.427021)-('2021'!AN19*0.009878)
</f>
        <v>-3.047995703</v>
      </c>
      <c r="AV19" s="15">
        <v>0.04530408364252151</v>
      </c>
      <c r="AW19" s="14">
        <f t="shared" si="7"/>
        <v>0</v>
      </c>
      <c r="AX19" s="14" t="str">
        <f t="shared" si="16"/>
        <v>#REF!</v>
      </c>
      <c r="AZ19" s="15" t="str">
        <f t="shared" si="17"/>
        <v>#REF!</v>
      </c>
      <c r="BA19" s="15" t="str">
        <f t="shared" si="18"/>
        <v>#REF!</v>
      </c>
      <c r="BB19" s="15" t="str">
        <f t="shared" si="19"/>
        <v>#REF!</v>
      </c>
      <c r="BC19" s="15" t="str">
        <f t="shared" si="20"/>
        <v>#REF!</v>
      </c>
      <c r="BD19" s="15" t="str">
        <f t="shared" si="21"/>
        <v>#REF!</v>
      </c>
      <c r="BE19" s="19">
        <v>0.1</v>
      </c>
      <c r="BF19" s="40">
        <v>0.8571</v>
      </c>
    </row>
    <row r="20">
      <c r="A20" s="8" t="s">
        <v>63</v>
      </c>
      <c r="B20" s="34">
        <f t="shared" si="1"/>
        <v>0</v>
      </c>
      <c r="C20" s="9">
        <v>1131991.76</v>
      </c>
      <c r="D20" s="9">
        <v>325062.2</v>
      </c>
      <c r="E20" s="9">
        <v>81562.36</v>
      </c>
      <c r="F20" s="9">
        <v>806563.97</v>
      </c>
      <c r="G20" s="9">
        <v>628834.37</v>
      </c>
      <c r="H20" s="9">
        <v>613611.07</v>
      </c>
      <c r="I20" s="9">
        <v>172832.08</v>
      </c>
      <c r="J20" s="9">
        <v>15223.29</v>
      </c>
      <c r="K20" s="9">
        <v>4446.27</v>
      </c>
      <c r="L20" s="9">
        <v>55469.53</v>
      </c>
      <c r="M20" s="9">
        <v>237082.95</v>
      </c>
      <c r="N20" s="10">
        <f t="shared" si="12"/>
        <v>0</v>
      </c>
      <c r="O20" s="12">
        <v>0.01</v>
      </c>
      <c r="P20" s="9">
        <v>106616.93</v>
      </c>
      <c r="Q20" s="12">
        <v>98.44</v>
      </c>
      <c r="R20" s="9">
        <v>-90648.45</v>
      </c>
      <c r="S20" s="9">
        <v>16066.93</v>
      </c>
      <c r="T20" s="12">
        <v>0.54</v>
      </c>
      <c r="U20" s="12">
        <v>1.25</v>
      </c>
      <c r="V20" s="12">
        <v>57.16</v>
      </c>
      <c r="W20" s="12">
        <v>0.7</v>
      </c>
      <c r="X20" s="12">
        <v>7.16</v>
      </c>
      <c r="Y20" s="12">
        <v>19.67</v>
      </c>
      <c r="Z20" s="12">
        <f t="shared" si="3"/>
        <v>0</v>
      </c>
      <c r="AA20" s="12"/>
      <c r="AB20" s="12">
        <v>2.42</v>
      </c>
      <c r="AC20" s="12">
        <v>0.4</v>
      </c>
      <c r="AD20" s="12">
        <v>1.32</v>
      </c>
      <c r="AE20" s="12">
        <v>2.01</v>
      </c>
      <c r="AF20" s="12">
        <v>1.72</v>
      </c>
      <c r="AG20" s="12">
        <v>0.93</v>
      </c>
      <c r="AH20" s="12">
        <v>0.52</v>
      </c>
      <c r="AI20" s="12">
        <v>7.15</v>
      </c>
      <c r="AJ20" s="12">
        <v>51.08</v>
      </c>
      <c r="AK20" s="12">
        <v>39.53</v>
      </c>
      <c r="AL20" s="12">
        <v>9.23</v>
      </c>
      <c r="AM20" s="12">
        <v>3.89</v>
      </c>
      <c r="AN20" s="12">
        <v>93.73</v>
      </c>
      <c r="AO20" s="12">
        <v>-33.41</v>
      </c>
      <c r="AP20" s="12">
        <f t="shared" si="4"/>
        <v>-0.22905</v>
      </c>
      <c r="AQ20" s="35">
        <v>0.44298654468071547</v>
      </c>
      <c r="AR20" s="15">
        <f t="shared" si="5"/>
        <v>0</v>
      </c>
      <c r="AS20" s="15">
        <f t="shared" si="15"/>
        <v>1</v>
      </c>
      <c r="AU20" s="15">
        <f>2.551996+('2021'!C20*0.000000012919)+('2021'!E20*0.000003)-('2021'!H20*0.000002)
-('2021'!U20*0.123062)+('2021'!AC20*0.831)-('2021'!AD20*0.008464)-('2021'!AF20*0.15884)
-('2021'!AL20*0.025383)-('2021'!AM20*0.427021)-('2021'!AN20*0.009878)
</f>
        <v>-1.342981358</v>
      </c>
      <c r="AV20" s="15">
        <v>0.20702020277840846</v>
      </c>
      <c r="AW20" s="14">
        <f t="shared" si="7"/>
        <v>0</v>
      </c>
      <c r="AX20" s="14" t="str">
        <f t="shared" si="16"/>
        <v>#REF!</v>
      </c>
      <c r="AZ20" s="15" t="str">
        <f t="shared" si="17"/>
        <v>#REF!</v>
      </c>
      <c r="BA20" s="15" t="str">
        <f t="shared" si="18"/>
        <v>#REF!</v>
      </c>
      <c r="BB20" s="15" t="str">
        <f t="shared" si="19"/>
        <v>#REF!</v>
      </c>
      <c r="BC20" s="15" t="str">
        <f t="shared" si="20"/>
        <v>#REF!</v>
      </c>
      <c r="BD20" s="15" t="str">
        <f t="shared" si="21"/>
        <v>#REF!</v>
      </c>
      <c r="BE20" s="19">
        <v>0.2</v>
      </c>
      <c r="BF20" s="40">
        <v>0.9127</v>
      </c>
    </row>
    <row r="21">
      <c r="A21" s="8" t="s">
        <v>64</v>
      </c>
      <c r="B21" s="34">
        <f t="shared" si="1"/>
        <v>0</v>
      </c>
      <c r="C21" s="9">
        <v>1825551.23</v>
      </c>
      <c r="D21" s="9">
        <v>1286233.18</v>
      </c>
      <c r="E21" s="9">
        <v>137500.0</v>
      </c>
      <c r="F21" s="9">
        <v>539318.05</v>
      </c>
      <c r="G21" s="9">
        <v>901689.53</v>
      </c>
      <c r="H21" s="9">
        <v>556554.05</v>
      </c>
      <c r="I21" s="9">
        <v>472788.54</v>
      </c>
      <c r="J21" s="9">
        <v>345135.48</v>
      </c>
      <c r="K21" s="9">
        <v>256091.89</v>
      </c>
      <c r="L21" s="9">
        <v>227968.53</v>
      </c>
      <c r="M21" s="9">
        <v>234245.76</v>
      </c>
      <c r="N21" s="10">
        <f t="shared" si="12"/>
        <v>0</v>
      </c>
      <c r="O21" s="12">
        <v>0.46</v>
      </c>
      <c r="P21" s="9">
        <v>437947.68</v>
      </c>
      <c r="Q21" s="9">
        <v>-168167.09</v>
      </c>
      <c r="R21" s="9">
        <v>-295640.13</v>
      </c>
      <c r="S21" s="9">
        <v>-25859.54</v>
      </c>
      <c r="T21" s="12">
        <v>48.99</v>
      </c>
      <c r="U21" s="12">
        <v>19.15</v>
      </c>
      <c r="V21" s="12">
        <v>53.2</v>
      </c>
      <c r="W21" s="12">
        <v>28.4</v>
      </c>
      <c r="X21" s="12">
        <v>26.23</v>
      </c>
      <c r="Y21" s="12">
        <v>28.85</v>
      </c>
      <c r="Z21" s="12">
        <f t="shared" si="3"/>
        <v>0</v>
      </c>
      <c r="AA21" s="12"/>
      <c r="AB21" s="12">
        <v>38.28</v>
      </c>
      <c r="AC21" s="12">
        <v>2.38</v>
      </c>
      <c r="AD21" s="12">
        <v>14.96</v>
      </c>
      <c r="AE21" s="12">
        <v>1.51</v>
      </c>
      <c r="AF21" s="12">
        <v>1.51</v>
      </c>
      <c r="AG21" s="12">
        <v>0.82</v>
      </c>
      <c r="AH21" s="12">
        <v>0.5</v>
      </c>
      <c r="AI21" s="12" t="s">
        <v>47</v>
      </c>
      <c r="AJ21" s="12" t="s">
        <v>46</v>
      </c>
      <c r="AK21" s="12">
        <v>7.51</v>
      </c>
      <c r="AL21" s="12">
        <v>48.59</v>
      </c>
      <c r="AM21" s="12">
        <v>1.11</v>
      </c>
      <c r="AN21" s="12">
        <v>329.3</v>
      </c>
      <c r="AO21" s="12">
        <v>-280.71</v>
      </c>
      <c r="AP21" s="12">
        <f t="shared" si="4"/>
        <v>-5.95387</v>
      </c>
      <c r="AQ21" s="35">
        <v>0.0025890547993920633</v>
      </c>
      <c r="AR21" s="15">
        <f t="shared" si="5"/>
        <v>0</v>
      </c>
      <c r="AS21" s="15">
        <f t="shared" si="15"/>
        <v>1</v>
      </c>
      <c r="AU21" s="15">
        <f>2.551996+('2021'!C21*0.000000012919)+('2021'!E21*0.000003)-('2021'!H21*0.000002)
-('2021'!U21*0.123062)+('2021'!AC21*0.831)-('2021'!AD21*0.008464)-('2021'!AF21*0.15884)
-('2021'!AL21*0.025383)-('2021'!AM21*0.427021)-('2021'!AN21*0.009878)
</f>
        <v>-3.830533624</v>
      </c>
      <c r="AV21" s="15">
        <v>0.021237227864382983</v>
      </c>
      <c r="AW21" s="14">
        <f t="shared" si="7"/>
        <v>0</v>
      </c>
      <c r="AX21" s="14" t="str">
        <f t="shared" si="16"/>
        <v>#REF!</v>
      </c>
      <c r="AZ21" s="15" t="str">
        <f t="shared" si="17"/>
        <v>#REF!</v>
      </c>
      <c r="BA21" s="15" t="str">
        <f t="shared" si="18"/>
        <v>#REF!</v>
      </c>
      <c r="BB21" s="15" t="str">
        <f t="shared" si="19"/>
        <v>#REF!</v>
      </c>
      <c r="BC21" s="15" t="str">
        <f t="shared" si="20"/>
        <v>#REF!</v>
      </c>
      <c r="BD21" s="15" t="str">
        <f t="shared" si="21"/>
        <v>#REF!</v>
      </c>
      <c r="BE21" s="19">
        <v>0.3</v>
      </c>
      <c r="BF21" s="40">
        <v>0.9286</v>
      </c>
    </row>
    <row r="22">
      <c r="A22" s="8" t="s">
        <v>65</v>
      </c>
      <c r="B22" s="34" t="str">
        <f t="shared" si="1"/>
        <v/>
      </c>
      <c r="C22" s="9">
        <v>650996.93</v>
      </c>
      <c r="D22" s="9">
        <v>107108.55</v>
      </c>
      <c r="E22" s="9">
        <v>50000.0</v>
      </c>
      <c r="F22" s="9">
        <v>543884.66</v>
      </c>
      <c r="G22" s="9">
        <v>306356.94</v>
      </c>
      <c r="H22" s="9">
        <v>229265.08</v>
      </c>
      <c r="I22" s="9">
        <v>84649.02</v>
      </c>
      <c r="J22" s="9">
        <v>80788.76</v>
      </c>
      <c r="K22" s="9">
        <v>66494.07</v>
      </c>
      <c r="L22" s="9" t="e">
        <v>#N/A</v>
      </c>
      <c r="M22" s="9" t="e">
        <v>#N/A</v>
      </c>
      <c r="N22" s="10"/>
      <c r="O22" s="12">
        <v>0.89</v>
      </c>
      <c r="P22" s="9">
        <v>80617.29</v>
      </c>
      <c r="Q22" s="9">
        <v>-249426.69</v>
      </c>
      <c r="R22" s="9">
        <v>360827.55</v>
      </c>
      <c r="S22" s="9">
        <v>192018.16</v>
      </c>
      <c r="T22" s="12">
        <v>20.34</v>
      </c>
      <c r="U22" s="12">
        <v>19.75</v>
      </c>
      <c r="V22" s="12">
        <v>60.94</v>
      </c>
      <c r="W22" s="12">
        <v>21.71</v>
      </c>
      <c r="X22" s="12" t="e">
        <v>#N/A</v>
      </c>
      <c r="Y22" s="12" t="e">
        <v>#N/A</v>
      </c>
      <c r="Z22" s="12" t="str">
        <f t="shared" si="3"/>
        <v>#N/A</v>
      </c>
      <c r="AA22" s="12"/>
      <c r="AB22" s="12">
        <v>26.37</v>
      </c>
      <c r="AC22" s="12">
        <v>0.2</v>
      </c>
      <c r="AD22" s="12">
        <v>141.23</v>
      </c>
      <c r="AE22" s="12">
        <v>6.32</v>
      </c>
      <c r="AF22" s="12">
        <v>5.56</v>
      </c>
      <c r="AG22" s="12">
        <v>18.26</v>
      </c>
      <c r="AH22" s="12">
        <v>0.75</v>
      </c>
      <c r="AI22" s="12">
        <v>10.29</v>
      </c>
      <c r="AJ22" s="12">
        <v>35.47</v>
      </c>
      <c r="AK22" s="12">
        <v>5.72</v>
      </c>
      <c r="AL22" s="12">
        <v>63.77</v>
      </c>
      <c r="AM22" s="12">
        <v>2.28</v>
      </c>
      <c r="AN22" s="12">
        <v>160.16</v>
      </c>
      <c r="AO22" s="12">
        <v>-60.92</v>
      </c>
      <c r="AP22" s="12">
        <f t="shared" si="4"/>
        <v>0.89367</v>
      </c>
      <c r="AQ22" s="35">
        <v>0.7096469507177977</v>
      </c>
      <c r="AR22" s="15">
        <f t="shared" si="5"/>
        <v>1</v>
      </c>
      <c r="AS22" s="15">
        <f t="shared" si="15"/>
        <v>0</v>
      </c>
      <c r="AU22" s="15">
        <f>2.551996+('2021'!C22*0.000000012919)+('2021'!E22*0.000003)-('2021'!H22*0.000002)
-('2021'!U22*0.123062)+('2021'!AC22*0.831)-('2021'!AD22*0.008464)-('2021'!AF22*0.15884)
-('2021'!AL22*0.025383)-('2021'!AM22*0.427021)-('2021'!AN22*0.009878)
</f>
        <v>-6.265261821</v>
      </c>
      <c r="AV22" s="15">
        <v>0.0018976078142316393</v>
      </c>
      <c r="AW22" s="14">
        <f t="shared" si="7"/>
        <v>0</v>
      </c>
      <c r="AX22" s="14"/>
      <c r="BE22" s="19">
        <v>0.4</v>
      </c>
      <c r="BF22" s="19">
        <v>92.06</v>
      </c>
    </row>
    <row r="23">
      <c r="A23" s="8" t="s">
        <v>66</v>
      </c>
      <c r="B23" s="34">
        <f t="shared" si="1"/>
        <v>1</v>
      </c>
      <c r="C23" s="9">
        <v>4022200.15</v>
      </c>
      <c r="D23" s="9">
        <v>3428333.97</v>
      </c>
      <c r="E23" s="9">
        <v>507000.0</v>
      </c>
      <c r="F23" s="9">
        <v>678331.66</v>
      </c>
      <c r="G23" s="9">
        <v>137163.72</v>
      </c>
      <c r="H23" s="9">
        <v>330168.05</v>
      </c>
      <c r="I23" s="9">
        <v>-40952.11</v>
      </c>
      <c r="J23" s="9">
        <v>-105672.03</v>
      </c>
      <c r="K23" s="9">
        <v>-130536.02</v>
      </c>
      <c r="L23" s="9">
        <v>-167362.83</v>
      </c>
      <c r="M23" s="9">
        <v>-71595.01</v>
      </c>
      <c r="N23" s="10">
        <f>IF(AND(K23&lt;0,L23&lt;0,M23&lt;0),1,0)</f>
        <v>1</v>
      </c>
      <c r="O23" s="12">
        <v>-0.26</v>
      </c>
      <c r="P23" s="9">
        <v>-72597.68</v>
      </c>
      <c r="Q23" s="9">
        <v>-51450.62</v>
      </c>
      <c r="R23" s="9">
        <v>187973.19</v>
      </c>
      <c r="S23" s="9">
        <v>63924.89</v>
      </c>
      <c r="T23" s="12">
        <v>-17.74</v>
      </c>
      <c r="U23" s="12">
        <v>-2.66</v>
      </c>
      <c r="V23" s="12">
        <v>55.42</v>
      </c>
      <c r="W23" s="12">
        <v>-173.92</v>
      </c>
      <c r="X23" s="12">
        <v>-219.73</v>
      </c>
      <c r="Y23" s="12">
        <v>54.97</v>
      </c>
      <c r="Z23" s="12">
        <f t="shared" si="3"/>
        <v>0</v>
      </c>
      <c r="AA23" s="12"/>
      <c r="AB23" s="12">
        <v>-77.04</v>
      </c>
      <c r="AC23" s="12">
        <v>5.77</v>
      </c>
      <c r="AD23" s="12">
        <v>-0.74</v>
      </c>
      <c r="AE23" s="12">
        <v>0.75</v>
      </c>
      <c r="AF23" s="12">
        <v>0.56</v>
      </c>
      <c r="AG23" s="12">
        <v>0.04</v>
      </c>
      <c r="AH23" s="12">
        <v>0.03</v>
      </c>
      <c r="AI23" s="12">
        <v>55.19</v>
      </c>
      <c r="AJ23" s="12">
        <v>6.61</v>
      </c>
      <c r="AK23" s="12">
        <v>1.84</v>
      </c>
      <c r="AL23" s="12">
        <v>197.99</v>
      </c>
      <c r="AM23" s="12">
        <v>0.52</v>
      </c>
      <c r="AN23" s="12">
        <v>702.73</v>
      </c>
      <c r="AO23" s="12">
        <v>-498.12</v>
      </c>
      <c r="AP23" s="12">
        <f t="shared" si="4"/>
        <v>70.28388</v>
      </c>
      <c r="AQ23" s="35">
        <v>1.0</v>
      </c>
      <c r="AR23" s="15">
        <f t="shared" si="5"/>
        <v>1</v>
      </c>
      <c r="AS23" s="15">
        <f t="shared" si="15"/>
        <v>1</v>
      </c>
      <c r="AU23" s="15">
        <f>2.551996+('2021'!C23*0.000000012919)+('2021'!E23*0.000003)-('2021'!H23*0.000002)
-('2021'!U23*0.123062)+('2021'!AC23*0.831)-('2021'!AD23*0.008464)-('2021'!AF23*0.15884)
-('2021'!AL23*0.025383)-('2021'!AM23*0.427021)-('2021'!AN23*0.009878)
</f>
        <v>-3.685047446</v>
      </c>
      <c r="AV23" s="15">
        <v>0.02448159428640382</v>
      </c>
      <c r="AW23" s="14">
        <f t="shared" si="7"/>
        <v>0</v>
      </c>
      <c r="AX23" s="14" t="str">
        <f>IF(AW23='temp result 2022'!B23,1,IF(Z23="-",1,0))</f>
        <v>#REF!</v>
      </c>
      <c r="AZ23" s="15" t="str">
        <f>IF(and(AW23=0,AX23=1),1,0)</f>
        <v>#REF!</v>
      </c>
      <c r="BA23" s="15" t="str">
        <f>IF(AND(AW23=0,AX23=0),1,0)</f>
        <v>#REF!</v>
      </c>
      <c r="BB23" s="15" t="str">
        <f>IF(AND(AW23=1,AX23=0),1,0)</f>
        <v>#REF!</v>
      </c>
      <c r="BC23" s="15" t="str">
        <f>IF(AND(AW23=1,AX23=1),1,0)</f>
        <v>#REF!</v>
      </c>
      <c r="BD23" s="15" t="str">
        <f t="shared" ref="BD23:BD52" si="24">IF(AZ23+BA23+BB23+BC23&gt;1,1,0)</f>
        <v>#REF!</v>
      </c>
      <c r="BE23" s="19">
        <v>0.5</v>
      </c>
      <c r="BF23" s="19">
        <v>92.06</v>
      </c>
    </row>
    <row r="24">
      <c r="A24" s="8" t="s">
        <v>67</v>
      </c>
      <c r="B24" s="34" t="str">
        <f t="shared" si="1"/>
        <v/>
      </c>
      <c r="C24" s="9">
        <v>761467.15</v>
      </c>
      <c r="D24" s="9">
        <v>142563.04</v>
      </c>
      <c r="E24" s="9">
        <v>100000.0</v>
      </c>
      <c r="F24" s="9">
        <v>618904.11</v>
      </c>
      <c r="G24" s="9">
        <v>379105.88</v>
      </c>
      <c r="H24" s="9">
        <v>294966.39</v>
      </c>
      <c r="I24" s="9">
        <v>91577.36</v>
      </c>
      <c r="J24" s="9">
        <v>84139.48</v>
      </c>
      <c r="K24" s="9">
        <v>82139.08</v>
      </c>
      <c r="L24" s="9" t="e">
        <v>#N/A</v>
      </c>
      <c r="M24" s="9" t="e">
        <v>#N/A</v>
      </c>
      <c r="N24" s="10"/>
      <c r="O24" s="12">
        <v>0.67</v>
      </c>
      <c r="P24" s="9">
        <v>27361.53</v>
      </c>
      <c r="Q24" s="9">
        <v>-113619.44</v>
      </c>
      <c r="R24" s="9">
        <v>381497.14</v>
      </c>
      <c r="S24" s="9">
        <v>295239.23</v>
      </c>
      <c r="T24" s="12">
        <v>23.57</v>
      </c>
      <c r="U24" s="12">
        <v>16.17</v>
      </c>
      <c r="V24" s="12">
        <v>49.19</v>
      </c>
      <c r="W24" s="12">
        <v>21.67</v>
      </c>
      <c r="X24" s="12" t="e">
        <v>#N/A</v>
      </c>
      <c r="Y24" s="12" t="e">
        <v>#N/A</v>
      </c>
      <c r="Z24" s="12" t="str">
        <f t="shared" si="3"/>
        <v>#N/A</v>
      </c>
      <c r="AA24" s="12"/>
      <c r="AB24" s="12">
        <v>22.19</v>
      </c>
      <c r="AC24" s="12">
        <v>0.23</v>
      </c>
      <c r="AD24" s="12">
        <v>43.43</v>
      </c>
      <c r="AE24" s="12">
        <v>7.74</v>
      </c>
      <c r="AF24" s="12">
        <v>6.73</v>
      </c>
      <c r="AG24" s="12">
        <v>7.56</v>
      </c>
      <c r="AH24" s="12">
        <v>0.73</v>
      </c>
      <c r="AI24" s="12" t="s">
        <v>47</v>
      </c>
      <c r="AJ24" s="12" t="s">
        <v>46</v>
      </c>
      <c r="AK24" s="12">
        <v>8.14</v>
      </c>
      <c r="AL24" s="12">
        <v>44.86</v>
      </c>
      <c r="AM24" s="12">
        <v>2.78</v>
      </c>
      <c r="AN24" s="12">
        <v>131.08</v>
      </c>
      <c r="AO24" s="12">
        <v>-86.23</v>
      </c>
      <c r="AP24" s="12">
        <f t="shared" si="4"/>
        <v>-0.80313</v>
      </c>
      <c r="AQ24" s="35">
        <v>0.30935637995203846</v>
      </c>
      <c r="AR24" s="15">
        <f t="shared" si="5"/>
        <v>0</v>
      </c>
      <c r="AS24" s="15">
        <f t="shared" si="15"/>
        <v>1</v>
      </c>
      <c r="AU24" s="15">
        <f>2.551996+('2021'!C24*0.000000012919)+('2021'!E24*0.000003)-('2021'!H24*0.000002)
-('2021'!U24*0.123062)+('2021'!AC24*0.831)-('2021'!AD24*0.008464)-('2021'!AF24*0.15884)
-('2021'!AL24*0.025383)-('2021'!AM24*0.427021)-('2021'!AN24*0.009878)
</f>
        <v>-4.584074646</v>
      </c>
      <c r="AV24" s="15">
        <v>0.010109941423811743</v>
      </c>
      <c r="AW24" s="14">
        <f t="shared" si="7"/>
        <v>0</v>
      </c>
      <c r="AX24" s="14"/>
      <c r="BD24" s="15">
        <f t="shared" si="24"/>
        <v>0</v>
      </c>
      <c r="BE24" s="19">
        <v>0.6</v>
      </c>
      <c r="BF24" s="19">
        <v>93.65</v>
      </c>
    </row>
    <row r="25">
      <c r="A25" s="8" t="s">
        <v>68</v>
      </c>
      <c r="B25" s="34">
        <f t="shared" si="1"/>
        <v>1</v>
      </c>
      <c r="C25" s="9">
        <v>1013030.3</v>
      </c>
      <c r="D25" s="9">
        <v>616608.18</v>
      </c>
      <c r="E25" s="9">
        <v>181759.95</v>
      </c>
      <c r="F25" s="9">
        <v>396422.12</v>
      </c>
      <c r="G25" s="9">
        <v>352747.87</v>
      </c>
      <c r="H25" s="9">
        <v>355734.58</v>
      </c>
      <c r="I25" s="9">
        <v>61928.67</v>
      </c>
      <c r="J25" s="9">
        <v>-2986.71</v>
      </c>
      <c r="K25" s="9">
        <v>-17367.62</v>
      </c>
      <c r="L25" s="9">
        <v>-35805.0</v>
      </c>
      <c r="M25" s="9">
        <v>-42029.0</v>
      </c>
      <c r="N25" s="10">
        <f t="shared" ref="N25:N26" si="25">IF(AND(K25&lt;0,L25&lt;0,M25&lt;0),1,0)</f>
        <v>1</v>
      </c>
      <c r="O25" s="12">
        <v>-0.05</v>
      </c>
      <c r="P25" s="9">
        <v>26447.78</v>
      </c>
      <c r="Q25" s="12">
        <v>-296.52</v>
      </c>
      <c r="R25" s="9">
        <v>-38227.85</v>
      </c>
      <c r="S25" s="9">
        <v>-12076.59</v>
      </c>
      <c r="T25" s="12">
        <v>-4.29</v>
      </c>
      <c r="U25" s="12">
        <v>-0.29</v>
      </c>
      <c r="V25" s="12">
        <v>49.14</v>
      </c>
      <c r="W25" s="12">
        <v>-4.92</v>
      </c>
      <c r="X25" s="12">
        <v>-8.53</v>
      </c>
      <c r="Y25" s="12">
        <v>-7.17</v>
      </c>
      <c r="Z25" s="12">
        <f t="shared" si="3"/>
        <v>1</v>
      </c>
      <c r="AA25" s="12"/>
      <c r="AB25" s="12">
        <v>-0.85</v>
      </c>
      <c r="AC25" s="12">
        <v>1.56</v>
      </c>
      <c r="AD25" s="12">
        <v>-0.16</v>
      </c>
      <c r="AE25" s="12">
        <v>3.97</v>
      </c>
      <c r="AF25" s="12">
        <v>1.41</v>
      </c>
      <c r="AG25" s="12">
        <v>0.9</v>
      </c>
      <c r="AH25" s="12">
        <v>0.34</v>
      </c>
      <c r="AI25" s="12">
        <v>0.99</v>
      </c>
      <c r="AJ25" s="12">
        <v>367.91</v>
      </c>
      <c r="AK25" s="12">
        <v>14.34</v>
      </c>
      <c r="AL25" s="12">
        <v>25.45</v>
      </c>
      <c r="AM25" s="12">
        <v>7.6</v>
      </c>
      <c r="AN25" s="12">
        <v>48.0</v>
      </c>
      <c r="AO25" s="12">
        <v>345.36</v>
      </c>
      <c r="AP25" s="12">
        <f t="shared" si="4"/>
        <v>0.44377</v>
      </c>
      <c r="AQ25" s="35">
        <v>0.6091569787307161</v>
      </c>
      <c r="AR25" s="15">
        <f t="shared" si="5"/>
        <v>1</v>
      </c>
      <c r="AS25" s="15">
        <f t="shared" si="15"/>
        <v>1</v>
      </c>
      <c r="AU25" s="15">
        <f>2.551996+('2021'!C25*0.000000012919)+('2021'!E25*0.000003)-('2021'!H25*0.000002)
-('2021'!U25*0.123062)+('2021'!AC25*0.831)-('2021'!AD25*0.008464)-('2021'!AF25*0.15884)
-('2021'!AL25*0.025383)-('2021'!AM25*0.427021)-('2021'!AN25*0.009878)
</f>
        <v>-0.8571691016</v>
      </c>
      <c r="AV25" s="15">
        <v>0.2979311405962856</v>
      </c>
      <c r="AW25" s="14">
        <f t="shared" si="7"/>
        <v>0</v>
      </c>
      <c r="AX25" s="14" t="str">
        <f t="shared" ref="AX25:AX26" si="26">IF(AW25='temp result 2022'!B25,1,IF(Z25="-",1,0))</f>
        <v>#REF!</v>
      </c>
      <c r="AZ25" s="15" t="str">
        <f>IF(and(AW25=0,AX25=1),1,0)</f>
        <v>#REF!</v>
      </c>
      <c r="BA25" s="15" t="str">
        <f>IF(AND(AW25=0,AX25=0),1,0)</f>
        <v>#REF!</v>
      </c>
      <c r="BB25" s="15" t="str">
        <f>IF(AND(AW25=1,AX25=0),1,0)</f>
        <v>#REF!</v>
      </c>
      <c r="BC25" s="15" t="str">
        <f>IF(AND(AW25=1,AX25=1),1,0)</f>
        <v>#REF!</v>
      </c>
      <c r="BD25" s="15" t="str">
        <f t="shared" si="24"/>
        <v>#REF!</v>
      </c>
      <c r="BE25" s="19">
        <v>0.7</v>
      </c>
      <c r="BF25" s="19">
        <v>94.44</v>
      </c>
    </row>
    <row r="26">
      <c r="A26" s="8" t="s">
        <v>301</v>
      </c>
      <c r="B26" s="34">
        <f t="shared" si="1"/>
        <v>0</v>
      </c>
      <c r="C26" s="9">
        <v>1807811.32</v>
      </c>
      <c r="D26" s="9">
        <v>966671.39</v>
      </c>
      <c r="E26" s="9">
        <v>200000.0</v>
      </c>
      <c r="F26" s="9">
        <v>793488.53</v>
      </c>
      <c r="G26" s="9">
        <v>2934145.08</v>
      </c>
      <c r="H26" s="9">
        <v>2383636.41</v>
      </c>
      <c r="I26" s="9">
        <v>570857.4</v>
      </c>
      <c r="J26" s="9">
        <v>550508.67</v>
      </c>
      <c r="K26" s="9">
        <v>420331.71</v>
      </c>
      <c r="L26" s="9">
        <v>44402.66</v>
      </c>
      <c r="M26" s="9">
        <v>91461.78</v>
      </c>
      <c r="N26" s="10">
        <f t="shared" si="25"/>
        <v>0</v>
      </c>
      <c r="O26" s="12">
        <v>1.05</v>
      </c>
      <c r="P26" s="9">
        <v>434842.27</v>
      </c>
      <c r="Q26" s="9">
        <v>-8116.85</v>
      </c>
      <c r="R26" s="9">
        <v>-309770.98</v>
      </c>
      <c r="S26" s="9">
        <v>116954.44</v>
      </c>
      <c r="T26" s="12">
        <v>63.42</v>
      </c>
      <c r="U26" s="12">
        <v>28.67</v>
      </c>
      <c r="V26" s="12">
        <v>21.29</v>
      </c>
      <c r="W26" s="12">
        <v>14.26</v>
      </c>
      <c r="X26" s="12">
        <v>3.86</v>
      </c>
      <c r="Y26" s="12">
        <v>11.02</v>
      </c>
      <c r="Z26" s="12">
        <f t="shared" si="3"/>
        <v>0</v>
      </c>
      <c r="AA26" s="12"/>
      <c r="AB26" s="12">
        <v>18.76</v>
      </c>
      <c r="AC26" s="12">
        <v>1.15</v>
      </c>
      <c r="AD26" s="12">
        <v>22.74</v>
      </c>
      <c r="AE26" s="12">
        <v>2.23</v>
      </c>
      <c r="AF26" s="12">
        <v>1.58</v>
      </c>
      <c r="AG26" s="12">
        <v>7.69</v>
      </c>
      <c r="AH26" s="12">
        <v>1.53</v>
      </c>
      <c r="AI26" s="12">
        <v>3.2</v>
      </c>
      <c r="AJ26" s="12">
        <v>114.03</v>
      </c>
      <c r="AK26" s="12">
        <v>6.86</v>
      </c>
      <c r="AL26" s="12">
        <v>53.23</v>
      </c>
      <c r="AM26" s="12">
        <v>3.41</v>
      </c>
      <c r="AN26" s="12">
        <v>107.1</v>
      </c>
      <c r="AO26" s="12">
        <v>60.16</v>
      </c>
      <c r="AP26" s="12">
        <f t="shared" si="4"/>
        <v>3.03378</v>
      </c>
      <c r="AQ26" s="35">
        <v>0.9540770744798595</v>
      </c>
      <c r="AR26" s="15">
        <f t="shared" si="5"/>
        <v>1</v>
      </c>
      <c r="AS26" s="15">
        <f t="shared" si="15"/>
        <v>0</v>
      </c>
      <c r="AU26" s="15">
        <f>2.551996+('2021'!C26*0.000000012919)+('2021'!E26*0.000003)-('2021'!H26*0.000002)
-('2021'!U26*0.123062)+('2021'!AC26*0.831)-('2021'!AD26*0.008464)-('2021'!AF26*0.15884)
-('2021'!AL26*0.025383)-('2021'!AM26*0.427021)-('2021'!AN26*0.009878)
</f>
        <v>-8.473110306</v>
      </c>
      <c r="AV26" s="15">
        <v>2.089701169106266E-4</v>
      </c>
      <c r="AW26" s="14">
        <f t="shared" si="7"/>
        <v>0</v>
      </c>
      <c r="AX26" s="14" t="str">
        <f t="shared" si="26"/>
        <v>#REF!</v>
      </c>
      <c r="BD26" s="15">
        <f t="shared" si="24"/>
        <v>0</v>
      </c>
      <c r="BE26" s="19">
        <v>0.8</v>
      </c>
      <c r="BF26" s="19">
        <v>92.86</v>
      </c>
    </row>
    <row r="27">
      <c r="A27" s="8" t="s">
        <v>71</v>
      </c>
      <c r="B27" s="34" t="str">
        <f t="shared" si="1"/>
        <v/>
      </c>
      <c r="C27" s="9">
        <v>1342117.11</v>
      </c>
      <c r="D27" s="9">
        <v>557983.31</v>
      </c>
      <c r="E27" s="9">
        <v>235945.88</v>
      </c>
      <c r="F27" s="9">
        <v>783858.02</v>
      </c>
      <c r="G27" s="9">
        <v>1135381.01</v>
      </c>
      <c r="H27" s="9">
        <v>1050542.1</v>
      </c>
      <c r="I27" s="9">
        <v>137862.32</v>
      </c>
      <c r="J27" s="9">
        <v>83244.28</v>
      </c>
      <c r="K27" s="9">
        <v>74010.59</v>
      </c>
      <c r="L27" s="9">
        <v>56168.62</v>
      </c>
      <c r="M27" s="9" t="e">
        <v>#N/A</v>
      </c>
      <c r="N27" s="10"/>
      <c r="O27" s="12">
        <v>0.17</v>
      </c>
      <c r="P27" s="9">
        <v>-37623.9</v>
      </c>
      <c r="Q27" s="9">
        <v>20298.59</v>
      </c>
      <c r="R27" s="9">
        <v>24369.82</v>
      </c>
      <c r="S27" s="9">
        <v>7044.51</v>
      </c>
      <c r="T27" s="12">
        <v>9.89</v>
      </c>
      <c r="U27" s="12">
        <v>6.32</v>
      </c>
      <c r="V27" s="12">
        <v>17.76</v>
      </c>
      <c r="W27" s="12">
        <v>6.52</v>
      </c>
      <c r="X27" s="12">
        <v>5.62</v>
      </c>
      <c r="Y27" s="12" t="e">
        <v>#N/A</v>
      </c>
      <c r="Z27" s="12" t="str">
        <f t="shared" si="3"/>
        <v>#N/A</v>
      </c>
      <c r="AA27" s="12"/>
      <c r="AB27" s="12">
        <v>7.33</v>
      </c>
      <c r="AC27" s="12">
        <v>0.71</v>
      </c>
      <c r="AD27" s="12">
        <v>6.97</v>
      </c>
      <c r="AE27" s="12">
        <v>1.15</v>
      </c>
      <c r="AF27" s="12">
        <v>0.57</v>
      </c>
      <c r="AG27" s="12">
        <v>1.49</v>
      </c>
      <c r="AH27" s="12">
        <v>0.86</v>
      </c>
      <c r="AI27" s="12">
        <v>5.08</v>
      </c>
      <c r="AJ27" s="12">
        <v>71.87</v>
      </c>
      <c r="AK27" s="12">
        <v>5.67</v>
      </c>
      <c r="AL27" s="12">
        <v>64.36</v>
      </c>
      <c r="AM27" s="12">
        <v>4.2</v>
      </c>
      <c r="AN27" s="12">
        <v>86.88</v>
      </c>
      <c r="AO27" s="12">
        <v>49.35</v>
      </c>
      <c r="AP27" s="12">
        <f t="shared" si="4"/>
        <v>-0.17095</v>
      </c>
      <c r="AQ27" s="35">
        <v>0.4573662764463638</v>
      </c>
      <c r="AR27" s="15">
        <f t="shared" si="5"/>
        <v>0</v>
      </c>
      <c r="AS27" s="15">
        <f t="shared" si="15"/>
        <v>1</v>
      </c>
      <c r="AU27" s="15">
        <f>2.551996+('2021'!C27*0.000000012919)+('2021'!E27*0.000003)-('2021'!H27*0.000002)
-('2021'!U27*0.123062)+('2021'!AC27*0.831)-('2021'!AD27*0.008464)-('2021'!AF27*0.15884)
-('2021'!AL27*0.025383)-('2021'!AM27*0.427021)-('2021'!AN27*0.009878)
</f>
        <v>-3.446525189</v>
      </c>
      <c r="AV27" s="15">
        <v>0.030872654776863212</v>
      </c>
      <c r="AW27" s="14">
        <f t="shared" si="7"/>
        <v>0</v>
      </c>
      <c r="AX27" s="14"/>
      <c r="BD27" s="15">
        <f t="shared" si="24"/>
        <v>0</v>
      </c>
      <c r="BE27" s="19">
        <v>0.9</v>
      </c>
      <c r="BF27" s="19">
        <v>92.86</v>
      </c>
    </row>
    <row r="28">
      <c r="A28" s="8" t="s">
        <v>72</v>
      </c>
      <c r="B28" s="34">
        <f t="shared" si="1"/>
        <v>0</v>
      </c>
      <c r="C28" s="9">
        <v>1045498.75</v>
      </c>
      <c r="D28" s="9">
        <v>287431.95</v>
      </c>
      <c r="E28" s="9">
        <v>82050.55</v>
      </c>
      <c r="F28" s="9">
        <v>758066.8</v>
      </c>
      <c r="G28" s="9">
        <v>650485.22</v>
      </c>
      <c r="H28" s="9">
        <v>374547.64</v>
      </c>
      <c r="I28" s="9">
        <v>303880.38</v>
      </c>
      <c r="J28" s="9">
        <v>273387.31</v>
      </c>
      <c r="K28" s="9">
        <v>233210.66</v>
      </c>
      <c r="L28" s="9">
        <v>178496.94</v>
      </c>
      <c r="M28" s="9">
        <v>143911.63</v>
      </c>
      <c r="N28" s="10">
        <f t="shared" ref="N28:N39" si="27">IF(AND(K28&lt;0,L28&lt;0,M28&lt;0),1,0)</f>
        <v>0</v>
      </c>
      <c r="O28" s="12">
        <v>0.28</v>
      </c>
      <c r="P28" s="9">
        <v>303081.47</v>
      </c>
      <c r="Q28" s="9">
        <v>-139313.97</v>
      </c>
      <c r="R28" s="9">
        <v>-205806.54</v>
      </c>
      <c r="S28" s="9">
        <v>-42039.04</v>
      </c>
      <c r="T28" s="12">
        <v>31.76</v>
      </c>
      <c r="U28" s="12">
        <v>26.73</v>
      </c>
      <c r="V28" s="12">
        <v>63.36</v>
      </c>
      <c r="W28" s="12">
        <v>35.85</v>
      </c>
      <c r="X28" s="12">
        <v>28.5</v>
      </c>
      <c r="Y28" s="12">
        <v>26.74</v>
      </c>
      <c r="Z28" s="12">
        <f t="shared" si="3"/>
        <v>0</v>
      </c>
      <c r="AA28" s="12"/>
      <c r="AB28" s="12">
        <v>42.03</v>
      </c>
      <c r="AC28" s="12">
        <v>0.38</v>
      </c>
      <c r="AD28" s="12">
        <v>167.63</v>
      </c>
      <c r="AE28" s="12">
        <v>2.55</v>
      </c>
      <c r="AF28" s="12">
        <v>1.07</v>
      </c>
      <c r="AG28" s="12">
        <v>12.73</v>
      </c>
      <c r="AH28" s="12">
        <v>0.64</v>
      </c>
      <c r="AI28" s="12" t="s">
        <v>47</v>
      </c>
      <c r="AJ28" s="12" t="s">
        <v>46</v>
      </c>
      <c r="AK28" s="12">
        <v>5.31</v>
      </c>
      <c r="AL28" s="12">
        <v>68.75</v>
      </c>
      <c r="AM28" s="12">
        <v>1.26</v>
      </c>
      <c r="AN28" s="12">
        <v>289.81</v>
      </c>
      <c r="AO28" s="12">
        <v>-221.06</v>
      </c>
      <c r="AP28" s="12">
        <f t="shared" si="4"/>
        <v>-2.73429</v>
      </c>
      <c r="AQ28" s="35">
        <v>0.06098004790928147</v>
      </c>
      <c r="AR28" s="15">
        <f t="shared" si="5"/>
        <v>0</v>
      </c>
      <c r="AS28" s="15">
        <f t="shared" si="15"/>
        <v>1</v>
      </c>
      <c r="AU28" s="15">
        <f>2.551996+('2021'!C28*0.000000012919)+('2021'!E28*0.000003)-('2021'!H28*0.000002)
-('2021'!U28*0.123062)+('2021'!AC28*0.831)-('2021'!AD28*0.008464)-('2021'!AF28*0.15884)
-('2021'!AL28*0.025383)-('2021'!AM28*0.427021)-('2021'!AN28*0.009878)
</f>
        <v>-7.645758102</v>
      </c>
      <c r="AV28" s="15">
        <v>4.778393092257553E-4</v>
      </c>
      <c r="AW28" s="14">
        <f t="shared" si="7"/>
        <v>0</v>
      </c>
      <c r="AX28" s="14" t="str">
        <f t="shared" ref="AX28:AX39" si="28">IF(AW28='temp result 2022'!B28,1,IF(Z28="-",1,0))</f>
        <v>#REF!</v>
      </c>
      <c r="AZ28" s="15" t="str">
        <f t="shared" ref="AZ28:AZ39" si="29">IF(and(AW28=0,AX28=1),1,0)</f>
        <v>#REF!</v>
      </c>
      <c r="BA28" s="15" t="str">
        <f t="shared" ref="BA28:BA39" si="30">IF(AND(AW28=0,AX28=0),1,0)</f>
        <v>#REF!</v>
      </c>
      <c r="BB28" s="15" t="str">
        <f t="shared" ref="BB28:BB39" si="31">IF(AND(AW28=1,AX28=0),1,0)</f>
        <v>#REF!</v>
      </c>
      <c r="BC28" s="15" t="str">
        <f t="shared" ref="BC28:BC39" si="32">IF(AND(AW28=1,AX28=1),1,0)</f>
        <v>#REF!</v>
      </c>
      <c r="BD28" s="15" t="str">
        <f t="shared" si="24"/>
        <v>#REF!</v>
      </c>
      <c r="BE28" s="19">
        <v>1.0</v>
      </c>
      <c r="BF28" s="19">
        <v>89.68</v>
      </c>
    </row>
    <row r="29">
      <c r="A29" s="8" t="s">
        <v>73</v>
      </c>
      <c r="B29" s="34">
        <f t="shared" si="1"/>
        <v>0</v>
      </c>
      <c r="C29" s="9">
        <v>3902909.96</v>
      </c>
      <c r="D29" s="9">
        <v>552961.14</v>
      </c>
      <c r="E29" s="9">
        <v>1031660.15</v>
      </c>
      <c r="F29" s="9">
        <v>3178715.99</v>
      </c>
      <c r="G29" s="9">
        <v>924211.52</v>
      </c>
      <c r="H29" s="9">
        <v>413540.51</v>
      </c>
      <c r="I29" s="9">
        <v>517105.54</v>
      </c>
      <c r="J29" s="9">
        <v>510671.01</v>
      </c>
      <c r="K29" s="9">
        <v>346776.84</v>
      </c>
      <c r="L29" s="9">
        <v>63223.0</v>
      </c>
      <c r="M29" s="9">
        <v>736478.72</v>
      </c>
      <c r="N29" s="10">
        <f t="shared" si="27"/>
        <v>0</v>
      </c>
      <c r="O29" s="12">
        <v>0.05</v>
      </c>
      <c r="P29" s="9">
        <v>-662328.42</v>
      </c>
      <c r="Q29" s="9">
        <v>-11052.16</v>
      </c>
      <c r="R29" s="9">
        <v>830340.45</v>
      </c>
      <c r="S29" s="9">
        <v>156959.87</v>
      </c>
      <c r="T29" s="12">
        <v>12.44</v>
      </c>
      <c r="U29" s="12">
        <v>15.79</v>
      </c>
      <c r="V29" s="12">
        <v>92.01</v>
      </c>
      <c r="W29" s="12">
        <v>48.2</v>
      </c>
      <c r="X29" s="12">
        <v>50.86</v>
      </c>
      <c r="Y29" s="12">
        <v>65.46</v>
      </c>
      <c r="Z29" s="12">
        <f t="shared" si="3"/>
        <v>0</v>
      </c>
      <c r="AA29" s="12"/>
      <c r="AB29" s="12">
        <v>55.25</v>
      </c>
      <c r="AC29" s="12">
        <v>0.17</v>
      </c>
      <c r="AD29" s="12">
        <v>61.89</v>
      </c>
      <c r="AE29" s="12">
        <v>6.3</v>
      </c>
      <c r="AF29" s="12">
        <v>1.38</v>
      </c>
      <c r="AG29" s="12">
        <v>23.15</v>
      </c>
      <c r="AH29" s="12">
        <v>0.29</v>
      </c>
      <c r="AI29" s="12">
        <v>0.12</v>
      </c>
      <c r="AJ29" s="9">
        <v>3006.46</v>
      </c>
      <c r="AK29" s="12">
        <v>4.01</v>
      </c>
      <c r="AL29" s="12">
        <v>90.96</v>
      </c>
      <c r="AM29" s="12">
        <v>3.05</v>
      </c>
      <c r="AN29" s="12">
        <v>119.78</v>
      </c>
      <c r="AO29" s="9">
        <v>2977.64</v>
      </c>
      <c r="AP29" s="12">
        <f t="shared" si="4"/>
        <v>-10.55953</v>
      </c>
      <c r="AQ29" s="35">
        <v>2.5944369555535534E-5</v>
      </c>
      <c r="AR29" s="15">
        <f t="shared" si="5"/>
        <v>0</v>
      </c>
      <c r="AS29" s="15">
        <f t="shared" si="15"/>
        <v>1</v>
      </c>
      <c r="AU29" s="15">
        <f>2.551996+('2021'!C29*0.000000012919)+('2021'!E29*0.000003)-('2021'!H29*0.000002)
-('2021'!U29*0.123062)+('2021'!AC29*0.831)-('2021'!AD29*0.008464)-('2021'!AF29*0.15884)
-('2021'!AL29*0.025383)-('2021'!AM29*0.427021)-('2021'!AN29*0.009878)
</f>
        <v>-2.469036586</v>
      </c>
      <c r="AV29" s="15">
        <v>0.07805753859936966</v>
      </c>
      <c r="AW29" s="14">
        <f t="shared" si="7"/>
        <v>0</v>
      </c>
      <c r="AX29" s="14" t="str">
        <f t="shared" si="28"/>
        <v>#REF!</v>
      </c>
      <c r="AZ29" s="15" t="str">
        <f t="shared" si="29"/>
        <v>#REF!</v>
      </c>
      <c r="BA29" s="15" t="str">
        <f t="shared" si="30"/>
        <v>#REF!</v>
      </c>
      <c r="BB29" s="15" t="str">
        <f t="shared" si="31"/>
        <v>#REF!</v>
      </c>
      <c r="BC29" s="15" t="str">
        <f t="shared" si="32"/>
        <v>#REF!</v>
      </c>
      <c r="BD29" s="15" t="str">
        <f t="shared" si="24"/>
        <v>#REF!</v>
      </c>
    </row>
    <row r="30">
      <c r="A30" s="8" t="s">
        <v>74</v>
      </c>
      <c r="B30" s="34">
        <f t="shared" si="1"/>
        <v>0</v>
      </c>
      <c r="C30" s="9">
        <v>1576424.74</v>
      </c>
      <c r="D30" s="9">
        <v>1096440.44</v>
      </c>
      <c r="E30" s="9">
        <v>213050.62</v>
      </c>
      <c r="F30" s="9">
        <v>479983.16</v>
      </c>
      <c r="G30" s="9">
        <v>611991.95</v>
      </c>
      <c r="H30" s="9">
        <v>664208.84</v>
      </c>
      <c r="I30" s="9">
        <v>-7438.14</v>
      </c>
      <c r="J30" s="9">
        <v>-50424.41</v>
      </c>
      <c r="K30" s="9">
        <v>-83748.62</v>
      </c>
      <c r="L30" s="9">
        <v>-88051.03</v>
      </c>
      <c r="M30" s="9">
        <v>24928.84</v>
      </c>
      <c r="N30" s="10">
        <f t="shared" si="27"/>
        <v>0</v>
      </c>
      <c r="O30" s="12">
        <v>-0.04</v>
      </c>
      <c r="P30" s="9">
        <v>214632.84</v>
      </c>
      <c r="Q30" s="9">
        <v>-33039.78</v>
      </c>
      <c r="R30" s="9">
        <v>-204612.44</v>
      </c>
      <c r="S30" s="9">
        <v>-23019.37</v>
      </c>
      <c r="T30" s="12">
        <v>-16.04</v>
      </c>
      <c r="U30" s="12">
        <v>-2.96</v>
      </c>
      <c r="V30" s="12">
        <v>15.13</v>
      </c>
      <c r="W30" s="12">
        <v>-13.68</v>
      </c>
      <c r="X30" s="12">
        <v>-11.97</v>
      </c>
      <c r="Y30" s="12">
        <v>2.92</v>
      </c>
      <c r="Z30" s="12">
        <f t="shared" si="3"/>
        <v>0</v>
      </c>
      <c r="AA30" s="12"/>
      <c r="AB30" s="12">
        <v>-8.24</v>
      </c>
      <c r="AC30" s="12">
        <v>2.28</v>
      </c>
      <c r="AD30" s="12">
        <v>-1.42</v>
      </c>
      <c r="AE30" s="12">
        <v>0.97</v>
      </c>
      <c r="AF30" s="12">
        <v>0.16</v>
      </c>
      <c r="AG30" s="12">
        <v>2.06</v>
      </c>
      <c r="AH30" s="12">
        <v>0.36</v>
      </c>
      <c r="AI30" s="12">
        <v>0.73</v>
      </c>
      <c r="AJ30" s="12">
        <v>501.24</v>
      </c>
      <c r="AK30" s="12">
        <v>6.55</v>
      </c>
      <c r="AL30" s="12">
        <v>55.74</v>
      </c>
      <c r="AM30" s="12">
        <v>3.39</v>
      </c>
      <c r="AN30" s="12">
        <v>107.82</v>
      </c>
      <c r="AO30" s="12">
        <v>449.16</v>
      </c>
      <c r="AP30" s="12">
        <f t="shared" si="4"/>
        <v>2.55974</v>
      </c>
      <c r="AQ30" s="35">
        <v>0.9282251376245505</v>
      </c>
      <c r="AR30" s="15">
        <f t="shared" si="5"/>
        <v>1</v>
      </c>
      <c r="AS30" s="15">
        <f t="shared" si="15"/>
        <v>0</v>
      </c>
      <c r="AU30" s="15">
        <f>2.551996+('2021'!C30*0.000000012919)+('2021'!E30*0.000003)-('2021'!H30*0.000002)
-('2021'!U30*0.123062)+('2021'!AC30*0.831)-('2021'!AD30*0.008464)-('2021'!AF30*0.15884)
-('2021'!AL30*0.025383)-('2021'!AM30*0.427021)-('2021'!AN30*0.009878)
</f>
        <v>0.2011484412</v>
      </c>
      <c r="AV30" s="15">
        <v>0.5501182392474286</v>
      </c>
      <c r="AW30" s="14">
        <f t="shared" si="7"/>
        <v>1</v>
      </c>
      <c r="AX30" s="14" t="str">
        <f t="shared" si="28"/>
        <v>#REF!</v>
      </c>
      <c r="AZ30" s="15" t="str">
        <f t="shared" si="29"/>
        <v>#REF!</v>
      </c>
      <c r="BA30" s="15" t="str">
        <f t="shared" si="30"/>
        <v>#REF!</v>
      </c>
      <c r="BB30" s="15" t="str">
        <f t="shared" si="31"/>
        <v>#REF!</v>
      </c>
      <c r="BC30" s="15" t="str">
        <f t="shared" si="32"/>
        <v>#REF!</v>
      </c>
      <c r="BD30" s="15" t="str">
        <f t="shared" si="24"/>
        <v>#REF!</v>
      </c>
    </row>
    <row r="31">
      <c r="A31" s="8" t="s">
        <v>75</v>
      </c>
      <c r="B31" s="34">
        <f t="shared" si="1"/>
        <v>0</v>
      </c>
      <c r="C31" s="9">
        <v>1651713.53</v>
      </c>
      <c r="D31" s="9">
        <v>647257.32</v>
      </c>
      <c r="E31" s="9">
        <v>378000.0</v>
      </c>
      <c r="F31" s="9">
        <v>1004130.01</v>
      </c>
      <c r="G31" s="9">
        <v>1272391.51</v>
      </c>
      <c r="H31" s="9">
        <v>1398178.25</v>
      </c>
      <c r="I31" s="9">
        <v>-43881.46</v>
      </c>
      <c r="J31" s="9">
        <v>-125786.73</v>
      </c>
      <c r="K31" s="9">
        <v>-142467.37</v>
      </c>
      <c r="L31" s="9">
        <v>42795.88</v>
      </c>
      <c r="M31" s="9">
        <v>-197720.4</v>
      </c>
      <c r="N31" s="10">
        <f t="shared" si="27"/>
        <v>0</v>
      </c>
      <c r="O31" s="12">
        <v>-0.19</v>
      </c>
      <c r="P31" s="9">
        <v>-48760.43</v>
      </c>
      <c r="Q31" s="9">
        <v>-24759.45</v>
      </c>
      <c r="R31" s="9">
        <v>16010.07</v>
      </c>
      <c r="S31" s="9">
        <v>-57509.8</v>
      </c>
      <c r="T31" s="12">
        <v>-13.16</v>
      </c>
      <c r="U31" s="12">
        <v>-7.32</v>
      </c>
      <c r="V31" s="12">
        <v>-4.97</v>
      </c>
      <c r="W31" s="12">
        <v>-11.26</v>
      </c>
      <c r="X31" s="12">
        <v>2.91</v>
      </c>
      <c r="Y31" s="12">
        <v>-13.8</v>
      </c>
      <c r="Z31" s="12">
        <f t="shared" si="3"/>
        <v>0</v>
      </c>
      <c r="AA31" s="12"/>
      <c r="AB31" s="12">
        <v>-9.89</v>
      </c>
      <c r="AC31" s="12">
        <v>0.64</v>
      </c>
      <c r="AD31" s="12">
        <v>-8.95</v>
      </c>
      <c r="AE31" s="12">
        <v>1.64</v>
      </c>
      <c r="AF31" s="12">
        <v>0.4</v>
      </c>
      <c r="AG31" s="12">
        <v>2.05</v>
      </c>
      <c r="AH31" s="12">
        <v>0.74</v>
      </c>
      <c r="AI31" s="12">
        <v>5.22</v>
      </c>
      <c r="AJ31" s="12">
        <v>69.99</v>
      </c>
      <c r="AK31" s="12">
        <v>5.84</v>
      </c>
      <c r="AL31" s="12">
        <v>62.49</v>
      </c>
      <c r="AM31" s="12">
        <v>8.55</v>
      </c>
      <c r="AN31" s="12">
        <v>42.71</v>
      </c>
      <c r="AO31" s="12">
        <v>89.76</v>
      </c>
      <c r="AP31" s="12">
        <f t="shared" si="4"/>
        <v>2.59831</v>
      </c>
      <c r="AQ31" s="35">
        <v>0.9307527349009825</v>
      </c>
      <c r="AR31" s="15">
        <f t="shared" si="5"/>
        <v>1</v>
      </c>
      <c r="AS31" s="15">
        <f t="shared" si="15"/>
        <v>0</v>
      </c>
      <c r="AU31" s="15">
        <f>2.551996+('2021'!C31*0.000000012919)+('2021'!E31*0.000003)-('2021'!H31*0.000002)
-('2021'!U31*0.123062)+('2021'!AC31*0.831)-('2021'!AD31*0.008464)-('2021'!AF31*0.15884)
-('2021'!AL31*0.025383)-('2021'!AM31*0.427021)-('2021'!AN31*0.009878)
</f>
        <v>-3.303253973</v>
      </c>
      <c r="AV31" s="15">
        <v>0.035459727413194995</v>
      </c>
      <c r="AW31" s="14">
        <f t="shared" si="7"/>
        <v>0</v>
      </c>
      <c r="AX31" s="14" t="str">
        <f t="shared" si="28"/>
        <v>#REF!</v>
      </c>
      <c r="AZ31" s="15" t="str">
        <f t="shared" si="29"/>
        <v>#REF!</v>
      </c>
      <c r="BA31" s="15" t="str">
        <f t="shared" si="30"/>
        <v>#REF!</v>
      </c>
      <c r="BB31" s="15" t="str">
        <f t="shared" si="31"/>
        <v>#REF!</v>
      </c>
      <c r="BC31" s="15" t="str">
        <f t="shared" si="32"/>
        <v>#REF!</v>
      </c>
      <c r="BD31" s="15" t="str">
        <f t="shared" si="24"/>
        <v>#REF!</v>
      </c>
    </row>
    <row r="32">
      <c r="A32" s="8" t="s">
        <v>76</v>
      </c>
      <c r="B32" s="34">
        <f t="shared" si="1"/>
        <v>0</v>
      </c>
      <c r="C32" s="9">
        <v>1972523.51</v>
      </c>
      <c r="D32" s="9">
        <v>1311234.31</v>
      </c>
      <c r="E32" s="9">
        <v>146999.88</v>
      </c>
      <c r="F32" s="9">
        <v>654073.48</v>
      </c>
      <c r="G32" s="9">
        <v>2199231.84</v>
      </c>
      <c r="H32" s="9">
        <v>1994775.39</v>
      </c>
      <c r="I32" s="9">
        <v>275784.8</v>
      </c>
      <c r="J32" s="9">
        <v>204456.45</v>
      </c>
      <c r="K32" s="9">
        <v>136513.35</v>
      </c>
      <c r="L32" s="9">
        <v>61505.45</v>
      </c>
      <c r="M32" s="9">
        <v>75461.4</v>
      </c>
      <c r="N32" s="10">
        <f t="shared" si="27"/>
        <v>0</v>
      </c>
      <c r="O32" s="12">
        <v>0.46</v>
      </c>
      <c r="P32" s="9">
        <v>315004.98</v>
      </c>
      <c r="Q32" s="9">
        <v>-26374.01</v>
      </c>
      <c r="R32" s="9">
        <v>-168589.86</v>
      </c>
      <c r="S32" s="9">
        <v>120041.11</v>
      </c>
      <c r="T32" s="12">
        <v>23.2</v>
      </c>
      <c r="U32" s="12">
        <v>11.21</v>
      </c>
      <c r="V32" s="12">
        <v>13.49</v>
      </c>
      <c r="W32" s="12">
        <v>6.28</v>
      </c>
      <c r="X32" s="12">
        <v>2.86</v>
      </c>
      <c r="Y32" s="12">
        <v>3.68</v>
      </c>
      <c r="Z32" s="12">
        <f t="shared" si="3"/>
        <v>0</v>
      </c>
      <c r="AA32" s="12"/>
      <c r="AB32" s="12">
        <v>9.3</v>
      </c>
      <c r="AC32" s="12">
        <v>1.98</v>
      </c>
      <c r="AD32" s="12">
        <v>6.78</v>
      </c>
      <c r="AE32" s="12">
        <v>1.07</v>
      </c>
      <c r="AF32" s="12">
        <v>0.5</v>
      </c>
      <c r="AG32" s="12">
        <v>3.94</v>
      </c>
      <c r="AH32" s="12">
        <v>1.21</v>
      </c>
      <c r="AI32" s="12">
        <v>50.37</v>
      </c>
      <c r="AJ32" s="12">
        <v>7.25</v>
      </c>
      <c r="AK32" s="12">
        <v>8.3</v>
      </c>
      <c r="AL32" s="12">
        <v>43.99</v>
      </c>
      <c r="AM32" s="12">
        <v>5.91</v>
      </c>
      <c r="AN32" s="12">
        <v>61.8</v>
      </c>
      <c r="AO32" s="12">
        <v>-10.57</v>
      </c>
      <c r="AP32" s="12">
        <f t="shared" si="4"/>
        <v>-1.32659</v>
      </c>
      <c r="AQ32" s="35">
        <v>0.20972397861342518</v>
      </c>
      <c r="AR32" s="15">
        <f t="shared" si="5"/>
        <v>0</v>
      </c>
      <c r="AS32" s="15">
        <f t="shared" si="15"/>
        <v>1</v>
      </c>
      <c r="AU32" s="15">
        <f>2.551996+('2021'!C32*0.000000012919)+('2021'!E32*0.000003)-('2021'!H32*0.000002)
-('2021'!U32*0.123062)+('2021'!AC32*0.831)-('2021'!AD32*0.008464)-('2021'!AF32*0.15884)
-('2021'!AL32*0.025383)-('2021'!AM32*0.427021)-('2021'!AN32*0.009878)
</f>
        <v>-5.092775729</v>
      </c>
      <c r="AV32" s="15">
        <v>0.006103469490398847</v>
      </c>
      <c r="AW32" s="14">
        <f t="shared" si="7"/>
        <v>0</v>
      </c>
      <c r="AX32" s="14" t="str">
        <f t="shared" si="28"/>
        <v>#REF!</v>
      </c>
      <c r="AZ32" s="15" t="str">
        <f t="shared" si="29"/>
        <v>#REF!</v>
      </c>
      <c r="BA32" s="15" t="str">
        <f t="shared" si="30"/>
        <v>#REF!</v>
      </c>
      <c r="BB32" s="15" t="str">
        <f t="shared" si="31"/>
        <v>#REF!</v>
      </c>
      <c r="BC32" s="15" t="str">
        <f t="shared" si="32"/>
        <v>#REF!</v>
      </c>
      <c r="BD32" s="15" t="str">
        <f t="shared" si="24"/>
        <v>#REF!</v>
      </c>
    </row>
    <row r="33">
      <c r="A33" s="8" t="s">
        <v>78</v>
      </c>
      <c r="B33" s="34">
        <f t="shared" si="1"/>
        <v>0</v>
      </c>
      <c r="C33" s="9">
        <v>6760268.15</v>
      </c>
      <c r="D33" s="9">
        <v>4855897.88</v>
      </c>
      <c r="E33" s="9">
        <v>1275027.88</v>
      </c>
      <c r="F33" s="9">
        <v>1904370.27</v>
      </c>
      <c r="G33" s="9">
        <v>2136673.87</v>
      </c>
      <c r="H33" s="9">
        <v>1956881.07</v>
      </c>
      <c r="I33" s="9">
        <v>196872.62</v>
      </c>
      <c r="J33" s="9">
        <v>169584.18</v>
      </c>
      <c r="K33" s="9">
        <v>70133.67</v>
      </c>
      <c r="L33" s="9">
        <v>120438.98</v>
      </c>
      <c r="M33" s="9">
        <v>-55064.5</v>
      </c>
      <c r="N33" s="10">
        <f t="shared" si="27"/>
        <v>0</v>
      </c>
      <c r="O33" s="12">
        <v>0.06</v>
      </c>
      <c r="P33" s="9">
        <v>731865.19</v>
      </c>
      <c r="Q33" s="9">
        <v>-88244.69</v>
      </c>
      <c r="R33" s="9">
        <v>-189331.99</v>
      </c>
      <c r="S33" s="9">
        <v>454288.51</v>
      </c>
      <c r="T33" s="12">
        <v>3.73</v>
      </c>
      <c r="U33" s="12">
        <v>2.52</v>
      </c>
      <c r="V33" s="12">
        <v>26.24</v>
      </c>
      <c r="W33" s="12">
        <v>3.28</v>
      </c>
      <c r="X33" s="12">
        <v>7.33</v>
      </c>
      <c r="Y33" s="12">
        <v>-4.77</v>
      </c>
      <c r="Z33" s="12">
        <f t="shared" si="3"/>
        <v>0</v>
      </c>
      <c r="AA33" s="12"/>
      <c r="AB33" s="12">
        <v>7.94</v>
      </c>
      <c r="AC33" s="12">
        <v>2.55</v>
      </c>
      <c r="AD33" s="12">
        <v>2.17</v>
      </c>
      <c r="AE33" s="12">
        <v>2.26</v>
      </c>
      <c r="AF33" s="12">
        <v>0.2</v>
      </c>
      <c r="AG33" s="12">
        <v>63.38</v>
      </c>
      <c r="AH33" s="12">
        <v>0.32</v>
      </c>
      <c r="AI33" s="12">
        <v>0.27</v>
      </c>
      <c r="AJ33" s="9">
        <v>1371.55</v>
      </c>
      <c r="AK33" s="12">
        <v>74.44</v>
      </c>
      <c r="AL33" s="12">
        <v>4.9</v>
      </c>
      <c r="AM33" s="12">
        <v>3.69</v>
      </c>
      <c r="AN33" s="12">
        <v>99.01</v>
      </c>
      <c r="AO33" s="9">
        <v>1277.45</v>
      </c>
      <c r="AP33" s="12">
        <f t="shared" si="4"/>
        <v>-4.14385</v>
      </c>
      <c r="AQ33" s="35">
        <v>0.015614002287956914</v>
      </c>
      <c r="AR33" s="15">
        <f t="shared" si="5"/>
        <v>0</v>
      </c>
      <c r="AS33" s="15">
        <f t="shared" si="15"/>
        <v>1</v>
      </c>
      <c r="AU33" s="15">
        <f>2.551996+('2021'!C33*0.000000012919)+('2021'!E33*0.000003)-('2021'!H33*0.000002)
-('2021'!U33*0.123062)+('2021'!AC33*0.831)-('2021'!AD33*0.008464)-('2021'!AF33*0.15884)
-('2021'!AL33*0.025383)-('2021'!AM33*0.427021)-('2021'!AN33*0.009878)
</f>
        <v>1.631347314</v>
      </c>
      <c r="AV33" s="15">
        <v>0.836354123731945</v>
      </c>
      <c r="AW33" s="14">
        <f t="shared" si="7"/>
        <v>1</v>
      </c>
      <c r="AX33" s="14" t="str">
        <f t="shared" si="28"/>
        <v>#REF!</v>
      </c>
      <c r="AZ33" s="15" t="str">
        <f t="shared" si="29"/>
        <v>#REF!</v>
      </c>
      <c r="BA33" s="15" t="str">
        <f t="shared" si="30"/>
        <v>#REF!</v>
      </c>
      <c r="BB33" s="15" t="str">
        <f t="shared" si="31"/>
        <v>#REF!</v>
      </c>
      <c r="BC33" s="15" t="str">
        <f t="shared" si="32"/>
        <v>#REF!</v>
      </c>
      <c r="BD33" s="15" t="str">
        <f t="shared" si="24"/>
        <v>#REF!</v>
      </c>
    </row>
    <row r="34">
      <c r="A34" s="8" t="s">
        <v>80</v>
      </c>
      <c r="B34" s="34">
        <f t="shared" si="1"/>
        <v>0</v>
      </c>
      <c r="C34" s="9">
        <v>3221703.0</v>
      </c>
      <c r="D34" s="9">
        <v>2340603.0</v>
      </c>
      <c r="E34" s="9">
        <v>448877.0</v>
      </c>
      <c r="F34" s="9">
        <v>881099.0</v>
      </c>
      <c r="G34" s="9">
        <v>440670.0</v>
      </c>
      <c r="H34" s="9">
        <v>709547.0</v>
      </c>
      <c r="I34" s="9">
        <v>-204141.0</v>
      </c>
      <c r="J34" s="9">
        <v>-268973.0</v>
      </c>
      <c r="K34" s="9">
        <v>-475317.0</v>
      </c>
      <c r="L34" s="9">
        <v>-238742.0</v>
      </c>
      <c r="M34" s="9">
        <v>65858.0</v>
      </c>
      <c r="N34" s="10">
        <f t="shared" si="27"/>
        <v>0</v>
      </c>
      <c r="O34" s="12">
        <v>-0.33</v>
      </c>
      <c r="P34" s="9">
        <v>-37016.0</v>
      </c>
      <c r="Q34" s="9">
        <v>-191226.0</v>
      </c>
      <c r="R34" s="9">
        <v>222080.0</v>
      </c>
      <c r="S34" s="9">
        <v>-6162.0</v>
      </c>
      <c r="T34" s="12">
        <v>-52.28</v>
      </c>
      <c r="U34" s="12">
        <v>-8.46</v>
      </c>
      <c r="V34" s="12">
        <v>-17.8</v>
      </c>
      <c r="W34" s="12">
        <v>-107.86</v>
      </c>
      <c r="X34" s="12">
        <v>-36.85</v>
      </c>
      <c r="Y34" s="12">
        <v>4.09</v>
      </c>
      <c r="Z34" s="12">
        <f t="shared" si="3"/>
        <v>0</v>
      </c>
      <c r="AA34" s="12"/>
      <c r="AB34" s="12">
        <v>-61.04</v>
      </c>
      <c r="AC34" s="12">
        <v>2.66</v>
      </c>
      <c r="AD34" s="12">
        <v>-1.29</v>
      </c>
      <c r="AE34" s="12">
        <v>0.82</v>
      </c>
      <c r="AF34" s="12">
        <v>0.11</v>
      </c>
      <c r="AG34" s="12">
        <v>0.49</v>
      </c>
      <c r="AH34" s="12">
        <v>0.14</v>
      </c>
      <c r="AI34" s="12">
        <v>0.65</v>
      </c>
      <c r="AJ34" s="12">
        <v>562.23</v>
      </c>
      <c r="AK34" s="12">
        <v>1.94</v>
      </c>
      <c r="AL34" s="12">
        <v>187.92</v>
      </c>
      <c r="AM34" s="12">
        <v>1.98</v>
      </c>
      <c r="AN34" s="12">
        <v>183.97</v>
      </c>
      <c r="AO34" s="12">
        <v>566.18</v>
      </c>
      <c r="AP34" s="12">
        <f t="shared" si="4"/>
        <v>42.38472</v>
      </c>
      <c r="AQ34" s="35">
        <v>1.0</v>
      </c>
      <c r="AR34" s="15">
        <f t="shared" si="5"/>
        <v>1</v>
      </c>
      <c r="AS34" s="15">
        <f t="shared" si="15"/>
        <v>0</v>
      </c>
      <c r="AU34" s="15">
        <f>2.551996+('2021'!C34*0.000000012919)+('2021'!E34*0.000003)-('2021'!H34*0.000002)
-('2021'!U34*0.123062)+('2021'!AC34*0.831)-('2021'!AD34*0.008464)-('2021'!AF34*0.15884)
-('2021'!AL34*0.025383)-('2021'!AM34*0.427021)-('2021'!AN34*0.009878)
</f>
        <v>-1.666565739</v>
      </c>
      <c r="AV34" s="15">
        <v>0.15888259228795568</v>
      </c>
      <c r="AW34" s="14">
        <f t="shared" si="7"/>
        <v>0</v>
      </c>
      <c r="AX34" s="14" t="str">
        <f t="shared" si="28"/>
        <v>#REF!</v>
      </c>
      <c r="AZ34" s="15" t="str">
        <f t="shared" si="29"/>
        <v>#REF!</v>
      </c>
      <c r="BA34" s="15" t="str">
        <f t="shared" si="30"/>
        <v>#REF!</v>
      </c>
      <c r="BB34" s="15" t="str">
        <f t="shared" si="31"/>
        <v>#REF!</v>
      </c>
      <c r="BC34" s="15" t="str">
        <f t="shared" si="32"/>
        <v>#REF!</v>
      </c>
      <c r="BD34" s="15" t="str">
        <f t="shared" si="24"/>
        <v>#REF!</v>
      </c>
    </row>
    <row r="35">
      <c r="A35" s="8" t="s">
        <v>81</v>
      </c>
      <c r="B35" s="34">
        <f t="shared" si="1"/>
        <v>1</v>
      </c>
      <c r="C35" s="9">
        <v>9898990.09</v>
      </c>
      <c r="D35" s="9">
        <v>9083001.29</v>
      </c>
      <c r="E35" s="9">
        <v>800000.0</v>
      </c>
      <c r="F35" s="9">
        <v>716559.93</v>
      </c>
      <c r="G35" s="9">
        <v>314150.43</v>
      </c>
      <c r="H35" s="9">
        <v>333634.4</v>
      </c>
      <c r="I35" s="9">
        <v>421743.4</v>
      </c>
      <c r="J35" s="9">
        <v>24372.18</v>
      </c>
      <c r="K35" s="9">
        <v>-104957.11</v>
      </c>
      <c r="L35" s="9">
        <v>-269724.73</v>
      </c>
      <c r="M35" s="9">
        <v>-198257.74</v>
      </c>
      <c r="N35" s="10">
        <f t="shared" si="27"/>
        <v>1</v>
      </c>
      <c r="O35" s="12">
        <v>-0.13</v>
      </c>
      <c r="P35" s="9">
        <v>295135.03</v>
      </c>
      <c r="Q35" s="9">
        <v>94800.37</v>
      </c>
      <c r="R35" s="9">
        <v>-355123.46</v>
      </c>
      <c r="S35" s="9">
        <v>34811.94</v>
      </c>
      <c r="T35" s="12">
        <v>-13.64</v>
      </c>
      <c r="U35" s="12">
        <v>0.24</v>
      </c>
      <c r="V35" s="12">
        <v>47.81</v>
      </c>
      <c r="W35" s="12">
        <v>-35.79</v>
      </c>
      <c r="X35" s="12">
        <v>-52.88</v>
      </c>
      <c r="Y35" s="12">
        <v>-14.37</v>
      </c>
      <c r="Z35" s="12">
        <f t="shared" si="3"/>
        <v>1</v>
      </c>
      <c r="AA35" s="12"/>
      <c r="AB35" s="12">
        <v>7.76</v>
      </c>
      <c r="AC35" s="12">
        <v>11.13</v>
      </c>
      <c r="AD35" s="12">
        <v>0.14</v>
      </c>
      <c r="AE35" s="12">
        <v>0.86</v>
      </c>
      <c r="AF35" s="12">
        <v>0.06</v>
      </c>
      <c r="AG35" s="12">
        <v>0.18</v>
      </c>
      <c r="AH35" s="12">
        <v>0.03</v>
      </c>
      <c r="AI35" s="12">
        <v>1.62</v>
      </c>
      <c r="AJ35" s="12">
        <v>224.89</v>
      </c>
      <c r="AK35" s="12">
        <v>0.6</v>
      </c>
      <c r="AL35" s="12">
        <v>609.6</v>
      </c>
      <c r="AM35" s="12">
        <v>0.43</v>
      </c>
      <c r="AN35" s="12">
        <v>845.4</v>
      </c>
      <c r="AO35" s="12">
        <v>-10.91</v>
      </c>
      <c r="AP35" s="12">
        <f t="shared" si="4"/>
        <v>20.90369</v>
      </c>
      <c r="AQ35" s="35">
        <v>0.9999999991650841</v>
      </c>
      <c r="AR35" s="15">
        <f t="shared" si="5"/>
        <v>1</v>
      </c>
      <c r="AS35" s="15">
        <f t="shared" si="15"/>
        <v>1</v>
      </c>
      <c r="AU35" s="15">
        <f>2.551996+('2021'!C35*0.000000012919)+('2021'!E35*0.000003)-('2021'!H35*0.000002)
-('2021'!U35*0.123062)+('2021'!AC35*0.831)-('2021'!AD35*0.008464)-('2021'!AF35*0.15884)
-('2021'!AL35*0.025383)-('2021'!AM35*0.427021)-('2021'!AN35*0.009878)
</f>
        <v>-10.38656502</v>
      </c>
      <c r="AV35" s="15">
        <v>3.0843150424213365E-5</v>
      </c>
      <c r="AW35" s="14">
        <f t="shared" si="7"/>
        <v>0</v>
      </c>
      <c r="AX35" s="14" t="str">
        <f t="shared" si="28"/>
        <v>#REF!</v>
      </c>
      <c r="AZ35" s="15" t="str">
        <f t="shared" si="29"/>
        <v>#REF!</v>
      </c>
      <c r="BA35" s="15" t="str">
        <f t="shared" si="30"/>
        <v>#REF!</v>
      </c>
      <c r="BB35" s="15" t="str">
        <f t="shared" si="31"/>
        <v>#REF!</v>
      </c>
      <c r="BC35" s="15" t="str">
        <f t="shared" si="32"/>
        <v>#REF!</v>
      </c>
      <c r="BD35" s="15" t="str">
        <f t="shared" si="24"/>
        <v>#REF!</v>
      </c>
    </row>
    <row r="36">
      <c r="A36" s="8" t="s">
        <v>82</v>
      </c>
      <c r="B36" s="34">
        <f t="shared" si="1"/>
        <v>1</v>
      </c>
      <c r="C36" s="9">
        <v>864324.39</v>
      </c>
      <c r="D36" s="9">
        <v>624554.65</v>
      </c>
      <c r="E36" s="9">
        <v>432394.34</v>
      </c>
      <c r="F36" s="9">
        <v>234854.24</v>
      </c>
      <c r="G36" s="9">
        <v>1107449.91</v>
      </c>
      <c r="H36" s="9">
        <v>1207884.12</v>
      </c>
      <c r="I36" s="9">
        <v>-49369.56</v>
      </c>
      <c r="J36" s="9">
        <v>-99830.59</v>
      </c>
      <c r="K36" s="9">
        <v>-141936.02</v>
      </c>
      <c r="L36" s="9">
        <v>-129950.52</v>
      </c>
      <c r="M36" s="9">
        <v>-198572.98</v>
      </c>
      <c r="N36" s="10">
        <f t="shared" si="27"/>
        <v>1</v>
      </c>
      <c r="O36" s="12">
        <v>-0.16</v>
      </c>
      <c r="P36" s="9">
        <v>-36735.85</v>
      </c>
      <c r="Q36" s="9">
        <v>-13471.42</v>
      </c>
      <c r="R36" s="9">
        <v>28649.82</v>
      </c>
      <c r="S36" s="9">
        <v>-21557.45</v>
      </c>
      <c r="T36" s="12">
        <v>-47.53</v>
      </c>
      <c r="U36" s="12">
        <v>-11.48</v>
      </c>
      <c r="V36" s="12">
        <v>11.65</v>
      </c>
      <c r="W36" s="12">
        <v>-12.83</v>
      </c>
      <c r="X36" s="12">
        <v>-13.3</v>
      </c>
      <c r="Y36" s="12">
        <v>-12.76</v>
      </c>
      <c r="Z36" s="12">
        <f t="shared" si="3"/>
        <v>1</v>
      </c>
      <c r="AA36" s="12"/>
      <c r="AB36" s="12">
        <v>-9.01</v>
      </c>
      <c r="AC36" s="12">
        <v>2.6</v>
      </c>
      <c r="AD36" s="12">
        <v>-3.79</v>
      </c>
      <c r="AE36" s="12">
        <v>0.65</v>
      </c>
      <c r="AF36" s="12">
        <v>0.34</v>
      </c>
      <c r="AG36" s="12">
        <v>3.08</v>
      </c>
      <c r="AH36" s="12">
        <v>1.27</v>
      </c>
      <c r="AI36" s="12">
        <v>8.71</v>
      </c>
      <c r="AJ36" s="12">
        <v>41.89</v>
      </c>
      <c r="AK36" s="12">
        <v>6.21</v>
      </c>
      <c r="AL36" s="12">
        <v>58.75</v>
      </c>
      <c r="AM36" s="12">
        <v>4.15</v>
      </c>
      <c r="AN36" s="12">
        <v>87.96</v>
      </c>
      <c r="AO36" s="12">
        <v>12.68</v>
      </c>
      <c r="AP36" s="12">
        <f t="shared" si="4"/>
        <v>-1.02107</v>
      </c>
      <c r="AQ36" s="35">
        <v>0.2648190299131199</v>
      </c>
      <c r="AR36" s="15">
        <f t="shared" si="5"/>
        <v>0</v>
      </c>
      <c r="AS36" s="15">
        <f t="shared" si="15"/>
        <v>0</v>
      </c>
      <c r="AU36" s="15">
        <f>2.551996+('2021'!C36*0.000000012919)+('2021'!E36*0.000003)-('2021'!H36*0.000002)
-('2021'!U36*0.123062)+('2021'!AC36*0.831)-('2021'!AD36*0.008464)-('2021'!AF36*0.15884)
-('2021'!AL36*0.025383)-('2021'!AM36*0.427021)-('2021'!AN36*0.009878)
</f>
        <v>0.8637444268</v>
      </c>
      <c r="AV36" s="15">
        <v>0.7034423782912845</v>
      </c>
      <c r="AW36" s="14">
        <f t="shared" si="7"/>
        <v>1</v>
      </c>
      <c r="AX36" s="14" t="str">
        <f t="shared" si="28"/>
        <v>#REF!</v>
      </c>
      <c r="AZ36" s="15" t="str">
        <f t="shared" si="29"/>
        <v>#REF!</v>
      </c>
      <c r="BA36" s="15" t="str">
        <f t="shared" si="30"/>
        <v>#REF!</v>
      </c>
      <c r="BB36" s="15" t="str">
        <f t="shared" si="31"/>
        <v>#REF!</v>
      </c>
      <c r="BC36" s="15" t="str">
        <f t="shared" si="32"/>
        <v>#REF!</v>
      </c>
      <c r="BD36" s="15" t="str">
        <f t="shared" si="24"/>
        <v>#REF!</v>
      </c>
    </row>
    <row r="37">
      <c r="A37" s="8" t="s">
        <v>83</v>
      </c>
      <c r="B37" s="34">
        <f t="shared" si="1"/>
        <v>0</v>
      </c>
      <c r="C37" s="9">
        <v>1007157.72</v>
      </c>
      <c r="D37" s="9">
        <v>610125.91</v>
      </c>
      <c r="E37" s="9">
        <v>255462.73</v>
      </c>
      <c r="F37" s="9">
        <v>379599.69</v>
      </c>
      <c r="G37" s="9">
        <v>495401.86</v>
      </c>
      <c r="H37" s="9">
        <v>600075.18</v>
      </c>
      <c r="I37" s="9">
        <v>-34889.5</v>
      </c>
      <c r="J37" s="9">
        <v>-104673.32</v>
      </c>
      <c r="K37" s="9">
        <v>-120513.04</v>
      </c>
      <c r="L37" s="9">
        <v>-129983.09</v>
      </c>
      <c r="M37" s="9">
        <v>98612.73</v>
      </c>
      <c r="N37" s="10">
        <f t="shared" si="27"/>
        <v>0</v>
      </c>
      <c r="O37" s="12">
        <v>-0.47</v>
      </c>
      <c r="P37" s="9">
        <v>-5733.8</v>
      </c>
      <c r="Q37" s="9">
        <v>-4026.81</v>
      </c>
      <c r="R37" s="9">
        <v>-30744.3</v>
      </c>
      <c r="S37" s="9">
        <v>-40504.91</v>
      </c>
      <c r="T37" s="12">
        <v>-27.48</v>
      </c>
      <c r="U37" s="12">
        <v>-9.39</v>
      </c>
      <c r="V37" s="12">
        <v>5.01</v>
      </c>
      <c r="W37" s="12">
        <v>-23.69</v>
      </c>
      <c r="X37" s="12">
        <v>-18.31</v>
      </c>
      <c r="Y37" s="12">
        <v>8.01</v>
      </c>
      <c r="Z37" s="12">
        <f t="shared" si="3"/>
        <v>0</v>
      </c>
      <c r="AA37" s="12"/>
      <c r="AB37" s="12">
        <v>-21.13</v>
      </c>
      <c r="AC37" s="12">
        <v>1.54</v>
      </c>
      <c r="AD37" s="12">
        <v>-4.94</v>
      </c>
      <c r="AE37" s="12">
        <v>0.46</v>
      </c>
      <c r="AF37" s="12">
        <v>0.42</v>
      </c>
      <c r="AG37" s="12">
        <v>0.77</v>
      </c>
      <c r="AH37" s="12">
        <v>0.44</v>
      </c>
      <c r="AI37" s="12">
        <v>24.6</v>
      </c>
      <c r="AJ37" s="12">
        <v>14.84</v>
      </c>
      <c r="AK37" s="12">
        <v>2.28</v>
      </c>
      <c r="AL37" s="12">
        <v>160.21</v>
      </c>
      <c r="AM37" s="12">
        <v>2.87</v>
      </c>
      <c r="AN37" s="12">
        <v>127.35</v>
      </c>
      <c r="AO37" s="12">
        <v>47.7</v>
      </c>
      <c r="AP37" s="12">
        <f t="shared" si="4"/>
        <v>8.76615</v>
      </c>
      <c r="AQ37" s="35">
        <v>0.9998441015790522</v>
      </c>
      <c r="AR37" s="15">
        <f t="shared" si="5"/>
        <v>1</v>
      </c>
      <c r="AS37" s="15">
        <f t="shared" si="15"/>
        <v>0</v>
      </c>
      <c r="AU37" s="15">
        <f>2.551996+('2021'!C37*0.000000012919)+('2021'!E37*0.000003)-('2021'!H37*0.000002)
-('2021'!U37*0.123062)+('2021'!AC37*0.831)-('2021'!AD37*0.008464)-('2021'!AF37*0.15884)
-('2021'!AL37*0.025383)-('2021'!AM37*0.427021)-('2021'!AN37*0.009878)
</f>
        <v>-2.008487159</v>
      </c>
      <c r="AV37" s="15">
        <v>0.11831470068655318</v>
      </c>
      <c r="AW37" s="14">
        <f t="shared" si="7"/>
        <v>0</v>
      </c>
      <c r="AX37" s="14" t="str">
        <f t="shared" si="28"/>
        <v>#REF!</v>
      </c>
      <c r="AZ37" s="15" t="str">
        <f t="shared" si="29"/>
        <v>#REF!</v>
      </c>
      <c r="BA37" s="15" t="str">
        <f t="shared" si="30"/>
        <v>#REF!</v>
      </c>
      <c r="BB37" s="15" t="str">
        <f t="shared" si="31"/>
        <v>#REF!</v>
      </c>
      <c r="BC37" s="15" t="str">
        <f t="shared" si="32"/>
        <v>#REF!</v>
      </c>
      <c r="BD37" s="15" t="str">
        <f t="shared" si="24"/>
        <v>#REF!</v>
      </c>
    </row>
    <row r="38">
      <c r="A38" s="8" t="s">
        <v>84</v>
      </c>
      <c r="B38" s="34">
        <f t="shared" si="1"/>
        <v>0</v>
      </c>
      <c r="C38" s="9">
        <v>1377824.5</v>
      </c>
      <c r="D38" s="9">
        <v>576088.88</v>
      </c>
      <c r="E38" s="9">
        <v>588964.62</v>
      </c>
      <c r="F38" s="9">
        <v>800627.4</v>
      </c>
      <c r="G38" s="9">
        <v>1188923.51</v>
      </c>
      <c r="H38" s="9">
        <v>1120312.16</v>
      </c>
      <c r="I38" s="9">
        <v>139127.6</v>
      </c>
      <c r="J38" s="9">
        <v>68611.34</v>
      </c>
      <c r="K38" s="9">
        <v>57387.71</v>
      </c>
      <c r="L38" s="9">
        <v>55632.76</v>
      </c>
      <c r="M38" s="9">
        <v>27940.57</v>
      </c>
      <c r="N38" s="10">
        <f t="shared" si="27"/>
        <v>0</v>
      </c>
      <c r="O38" s="12">
        <v>0.1</v>
      </c>
      <c r="P38" s="9">
        <v>20836.43</v>
      </c>
      <c r="Q38" s="9">
        <v>-96139.01</v>
      </c>
      <c r="R38" s="9">
        <v>70812.41</v>
      </c>
      <c r="S38" s="9">
        <v>-4490.18</v>
      </c>
      <c r="T38" s="12">
        <v>7.3</v>
      </c>
      <c r="U38" s="12">
        <v>5.39</v>
      </c>
      <c r="V38" s="12">
        <v>20.65</v>
      </c>
      <c r="W38" s="12">
        <v>4.84</v>
      </c>
      <c r="X38" s="12">
        <v>5.59</v>
      </c>
      <c r="Y38" s="12">
        <v>2.64</v>
      </c>
      <c r="Z38" s="12">
        <f t="shared" si="3"/>
        <v>0</v>
      </c>
      <c r="AA38" s="12"/>
      <c r="AB38" s="12">
        <v>5.77</v>
      </c>
      <c r="AC38" s="12">
        <v>0.72</v>
      </c>
      <c r="AD38" s="12">
        <v>12.55</v>
      </c>
      <c r="AE38" s="12">
        <v>1.19</v>
      </c>
      <c r="AF38" s="12">
        <v>0.53</v>
      </c>
      <c r="AG38" s="12">
        <v>1.69</v>
      </c>
      <c r="AH38" s="12">
        <v>0.93</v>
      </c>
      <c r="AI38" s="12">
        <v>3.51</v>
      </c>
      <c r="AJ38" s="12">
        <v>103.85</v>
      </c>
      <c r="AK38" s="12">
        <v>4.98</v>
      </c>
      <c r="AL38" s="12">
        <v>73.37</v>
      </c>
      <c r="AM38" s="12">
        <v>5.22</v>
      </c>
      <c r="AN38" s="12">
        <v>69.99</v>
      </c>
      <c r="AO38" s="12">
        <v>107.23</v>
      </c>
      <c r="AP38" s="12">
        <f t="shared" si="4"/>
        <v>0.35171</v>
      </c>
      <c r="AQ38" s="35">
        <v>0.5870321879515321</v>
      </c>
      <c r="AR38" s="15">
        <f t="shared" si="5"/>
        <v>1</v>
      </c>
      <c r="AS38" s="15">
        <f t="shared" si="15"/>
        <v>0</v>
      </c>
      <c r="AU38" s="15">
        <f>2.551996+('2021'!C38*0.000000012919)+('2021'!E38*0.000003)-('2021'!H38*0.000002)
-('2021'!U38*0.123062)+('2021'!AC38*0.831)-('2021'!AD38*0.008464)-('2021'!AF38*0.15884)
-('2021'!AL38*0.025383)-('2021'!AM38*0.427021)-('2021'!AN38*0.009878)
</f>
        <v>-2.942088475</v>
      </c>
      <c r="AV38" s="15">
        <v>0.05011176710198716</v>
      </c>
      <c r="AW38" s="14">
        <f t="shared" si="7"/>
        <v>0</v>
      </c>
      <c r="AX38" s="14" t="str">
        <f t="shared" si="28"/>
        <v>#REF!</v>
      </c>
      <c r="AZ38" s="15" t="str">
        <f t="shared" si="29"/>
        <v>#REF!</v>
      </c>
      <c r="BA38" s="15" t="str">
        <f t="shared" si="30"/>
        <v>#REF!</v>
      </c>
      <c r="BB38" s="15" t="str">
        <f t="shared" si="31"/>
        <v>#REF!</v>
      </c>
      <c r="BC38" s="15" t="str">
        <f t="shared" si="32"/>
        <v>#REF!</v>
      </c>
      <c r="BD38" s="15" t="str">
        <f t="shared" si="24"/>
        <v>#REF!</v>
      </c>
    </row>
    <row r="39">
      <c r="A39" s="8" t="s">
        <v>85</v>
      </c>
      <c r="B39" s="34">
        <f t="shared" si="1"/>
        <v>0</v>
      </c>
      <c r="C39" s="9">
        <v>489116.53</v>
      </c>
      <c r="D39" s="9">
        <v>69492.14</v>
      </c>
      <c r="E39" s="9">
        <v>67000.0</v>
      </c>
      <c r="F39" s="9">
        <v>397181.38</v>
      </c>
      <c r="G39" s="9">
        <v>113504.57</v>
      </c>
      <c r="H39" s="9">
        <v>133975.25</v>
      </c>
      <c r="I39" s="9">
        <v>-7554.58</v>
      </c>
      <c r="J39" s="9">
        <v>-20470.69</v>
      </c>
      <c r="K39" s="9">
        <v>-24426.19</v>
      </c>
      <c r="L39" s="9">
        <v>-6331.84</v>
      </c>
      <c r="M39" s="9">
        <v>2315.28</v>
      </c>
      <c r="N39" s="10">
        <f t="shared" si="27"/>
        <v>0</v>
      </c>
      <c r="O39" s="12">
        <v>-0.18</v>
      </c>
      <c r="P39" s="9">
        <v>4966.37</v>
      </c>
      <c r="Q39" s="9">
        <v>55027.24</v>
      </c>
      <c r="R39" s="9">
        <v>-7197.76</v>
      </c>
      <c r="S39" s="9">
        <v>52795.86</v>
      </c>
      <c r="T39" s="12">
        <v>-5.98</v>
      </c>
      <c r="U39" s="12">
        <v>-4.07</v>
      </c>
      <c r="V39" s="12">
        <v>37.72</v>
      </c>
      <c r="W39" s="12">
        <v>-18.14</v>
      </c>
      <c r="X39" s="12">
        <v>-0.34</v>
      </c>
      <c r="Y39" s="12">
        <v>5.57</v>
      </c>
      <c r="Z39" s="12">
        <f t="shared" si="3"/>
        <v>0</v>
      </c>
      <c r="AA39" s="12"/>
      <c r="AB39" s="12">
        <v>-18.04</v>
      </c>
      <c r="AC39" s="12">
        <v>0.17</v>
      </c>
      <c r="AD39" s="12">
        <v>-49.61</v>
      </c>
      <c r="AE39" s="12">
        <v>9.09</v>
      </c>
      <c r="AF39" s="12">
        <v>8.86</v>
      </c>
      <c r="AG39" s="12">
        <v>2.93</v>
      </c>
      <c r="AH39" s="12">
        <v>0.23</v>
      </c>
      <c r="AI39" s="12">
        <v>14.17</v>
      </c>
      <c r="AJ39" s="12">
        <v>25.76</v>
      </c>
      <c r="AK39" s="12">
        <v>5.87</v>
      </c>
      <c r="AL39" s="12">
        <v>62.2</v>
      </c>
      <c r="AM39" s="12">
        <v>2.02</v>
      </c>
      <c r="AN39" s="12">
        <v>180.67</v>
      </c>
      <c r="AO39" s="12">
        <v>-92.72</v>
      </c>
      <c r="AP39" s="12">
        <f t="shared" si="4"/>
        <v>10.15031</v>
      </c>
      <c r="AQ39" s="35">
        <v>0.9999609375559663</v>
      </c>
      <c r="AR39" s="15">
        <f t="shared" si="5"/>
        <v>1</v>
      </c>
      <c r="AS39" s="15">
        <f t="shared" si="15"/>
        <v>0</v>
      </c>
      <c r="AU39" s="15">
        <f>2.551996+('2021'!C39*0.000000012919)+('2021'!E39*0.000003)-('2021'!H39*0.000002)
-('2021'!U39*0.123062)+('2021'!AC39*0.831)-('2021'!AD39*0.008464)-('2021'!AF39*0.15884)
-('2021'!AL39*0.025383)-('2021'!AM39*0.427021)-('2021'!AN39*0.009878)
</f>
        <v>-2.079989904</v>
      </c>
      <c r="AV39" s="15">
        <v>0.11105696346260599</v>
      </c>
      <c r="AW39" s="14">
        <f t="shared" si="7"/>
        <v>0</v>
      </c>
      <c r="AX39" s="14" t="str">
        <f t="shared" si="28"/>
        <v>#REF!</v>
      </c>
      <c r="AZ39" s="15" t="str">
        <f t="shared" si="29"/>
        <v>#REF!</v>
      </c>
      <c r="BA39" s="15" t="str">
        <f t="shared" si="30"/>
        <v>#REF!</v>
      </c>
      <c r="BB39" s="15" t="str">
        <f t="shared" si="31"/>
        <v>#REF!</v>
      </c>
      <c r="BC39" s="15" t="str">
        <f t="shared" si="32"/>
        <v>#REF!</v>
      </c>
      <c r="BD39" s="15" t="str">
        <f t="shared" si="24"/>
        <v>#REF!</v>
      </c>
    </row>
    <row r="40">
      <c r="A40" s="8" t="s">
        <v>86</v>
      </c>
      <c r="B40" s="34" t="str">
        <f t="shared" si="1"/>
        <v/>
      </c>
      <c r="C40" s="9">
        <v>608616.96</v>
      </c>
      <c r="D40" s="9">
        <v>220206.79</v>
      </c>
      <c r="E40" s="9">
        <v>150000.0</v>
      </c>
      <c r="F40" s="9">
        <v>388410.18</v>
      </c>
      <c r="G40" s="9">
        <v>312438.73</v>
      </c>
      <c r="H40" s="9">
        <v>264929.48</v>
      </c>
      <c r="I40" s="9">
        <v>77072.62</v>
      </c>
      <c r="J40" s="9">
        <v>47509.25</v>
      </c>
      <c r="K40" s="9">
        <v>31795.3</v>
      </c>
      <c r="L40" s="9" t="e">
        <v>#N/A</v>
      </c>
      <c r="M40" s="9" t="e">
        <v>#N/A</v>
      </c>
      <c r="N40" s="10"/>
      <c r="O40" s="12">
        <v>0.26</v>
      </c>
      <c r="P40" s="9">
        <v>73572.44</v>
      </c>
      <c r="Q40" s="9">
        <v>-20877.76</v>
      </c>
      <c r="R40" s="9">
        <v>11041.19</v>
      </c>
      <c r="S40" s="9">
        <v>63735.87</v>
      </c>
      <c r="T40" s="12">
        <v>12.34</v>
      </c>
      <c r="U40" s="12">
        <v>8.3</v>
      </c>
      <c r="V40" s="12">
        <v>36.37</v>
      </c>
      <c r="W40" s="12">
        <v>10.18</v>
      </c>
      <c r="X40" s="12" t="e">
        <v>#N/A</v>
      </c>
      <c r="Y40" s="12" t="e">
        <v>#N/A</v>
      </c>
      <c r="Z40" s="12" t="str">
        <f t="shared" si="3"/>
        <v>#N/A</v>
      </c>
      <c r="AA40" s="12"/>
      <c r="AB40" s="12">
        <v>15.21</v>
      </c>
      <c r="AC40" s="12">
        <v>0.57</v>
      </c>
      <c r="AD40" s="12">
        <v>3.18</v>
      </c>
      <c r="AE40" s="12">
        <v>1.19</v>
      </c>
      <c r="AF40" s="12">
        <v>0.99</v>
      </c>
      <c r="AG40" s="12">
        <v>0.74</v>
      </c>
      <c r="AH40" s="12">
        <v>0.55</v>
      </c>
      <c r="AI40" s="12">
        <v>10.45</v>
      </c>
      <c r="AJ40" s="12">
        <v>34.94</v>
      </c>
      <c r="AK40" s="12">
        <v>8.67</v>
      </c>
      <c r="AL40" s="12">
        <v>42.08</v>
      </c>
      <c r="AM40" s="12">
        <v>5.86</v>
      </c>
      <c r="AN40" s="12">
        <v>62.3</v>
      </c>
      <c r="AO40" s="12">
        <v>14.72</v>
      </c>
      <c r="AP40" s="12">
        <f t="shared" si="4"/>
        <v>-1.66007</v>
      </c>
      <c r="AQ40" s="35">
        <v>0.15975260050037546</v>
      </c>
      <c r="AR40" s="15">
        <f t="shared" si="5"/>
        <v>0</v>
      </c>
      <c r="AS40" s="15">
        <f t="shared" si="15"/>
        <v>1</v>
      </c>
      <c r="AU40" s="15">
        <f>2.551996+('2021'!C40*0.000000012919)+('2021'!E40*0.000003)-('2021'!H40*0.000002)
-('2021'!U40*0.123062)+('2021'!AC40*0.831)-('2021'!AD40*0.008464)-('2021'!AF40*0.15884)
-('2021'!AL40*0.025383)-('2021'!AM40*0.427021)-('2021'!AN40*0.009878)
</f>
        <v>-2.437771057</v>
      </c>
      <c r="AV40" s="15">
        <v>0.08033743991219273</v>
      </c>
      <c r="AW40" s="14">
        <f t="shared" si="7"/>
        <v>0</v>
      </c>
      <c r="AX40" s="14"/>
      <c r="BD40" s="15">
        <f t="shared" si="24"/>
        <v>0</v>
      </c>
    </row>
    <row r="41">
      <c r="A41" s="8" t="s">
        <v>87</v>
      </c>
      <c r="B41" s="34">
        <f t="shared" si="1"/>
        <v>0</v>
      </c>
      <c r="C41" s="9">
        <v>687817.69</v>
      </c>
      <c r="D41" s="9">
        <v>89074.98</v>
      </c>
      <c r="E41" s="9">
        <v>199000.0</v>
      </c>
      <c r="F41" s="9">
        <v>593148.36</v>
      </c>
      <c r="G41" s="9">
        <v>476083.77</v>
      </c>
      <c r="H41" s="9">
        <v>397417.73</v>
      </c>
      <c r="I41" s="9">
        <v>109580.9</v>
      </c>
      <c r="J41" s="9">
        <v>84351.01</v>
      </c>
      <c r="K41" s="9">
        <v>68994.77</v>
      </c>
      <c r="L41" s="9">
        <v>26589.74</v>
      </c>
      <c r="M41" s="9">
        <v>72969.24</v>
      </c>
      <c r="N41" s="10">
        <f>IF(AND(K41&lt;0,L41&lt;0,M41&lt;0),1,0)</f>
        <v>0</v>
      </c>
      <c r="O41" s="12">
        <v>0.35</v>
      </c>
      <c r="P41" s="9">
        <v>67985.34</v>
      </c>
      <c r="Q41" s="9">
        <v>-14260.88</v>
      </c>
      <c r="R41" s="9">
        <v>-16589.26</v>
      </c>
      <c r="S41" s="9">
        <v>37135.2</v>
      </c>
      <c r="T41" s="12">
        <v>12.18</v>
      </c>
      <c r="U41" s="12">
        <v>12.75</v>
      </c>
      <c r="V41" s="12">
        <v>21.79</v>
      </c>
      <c r="W41" s="12">
        <v>14.43</v>
      </c>
      <c r="X41" s="12">
        <v>6.84</v>
      </c>
      <c r="Y41" s="12">
        <v>12.68</v>
      </c>
      <c r="Z41" s="12">
        <f t="shared" si="3"/>
        <v>0</v>
      </c>
      <c r="AA41" s="12"/>
      <c r="AB41" s="12">
        <v>17.72</v>
      </c>
      <c r="AC41" s="12">
        <v>0.15</v>
      </c>
      <c r="AD41" s="12">
        <v>315.3</v>
      </c>
      <c r="AE41" s="12">
        <v>6.54</v>
      </c>
      <c r="AF41" s="12">
        <v>4.95</v>
      </c>
      <c r="AG41" s="12">
        <v>3.96</v>
      </c>
      <c r="AH41" s="12">
        <v>0.72</v>
      </c>
      <c r="AI41" s="12">
        <v>4.4</v>
      </c>
      <c r="AJ41" s="12">
        <v>82.89</v>
      </c>
      <c r="AK41" s="12">
        <v>5.29</v>
      </c>
      <c r="AL41" s="12">
        <v>69.03</v>
      </c>
      <c r="AM41" s="12">
        <v>7.3</v>
      </c>
      <c r="AN41" s="12">
        <v>50.0</v>
      </c>
      <c r="AO41" s="12">
        <v>101.92</v>
      </c>
      <c r="AP41" s="12">
        <f t="shared" si="4"/>
        <v>1.43442</v>
      </c>
      <c r="AQ41" s="35">
        <v>0.8075890689014699</v>
      </c>
      <c r="AR41" s="15">
        <f t="shared" si="5"/>
        <v>1</v>
      </c>
      <c r="AS41" s="15">
        <f t="shared" si="15"/>
        <v>0</v>
      </c>
      <c r="AU41" s="15">
        <f>2.551996+('2021'!C41*0.000000012919)+('2021'!E41*0.000003)-('2021'!H41*0.000002)
-('2021'!U41*0.123062)+('2021'!AC41*0.831)-('2021'!AD41*0.008464)-('2021'!AF41*0.15884)
-('2021'!AL41*0.025383)-('2021'!AM41*0.427021)-('2021'!AN41*0.009878)
</f>
        <v>-7.899643033</v>
      </c>
      <c r="AV41" s="15">
        <v>3.7073840925102317E-4</v>
      </c>
      <c r="AW41" s="14">
        <f t="shared" si="7"/>
        <v>0</v>
      </c>
      <c r="AX41" s="14" t="str">
        <f>IF(AW41='temp result 2022'!B41,1,IF(Z41="-",1,0))</f>
        <v>#REF!</v>
      </c>
      <c r="AZ41" s="15" t="str">
        <f>IF(and(AW41=0,AX41=1),1,0)</f>
        <v>#REF!</v>
      </c>
      <c r="BA41" s="15" t="str">
        <f>IF(AND(AW41=0,AX41=0),1,0)</f>
        <v>#REF!</v>
      </c>
      <c r="BB41" s="15" t="str">
        <f>IF(AND(AW41=1,AX41=0),1,0)</f>
        <v>#REF!</v>
      </c>
      <c r="BC41" s="15" t="str">
        <f>IF(AND(AW41=1,AX41=1),1,0)</f>
        <v>#REF!</v>
      </c>
      <c r="BD41" s="15" t="str">
        <f t="shared" si="24"/>
        <v>#REF!</v>
      </c>
    </row>
    <row r="42">
      <c r="A42" s="8" t="s">
        <v>88</v>
      </c>
      <c r="B42" s="34" t="str">
        <f t="shared" si="1"/>
        <v/>
      </c>
      <c r="C42" s="9">
        <v>1051150.43</v>
      </c>
      <c r="D42" s="9">
        <v>682964.03</v>
      </c>
      <c r="E42" s="9">
        <v>250000.0</v>
      </c>
      <c r="F42" s="9">
        <v>355578.66</v>
      </c>
      <c r="G42" s="9">
        <v>891923.19</v>
      </c>
      <c r="H42" s="9">
        <v>875292.55</v>
      </c>
      <c r="I42" s="9">
        <v>50645.62</v>
      </c>
      <c r="J42" s="9">
        <v>21338.18</v>
      </c>
      <c r="K42" s="9">
        <v>8099.6</v>
      </c>
      <c r="L42" s="9" t="e">
        <v>#N/A</v>
      </c>
      <c r="M42" s="9" t="e">
        <v>#N/A</v>
      </c>
      <c r="N42" s="10"/>
      <c r="O42" s="12">
        <v>0.02</v>
      </c>
      <c r="P42" s="9">
        <v>13219.04</v>
      </c>
      <c r="Q42" s="9">
        <v>-127647.44</v>
      </c>
      <c r="R42" s="9">
        <v>114971.92</v>
      </c>
      <c r="S42" s="12">
        <v>543.51</v>
      </c>
      <c r="T42" s="12">
        <v>2.3</v>
      </c>
      <c r="U42" s="12">
        <v>2.26</v>
      </c>
      <c r="V42" s="12">
        <v>6.9</v>
      </c>
      <c r="W42" s="12">
        <v>1.04</v>
      </c>
      <c r="X42" s="12" t="e">
        <v>#N/A</v>
      </c>
      <c r="Y42" s="12" t="e">
        <v>#N/A</v>
      </c>
      <c r="Z42" s="12" t="str">
        <f t="shared" si="3"/>
        <v>#N/A</v>
      </c>
      <c r="AA42" s="12"/>
      <c r="AB42" s="12">
        <v>2.39</v>
      </c>
      <c r="AC42" s="12">
        <v>1.85</v>
      </c>
      <c r="AD42" s="12">
        <v>2.41</v>
      </c>
      <c r="AE42" s="12">
        <v>1.01</v>
      </c>
      <c r="AF42" s="12">
        <v>0.68</v>
      </c>
      <c r="AG42" s="12">
        <v>3.21</v>
      </c>
      <c r="AH42" s="12">
        <v>0.95</v>
      </c>
      <c r="AI42" s="12">
        <v>26.01</v>
      </c>
      <c r="AJ42" s="12">
        <v>14.03</v>
      </c>
      <c r="AK42" s="12">
        <v>2.87</v>
      </c>
      <c r="AL42" s="12">
        <v>127.18</v>
      </c>
      <c r="AM42" s="12">
        <v>7.58</v>
      </c>
      <c r="AN42" s="12">
        <v>48.15</v>
      </c>
      <c r="AO42" s="12">
        <v>93.06</v>
      </c>
      <c r="AP42" s="12">
        <f t="shared" si="4"/>
        <v>0.52333</v>
      </c>
      <c r="AQ42" s="35">
        <v>0.627926101418854</v>
      </c>
      <c r="AR42" s="15">
        <f t="shared" si="5"/>
        <v>1</v>
      </c>
      <c r="AS42" s="15">
        <f t="shared" si="15"/>
        <v>0</v>
      </c>
      <c r="AU42" s="15">
        <f>2.551996+('2021'!C42*0.000000012919)+('2021'!E42*0.000003)-('2021'!H42*0.000002)
-('2021'!U42*0.123062)+('2021'!AC42*0.831)-('2021'!AD42*0.008464)-('2021'!AF42*0.15884)
-('2021'!AL42*0.025383)-('2021'!AM42*0.427021)-('2021'!AN42*0.009878)
</f>
        <v>-4.244843668</v>
      </c>
      <c r="AV42" s="15">
        <v>0.014135303367710099</v>
      </c>
      <c r="AW42" s="14">
        <f t="shared" si="7"/>
        <v>0</v>
      </c>
      <c r="AX42" s="14"/>
      <c r="BD42" s="15">
        <f t="shared" si="24"/>
        <v>0</v>
      </c>
    </row>
    <row r="43">
      <c r="A43" s="8" t="s">
        <v>89</v>
      </c>
      <c r="B43" s="34">
        <f t="shared" si="1"/>
        <v>1</v>
      </c>
      <c r="C43" s="9">
        <v>1108296.19</v>
      </c>
      <c r="D43" s="9">
        <v>656883.32</v>
      </c>
      <c r="E43" s="9">
        <v>143999.86</v>
      </c>
      <c r="F43" s="9">
        <v>451403.66</v>
      </c>
      <c r="G43" s="9">
        <v>534392.24</v>
      </c>
      <c r="H43" s="9">
        <v>544147.57</v>
      </c>
      <c r="I43" s="9">
        <v>26051.28</v>
      </c>
      <c r="J43" s="9">
        <v>-9755.33</v>
      </c>
      <c r="K43" s="9">
        <v>-24234.35</v>
      </c>
      <c r="L43" s="9">
        <v>-7805.92</v>
      </c>
      <c r="M43" s="9">
        <v>-15587.39</v>
      </c>
      <c r="N43" s="10">
        <f>IF(AND(K43&lt;0,L43&lt;0,M43&lt;0),1,0)</f>
        <v>1</v>
      </c>
      <c r="O43" s="12">
        <v>-0.08</v>
      </c>
      <c r="P43" s="9">
        <v>34416.93</v>
      </c>
      <c r="Q43" s="9">
        <v>-12595.1</v>
      </c>
      <c r="R43" s="9">
        <v>-28986.79</v>
      </c>
      <c r="S43" s="9">
        <v>-7164.96</v>
      </c>
      <c r="T43" s="12">
        <v>-5.21</v>
      </c>
      <c r="U43" s="12">
        <v>-0.87</v>
      </c>
      <c r="V43" s="12">
        <v>25.83</v>
      </c>
      <c r="W43" s="12">
        <v>-4.53</v>
      </c>
      <c r="X43" s="12">
        <v>-1.35</v>
      </c>
      <c r="Y43" s="12">
        <v>-1.99</v>
      </c>
      <c r="Z43" s="12">
        <f t="shared" si="3"/>
        <v>1</v>
      </c>
      <c r="AA43" s="12"/>
      <c r="AB43" s="12">
        <v>-1.83</v>
      </c>
      <c r="AC43" s="12">
        <v>1.46</v>
      </c>
      <c r="AD43" s="12">
        <v>-0.62</v>
      </c>
      <c r="AE43" s="12">
        <v>1.32</v>
      </c>
      <c r="AF43" s="12">
        <v>0.68</v>
      </c>
      <c r="AG43" s="12">
        <v>0.91</v>
      </c>
      <c r="AH43" s="12">
        <v>0.48</v>
      </c>
      <c r="AI43" s="12">
        <v>2.62</v>
      </c>
      <c r="AJ43" s="12">
        <v>139.29</v>
      </c>
      <c r="AK43" s="12">
        <v>4.75</v>
      </c>
      <c r="AL43" s="12">
        <v>76.87</v>
      </c>
      <c r="AM43" s="12">
        <v>4.45</v>
      </c>
      <c r="AN43" s="12">
        <v>81.96</v>
      </c>
      <c r="AO43" s="12">
        <v>134.19</v>
      </c>
      <c r="AP43" s="12">
        <f t="shared" si="4"/>
        <v>1.28289</v>
      </c>
      <c r="AQ43" s="35">
        <v>0.78294131678428</v>
      </c>
      <c r="AR43" s="15">
        <f t="shared" si="5"/>
        <v>1</v>
      </c>
      <c r="AS43" s="15">
        <f t="shared" si="15"/>
        <v>1</v>
      </c>
      <c r="AU43" s="15">
        <f>2.551996+('2021'!C43*0.000000012919)+('2021'!E43*0.000003)-('2021'!H43*0.000002)
-('2021'!U43*0.123062)+('2021'!AC43*0.831)-('2021'!AD43*0.008464)-('2021'!AF43*0.15884)
-('2021'!AL43*0.025383)-('2021'!AM43*0.427021)-('2021'!AN43*0.009878)
</f>
        <v>-1.533456602</v>
      </c>
      <c r="AV43" s="15">
        <v>0.17748850652546005</v>
      </c>
      <c r="AW43" s="14">
        <f t="shared" si="7"/>
        <v>0</v>
      </c>
      <c r="AX43" s="14" t="str">
        <f>IF(AW43='temp result 2022'!B43,1,IF(Z43="-",1,0))</f>
        <v>#REF!</v>
      </c>
      <c r="AZ43" s="15" t="str">
        <f>IF(and(AW43=0,AX43=1),1,0)</f>
        <v>#REF!</v>
      </c>
      <c r="BA43" s="15" t="str">
        <f>IF(AND(AW43=0,AX43=0),1,0)</f>
        <v>#REF!</v>
      </c>
      <c r="BB43" s="15" t="str">
        <f>IF(AND(AW43=1,AX43=0),1,0)</f>
        <v>#REF!</v>
      </c>
      <c r="BC43" s="15" t="str">
        <f>IF(AND(AW43=1,AX43=1),1,0)</f>
        <v>#REF!</v>
      </c>
      <c r="BD43" s="15" t="str">
        <f t="shared" si="24"/>
        <v>#REF!</v>
      </c>
    </row>
    <row r="44">
      <c r="A44" s="8" t="s">
        <v>90</v>
      </c>
      <c r="B44" s="34" t="str">
        <f t="shared" si="1"/>
        <v/>
      </c>
      <c r="C44" s="9">
        <v>733005.92</v>
      </c>
      <c r="D44" s="9">
        <v>282921.02</v>
      </c>
      <c r="E44" s="9">
        <v>420000.0</v>
      </c>
      <c r="F44" s="9">
        <v>450084.9</v>
      </c>
      <c r="G44" s="9">
        <v>61999.78</v>
      </c>
      <c r="H44" s="9">
        <v>66566.89</v>
      </c>
      <c r="I44" s="9">
        <v>-2589.47</v>
      </c>
      <c r="J44" s="9">
        <v>-4567.11</v>
      </c>
      <c r="K44" s="9">
        <v>-6827.36</v>
      </c>
      <c r="L44" s="9" t="e">
        <v>#N/A</v>
      </c>
      <c r="M44" s="9" t="e">
        <v>#N/A</v>
      </c>
      <c r="N44" s="10"/>
      <c r="O44" s="12">
        <v>-0.01</v>
      </c>
      <c r="P44" s="9">
        <v>-6065.07</v>
      </c>
      <c r="Q44" s="9">
        <v>-6059.16</v>
      </c>
      <c r="R44" s="9">
        <v>-85050.65</v>
      </c>
      <c r="S44" s="9">
        <v>-97174.88</v>
      </c>
      <c r="T44" s="12">
        <v>-1.46</v>
      </c>
      <c r="U44" s="12">
        <v>-0.58</v>
      </c>
      <c r="V44" s="12">
        <v>33.74</v>
      </c>
      <c r="W44" s="12">
        <v>-11.01</v>
      </c>
      <c r="X44" s="12" t="e">
        <v>#N/A</v>
      </c>
      <c r="Y44" s="12" t="e">
        <v>#N/A</v>
      </c>
      <c r="Z44" s="12" t="str">
        <f t="shared" si="3"/>
        <v>#N/A</v>
      </c>
      <c r="AA44" s="12"/>
      <c r="AB44" s="12">
        <v>-7.37</v>
      </c>
      <c r="AC44" s="12">
        <v>0.63</v>
      </c>
      <c r="AD44" s="12">
        <v>-1.16</v>
      </c>
      <c r="AE44" s="12">
        <v>0.67</v>
      </c>
      <c r="AF44" s="12">
        <v>0.14</v>
      </c>
      <c r="AG44" s="12">
        <v>1.46</v>
      </c>
      <c r="AH44" s="12">
        <v>0.08</v>
      </c>
      <c r="AI44" s="12">
        <v>0.28</v>
      </c>
      <c r="AJ44" s="9">
        <v>1284.13</v>
      </c>
      <c r="AK44" s="9">
        <v>2441.79</v>
      </c>
      <c r="AL44" s="12">
        <v>0.15</v>
      </c>
      <c r="AM44" s="12">
        <v>21.26</v>
      </c>
      <c r="AN44" s="12">
        <v>17.17</v>
      </c>
      <c r="AO44" s="9">
        <v>1267.11</v>
      </c>
      <c r="AP44" s="12">
        <f t="shared" si="4"/>
        <v>2.29422</v>
      </c>
      <c r="AQ44" s="35">
        <v>0.9083972092377012</v>
      </c>
      <c r="AR44" s="15">
        <f t="shared" si="5"/>
        <v>1</v>
      </c>
      <c r="AS44" s="15">
        <f t="shared" si="15"/>
        <v>0</v>
      </c>
      <c r="AU44" s="15">
        <f>2.551996+('2021'!C44*0.000000012919)+('2021'!E44*0.000003)-('2021'!H44*0.000002)
-('2021'!U44*0.123062)+('2021'!AC44*0.831)-('2021'!AD44*0.008464)-('2021'!AF44*0.15884)
-('2021'!AL44*0.025383)-('2021'!AM44*0.427021)-('2021'!AN44*0.009878)
</f>
        <v>-4.981060647</v>
      </c>
      <c r="AV44" s="15">
        <v>0.006819944444927727</v>
      </c>
      <c r="AW44" s="14">
        <f t="shared" si="7"/>
        <v>0</v>
      </c>
      <c r="AX44" s="14"/>
      <c r="BD44" s="15">
        <f t="shared" si="24"/>
        <v>0</v>
      </c>
    </row>
    <row r="45">
      <c r="A45" s="8" t="s">
        <v>91</v>
      </c>
      <c r="B45" s="34">
        <f t="shared" si="1"/>
        <v>1</v>
      </c>
      <c r="C45" s="9">
        <v>393324.97</v>
      </c>
      <c r="D45" s="9">
        <v>113757.55</v>
      </c>
      <c r="E45" s="9">
        <v>932561.78</v>
      </c>
      <c r="F45" s="9">
        <v>279567.43</v>
      </c>
      <c r="G45" s="9">
        <v>145558.28</v>
      </c>
      <c r="H45" s="9">
        <v>230647.57</v>
      </c>
      <c r="I45" s="9">
        <v>-81521.71</v>
      </c>
      <c r="J45" s="9">
        <v>-85901.09</v>
      </c>
      <c r="K45" s="9">
        <v>-89252.9</v>
      </c>
      <c r="L45" s="9">
        <v>-94299.24</v>
      </c>
      <c r="M45" s="9">
        <v>-115860.94</v>
      </c>
      <c r="N45" s="10">
        <f>IF(AND(K45&lt;0,L45&lt;0,M45&lt;0),1,0)</f>
        <v>1</v>
      </c>
      <c r="O45" s="12">
        <v>-0.05</v>
      </c>
      <c r="P45" s="9">
        <v>-35926.66</v>
      </c>
      <c r="Q45" s="9">
        <v>7581.98</v>
      </c>
      <c r="R45" s="9">
        <v>134439.28</v>
      </c>
      <c r="S45" s="9">
        <v>106094.6</v>
      </c>
      <c r="T45" s="12">
        <v>-38.92</v>
      </c>
      <c r="U45" s="12">
        <v>-23.62</v>
      </c>
      <c r="V45" s="12">
        <v>19.97</v>
      </c>
      <c r="W45" s="12">
        <v>-61.32</v>
      </c>
      <c r="X45" s="12">
        <v>-37.66</v>
      </c>
      <c r="Y45" s="12">
        <v>-35.49</v>
      </c>
      <c r="Z45" s="12">
        <f t="shared" si="3"/>
        <v>1</v>
      </c>
      <c r="AA45" s="12"/>
      <c r="AB45" s="12">
        <v>-59.01</v>
      </c>
      <c r="AC45" s="12">
        <v>0.41</v>
      </c>
      <c r="AD45" s="12">
        <v>-22.69</v>
      </c>
      <c r="AE45" s="12">
        <v>2.47</v>
      </c>
      <c r="AF45" s="12">
        <v>2.21</v>
      </c>
      <c r="AG45" s="12">
        <v>2.28</v>
      </c>
      <c r="AH45" s="12">
        <v>0.4</v>
      </c>
      <c r="AI45" s="12">
        <v>4.26</v>
      </c>
      <c r="AJ45" s="12">
        <v>85.74</v>
      </c>
      <c r="AK45" s="12">
        <v>2.39</v>
      </c>
      <c r="AL45" s="12">
        <v>152.78</v>
      </c>
      <c r="AM45" s="12">
        <v>2.24</v>
      </c>
      <c r="AN45" s="12">
        <v>162.69</v>
      </c>
      <c r="AO45" s="12">
        <v>75.83</v>
      </c>
      <c r="AP45" s="12">
        <f t="shared" si="4"/>
        <v>21.79873</v>
      </c>
      <c r="AQ45" s="35">
        <v>0.9999999996588607</v>
      </c>
      <c r="AR45" s="15">
        <f t="shared" si="5"/>
        <v>1</v>
      </c>
      <c r="AS45" s="15">
        <f t="shared" si="15"/>
        <v>1</v>
      </c>
      <c r="AU45" s="15">
        <f>2.551996+('2021'!C45*0.000000012919)+('2021'!E45*0.000003)-('2021'!H45*0.000002)
-('2021'!U45*0.123062)+('2021'!AC45*0.831)-('2021'!AD45*0.008464)-('2021'!AF45*0.15884)
-('2021'!AL45*0.025383)-('2021'!AM45*0.427021)-('2021'!AN45*0.009878)
</f>
        <v>1.540320165</v>
      </c>
      <c r="AV45" s="15">
        <v>0.8235112630117511</v>
      </c>
      <c r="AW45" s="14">
        <f t="shared" si="7"/>
        <v>1</v>
      </c>
      <c r="AX45" s="14" t="str">
        <f>IF(AW45='temp result 2022'!B45,1,IF(Z45="-",1,0))</f>
        <v>#REF!</v>
      </c>
      <c r="AZ45" s="15" t="str">
        <f>IF(and(AW45=0,AX45=1),1,0)</f>
        <v>#REF!</v>
      </c>
      <c r="BA45" s="15" t="str">
        <f>IF(AND(AW45=0,AX45=0),1,0)</f>
        <v>#REF!</v>
      </c>
      <c r="BB45" s="15" t="str">
        <f>IF(AND(AW45=1,AX45=0),1,0)</f>
        <v>#REF!</v>
      </c>
      <c r="BC45" s="15" t="str">
        <f>IF(AND(AW45=1,AX45=1),1,0)</f>
        <v>#REF!</v>
      </c>
      <c r="BD45" s="15" t="str">
        <f t="shared" si="24"/>
        <v>#REF!</v>
      </c>
    </row>
    <row r="46">
      <c r="A46" s="8" t="s">
        <v>92</v>
      </c>
      <c r="B46" s="34" t="str">
        <f t="shared" si="1"/>
        <v/>
      </c>
      <c r="C46" s="9">
        <v>1342900.34</v>
      </c>
      <c r="D46" s="9">
        <v>310011.68</v>
      </c>
      <c r="E46" s="9">
        <v>220000.0</v>
      </c>
      <c r="F46" s="9">
        <v>1032887.9</v>
      </c>
      <c r="G46" s="9">
        <v>1093640.66</v>
      </c>
      <c r="H46" s="9">
        <v>889269.89</v>
      </c>
      <c r="I46" s="9">
        <v>309004.14</v>
      </c>
      <c r="J46" s="9">
        <v>252490.47</v>
      </c>
      <c r="K46" s="9">
        <v>200682.75</v>
      </c>
      <c r="L46" s="9" t="e">
        <v>#N/A</v>
      </c>
      <c r="M46" s="9" t="e">
        <v>#N/A</v>
      </c>
      <c r="N46" s="10"/>
      <c r="O46" s="12">
        <v>0.48</v>
      </c>
      <c r="P46" s="9">
        <v>145472.38</v>
      </c>
      <c r="Q46" s="9">
        <v>-46942.82</v>
      </c>
      <c r="R46" s="9">
        <v>303068.4</v>
      </c>
      <c r="S46" s="9">
        <v>401597.96</v>
      </c>
      <c r="T46" s="12">
        <v>29.39</v>
      </c>
      <c r="U46" s="12">
        <v>23.86</v>
      </c>
      <c r="V46" s="12">
        <v>29.58</v>
      </c>
      <c r="W46" s="12">
        <v>18.35</v>
      </c>
      <c r="X46" s="12" t="e">
        <v>#N/A</v>
      </c>
      <c r="Y46" s="12" t="e">
        <v>#N/A</v>
      </c>
      <c r="Z46" s="12" t="str">
        <f t="shared" si="3"/>
        <v>#N/A</v>
      </c>
      <c r="AA46" s="12"/>
      <c r="AB46" s="12">
        <v>23.09</v>
      </c>
      <c r="AC46" s="12">
        <v>0.3</v>
      </c>
      <c r="AD46" s="12">
        <v>42.54</v>
      </c>
      <c r="AE46" s="12">
        <v>3.78</v>
      </c>
      <c r="AF46" s="12">
        <v>2.46</v>
      </c>
      <c r="AG46" s="12">
        <v>4.91</v>
      </c>
      <c r="AH46" s="12">
        <v>1.03</v>
      </c>
      <c r="AI46" s="12">
        <v>20.95</v>
      </c>
      <c r="AJ46" s="12">
        <v>17.42</v>
      </c>
      <c r="AK46" s="12">
        <v>5.45</v>
      </c>
      <c r="AL46" s="12">
        <v>66.93</v>
      </c>
      <c r="AM46" s="12">
        <v>7.99</v>
      </c>
      <c r="AN46" s="12">
        <v>45.69</v>
      </c>
      <c r="AO46" s="12">
        <v>38.67</v>
      </c>
      <c r="AP46" s="12">
        <f t="shared" si="4"/>
        <v>1.60291</v>
      </c>
      <c r="AQ46" s="35">
        <v>0.832424704906323</v>
      </c>
      <c r="AR46" s="15">
        <f t="shared" si="5"/>
        <v>1</v>
      </c>
      <c r="AS46" s="15">
        <f t="shared" si="15"/>
        <v>0</v>
      </c>
      <c r="AU46" s="15">
        <f>2.551996+('2021'!C46*0.000000012919)+('2021'!E46*0.000003)-('2021'!H46*0.000002)
-('2021'!U46*0.123062)+('2021'!AC46*0.831)-('2021'!AD46*0.008464)-('2021'!AF46*0.15884)
-('2021'!AL46*0.025383)-('2021'!AM46*0.427021)-('2021'!AN46*0.009878)
</f>
        <v>-7.549066931</v>
      </c>
      <c r="AV46" s="15">
        <v>5.263240905913869E-4</v>
      </c>
      <c r="AW46" s="14">
        <f t="shared" si="7"/>
        <v>0</v>
      </c>
      <c r="AX46" s="14"/>
      <c r="BD46" s="15">
        <f t="shared" si="24"/>
        <v>0</v>
      </c>
    </row>
    <row r="47">
      <c r="A47" s="8" t="s">
        <v>93</v>
      </c>
      <c r="B47" s="34">
        <f t="shared" si="1"/>
        <v>0</v>
      </c>
      <c r="C47" s="9">
        <v>1626994.99</v>
      </c>
      <c r="D47" s="9">
        <v>364700.27</v>
      </c>
      <c r="E47" s="9">
        <v>205000.25</v>
      </c>
      <c r="F47" s="9">
        <v>1280554.68</v>
      </c>
      <c r="G47" s="9">
        <v>1018598.6</v>
      </c>
      <c r="H47" s="9">
        <v>746822.52</v>
      </c>
      <c r="I47" s="9">
        <v>338819.11</v>
      </c>
      <c r="J47" s="9">
        <v>271776.08</v>
      </c>
      <c r="K47" s="9">
        <v>49789.54</v>
      </c>
      <c r="L47" s="9">
        <v>141247.73</v>
      </c>
      <c r="M47" s="9">
        <v>86706.95</v>
      </c>
      <c r="N47" s="10">
        <f>IF(AND(K47&lt;0,L47&lt;0,M47&lt;0),1,0)</f>
        <v>0</v>
      </c>
      <c r="O47" s="12">
        <v>0.12</v>
      </c>
      <c r="P47" s="9">
        <v>145002.01</v>
      </c>
      <c r="Q47" s="9">
        <v>-71677.26</v>
      </c>
      <c r="R47" s="9">
        <v>-54649.59</v>
      </c>
      <c r="S47" s="9">
        <v>18675.16</v>
      </c>
      <c r="T47" s="12">
        <v>3.99</v>
      </c>
      <c r="U47" s="12">
        <v>16.17</v>
      </c>
      <c r="V47" s="12">
        <v>42.81</v>
      </c>
      <c r="W47" s="12">
        <v>1.9</v>
      </c>
      <c r="X47" s="12">
        <v>8.22</v>
      </c>
      <c r="Y47" s="12">
        <v>9.22</v>
      </c>
      <c r="Z47" s="12">
        <f t="shared" si="3"/>
        <v>0</v>
      </c>
      <c r="AA47" s="12"/>
      <c r="AB47" s="12">
        <v>26.68</v>
      </c>
      <c r="AC47" s="12">
        <v>0.29</v>
      </c>
      <c r="AD47" s="12">
        <v>40.47</v>
      </c>
      <c r="AE47" s="12">
        <v>2.42</v>
      </c>
      <c r="AF47" s="12">
        <v>1.93</v>
      </c>
      <c r="AG47" s="12">
        <v>1.12</v>
      </c>
      <c r="AH47" s="12">
        <v>0.61</v>
      </c>
      <c r="AI47" s="12">
        <v>3.23</v>
      </c>
      <c r="AJ47" s="12">
        <v>113.08</v>
      </c>
      <c r="AK47" s="12">
        <v>3.28</v>
      </c>
      <c r="AL47" s="12">
        <v>111.15</v>
      </c>
      <c r="AM47" s="12">
        <v>3.03</v>
      </c>
      <c r="AN47" s="12">
        <v>120.28</v>
      </c>
      <c r="AO47" s="12">
        <v>103.94</v>
      </c>
      <c r="AP47" s="12">
        <f t="shared" si="4"/>
        <v>7.35446</v>
      </c>
      <c r="AQ47" s="35">
        <v>0.9993606762163487</v>
      </c>
      <c r="AR47" s="15">
        <f t="shared" si="5"/>
        <v>1</v>
      </c>
      <c r="AS47" s="15">
        <f t="shared" si="15"/>
        <v>0</v>
      </c>
      <c r="AU47" s="15">
        <f>2.551996+('2021'!C47*0.000000012919)+('2021'!E47*0.000003)-('2021'!H47*0.000002)
-('2021'!U47*0.123062)+('2021'!AC47*0.831)-('2021'!AD47*0.008464)-('2021'!AF47*0.15884)
-('2021'!AL47*0.025383)-('2021'!AM47*0.427021)-('2021'!AN47*0.009878)
</f>
        <v>-6.006970882</v>
      </c>
      <c r="AV47" s="15">
        <v>0.002455488906560212</v>
      </c>
      <c r="AW47" s="14">
        <f t="shared" si="7"/>
        <v>0</v>
      </c>
      <c r="AX47" s="14" t="str">
        <f>IF(AW47='temp result 2022'!B47,1,IF(Z47="-",1,0))</f>
        <v>#REF!</v>
      </c>
      <c r="AZ47" s="15" t="str">
        <f>IF(and(AW47=0,AX47=1),1,0)</f>
        <v>#REF!</v>
      </c>
      <c r="BA47" s="15" t="str">
        <f>IF(AND(AW47=0,AX47=0),1,0)</f>
        <v>#REF!</v>
      </c>
      <c r="BB47" s="15" t="str">
        <f>IF(AND(AW47=1,AX47=0),1,0)</f>
        <v>#REF!</v>
      </c>
      <c r="BC47" s="15" t="str">
        <f>IF(AND(AW47=1,AX47=1),1,0)</f>
        <v>#REF!</v>
      </c>
      <c r="BD47" s="15" t="str">
        <f t="shared" si="24"/>
        <v>#REF!</v>
      </c>
    </row>
    <row r="48">
      <c r="A48" s="8" t="s">
        <v>94</v>
      </c>
      <c r="B48" s="34" t="str">
        <f t="shared" si="1"/>
        <v/>
      </c>
      <c r="C48" s="9">
        <v>991552.07</v>
      </c>
      <c r="D48" s="9">
        <v>392513.99</v>
      </c>
      <c r="E48" s="9">
        <v>230000.0</v>
      </c>
      <c r="F48" s="9">
        <v>599675.31</v>
      </c>
      <c r="G48" s="9">
        <v>760541.94</v>
      </c>
      <c r="H48" s="9">
        <v>683696.9</v>
      </c>
      <c r="I48" s="9">
        <v>89759.24</v>
      </c>
      <c r="J48" s="9">
        <v>76845.05</v>
      </c>
      <c r="K48" s="9">
        <v>52586.23</v>
      </c>
      <c r="L48" s="9" t="e">
        <v>#N/A</v>
      </c>
      <c r="M48" s="9" t="e">
        <v>#N/A</v>
      </c>
      <c r="N48" s="10"/>
      <c r="O48" s="12">
        <v>0.28</v>
      </c>
      <c r="P48" s="9">
        <v>17481.45</v>
      </c>
      <c r="Q48" s="9">
        <v>-33257.43</v>
      </c>
      <c r="R48" s="9">
        <v>211061.93</v>
      </c>
      <c r="S48" s="9">
        <v>195285.96</v>
      </c>
      <c r="T48" s="12">
        <v>13.05</v>
      </c>
      <c r="U48" s="12">
        <v>9.26</v>
      </c>
      <c r="V48" s="12">
        <v>41.27</v>
      </c>
      <c r="W48" s="12">
        <v>6.95</v>
      </c>
      <c r="X48" s="12" t="e">
        <v>#N/A</v>
      </c>
      <c r="Y48" s="12" t="e">
        <v>#N/A</v>
      </c>
      <c r="Z48" s="12" t="str">
        <f t="shared" si="3"/>
        <v>#N/A</v>
      </c>
      <c r="AA48" s="12"/>
      <c r="AB48" s="12">
        <v>10.1</v>
      </c>
      <c r="AC48" s="12">
        <v>0.66</v>
      </c>
      <c r="AD48" s="12">
        <v>9.94</v>
      </c>
      <c r="AE48" s="12">
        <v>1.94</v>
      </c>
      <c r="AF48" s="12">
        <v>1.62</v>
      </c>
      <c r="AG48" s="12">
        <v>4.36</v>
      </c>
      <c r="AH48" s="12">
        <v>0.92</v>
      </c>
      <c r="AI48" s="12">
        <v>5.28</v>
      </c>
      <c r="AJ48" s="12">
        <v>69.11</v>
      </c>
      <c r="AK48" s="12">
        <v>2.89</v>
      </c>
      <c r="AL48" s="12">
        <v>126.25</v>
      </c>
      <c r="AM48" s="12">
        <v>1.82</v>
      </c>
      <c r="AN48" s="12">
        <v>201.05</v>
      </c>
      <c r="AO48" s="12">
        <v>-5.68</v>
      </c>
      <c r="AP48" s="12">
        <f t="shared" si="4"/>
        <v>3.56187</v>
      </c>
      <c r="AQ48" s="35">
        <v>0.9723978134119801</v>
      </c>
      <c r="AR48" s="15">
        <f t="shared" si="5"/>
        <v>1</v>
      </c>
      <c r="AS48" s="15">
        <f t="shared" si="15"/>
        <v>0</v>
      </c>
      <c r="AU48" s="15">
        <f>2.551996+('2021'!C48*0.000000012919)+('2021'!E48*0.000003)-('2021'!H48*0.000002)
-('2021'!U48*0.123062)+('2021'!AC48*0.831)-('2021'!AD48*0.008464)-('2021'!AF48*0.15884)
-('2021'!AL48*0.025383)-('2021'!AM48*0.427021)-('2021'!AN48*0.009878)
</f>
        <v>-5.012888889</v>
      </c>
      <c r="AV48" s="15">
        <v>0.0066077073977117125</v>
      </c>
      <c r="AW48" s="14">
        <f t="shared" si="7"/>
        <v>0</v>
      </c>
      <c r="AX48" s="14"/>
      <c r="BD48" s="15">
        <f t="shared" si="24"/>
        <v>0</v>
      </c>
    </row>
    <row r="49">
      <c r="A49" s="8" t="s">
        <v>95</v>
      </c>
      <c r="B49" s="34">
        <f t="shared" si="1"/>
        <v>0</v>
      </c>
      <c r="C49" s="9">
        <v>536530.85</v>
      </c>
      <c r="D49" s="9">
        <v>79372.18</v>
      </c>
      <c r="E49" s="9">
        <v>1430416.19</v>
      </c>
      <c r="F49" s="9">
        <v>442131.99</v>
      </c>
      <c r="G49" s="9">
        <v>204422.54</v>
      </c>
      <c r="H49" s="9">
        <v>245748.03</v>
      </c>
      <c r="I49" s="9">
        <v>-27897.71</v>
      </c>
      <c r="J49" s="9">
        <v>-43307.28</v>
      </c>
      <c r="K49" s="9">
        <v>-47382.49</v>
      </c>
      <c r="L49" s="9">
        <v>1163.96</v>
      </c>
      <c r="M49" s="9">
        <v>-272971.03</v>
      </c>
      <c r="N49" s="10">
        <f t="shared" ref="N49:N53" si="33">IF(AND(K49&lt;0,L49&lt;0,M49&lt;0),1,0)</f>
        <v>0</v>
      </c>
      <c r="O49" s="12">
        <v>-0.03</v>
      </c>
      <c r="P49" s="9">
        <v>-43467.82</v>
      </c>
      <c r="Q49" s="9">
        <v>-159185.27</v>
      </c>
      <c r="R49" s="9">
        <v>-2306.71</v>
      </c>
      <c r="S49" s="9">
        <v>-204959.81</v>
      </c>
      <c r="T49" s="12">
        <v>-10.19</v>
      </c>
      <c r="U49" s="12">
        <v>-7.53</v>
      </c>
      <c r="V49" s="12">
        <v>12.57</v>
      </c>
      <c r="W49" s="12">
        <v>-22.81</v>
      </c>
      <c r="X49" s="12">
        <v>0.73</v>
      </c>
      <c r="Y49" s="12">
        <v>-495.85</v>
      </c>
      <c r="Z49" s="12">
        <f t="shared" si="3"/>
        <v>0</v>
      </c>
      <c r="AA49" s="12"/>
      <c r="AB49" s="12">
        <v>-21.19</v>
      </c>
      <c r="AC49" s="12">
        <v>0.17</v>
      </c>
      <c r="AD49" s="12">
        <v>-21.34</v>
      </c>
      <c r="AE49" s="12">
        <v>7.46</v>
      </c>
      <c r="AF49" s="12">
        <v>6.37</v>
      </c>
      <c r="AG49" s="12">
        <v>7.7</v>
      </c>
      <c r="AH49" s="12">
        <v>0.36</v>
      </c>
      <c r="AI49" s="12">
        <v>5.04</v>
      </c>
      <c r="AJ49" s="12">
        <v>72.36</v>
      </c>
      <c r="AK49" s="12">
        <v>1.38</v>
      </c>
      <c r="AL49" s="12">
        <v>264.1</v>
      </c>
      <c r="AM49" s="12">
        <v>2.99</v>
      </c>
      <c r="AN49" s="12">
        <v>122.15</v>
      </c>
      <c r="AO49" s="12">
        <v>214.31</v>
      </c>
      <c r="AP49" s="12">
        <f t="shared" si="4"/>
        <v>15.95355</v>
      </c>
      <c r="AQ49" s="35">
        <v>0.9999998821142754</v>
      </c>
      <c r="AR49" s="15">
        <f t="shared" si="5"/>
        <v>1</v>
      </c>
      <c r="AS49" s="15">
        <f t="shared" si="15"/>
        <v>0</v>
      </c>
      <c r="AU49" s="15">
        <f>2.551996+('2021'!C49*0.000000012919)+('2021'!E49*0.000003)-('2021'!H49*0.000002)
-('2021'!U49*0.123062)+('2021'!AC49*0.831)-('2021'!AD49*0.008464)-('2021'!AF49*0.15884)
-('2021'!AL49*0.025383)-('2021'!AM49*0.427021)-('2021'!AN49*0.009878)
</f>
        <v>-2.591623018</v>
      </c>
      <c r="AV49" s="15">
        <v>0.06967949842003365</v>
      </c>
      <c r="AW49" s="14">
        <f t="shared" si="7"/>
        <v>0</v>
      </c>
      <c r="AX49" s="14" t="str">
        <f t="shared" ref="AX49:AX52" si="34">IF(AW49='temp result 2022'!B49,1,IF(Z49="-",1,0))</f>
        <v>#REF!</v>
      </c>
      <c r="AZ49" s="15" t="str">
        <f t="shared" ref="AZ49:AZ52" si="35">IF(and(AW49=0,AX49=1),1,0)</f>
        <v>#REF!</v>
      </c>
      <c r="BA49" s="15" t="str">
        <f t="shared" ref="BA49:BA52" si="36">IF(AND(AW49=0,AX49=0),1,0)</f>
        <v>#REF!</v>
      </c>
      <c r="BB49" s="15" t="str">
        <f t="shared" ref="BB49:BB52" si="37">IF(AND(AW49=1,AX49=0),1,0)</f>
        <v>#REF!</v>
      </c>
      <c r="BC49" s="15" t="str">
        <f t="shared" ref="BC49:BC52" si="38">IF(AND(AW49=1,AX49=1),1,0)</f>
        <v>#REF!</v>
      </c>
      <c r="BD49" s="15" t="str">
        <f t="shared" si="24"/>
        <v>#REF!</v>
      </c>
    </row>
    <row r="50">
      <c r="A50" s="8" t="s">
        <v>96</v>
      </c>
      <c r="B50" s="34">
        <f t="shared" si="1"/>
        <v>0</v>
      </c>
      <c r="C50" s="9">
        <v>3756203.01</v>
      </c>
      <c r="D50" s="9">
        <v>2429591.66</v>
      </c>
      <c r="E50" s="9">
        <v>239871.9</v>
      </c>
      <c r="F50" s="9">
        <v>1303228.29</v>
      </c>
      <c r="G50" s="9">
        <v>1592188.13</v>
      </c>
      <c r="H50" s="9">
        <v>1445707.83</v>
      </c>
      <c r="I50" s="9">
        <v>231938.38</v>
      </c>
      <c r="J50" s="9">
        <v>187511.96</v>
      </c>
      <c r="K50" s="9">
        <v>50850.34</v>
      </c>
      <c r="L50" s="9">
        <v>41160.42</v>
      </c>
      <c r="M50" s="9">
        <v>40285.62</v>
      </c>
      <c r="N50" s="10">
        <f t="shared" si="33"/>
        <v>0</v>
      </c>
      <c r="O50" s="12">
        <v>0.05</v>
      </c>
      <c r="P50" s="9">
        <v>128216.09</v>
      </c>
      <c r="Q50" s="9">
        <v>-285492.05</v>
      </c>
      <c r="R50" s="9">
        <v>-7458.12</v>
      </c>
      <c r="S50" s="9">
        <v>-164734.08</v>
      </c>
      <c r="T50" s="12">
        <v>4.01</v>
      </c>
      <c r="U50" s="12">
        <v>5.14</v>
      </c>
      <c r="V50" s="12">
        <v>20.16</v>
      </c>
      <c r="W50" s="12">
        <v>3.2</v>
      </c>
      <c r="X50" s="12">
        <v>2.25</v>
      </c>
      <c r="Y50" s="12">
        <v>3.04</v>
      </c>
      <c r="Z50" s="12">
        <f t="shared" si="3"/>
        <v>0</v>
      </c>
      <c r="AA50" s="12"/>
      <c r="AB50" s="12">
        <v>11.78</v>
      </c>
      <c r="AC50" s="12">
        <v>1.83</v>
      </c>
      <c r="AD50" s="12">
        <v>1.39</v>
      </c>
      <c r="AE50" s="12">
        <v>1.19</v>
      </c>
      <c r="AF50" s="12">
        <v>0.29</v>
      </c>
      <c r="AG50" s="12">
        <v>2.77</v>
      </c>
      <c r="AH50" s="12">
        <v>0.44</v>
      </c>
      <c r="AI50" s="12">
        <v>0.92</v>
      </c>
      <c r="AJ50" s="12">
        <v>396.07</v>
      </c>
      <c r="AK50" s="12">
        <v>3.8</v>
      </c>
      <c r="AL50" s="12">
        <v>95.96</v>
      </c>
      <c r="AM50" s="12">
        <v>4.76</v>
      </c>
      <c r="AN50" s="12">
        <v>76.62</v>
      </c>
      <c r="AO50" s="12">
        <v>415.41</v>
      </c>
      <c r="AP50" s="12">
        <f t="shared" si="4"/>
        <v>-0.06411</v>
      </c>
      <c r="AQ50" s="35">
        <v>0.4839779872864467</v>
      </c>
      <c r="AR50" s="15">
        <f t="shared" si="5"/>
        <v>0</v>
      </c>
      <c r="AS50" s="15">
        <f t="shared" si="15"/>
        <v>1</v>
      </c>
      <c r="AU50" s="15">
        <f>2.551996+('2021'!C50*0.000000012919)+('2021'!E50*0.000003)-('2021'!H50*0.000002)
-('2021'!U50*0.123062)+('2021'!AC50*0.831)-('2021'!AD50*0.008464)-('2021'!AF50*0.15884)
-('2021'!AL50*0.025383)-('2021'!AM50*0.427021)-('2021'!AN50*0.009878)
</f>
        <v>-3.966139813</v>
      </c>
      <c r="AV50" s="15">
        <v>0.018594136424592882</v>
      </c>
      <c r="AW50" s="14">
        <f t="shared" si="7"/>
        <v>0</v>
      </c>
      <c r="AX50" s="14" t="str">
        <f t="shared" si="34"/>
        <v>#REF!</v>
      </c>
      <c r="AZ50" s="15" t="str">
        <f t="shared" si="35"/>
        <v>#REF!</v>
      </c>
      <c r="BA50" s="15" t="str">
        <f t="shared" si="36"/>
        <v>#REF!</v>
      </c>
      <c r="BB50" s="15" t="str">
        <f t="shared" si="37"/>
        <v>#REF!</v>
      </c>
      <c r="BC50" s="15" t="str">
        <f t="shared" si="38"/>
        <v>#REF!</v>
      </c>
      <c r="BD50" s="15" t="str">
        <f t="shared" si="24"/>
        <v>#REF!</v>
      </c>
    </row>
    <row r="51">
      <c r="A51" s="8" t="s">
        <v>97</v>
      </c>
      <c r="B51" s="34">
        <f t="shared" si="1"/>
        <v>0</v>
      </c>
      <c r="C51" s="9">
        <v>1677188.0</v>
      </c>
      <c r="D51" s="9">
        <v>1284302.0</v>
      </c>
      <c r="E51" s="9">
        <v>2998399.0</v>
      </c>
      <c r="F51" s="9">
        <v>392886.0</v>
      </c>
      <c r="G51" s="9">
        <v>2178633.0</v>
      </c>
      <c r="H51" s="9">
        <v>1904218.0</v>
      </c>
      <c r="I51" s="9">
        <v>887707.0</v>
      </c>
      <c r="J51" s="9">
        <v>826840.0</v>
      </c>
      <c r="K51" s="9">
        <v>812030.0</v>
      </c>
      <c r="L51" s="9">
        <v>-299065.0</v>
      </c>
      <c r="M51" s="9">
        <v>-272672.0</v>
      </c>
      <c r="N51" s="10">
        <f t="shared" si="33"/>
        <v>0</v>
      </c>
      <c r="O51" s="12">
        <v>0.02</v>
      </c>
      <c r="P51" s="9">
        <v>-52972.0</v>
      </c>
      <c r="Q51" s="9">
        <v>-101065.0</v>
      </c>
      <c r="R51" s="9">
        <v>273390.0</v>
      </c>
      <c r="S51" s="9">
        <v>119353.0</v>
      </c>
      <c r="T51" s="12">
        <v>144.11</v>
      </c>
      <c r="U51" s="12">
        <v>51.14</v>
      </c>
      <c r="V51" s="12">
        <v>33.58</v>
      </c>
      <c r="W51" s="12">
        <v>35.7</v>
      </c>
      <c r="X51" s="12">
        <v>-37.7</v>
      </c>
      <c r="Y51" s="12">
        <v>-29.62</v>
      </c>
      <c r="Z51" s="12">
        <f t="shared" si="3"/>
        <v>0</v>
      </c>
      <c r="AA51" s="12"/>
      <c r="AB51" s="12">
        <v>37.95</v>
      </c>
      <c r="AC51" s="12">
        <v>3.27</v>
      </c>
      <c r="AD51" s="12">
        <v>16.91</v>
      </c>
      <c r="AE51" s="12">
        <v>1.54</v>
      </c>
      <c r="AF51" s="12">
        <v>0.76</v>
      </c>
      <c r="AG51" s="12">
        <v>6.7</v>
      </c>
      <c r="AH51" s="12">
        <v>1.35</v>
      </c>
      <c r="AI51" s="12">
        <v>3.12</v>
      </c>
      <c r="AJ51" s="12">
        <v>116.93</v>
      </c>
      <c r="AK51" s="12">
        <v>4.16</v>
      </c>
      <c r="AL51" s="12">
        <v>87.78</v>
      </c>
      <c r="AM51" s="12">
        <v>2.73</v>
      </c>
      <c r="AN51" s="12">
        <v>133.59</v>
      </c>
      <c r="AO51" s="12">
        <v>71.12</v>
      </c>
      <c r="AP51" s="12">
        <f t="shared" si="4"/>
        <v>-0.91413</v>
      </c>
      <c r="AQ51" s="35">
        <v>0.2861554554990201</v>
      </c>
      <c r="AR51" s="15">
        <f t="shared" si="5"/>
        <v>0</v>
      </c>
      <c r="AS51" s="15">
        <f t="shared" si="15"/>
        <v>1</v>
      </c>
      <c r="AU51" s="15">
        <f>2.551996+('2021'!C51*0.000000012919)+('2021'!E51*0.000003)-('2021'!H51*0.000002)
-('2021'!U51*0.123062)+('2021'!AC51*0.831)-('2021'!AD51*0.008464)-('2021'!AF51*0.15884)
-('2021'!AL51*0.025383)-('2021'!AM51*0.427021)-('2021'!AN51*0.009878)
</f>
        <v>-0.7929298182</v>
      </c>
      <c r="AV51" s="15">
        <v>0.31153992708475203</v>
      </c>
      <c r="AW51" s="14">
        <f t="shared" si="7"/>
        <v>0</v>
      </c>
      <c r="AX51" s="14" t="str">
        <f t="shared" si="34"/>
        <v>#REF!</v>
      </c>
      <c r="AZ51" s="15" t="str">
        <f t="shared" si="35"/>
        <v>#REF!</v>
      </c>
      <c r="BA51" s="15" t="str">
        <f t="shared" si="36"/>
        <v>#REF!</v>
      </c>
      <c r="BB51" s="15" t="str">
        <f t="shared" si="37"/>
        <v>#REF!</v>
      </c>
      <c r="BC51" s="15" t="str">
        <f t="shared" si="38"/>
        <v>#REF!</v>
      </c>
      <c r="BD51" s="15" t="str">
        <f t="shared" si="24"/>
        <v>#REF!</v>
      </c>
    </row>
    <row r="52">
      <c r="A52" s="8" t="s">
        <v>98</v>
      </c>
      <c r="B52" s="34">
        <f t="shared" si="1"/>
        <v>0</v>
      </c>
      <c r="C52" s="9">
        <v>1865437.32</v>
      </c>
      <c r="D52" s="9">
        <v>979936.25</v>
      </c>
      <c r="E52" s="9">
        <v>280000.0</v>
      </c>
      <c r="F52" s="9">
        <v>881647.43</v>
      </c>
      <c r="G52" s="9">
        <v>1387809.39</v>
      </c>
      <c r="H52" s="9">
        <v>1316841.39</v>
      </c>
      <c r="I52" s="9">
        <v>122286.41</v>
      </c>
      <c r="J52" s="9">
        <v>70572.7</v>
      </c>
      <c r="K52" s="9">
        <v>26744.51</v>
      </c>
      <c r="L52" s="9">
        <v>52192.0</v>
      </c>
      <c r="M52" s="9">
        <v>28606.51</v>
      </c>
      <c r="N52" s="10">
        <f t="shared" si="33"/>
        <v>0</v>
      </c>
      <c r="O52" s="12">
        <v>0.05</v>
      </c>
      <c r="P52" s="9">
        <v>236149.32</v>
      </c>
      <c r="Q52" s="9">
        <v>-155659.39</v>
      </c>
      <c r="R52" s="9">
        <v>-63217.28</v>
      </c>
      <c r="S52" s="9">
        <v>17272.65</v>
      </c>
      <c r="T52" s="12">
        <v>3.04</v>
      </c>
      <c r="U52" s="12">
        <v>3.7</v>
      </c>
      <c r="V52" s="12">
        <v>14.46</v>
      </c>
      <c r="W52" s="12">
        <v>1.87</v>
      </c>
      <c r="X52" s="12">
        <v>3.46</v>
      </c>
      <c r="Y52" s="12">
        <v>1.73</v>
      </c>
      <c r="Z52" s="12">
        <f t="shared" si="3"/>
        <v>0</v>
      </c>
      <c r="AA52" s="12"/>
      <c r="AB52" s="12">
        <v>5.09</v>
      </c>
      <c r="AC52" s="12">
        <v>1.11</v>
      </c>
      <c r="AD52" s="12">
        <v>1.93</v>
      </c>
      <c r="AE52" s="12">
        <v>1.23</v>
      </c>
      <c r="AF52" s="12">
        <v>0.55</v>
      </c>
      <c r="AG52" s="12">
        <v>1.39</v>
      </c>
      <c r="AH52" s="12">
        <v>0.73</v>
      </c>
      <c r="AI52" s="12">
        <v>8.45</v>
      </c>
      <c r="AJ52" s="12">
        <v>43.17</v>
      </c>
      <c r="AK52" s="12">
        <v>4.84</v>
      </c>
      <c r="AL52" s="12">
        <v>75.45</v>
      </c>
      <c r="AM52" s="12">
        <v>6.56</v>
      </c>
      <c r="AN52" s="12">
        <v>55.66</v>
      </c>
      <c r="AO52" s="12">
        <v>62.96</v>
      </c>
      <c r="AP52" s="12">
        <f t="shared" si="4"/>
        <v>0.37074</v>
      </c>
      <c r="AQ52" s="35">
        <v>0.5916377764125326</v>
      </c>
      <c r="AR52" s="15">
        <f t="shared" si="5"/>
        <v>1</v>
      </c>
      <c r="AS52" s="15">
        <f t="shared" si="15"/>
        <v>0</v>
      </c>
      <c r="AU52" s="15">
        <f>2.551996+('2021'!C52*0.000000012919)+('2021'!E52*0.000003)-('2021'!H52*0.000002)
-('2021'!U52*0.123062)+('2021'!AC52*0.831)-('2021'!AD52*0.008464)-('2021'!AF52*0.15884)
-('2021'!AL52*0.025383)-('2021'!AM52*0.427021)-('2021'!AN52*0.009878)
</f>
        <v>-4.120418705</v>
      </c>
      <c r="AV52" s="15">
        <v>0.015978263722240895</v>
      </c>
      <c r="AW52" s="14">
        <f t="shared" si="7"/>
        <v>0</v>
      </c>
      <c r="AX52" s="14" t="str">
        <f t="shared" si="34"/>
        <v>#REF!</v>
      </c>
      <c r="AZ52" s="15" t="str">
        <f t="shared" si="35"/>
        <v>#REF!</v>
      </c>
      <c r="BA52" s="15" t="str">
        <f t="shared" si="36"/>
        <v>#REF!</v>
      </c>
      <c r="BB52" s="15" t="str">
        <f t="shared" si="37"/>
        <v>#REF!</v>
      </c>
      <c r="BC52" s="15" t="str">
        <f t="shared" si="38"/>
        <v>#REF!</v>
      </c>
      <c r="BD52" s="15" t="str">
        <f t="shared" si="24"/>
        <v>#REF!</v>
      </c>
    </row>
    <row r="53">
      <c r="A53" s="8" t="s">
        <v>302</v>
      </c>
      <c r="B53" s="34">
        <f t="shared" si="1"/>
        <v>0</v>
      </c>
      <c r="C53" s="9">
        <v>495425.73</v>
      </c>
      <c r="D53" s="9">
        <v>83166.35</v>
      </c>
      <c r="E53" s="9">
        <v>180000.0</v>
      </c>
      <c r="F53" s="9">
        <v>412259.38</v>
      </c>
      <c r="G53" s="9">
        <v>382770.23</v>
      </c>
      <c r="H53" s="9">
        <v>376790.51</v>
      </c>
      <c r="I53" s="9">
        <v>14043.53</v>
      </c>
      <c r="J53" s="9">
        <v>6186.83</v>
      </c>
      <c r="K53" s="9">
        <v>5361.0</v>
      </c>
      <c r="L53" s="9">
        <v>9866.07</v>
      </c>
      <c r="M53" s="9">
        <v>32861.15</v>
      </c>
      <c r="N53" s="10">
        <f t="shared" si="33"/>
        <v>0</v>
      </c>
      <c r="O53" s="12">
        <v>0.01</v>
      </c>
      <c r="P53" s="9">
        <v>-75991.18</v>
      </c>
      <c r="Q53" s="9">
        <v>-25265.63</v>
      </c>
      <c r="R53" s="12">
        <v>-88.6</v>
      </c>
      <c r="S53" s="9">
        <v>-101345.41</v>
      </c>
      <c r="T53" s="12">
        <v>1.31</v>
      </c>
      <c r="U53" s="12">
        <v>1.28</v>
      </c>
      <c r="V53" s="12">
        <v>13.12</v>
      </c>
      <c r="W53" s="12">
        <v>1.4</v>
      </c>
      <c r="X53" s="12">
        <v>3.96</v>
      </c>
      <c r="Y53" s="12">
        <v>8.77</v>
      </c>
      <c r="Z53" s="12">
        <f t="shared" si="3"/>
        <v>0</v>
      </c>
      <c r="AA53" s="12"/>
      <c r="AB53" s="12">
        <v>1.62</v>
      </c>
      <c r="AC53" s="12">
        <v>0.2</v>
      </c>
      <c r="AD53" s="12" t="s">
        <v>47</v>
      </c>
      <c r="AE53" s="12">
        <v>4.95</v>
      </c>
      <c r="AF53" s="12">
        <v>4.77</v>
      </c>
      <c r="AG53" s="12">
        <v>2.45</v>
      </c>
      <c r="AH53" s="12">
        <v>0.79</v>
      </c>
      <c r="AI53" s="12">
        <v>37.77</v>
      </c>
      <c r="AJ53" s="12">
        <v>9.66</v>
      </c>
      <c r="AK53" s="12">
        <v>5.04</v>
      </c>
      <c r="AL53" s="12">
        <v>72.4</v>
      </c>
      <c r="AM53" s="12">
        <v>7.16</v>
      </c>
      <c r="AN53" s="12">
        <v>51.0</v>
      </c>
      <c r="AO53" s="12">
        <v>31.06</v>
      </c>
      <c r="AP53" s="12" t="str">
        <f t="shared" si="4"/>
        <v>#VALUE!</v>
      </c>
      <c r="AQ53" s="35" t="e">
        <v>#VALUE!</v>
      </c>
      <c r="AR53" s="15" t="str">
        <f t="shared" si="5"/>
        <v>#VALUE!</v>
      </c>
      <c r="AU53" s="15" t="str">
        <f>2.551996+('2021'!C53*0.000000012919)+('2021'!E53*0.000003)-('2021'!H53*0.000002)
-('2021'!U53*0.123062)+('2021'!AC53*0.831)-('2021'!AD53*0.008464)-('2021'!AF53*0.15884)
-('2021'!AL53*0.025383)-('2021'!AM53*0.427021)-('2021'!AN53*0.009878)
</f>
        <v>#VALUE!</v>
      </c>
      <c r="AV53" s="15" t="e">
        <v>#VALUE!</v>
      </c>
      <c r="AW53" s="14" t="str">
        <f t="shared" si="7"/>
        <v>#VALUE!</v>
      </c>
      <c r="AX53" s="14"/>
    </row>
    <row r="54">
      <c r="A54" s="8" t="s">
        <v>100</v>
      </c>
      <c r="B54" s="34" t="str">
        <f t="shared" si="1"/>
        <v/>
      </c>
      <c r="C54" s="9">
        <v>3131484.0</v>
      </c>
      <c r="D54" s="9">
        <v>1322500.0</v>
      </c>
      <c r="E54" s="9">
        <v>378257.0</v>
      </c>
      <c r="F54" s="9">
        <v>1808984.0</v>
      </c>
      <c r="G54" s="9">
        <v>2136920.0</v>
      </c>
      <c r="H54" s="9">
        <v>1755290.0</v>
      </c>
      <c r="I54" s="9">
        <v>614186.35</v>
      </c>
      <c r="J54" s="9">
        <v>401591.0</v>
      </c>
      <c r="K54" s="9">
        <v>328979.0</v>
      </c>
      <c r="L54" s="9">
        <v>18747.63</v>
      </c>
      <c r="M54" s="9" t="e">
        <v>#N/A</v>
      </c>
      <c r="N54" s="10"/>
      <c r="O54" s="12">
        <v>0.22</v>
      </c>
      <c r="P54" s="9">
        <v>245699.0</v>
      </c>
      <c r="Q54" s="9">
        <v>-123890.0</v>
      </c>
      <c r="R54" s="9">
        <v>-241501.0</v>
      </c>
      <c r="S54" s="9">
        <v>-119692.0</v>
      </c>
      <c r="T54" s="12">
        <v>19.34</v>
      </c>
      <c r="U54" s="12">
        <v>13.38</v>
      </c>
      <c r="V54" s="12">
        <v>23.26</v>
      </c>
      <c r="W54" s="12">
        <v>15.4</v>
      </c>
      <c r="X54" s="12">
        <v>1.01</v>
      </c>
      <c r="Y54" s="12" t="e">
        <v>#N/A</v>
      </c>
      <c r="Z54" s="12" t="str">
        <f t="shared" si="3"/>
        <v>#N/A</v>
      </c>
      <c r="AA54" s="12"/>
      <c r="AB54" s="12">
        <v>18.79</v>
      </c>
      <c r="AC54" s="12">
        <v>0.73</v>
      </c>
      <c r="AD54" s="12">
        <v>24.09</v>
      </c>
      <c r="AE54" s="12">
        <v>1.51</v>
      </c>
      <c r="AF54" s="12">
        <v>1.07</v>
      </c>
      <c r="AG54" s="12">
        <v>1.68</v>
      </c>
      <c r="AH54" s="12">
        <v>0.71</v>
      </c>
      <c r="AI54" s="12">
        <v>3.48</v>
      </c>
      <c r="AJ54" s="12">
        <v>105.0</v>
      </c>
      <c r="AK54" s="12">
        <v>2.36</v>
      </c>
      <c r="AL54" s="12">
        <v>154.56</v>
      </c>
      <c r="AM54" s="12">
        <v>4.64</v>
      </c>
      <c r="AN54" s="12">
        <v>78.69</v>
      </c>
      <c r="AO54" s="12">
        <v>180.87</v>
      </c>
      <c r="AP54" s="12">
        <f t="shared" si="4"/>
        <v>1.07831</v>
      </c>
      <c r="AQ54" s="35">
        <v>0.7461740333203468</v>
      </c>
      <c r="AR54" s="15">
        <f t="shared" si="5"/>
        <v>1</v>
      </c>
      <c r="AS54" s="15">
        <f t="shared" ref="AS54:AS56" si="39">IF(AR54=N54,1,0)</f>
        <v>0</v>
      </c>
      <c r="AU54" s="15">
        <f>2.551996+('2021'!C54*0.000000012919)+('2021'!E54*0.000003)-('2021'!H54*0.000002)
-('2021'!U54*0.123062)+('2021'!AC54*0.831)-('2021'!AD54*0.008464)-('2021'!AF54*0.15884)
-('2021'!AL54*0.025383)-('2021'!AM54*0.427021)-('2021'!AN54*0.009878)
</f>
        <v>-7.879027218</v>
      </c>
      <c r="AV54" s="15">
        <v>3.784578894334988E-4</v>
      </c>
      <c r="AW54" s="14">
        <f t="shared" si="7"/>
        <v>0</v>
      </c>
      <c r="AX54" s="14"/>
    </row>
    <row r="55">
      <c r="A55" s="8" t="s">
        <v>101</v>
      </c>
      <c r="B55" s="34">
        <f t="shared" si="1"/>
        <v>0</v>
      </c>
      <c r="C55" s="9">
        <v>2937196.5</v>
      </c>
      <c r="D55" s="9">
        <v>1809877.5</v>
      </c>
      <c r="E55" s="9">
        <v>390000.0</v>
      </c>
      <c r="F55" s="9">
        <v>1127244.45</v>
      </c>
      <c r="G55" s="9">
        <v>2927439.2</v>
      </c>
      <c r="H55" s="9">
        <v>2424663.78</v>
      </c>
      <c r="I55" s="9">
        <v>1020363.14</v>
      </c>
      <c r="J55" s="9">
        <v>502775.42</v>
      </c>
      <c r="K55" s="9">
        <v>400058.14</v>
      </c>
      <c r="L55" s="9">
        <v>464063.18</v>
      </c>
      <c r="M55" s="9">
        <v>584226.39</v>
      </c>
      <c r="N55" s="10">
        <f t="shared" ref="N55:N57" si="40">IF(AND(K55&lt;0,L55&lt;0,M55&lt;0),1,0)</f>
        <v>0</v>
      </c>
      <c r="O55" s="12">
        <v>0.53</v>
      </c>
      <c r="P55" s="9">
        <v>1026261.9</v>
      </c>
      <c r="Q55" s="9">
        <v>-155230.48</v>
      </c>
      <c r="R55" s="9">
        <v>-943516.34</v>
      </c>
      <c r="S55" s="9">
        <v>-72484.92</v>
      </c>
      <c r="T55" s="12">
        <v>35.15</v>
      </c>
      <c r="U55" s="12">
        <v>15.73</v>
      </c>
      <c r="V55" s="12">
        <v>19.73</v>
      </c>
      <c r="W55" s="12">
        <v>13.67</v>
      </c>
      <c r="X55" s="12">
        <v>14.84</v>
      </c>
      <c r="Y55" s="12">
        <v>17.06</v>
      </c>
      <c r="Z55" s="12">
        <f t="shared" si="3"/>
        <v>0</v>
      </c>
      <c r="AA55" s="12"/>
      <c r="AB55" s="12">
        <v>17.17</v>
      </c>
      <c r="AC55" s="12">
        <v>1.61</v>
      </c>
      <c r="AD55" s="12">
        <v>25.27</v>
      </c>
      <c r="AE55" s="12">
        <v>0.83</v>
      </c>
      <c r="AF55" s="12">
        <v>0.22</v>
      </c>
      <c r="AG55" s="12">
        <v>2.09</v>
      </c>
      <c r="AH55" s="12">
        <v>0.92</v>
      </c>
      <c r="AI55" s="12">
        <v>46.0</v>
      </c>
      <c r="AJ55" s="12">
        <v>7.93</v>
      </c>
      <c r="AK55" s="12">
        <v>6.66</v>
      </c>
      <c r="AL55" s="12">
        <v>54.77</v>
      </c>
      <c r="AM55" s="12">
        <v>3.41</v>
      </c>
      <c r="AN55" s="12">
        <v>107.14</v>
      </c>
      <c r="AO55" s="12">
        <v>-44.43</v>
      </c>
      <c r="AP55" s="12">
        <f t="shared" si="4"/>
        <v>-1.70284</v>
      </c>
      <c r="AQ55" s="35">
        <v>0.15409470864515687</v>
      </c>
      <c r="AR55" s="15">
        <f t="shared" si="5"/>
        <v>0</v>
      </c>
      <c r="AS55" s="15">
        <f t="shared" si="39"/>
        <v>1</v>
      </c>
      <c r="AU55" s="15">
        <f>2.551996+('2021'!C55*0.000000012919)+('2021'!E55*0.000003)-('2021'!H55*0.000002)
-('2021'!U55*0.123062)+('2021'!AC55*0.831)-('2021'!AD55*0.008464)-('2021'!AF55*0.15884)
-('2021'!AL55*0.025383)-('2021'!AM55*0.427021)-('2021'!AN55*0.009878)
</f>
        <v>-5.840768698</v>
      </c>
      <c r="AV55" s="15">
        <v>0.0028981835802642003</v>
      </c>
      <c r="AW55" s="14">
        <f t="shared" si="7"/>
        <v>0</v>
      </c>
      <c r="AX55" s="14" t="str">
        <f t="shared" ref="AX55:AX56" si="41">IF(AW55='temp result 2022'!B55,1,IF(Z55="-",1,0))</f>
        <v>#REF!</v>
      </c>
      <c r="AZ55" s="15" t="str">
        <f t="shared" ref="AZ55:AZ56" si="42">IF(and(AW55=0,AX55=1),1,0)</f>
        <v>#REF!</v>
      </c>
      <c r="BA55" s="15" t="str">
        <f t="shared" ref="BA55:BA56" si="43">IF(AND(AW55=0,AX55=0),1,0)</f>
        <v>#REF!</v>
      </c>
      <c r="BB55" s="15" t="str">
        <f t="shared" ref="BB55:BB56" si="44">IF(AND(AW55=1,AX55=0),1,0)</f>
        <v>#REF!</v>
      </c>
      <c r="BC55" s="15" t="str">
        <f t="shared" ref="BC55:BC56" si="45">IF(AND(AW55=1,AX55=1),1,0)</f>
        <v>#REF!</v>
      </c>
      <c r="BD55" s="15" t="str">
        <f t="shared" ref="BD55:BD56" si="46">IF(AZ55+BA55+BB55+BC55&gt;1,1,0)</f>
        <v>#REF!</v>
      </c>
    </row>
    <row r="56">
      <c r="A56" s="8" t="s">
        <v>102</v>
      </c>
      <c r="B56" s="34">
        <f t="shared" si="1"/>
        <v>0</v>
      </c>
      <c r="C56" s="9">
        <v>843820.81</v>
      </c>
      <c r="D56" s="9">
        <v>407276.66</v>
      </c>
      <c r="E56" s="9">
        <v>282571.48</v>
      </c>
      <c r="F56" s="9">
        <v>326530.81</v>
      </c>
      <c r="G56" s="9">
        <v>650908.56</v>
      </c>
      <c r="H56" s="9">
        <v>595311.94</v>
      </c>
      <c r="I56" s="9">
        <v>91125.28</v>
      </c>
      <c r="J56" s="9">
        <v>55596.62</v>
      </c>
      <c r="K56" s="9">
        <v>37977.77</v>
      </c>
      <c r="L56" s="9">
        <v>-92944.89</v>
      </c>
      <c r="M56" s="9">
        <v>-252266.29</v>
      </c>
      <c r="N56" s="10">
        <f t="shared" si="40"/>
        <v>0</v>
      </c>
      <c r="O56" s="12">
        <v>0.07</v>
      </c>
      <c r="P56" s="9">
        <v>-8673.9</v>
      </c>
      <c r="Q56" s="9">
        <v>-42211.1</v>
      </c>
      <c r="R56" s="9">
        <v>67213.4</v>
      </c>
      <c r="S56" s="9">
        <v>16328.41</v>
      </c>
      <c r="T56" s="12">
        <v>11.98</v>
      </c>
      <c r="U56" s="12">
        <v>7.03</v>
      </c>
      <c r="V56" s="12">
        <v>27.77</v>
      </c>
      <c r="W56" s="12">
        <v>6.57</v>
      </c>
      <c r="X56" s="12">
        <v>-17.23</v>
      </c>
      <c r="Y56" s="12">
        <v>-30.64</v>
      </c>
      <c r="Z56" s="12">
        <f t="shared" si="3"/>
        <v>0</v>
      </c>
      <c r="AA56" s="12"/>
      <c r="AB56" s="12">
        <v>8.54</v>
      </c>
      <c r="AC56" s="12">
        <v>0.93</v>
      </c>
      <c r="AD56" s="12">
        <v>8.05</v>
      </c>
      <c r="AE56" s="12">
        <v>1.55</v>
      </c>
      <c r="AF56" s="12">
        <v>1.04</v>
      </c>
      <c r="AG56" s="12">
        <v>2.32</v>
      </c>
      <c r="AH56" s="12">
        <v>0.82</v>
      </c>
      <c r="AI56" s="12">
        <v>3.39</v>
      </c>
      <c r="AJ56" s="12">
        <v>107.76</v>
      </c>
      <c r="AK56" s="12">
        <v>3.35</v>
      </c>
      <c r="AL56" s="12">
        <v>109.11</v>
      </c>
      <c r="AM56" s="12">
        <v>2.76</v>
      </c>
      <c r="AN56" s="12">
        <v>132.28</v>
      </c>
      <c r="AO56" s="12">
        <v>84.6</v>
      </c>
      <c r="AP56" s="12">
        <f t="shared" si="4"/>
        <v>1.4667</v>
      </c>
      <c r="AQ56" s="35">
        <v>0.812555284030301</v>
      </c>
      <c r="AR56" s="15">
        <f t="shared" si="5"/>
        <v>1</v>
      </c>
      <c r="AS56" s="15">
        <f t="shared" si="39"/>
        <v>0</v>
      </c>
      <c r="AU56" s="15">
        <f>2.551996+('2021'!C56*0.000000012919)+('2021'!E56*0.000003)-('2021'!H56*0.000002)
-('2021'!U56*0.123062)+('2021'!AC56*0.831)-('2021'!AD56*0.008464)-('2021'!AF56*0.15884)
-('2021'!AL56*0.025383)-('2021'!AM56*0.427021)-('2021'!AN56*0.009878)
</f>
        <v>-3.360415709</v>
      </c>
      <c r="AV56" s="15">
        <v>0.03355573932886564</v>
      </c>
      <c r="AW56" s="14">
        <f t="shared" si="7"/>
        <v>0</v>
      </c>
      <c r="AX56" s="14" t="str">
        <f t="shared" si="41"/>
        <v>#REF!</v>
      </c>
      <c r="AZ56" s="15" t="str">
        <f t="shared" si="42"/>
        <v>#REF!</v>
      </c>
      <c r="BA56" s="15" t="str">
        <f t="shared" si="43"/>
        <v>#REF!</v>
      </c>
      <c r="BB56" s="15" t="str">
        <f t="shared" si="44"/>
        <v>#REF!</v>
      </c>
      <c r="BC56" s="15" t="str">
        <f t="shared" si="45"/>
        <v>#REF!</v>
      </c>
      <c r="BD56" s="15" t="str">
        <f t="shared" si="46"/>
        <v>#REF!</v>
      </c>
    </row>
    <row r="57">
      <c r="A57" s="8" t="s">
        <v>103</v>
      </c>
      <c r="B57" s="34">
        <f t="shared" si="1"/>
        <v>0</v>
      </c>
      <c r="C57" s="9">
        <v>1866926.85</v>
      </c>
      <c r="D57" s="9">
        <v>1408366.21</v>
      </c>
      <c r="E57" s="9">
        <v>150000.0</v>
      </c>
      <c r="F57" s="9">
        <v>458560.64</v>
      </c>
      <c r="G57" s="9">
        <v>253527.25</v>
      </c>
      <c r="H57" s="9">
        <v>202554.59</v>
      </c>
      <c r="I57" s="9">
        <v>62736.54</v>
      </c>
      <c r="J57" s="9">
        <v>50972.66</v>
      </c>
      <c r="K57" s="9">
        <v>-58565.19</v>
      </c>
      <c r="L57" s="9">
        <v>3900.82</v>
      </c>
      <c r="M57" s="9">
        <v>53080.6</v>
      </c>
      <c r="N57" s="10">
        <f t="shared" si="40"/>
        <v>0</v>
      </c>
      <c r="O57" s="12">
        <v>-0.2</v>
      </c>
      <c r="P57" s="9">
        <v>410554.78</v>
      </c>
      <c r="Q57" s="9">
        <v>-8519.88</v>
      </c>
      <c r="R57" s="9">
        <v>-379365.6</v>
      </c>
      <c r="S57" s="9">
        <v>22669.3</v>
      </c>
      <c r="T57" s="12">
        <v>-12.03</v>
      </c>
      <c r="U57" s="12">
        <v>2.4</v>
      </c>
      <c r="V57" s="12">
        <v>50.32</v>
      </c>
      <c r="W57" s="12">
        <v>-23.1</v>
      </c>
      <c r="X57" s="12">
        <v>1.18</v>
      </c>
      <c r="Y57" s="12">
        <v>14.8</v>
      </c>
      <c r="Z57" s="12">
        <f t="shared" si="3"/>
        <v>0</v>
      </c>
      <c r="AA57" s="12"/>
      <c r="AB57" s="12">
        <v>20.11</v>
      </c>
      <c r="AC57" s="12">
        <v>3.07</v>
      </c>
      <c r="AD57" s="12">
        <v>0.41</v>
      </c>
      <c r="AE57" s="12">
        <v>0.8</v>
      </c>
      <c r="AF57" s="12">
        <v>0.05</v>
      </c>
      <c r="AG57" s="12" t="s">
        <v>46</v>
      </c>
      <c r="AH57" s="12">
        <v>0.12</v>
      </c>
      <c r="AI57" s="12" t="s">
        <v>47</v>
      </c>
      <c r="AJ57" s="12" t="s">
        <v>46</v>
      </c>
      <c r="AK57" s="12" t="s">
        <v>47</v>
      </c>
      <c r="AL57" s="12" t="s">
        <v>46</v>
      </c>
      <c r="AM57" s="12" t="s">
        <v>47</v>
      </c>
      <c r="AN57" s="12" t="s">
        <v>46</v>
      </c>
      <c r="AO57" s="12" t="s">
        <v>46</v>
      </c>
      <c r="AP57" s="12" t="str">
        <f t="shared" si="4"/>
        <v>#VALUE!</v>
      </c>
      <c r="AQ57" s="35" t="e">
        <v>#VALUE!</v>
      </c>
      <c r="AR57" s="15" t="str">
        <f t="shared" si="5"/>
        <v>#VALUE!</v>
      </c>
      <c r="AU57" s="15" t="str">
        <f>2.551996+('2021'!C57*0.000000012919)+('2021'!E57*0.000003)-('2021'!H57*0.000002)
-('2021'!U57*0.123062)+('2021'!AC57*0.831)-('2021'!AD57*0.008464)-('2021'!AF57*0.15884)
-('2021'!AL57*0.025383)-('2021'!AM57*0.427021)-('2021'!AN57*0.009878)
</f>
        <v>#VALUE!</v>
      </c>
      <c r="AV57" s="15" t="e">
        <v>#VALUE!</v>
      </c>
      <c r="AW57" s="14" t="str">
        <f t="shared" si="7"/>
        <v>#VALUE!</v>
      </c>
      <c r="AX57" s="14"/>
    </row>
    <row r="58">
      <c r="A58" s="8" t="s">
        <v>303</v>
      </c>
      <c r="B58" s="34" t="str">
        <f t="shared" si="1"/>
        <v/>
      </c>
      <c r="C58" s="9">
        <v>315806.69</v>
      </c>
      <c r="D58" s="9">
        <v>19142.19</v>
      </c>
      <c r="E58" s="9">
        <v>135000.0</v>
      </c>
      <c r="F58" s="9">
        <v>296664.51</v>
      </c>
      <c r="G58" s="9">
        <v>93425.96</v>
      </c>
      <c r="H58" s="9">
        <v>74803.89</v>
      </c>
      <c r="I58" s="9">
        <v>32958.37</v>
      </c>
      <c r="J58" s="9">
        <v>18622.07</v>
      </c>
      <c r="K58" s="9">
        <v>15079.65</v>
      </c>
      <c r="L58" s="9" t="e">
        <v>#N/A</v>
      </c>
      <c r="M58" s="9" t="e">
        <v>#N/A</v>
      </c>
      <c r="N58" s="10"/>
      <c r="O58" s="12">
        <v>0.07</v>
      </c>
      <c r="P58" s="9">
        <v>16904.99</v>
      </c>
      <c r="Q58" s="9">
        <v>-177358.48</v>
      </c>
      <c r="R58" s="9">
        <v>177000.0</v>
      </c>
      <c r="S58" s="9">
        <v>16546.51</v>
      </c>
      <c r="T58" s="12">
        <v>7.33</v>
      </c>
      <c r="U58" s="12">
        <v>8.23</v>
      </c>
      <c r="V58" s="12">
        <v>55.84</v>
      </c>
      <c r="W58" s="12">
        <v>16.14</v>
      </c>
      <c r="X58" s="12" t="e">
        <v>#N/A</v>
      </c>
      <c r="Y58" s="12" t="e">
        <v>#N/A</v>
      </c>
      <c r="Z58" s="12" t="str">
        <f t="shared" si="3"/>
        <v>#N/A</v>
      </c>
      <c r="AA58" s="12"/>
      <c r="AB58" s="12">
        <v>19.93</v>
      </c>
      <c r="AC58" s="12">
        <v>0.06</v>
      </c>
      <c r="AD58" s="12" t="s">
        <v>47</v>
      </c>
      <c r="AE58" s="12">
        <v>11.35</v>
      </c>
      <c r="AF58" s="12">
        <v>11.34</v>
      </c>
      <c r="AG58" s="12">
        <v>1.99</v>
      </c>
      <c r="AH58" s="12">
        <v>0.41</v>
      </c>
      <c r="AI58" s="12">
        <v>307.96</v>
      </c>
      <c r="AJ58" s="12">
        <v>1.19</v>
      </c>
      <c r="AK58" s="12">
        <v>22.66</v>
      </c>
      <c r="AL58" s="12">
        <v>16.11</v>
      </c>
      <c r="AM58" s="12">
        <v>2.11</v>
      </c>
      <c r="AN58" s="12">
        <v>173.01</v>
      </c>
      <c r="AO58" s="12">
        <v>-155.71</v>
      </c>
      <c r="AP58" s="12" t="str">
        <f t="shared" si="4"/>
        <v>#VALUE!</v>
      </c>
      <c r="AQ58" s="35" t="e">
        <v>#VALUE!</v>
      </c>
      <c r="AR58" s="15" t="str">
        <f t="shared" si="5"/>
        <v>#VALUE!</v>
      </c>
      <c r="AU58" s="15" t="str">
        <f>2.551996+('2021'!C58*0.000000012919)+('2021'!E58*0.000003)-('2021'!H58*0.000002)
-('2021'!U58*0.123062)+('2021'!AC58*0.831)-('2021'!AD58*0.008464)-('2021'!AF58*0.15884)
-('2021'!AL58*0.025383)-('2021'!AM58*0.427021)-('2021'!AN58*0.009878)
</f>
        <v>#VALUE!</v>
      </c>
      <c r="AV58" s="15" t="e">
        <v>#VALUE!</v>
      </c>
      <c r="AW58" s="14" t="str">
        <f t="shared" si="7"/>
        <v>#VALUE!</v>
      </c>
      <c r="AX58" s="14"/>
    </row>
    <row r="59">
      <c r="A59" s="8" t="s">
        <v>105</v>
      </c>
      <c r="B59" s="34" t="str">
        <f t="shared" si="1"/>
        <v/>
      </c>
      <c r="C59" s="9">
        <v>238733.89</v>
      </c>
      <c r="D59" s="9">
        <v>28613.3</v>
      </c>
      <c r="E59" s="9">
        <v>125000.0</v>
      </c>
      <c r="F59" s="9">
        <v>210105.59</v>
      </c>
      <c r="G59" s="9">
        <v>90206.42</v>
      </c>
      <c r="H59" s="9">
        <v>104860.4</v>
      </c>
      <c r="I59" s="9">
        <v>-7116.14</v>
      </c>
      <c r="J59" s="9">
        <v>-14653.98</v>
      </c>
      <c r="K59" s="9">
        <v>-15636.58</v>
      </c>
      <c r="L59" s="9" t="e">
        <v>#N/A</v>
      </c>
      <c r="M59" s="9" t="e">
        <v>#N/A</v>
      </c>
      <c r="N59" s="10"/>
      <c r="O59" s="12">
        <v>-0.06</v>
      </c>
      <c r="P59" s="9">
        <v>2411.02</v>
      </c>
      <c r="Q59" s="9">
        <v>27098.19</v>
      </c>
      <c r="R59" s="9">
        <v>-2962.89</v>
      </c>
      <c r="S59" s="9">
        <v>26546.32</v>
      </c>
      <c r="T59" s="12">
        <v>-7.22</v>
      </c>
      <c r="U59" s="12">
        <v>-5.91</v>
      </c>
      <c r="V59" s="12">
        <v>33.93</v>
      </c>
      <c r="W59" s="12">
        <v>-17.33</v>
      </c>
      <c r="X59" s="12" t="e">
        <v>#N/A</v>
      </c>
      <c r="Y59" s="12" t="e">
        <v>#N/A</v>
      </c>
      <c r="Z59" s="12" t="str">
        <f t="shared" si="3"/>
        <v>#N/A</v>
      </c>
      <c r="AA59" s="12"/>
      <c r="AB59" s="12">
        <v>-16.24</v>
      </c>
      <c r="AC59" s="12">
        <v>0.14</v>
      </c>
      <c r="AD59" s="12">
        <v>-9.96</v>
      </c>
      <c r="AE59" s="12">
        <v>33.46</v>
      </c>
      <c r="AF59" s="12">
        <v>32.07</v>
      </c>
      <c r="AG59" s="12">
        <v>4.51</v>
      </c>
      <c r="AH59" s="12">
        <v>0.36</v>
      </c>
      <c r="AI59" s="12" t="s">
        <v>47</v>
      </c>
      <c r="AJ59" s="12" t="s">
        <v>46</v>
      </c>
      <c r="AK59" s="12">
        <v>9.33</v>
      </c>
      <c r="AL59" s="12">
        <v>39.14</v>
      </c>
      <c r="AM59" s="12">
        <v>30.64</v>
      </c>
      <c r="AN59" s="12">
        <v>11.91</v>
      </c>
      <c r="AO59" s="12">
        <v>27.22</v>
      </c>
      <c r="AP59" s="12">
        <f t="shared" si="4"/>
        <v>14.19648</v>
      </c>
      <c r="AQ59" s="35">
        <v>0.9999993168017003</v>
      </c>
      <c r="AR59" s="15">
        <f t="shared" si="5"/>
        <v>1</v>
      </c>
      <c r="AS59" s="15">
        <f t="shared" ref="AS59:AS88" si="47">IF(AR59=N59,1,0)</f>
        <v>0</v>
      </c>
      <c r="AU59" s="15">
        <f>2.551996+('2021'!C59*0.000000012919)+('2021'!E59*0.000003)-('2021'!H59*0.000002)
-('2021'!U59*0.123062)+('2021'!AC59*0.831)-('2021'!AD59*0.008464)-('2021'!AF59*0.15884)
-('2021'!AL59*0.025383)-('2021'!AM59*0.427021)-('2021'!AN59*0.009878)
</f>
        <v>-15.64076258</v>
      </c>
      <c r="AV59" s="15">
        <v>1.611769933759923E-7</v>
      </c>
      <c r="AW59" s="14">
        <f t="shared" si="7"/>
        <v>0</v>
      </c>
      <c r="AX59" s="14"/>
    </row>
    <row r="60">
      <c r="A60" s="8" t="s">
        <v>106</v>
      </c>
      <c r="B60" s="34">
        <f t="shared" si="1"/>
        <v>0</v>
      </c>
      <c r="C60" s="9">
        <v>1016255.68</v>
      </c>
      <c r="D60" s="9">
        <v>366390.3</v>
      </c>
      <c r="E60" s="9">
        <v>240000.0</v>
      </c>
      <c r="F60" s="9">
        <v>649864.39</v>
      </c>
      <c r="G60" s="9">
        <v>894097.48</v>
      </c>
      <c r="H60" s="9">
        <v>962996.87</v>
      </c>
      <c r="I60" s="9">
        <v>-33089.26</v>
      </c>
      <c r="J60" s="9">
        <v>-68182.82</v>
      </c>
      <c r="K60" s="9">
        <v>-58790.99</v>
      </c>
      <c r="L60" s="9">
        <v>33779.46</v>
      </c>
      <c r="M60" s="9">
        <v>82527.16</v>
      </c>
      <c r="N60" s="10">
        <f t="shared" ref="N60:N63" si="48">IF(AND(K60&lt;0,L60&lt;0,M60&lt;0),1,0)</f>
        <v>0</v>
      </c>
      <c r="O60" s="12">
        <v>-0.06</v>
      </c>
      <c r="P60" s="9">
        <v>45979.85</v>
      </c>
      <c r="Q60" s="9">
        <v>19622.91</v>
      </c>
      <c r="R60" s="9">
        <v>-25609.93</v>
      </c>
      <c r="S60" s="9">
        <v>39992.84</v>
      </c>
      <c r="T60" s="12">
        <v>-8.55</v>
      </c>
      <c r="U60" s="12">
        <v>-6.6</v>
      </c>
      <c r="V60" s="12">
        <v>14.11</v>
      </c>
      <c r="W60" s="12">
        <v>-6.58</v>
      </c>
      <c r="X60" s="12">
        <v>3.01</v>
      </c>
      <c r="Y60" s="12">
        <v>5.86</v>
      </c>
      <c r="Z60" s="12">
        <f t="shared" si="3"/>
        <v>0</v>
      </c>
      <c r="AA60" s="12"/>
      <c r="AB60" s="12">
        <v>-7.63</v>
      </c>
      <c r="AC60" s="12">
        <v>0.56</v>
      </c>
      <c r="AD60" s="12">
        <v>-29.41</v>
      </c>
      <c r="AE60" s="12">
        <v>2.26</v>
      </c>
      <c r="AF60" s="12">
        <v>1.0</v>
      </c>
      <c r="AG60" s="12">
        <v>3.37</v>
      </c>
      <c r="AH60" s="12">
        <v>0.87</v>
      </c>
      <c r="AI60" s="12">
        <v>6.7</v>
      </c>
      <c r="AJ60" s="12">
        <v>54.52</v>
      </c>
      <c r="AK60" s="12">
        <v>5.46</v>
      </c>
      <c r="AL60" s="12">
        <v>66.84</v>
      </c>
      <c r="AM60" s="12">
        <v>3.99</v>
      </c>
      <c r="AN60" s="12">
        <v>91.45</v>
      </c>
      <c r="AO60" s="12">
        <v>29.91</v>
      </c>
      <c r="AP60" s="12">
        <f t="shared" si="4"/>
        <v>1.71514</v>
      </c>
      <c r="AQ60" s="35">
        <v>0.8475017779709979</v>
      </c>
      <c r="AR60" s="15">
        <f t="shared" si="5"/>
        <v>1</v>
      </c>
      <c r="AS60" s="15">
        <f t="shared" si="47"/>
        <v>0</v>
      </c>
      <c r="AU60" s="15">
        <f>2.551996+('2021'!C60*0.000000012919)+('2021'!E60*0.000003)-('2021'!H60*0.000002)
-('2021'!U60*0.123062)+('2021'!AC60*0.831)-('2021'!AD60*0.008464)-('2021'!AF60*0.15884)
-('2021'!AL60*0.025383)-('2021'!AM60*0.427021)-('2021'!AN60*0.009878)
</f>
        <v>-1.576969903</v>
      </c>
      <c r="AV60" s="15">
        <v>0.17122504583647075</v>
      </c>
      <c r="AW60" s="14">
        <f t="shared" si="7"/>
        <v>0</v>
      </c>
      <c r="AX60" s="14" t="str">
        <f t="shared" ref="AX60:AX63" si="49">IF(AW60='temp result 2022'!B60,1,IF(Z60="-",1,0))</f>
        <v>#REF!</v>
      </c>
      <c r="AZ60" s="15" t="str">
        <f t="shared" ref="AZ60:AZ63" si="50">IF(and(AW60=0,AX60=1),1,0)</f>
        <v>#REF!</v>
      </c>
      <c r="BA60" s="15" t="str">
        <f t="shared" ref="BA60:BA63" si="51">IF(AND(AW60=0,AX60=0),1,0)</f>
        <v>#REF!</v>
      </c>
      <c r="BB60" s="15" t="str">
        <f t="shared" ref="BB60:BB63" si="52">IF(AND(AW60=1,AX60=0),1,0)</f>
        <v>#REF!</v>
      </c>
      <c r="BC60" s="15" t="str">
        <f t="shared" ref="BC60:BC63" si="53">IF(AND(AW60=1,AX60=1),1,0)</f>
        <v>#REF!</v>
      </c>
      <c r="BD60" s="15" t="str">
        <f t="shared" ref="BD60:BD63" si="54">IF(AZ60+BA60+BB60+BC60&gt;1,1,0)</f>
        <v>#REF!</v>
      </c>
    </row>
    <row r="61">
      <c r="A61" s="8" t="s">
        <v>107</v>
      </c>
      <c r="B61" s="34">
        <f t="shared" si="1"/>
        <v>1</v>
      </c>
      <c r="C61" s="9">
        <v>4733310.17</v>
      </c>
      <c r="D61" s="9">
        <v>1524123.88</v>
      </c>
      <c r="E61" s="9">
        <v>5065171.46</v>
      </c>
      <c r="F61" s="9">
        <v>3025617.15</v>
      </c>
      <c r="G61" s="9">
        <v>306558.34</v>
      </c>
      <c r="H61" s="9">
        <v>271789.62</v>
      </c>
      <c r="I61" s="9">
        <v>177085.22</v>
      </c>
      <c r="J61" s="9">
        <v>54447.03</v>
      </c>
      <c r="K61" s="9">
        <v>-12228.89</v>
      </c>
      <c r="L61" s="9">
        <v>-84757.89</v>
      </c>
      <c r="M61" s="9">
        <v>-63688.36</v>
      </c>
      <c r="N61" s="10">
        <f t="shared" si="48"/>
        <v>1</v>
      </c>
      <c r="O61" s="12" t="s">
        <v>46</v>
      </c>
      <c r="P61" s="9">
        <v>71449.44</v>
      </c>
      <c r="Q61" s="9">
        <v>36396.39</v>
      </c>
      <c r="R61" s="9">
        <v>-69086.98</v>
      </c>
      <c r="S61" s="9">
        <v>38758.85</v>
      </c>
      <c r="T61" s="12">
        <v>-0.41</v>
      </c>
      <c r="U61" s="12">
        <v>1.39</v>
      </c>
      <c r="V61" s="12">
        <v>43.14</v>
      </c>
      <c r="W61" s="12">
        <v>-1.51</v>
      </c>
      <c r="X61" s="12">
        <v>-160.22</v>
      </c>
      <c r="Y61" s="12">
        <v>-83.04</v>
      </c>
      <c r="Z61" s="12">
        <f t="shared" si="3"/>
        <v>1</v>
      </c>
      <c r="AA61" s="12"/>
      <c r="AB61" s="12">
        <v>17.76</v>
      </c>
      <c r="AC61" s="12">
        <v>0.47</v>
      </c>
      <c r="AD61" s="12">
        <v>0.82</v>
      </c>
      <c r="AE61" s="12">
        <v>2.23</v>
      </c>
      <c r="AF61" s="12">
        <v>0.38</v>
      </c>
      <c r="AG61" s="12">
        <v>0.28</v>
      </c>
      <c r="AH61" s="12">
        <v>0.08</v>
      </c>
      <c r="AI61" s="12">
        <v>0.33</v>
      </c>
      <c r="AJ61" s="9">
        <v>1107.05</v>
      </c>
      <c r="AK61" s="12">
        <v>0.88</v>
      </c>
      <c r="AL61" s="12">
        <v>413.67</v>
      </c>
      <c r="AM61" s="12">
        <v>1.91</v>
      </c>
      <c r="AN61" s="12">
        <v>190.84</v>
      </c>
      <c r="AO61" s="9">
        <v>1329.89</v>
      </c>
      <c r="AP61" s="12">
        <f t="shared" si="4"/>
        <v>13.1577</v>
      </c>
      <c r="AQ61" s="35">
        <v>0.9999980694428743</v>
      </c>
      <c r="AR61" s="15">
        <f t="shared" si="5"/>
        <v>1</v>
      </c>
      <c r="AS61" s="15">
        <f t="shared" si="47"/>
        <v>1</v>
      </c>
      <c r="AU61" s="15">
        <f>2.551996+('2021'!C61*0.000000012919)+('2021'!E61*0.000003)-('2021'!H61*0.000002)
-('2021'!U61*0.123062)+('2021'!AC61*0.831)-('2021'!AD61*0.008464)-('2021'!AF61*0.15884)
-('2021'!AL61*0.025383)-('2021'!AM61*0.427021)-('2021'!AN61*0.009878)
</f>
        <v>4.216381674</v>
      </c>
      <c r="AV61" s="15">
        <v>0.9854625303400933</v>
      </c>
      <c r="AW61" s="14">
        <f t="shared" si="7"/>
        <v>1</v>
      </c>
      <c r="AX61" s="14" t="str">
        <f t="shared" si="49"/>
        <v>#REF!</v>
      </c>
      <c r="AZ61" s="15" t="str">
        <f t="shared" si="50"/>
        <v>#REF!</v>
      </c>
      <c r="BA61" s="15" t="str">
        <f t="shared" si="51"/>
        <v>#REF!</v>
      </c>
      <c r="BB61" s="15" t="str">
        <f t="shared" si="52"/>
        <v>#REF!</v>
      </c>
      <c r="BC61" s="15" t="str">
        <f t="shared" si="53"/>
        <v>#REF!</v>
      </c>
      <c r="BD61" s="15" t="str">
        <f t="shared" si="54"/>
        <v>#REF!</v>
      </c>
    </row>
    <row r="62">
      <c r="A62" s="8" t="s">
        <v>108</v>
      </c>
      <c r="B62" s="34">
        <f t="shared" si="1"/>
        <v>0</v>
      </c>
      <c r="C62" s="9">
        <v>1685723.3</v>
      </c>
      <c r="D62" s="9">
        <v>367189.91</v>
      </c>
      <c r="E62" s="9">
        <v>292250.0</v>
      </c>
      <c r="F62" s="9">
        <v>1317966.42</v>
      </c>
      <c r="G62" s="9">
        <v>1046132.46</v>
      </c>
      <c r="H62" s="9">
        <v>953777.8</v>
      </c>
      <c r="I62" s="9">
        <v>136375.18</v>
      </c>
      <c r="J62" s="9">
        <v>92354.66</v>
      </c>
      <c r="K62" s="9">
        <v>72271.14</v>
      </c>
      <c r="L62" s="9">
        <v>100969.34</v>
      </c>
      <c r="M62" s="9">
        <v>149619.4</v>
      </c>
      <c r="N62" s="10">
        <f t="shared" si="48"/>
        <v>0</v>
      </c>
      <c r="O62" s="12">
        <v>0.12</v>
      </c>
      <c r="P62" s="9">
        <v>68249.6</v>
      </c>
      <c r="Q62" s="9">
        <v>-45690.87</v>
      </c>
      <c r="R62" s="9">
        <v>-86762.06</v>
      </c>
      <c r="S62" s="9">
        <v>-64203.32</v>
      </c>
      <c r="T62" s="12">
        <v>5.49</v>
      </c>
      <c r="U62" s="12">
        <v>5.52</v>
      </c>
      <c r="V62" s="12">
        <v>30.44</v>
      </c>
      <c r="W62" s="12">
        <v>6.9</v>
      </c>
      <c r="X62" s="12">
        <v>8.63</v>
      </c>
      <c r="Y62" s="12">
        <v>10.73</v>
      </c>
      <c r="Z62" s="12">
        <f t="shared" si="3"/>
        <v>0</v>
      </c>
      <c r="AA62" s="12"/>
      <c r="AB62" s="12">
        <v>8.83</v>
      </c>
      <c r="AC62" s="12">
        <v>0.28</v>
      </c>
      <c r="AD62" s="12">
        <v>39.99</v>
      </c>
      <c r="AE62" s="12">
        <v>3.89</v>
      </c>
      <c r="AF62" s="12">
        <v>2.38</v>
      </c>
      <c r="AG62" s="12">
        <v>5.82</v>
      </c>
      <c r="AH62" s="12">
        <v>0.63</v>
      </c>
      <c r="AI62" s="12">
        <v>2.44</v>
      </c>
      <c r="AJ62" s="12">
        <v>149.88</v>
      </c>
      <c r="AK62" s="12">
        <v>4.05</v>
      </c>
      <c r="AL62" s="12">
        <v>90.08</v>
      </c>
      <c r="AM62" s="12">
        <v>3.84</v>
      </c>
      <c r="AN62" s="12">
        <v>95.02</v>
      </c>
      <c r="AO62" s="12">
        <v>144.94</v>
      </c>
      <c r="AP62" s="12">
        <f t="shared" si="4"/>
        <v>1.72954</v>
      </c>
      <c r="AQ62" s="35">
        <v>0.8493535717546281</v>
      </c>
      <c r="AR62" s="15">
        <f t="shared" si="5"/>
        <v>1</v>
      </c>
      <c r="AS62" s="15">
        <f t="shared" si="47"/>
        <v>0</v>
      </c>
      <c r="AU62" s="15">
        <f>2.551996+('2021'!C62*0.000000012919)+('2021'!E62*0.000003)-('2021'!H62*0.000002)
-('2021'!U62*0.123062)+('2021'!AC62*0.831)-('2021'!AD62*0.008464)-('2021'!AF62*0.15884)
-('2021'!AL62*0.025383)-('2021'!AM62*0.427021)-('2021'!AN62*0.009878)
</f>
        <v>-4.485037381</v>
      </c>
      <c r="AV62" s="15">
        <v>0.011150725217129155</v>
      </c>
      <c r="AW62" s="14">
        <f t="shared" si="7"/>
        <v>0</v>
      </c>
      <c r="AX62" s="14" t="str">
        <f t="shared" si="49"/>
        <v>#REF!</v>
      </c>
      <c r="AZ62" s="15" t="str">
        <f t="shared" si="50"/>
        <v>#REF!</v>
      </c>
      <c r="BA62" s="15" t="str">
        <f t="shared" si="51"/>
        <v>#REF!</v>
      </c>
      <c r="BB62" s="15" t="str">
        <f t="shared" si="52"/>
        <v>#REF!</v>
      </c>
      <c r="BC62" s="15" t="str">
        <f t="shared" si="53"/>
        <v>#REF!</v>
      </c>
      <c r="BD62" s="15" t="str">
        <f t="shared" si="54"/>
        <v>#REF!</v>
      </c>
    </row>
    <row r="63">
      <c r="A63" s="8" t="s">
        <v>109</v>
      </c>
      <c r="B63" s="34">
        <f t="shared" si="1"/>
        <v>1</v>
      </c>
      <c r="C63" s="9">
        <v>1425586.6</v>
      </c>
      <c r="D63" s="9">
        <v>195799.62</v>
      </c>
      <c r="E63" s="9">
        <v>4588523.55</v>
      </c>
      <c r="F63" s="9">
        <v>1221790.49</v>
      </c>
      <c r="G63" s="9">
        <v>124375.42</v>
      </c>
      <c r="H63" s="9">
        <v>184180.2</v>
      </c>
      <c r="I63" s="9">
        <v>-11320.19</v>
      </c>
      <c r="J63" s="9">
        <v>-59155.16</v>
      </c>
      <c r="K63" s="9">
        <v>-45211.02</v>
      </c>
      <c r="L63" s="9">
        <v>-28367.59</v>
      </c>
      <c r="M63" s="9">
        <v>-44776.5</v>
      </c>
      <c r="N63" s="10">
        <f t="shared" si="48"/>
        <v>1</v>
      </c>
      <c r="O63" s="12">
        <v>-0.21</v>
      </c>
      <c r="P63" s="9">
        <v>-38455.39</v>
      </c>
      <c r="Q63" s="9">
        <v>-114911.73</v>
      </c>
      <c r="R63" s="9">
        <v>206845.65</v>
      </c>
      <c r="S63" s="9">
        <v>53478.54</v>
      </c>
      <c r="T63" s="12">
        <v>-7.54</v>
      </c>
      <c r="U63" s="12">
        <v>-7.86</v>
      </c>
      <c r="V63" s="12">
        <v>53.12</v>
      </c>
      <c r="W63" s="12">
        <v>-49.39</v>
      </c>
      <c r="X63" s="12">
        <v>-25.99</v>
      </c>
      <c r="Y63" s="12">
        <v>-30.32</v>
      </c>
      <c r="Z63" s="12">
        <f t="shared" si="3"/>
        <v>1</v>
      </c>
      <c r="AA63" s="12"/>
      <c r="AB63" s="12">
        <v>-47.56</v>
      </c>
      <c r="AC63" s="12">
        <v>0.16</v>
      </c>
      <c r="AD63" s="12">
        <v>-31.23</v>
      </c>
      <c r="AE63" s="12">
        <v>1.25</v>
      </c>
      <c r="AF63" s="12">
        <v>1.15</v>
      </c>
      <c r="AG63" s="12">
        <v>1.59</v>
      </c>
      <c r="AH63" s="12">
        <v>0.17</v>
      </c>
      <c r="AI63" s="12">
        <v>3.5</v>
      </c>
      <c r="AJ63" s="12">
        <v>104.36</v>
      </c>
      <c r="AK63" s="12">
        <v>5.08</v>
      </c>
      <c r="AL63" s="12">
        <v>71.88</v>
      </c>
      <c r="AM63" s="12">
        <v>1.54</v>
      </c>
      <c r="AN63" s="12">
        <v>237.71</v>
      </c>
      <c r="AO63" s="12">
        <v>-61.46</v>
      </c>
      <c r="AP63" s="12">
        <f t="shared" si="4"/>
        <v>20.0919</v>
      </c>
      <c r="AQ63" s="35">
        <v>0.9999999981198231</v>
      </c>
      <c r="AR63" s="15">
        <f t="shared" si="5"/>
        <v>1</v>
      </c>
      <c r="AS63" s="15">
        <f t="shared" si="47"/>
        <v>1</v>
      </c>
      <c r="AU63" s="15">
        <f>2.551996+('2021'!C63*0.000000012919)+('2021'!E63*0.000003)-('2021'!H63*0.000002)
-('2021'!U63*0.123062)+('2021'!AC63*0.831)-('2021'!AD63*0.008464)-('2021'!AF63*0.15884)
-('2021'!AL63*0.025383)-('2021'!AM63*0.427021)-('2021'!AN63*0.009878)
</f>
        <v>12.31927368</v>
      </c>
      <c r="AV63" s="15">
        <v>0.9999955351643289</v>
      </c>
      <c r="AW63" s="14">
        <f t="shared" si="7"/>
        <v>1</v>
      </c>
      <c r="AX63" s="14" t="str">
        <f t="shared" si="49"/>
        <v>#REF!</v>
      </c>
      <c r="AZ63" s="15" t="str">
        <f t="shared" si="50"/>
        <v>#REF!</v>
      </c>
      <c r="BA63" s="15" t="str">
        <f t="shared" si="51"/>
        <v>#REF!</v>
      </c>
      <c r="BB63" s="15" t="str">
        <f t="shared" si="52"/>
        <v>#REF!</v>
      </c>
      <c r="BC63" s="15" t="str">
        <f t="shared" si="53"/>
        <v>#REF!</v>
      </c>
      <c r="BD63" s="15" t="str">
        <f t="shared" si="54"/>
        <v>#REF!</v>
      </c>
    </row>
    <row r="64">
      <c r="A64" s="8" t="s">
        <v>110</v>
      </c>
      <c r="B64" s="34" t="str">
        <f t="shared" si="1"/>
        <v/>
      </c>
      <c r="C64" s="9">
        <v>1118302.79</v>
      </c>
      <c r="D64" s="9">
        <v>252413.38</v>
      </c>
      <c r="E64" s="9">
        <v>136000.0</v>
      </c>
      <c r="F64" s="9">
        <v>865889.41</v>
      </c>
      <c r="G64" s="9">
        <v>1216413.61</v>
      </c>
      <c r="H64" s="9">
        <v>1113731.17</v>
      </c>
      <c r="I64" s="9">
        <v>133616.76</v>
      </c>
      <c r="J64" s="9">
        <v>102682.44</v>
      </c>
      <c r="K64" s="9">
        <v>79663.98</v>
      </c>
      <c r="L64" s="9" t="e">
        <v>#N/A</v>
      </c>
      <c r="M64" s="9" t="e">
        <v>#N/A</v>
      </c>
      <c r="N64" s="10"/>
      <c r="O64" s="12">
        <v>0.39</v>
      </c>
      <c r="P64" s="9">
        <v>85180.99</v>
      </c>
      <c r="Q64" s="9">
        <v>-14745.18</v>
      </c>
      <c r="R64" s="9">
        <v>599723.45</v>
      </c>
      <c r="S64" s="9">
        <v>670159.26</v>
      </c>
      <c r="T64" s="12">
        <v>16.08</v>
      </c>
      <c r="U64" s="12">
        <v>13.54</v>
      </c>
      <c r="V64" s="12">
        <v>23.05</v>
      </c>
      <c r="W64" s="12">
        <v>6.55</v>
      </c>
      <c r="X64" s="12" t="e">
        <v>#N/A</v>
      </c>
      <c r="Y64" s="12" t="e">
        <v>#N/A</v>
      </c>
      <c r="Z64" s="12" t="str">
        <f t="shared" si="3"/>
        <v>#N/A</v>
      </c>
      <c r="AA64" s="12"/>
      <c r="AB64" s="12">
        <v>8.44</v>
      </c>
      <c r="AC64" s="12">
        <v>0.29</v>
      </c>
      <c r="AD64" s="12">
        <v>19.24</v>
      </c>
      <c r="AE64" s="12">
        <v>6.14</v>
      </c>
      <c r="AF64" s="12">
        <v>4.99</v>
      </c>
      <c r="AG64" s="12">
        <v>6.33</v>
      </c>
      <c r="AH64" s="12">
        <v>1.6</v>
      </c>
      <c r="AI64" s="12">
        <v>6.36</v>
      </c>
      <c r="AJ64" s="12">
        <v>57.41</v>
      </c>
      <c r="AK64" s="12">
        <v>80.13</v>
      </c>
      <c r="AL64" s="12">
        <v>4.56</v>
      </c>
      <c r="AM64" s="12">
        <v>8.19</v>
      </c>
      <c r="AN64" s="12">
        <v>44.59</v>
      </c>
      <c r="AO64" s="12">
        <v>17.37</v>
      </c>
      <c r="AP64" s="12">
        <f t="shared" si="4"/>
        <v>1.99745</v>
      </c>
      <c r="AQ64" s="35">
        <v>0.8805290842496897</v>
      </c>
      <c r="AR64" s="15">
        <f t="shared" si="5"/>
        <v>1</v>
      </c>
      <c r="AS64" s="15">
        <f t="shared" si="47"/>
        <v>0</v>
      </c>
      <c r="AU64" s="15">
        <f>2.551996+('2021'!C64*0.000000012919)+('2021'!E64*0.000003)-('2021'!H64*0.000002)
-('2021'!U64*0.123062)+('2021'!AC64*0.831)-('2021'!AD64*0.008464)-('2021'!AF64*0.15884)
-('2021'!AL64*0.025383)-('2021'!AM64*0.427021)-('2021'!AN64*0.009878)
</f>
        <v>-5.687255916</v>
      </c>
      <c r="AV64" s="15">
        <v>0.003377433874583566</v>
      </c>
      <c r="AW64" s="14">
        <f t="shared" si="7"/>
        <v>0</v>
      </c>
      <c r="AX64" s="14"/>
    </row>
    <row r="65">
      <c r="A65" s="8" t="s">
        <v>111</v>
      </c>
      <c r="B65" s="34">
        <f t="shared" si="1"/>
        <v>0</v>
      </c>
      <c r="C65" s="9">
        <v>354795.98</v>
      </c>
      <c r="D65" s="9">
        <v>47248.46</v>
      </c>
      <c r="E65" s="9">
        <v>165519.83</v>
      </c>
      <c r="F65" s="9">
        <v>306835.13</v>
      </c>
      <c r="G65" s="9">
        <v>208246.97</v>
      </c>
      <c r="H65" s="9">
        <v>189949.32</v>
      </c>
      <c r="I65" s="9">
        <v>35023.88</v>
      </c>
      <c r="J65" s="9">
        <v>18297.66</v>
      </c>
      <c r="K65" s="9">
        <v>15195.97</v>
      </c>
      <c r="L65" s="9">
        <v>-8359.78</v>
      </c>
      <c r="M65" s="9">
        <v>12658.63</v>
      </c>
      <c r="N65" s="10">
        <f t="shared" ref="N65:N67" si="55">IF(AND(K65&lt;0,L65&lt;0,M65&lt;0),1,0)</f>
        <v>0</v>
      </c>
      <c r="O65" s="12">
        <v>0.02</v>
      </c>
      <c r="P65" s="9">
        <v>29866.06</v>
      </c>
      <c r="Q65" s="9">
        <v>-4823.6</v>
      </c>
      <c r="R65" s="9">
        <v>48045.86</v>
      </c>
      <c r="S65" s="9">
        <v>73088.33</v>
      </c>
      <c r="T65" s="12">
        <v>5.53</v>
      </c>
      <c r="U65" s="12">
        <v>5.85</v>
      </c>
      <c r="V65" s="12">
        <v>23.15</v>
      </c>
      <c r="W65" s="12">
        <v>7.32</v>
      </c>
      <c r="X65" s="12">
        <v>-8.43</v>
      </c>
      <c r="Y65" s="12">
        <v>6.42</v>
      </c>
      <c r="Z65" s="12">
        <f t="shared" si="3"/>
        <v>0</v>
      </c>
      <c r="AA65" s="12"/>
      <c r="AB65" s="12">
        <v>8.79</v>
      </c>
      <c r="AC65" s="12">
        <v>0.15</v>
      </c>
      <c r="AD65" s="12">
        <v>47.1</v>
      </c>
      <c r="AE65" s="12">
        <v>6.12</v>
      </c>
      <c r="AF65" s="12">
        <v>4.08</v>
      </c>
      <c r="AG65" s="12">
        <v>1.42</v>
      </c>
      <c r="AH65" s="12">
        <v>0.67</v>
      </c>
      <c r="AI65" s="12">
        <v>2.08</v>
      </c>
      <c r="AJ65" s="12">
        <v>175.18</v>
      </c>
      <c r="AK65" s="12">
        <v>6.34</v>
      </c>
      <c r="AL65" s="12">
        <v>57.56</v>
      </c>
      <c r="AM65" s="12">
        <v>6.84</v>
      </c>
      <c r="AN65" s="12">
        <v>53.4</v>
      </c>
      <c r="AO65" s="12">
        <v>179.34</v>
      </c>
      <c r="AP65" s="12">
        <f t="shared" si="4"/>
        <v>1.22139</v>
      </c>
      <c r="AQ65" s="35">
        <v>0.7723080710979127</v>
      </c>
      <c r="AR65" s="15">
        <f t="shared" si="5"/>
        <v>1</v>
      </c>
      <c r="AS65" s="15">
        <f t="shared" si="47"/>
        <v>0</v>
      </c>
      <c r="AU65" s="15">
        <f>2.551996+('2021'!C65*0.000000012919)+('2021'!E65*0.000003)-('2021'!H65*0.000002)
-('2021'!U65*0.123062)+('2021'!AC65*0.831)-('2021'!AD65*0.008464)-('2021'!AF65*0.15884)
-('2021'!AL65*0.025383)-('2021'!AM65*0.427021)-('2021'!AN65*0.009878)
</f>
        <v>-3.878098161</v>
      </c>
      <c r="AV65" s="15">
        <v>0.020270732860486272</v>
      </c>
      <c r="AW65" s="14">
        <f t="shared" si="7"/>
        <v>0</v>
      </c>
      <c r="AX65" s="14" t="str">
        <f t="shared" ref="AX65:AX67" si="56">IF(AW65='temp result 2022'!B65,1,IF(Z65="-",1,0))</f>
        <v>#REF!</v>
      </c>
      <c r="AZ65" s="15" t="str">
        <f t="shared" ref="AZ65:AZ67" si="57">IF(and(AW65=0,AX65=1),1,0)</f>
        <v>#REF!</v>
      </c>
      <c r="BA65" s="15" t="str">
        <f t="shared" ref="BA65:BA67" si="58">IF(AND(AW65=0,AX65=0),1,0)</f>
        <v>#REF!</v>
      </c>
      <c r="BB65" s="15" t="str">
        <f t="shared" ref="BB65:BB67" si="59">IF(AND(AW65=1,AX65=0),1,0)</f>
        <v>#REF!</v>
      </c>
      <c r="BC65" s="15" t="str">
        <f t="shared" ref="BC65:BC67" si="60">IF(AND(AW65=1,AX65=1),1,0)</f>
        <v>#REF!</v>
      </c>
      <c r="BD65" s="15" t="str">
        <f t="shared" ref="BD65:BD67" si="61">IF(AZ65+BA65+BB65+BC65&gt;1,1,0)</f>
        <v>#REF!</v>
      </c>
    </row>
    <row r="66">
      <c r="A66" s="8" t="s">
        <v>112</v>
      </c>
      <c r="B66" s="34">
        <f t="shared" si="1"/>
        <v>1</v>
      </c>
      <c r="C66" s="9">
        <v>459644.0</v>
      </c>
      <c r="D66" s="9">
        <v>337803.36</v>
      </c>
      <c r="E66" s="9">
        <v>2304683.04</v>
      </c>
      <c r="F66" s="9">
        <v>121537.86</v>
      </c>
      <c r="G66" s="9">
        <v>293012.04</v>
      </c>
      <c r="H66" s="9">
        <v>297311.44</v>
      </c>
      <c r="I66" s="9">
        <v>1180.1</v>
      </c>
      <c r="J66" s="9">
        <v>-4299.4</v>
      </c>
      <c r="K66" s="9">
        <v>-19984.9</v>
      </c>
      <c r="L66" s="9">
        <v>-74271.73</v>
      </c>
      <c r="M66" s="9">
        <v>-277589.81</v>
      </c>
      <c r="N66" s="10">
        <f t="shared" si="55"/>
        <v>1</v>
      </c>
      <c r="O66" s="12">
        <v>-0.01</v>
      </c>
      <c r="P66" s="9">
        <v>-133258.55</v>
      </c>
      <c r="Q66" s="9">
        <v>42363.66</v>
      </c>
      <c r="R66" s="9">
        <v>113623.04</v>
      </c>
      <c r="S66" s="9">
        <v>22728.16</v>
      </c>
      <c r="T66" s="12">
        <v>-32.07</v>
      </c>
      <c r="U66" s="12">
        <v>-0.97</v>
      </c>
      <c r="V66" s="12">
        <v>8.85</v>
      </c>
      <c r="W66" s="12">
        <v>-6.82</v>
      </c>
      <c r="X66" s="12">
        <v>-44.14</v>
      </c>
      <c r="Y66" s="12">
        <v>-105.55</v>
      </c>
      <c r="Z66" s="12">
        <f t="shared" si="3"/>
        <v>1</v>
      </c>
      <c r="AA66" s="12"/>
      <c r="AB66" s="12">
        <v>-1.47</v>
      </c>
      <c r="AC66" s="12">
        <v>2.77</v>
      </c>
      <c r="AD66" s="12">
        <v>-0.29</v>
      </c>
      <c r="AE66" s="12">
        <v>1.39</v>
      </c>
      <c r="AF66" s="12">
        <v>0.92</v>
      </c>
      <c r="AG66" s="12">
        <v>11.48</v>
      </c>
      <c r="AH66" s="12">
        <v>0.66</v>
      </c>
      <c r="AI66" s="12">
        <v>30.98</v>
      </c>
      <c r="AJ66" s="12">
        <v>11.78</v>
      </c>
      <c r="AK66" s="12">
        <v>2.48</v>
      </c>
      <c r="AL66" s="12">
        <v>147.15</v>
      </c>
      <c r="AM66" s="12">
        <v>1.75</v>
      </c>
      <c r="AN66" s="12">
        <v>208.82</v>
      </c>
      <c r="AO66" s="12">
        <v>-49.89</v>
      </c>
      <c r="AP66" s="12">
        <f t="shared" si="4"/>
        <v>3.2571</v>
      </c>
      <c r="AQ66" s="35">
        <v>0.9629274047383165</v>
      </c>
      <c r="AR66" s="15">
        <f t="shared" si="5"/>
        <v>1</v>
      </c>
      <c r="AS66" s="15">
        <f t="shared" si="47"/>
        <v>1</v>
      </c>
      <c r="AU66" s="15">
        <f>2.551996+('2021'!C66*0.000000012919)+('2021'!E66*0.000003)-('2021'!H66*0.000002)
-('2021'!U66*0.123062)+('2021'!AC66*0.831)-('2021'!AD66*0.008464)-('2021'!AF66*0.15884)
-('2021'!AL66*0.025383)-('2021'!AM66*0.427021)-('2021'!AN66*0.009878)
</f>
        <v>4.609803121</v>
      </c>
      <c r="AV66" s="15">
        <v>0.9901443234085204</v>
      </c>
      <c r="AW66" s="14">
        <f t="shared" si="7"/>
        <v>1</v>
      </c>
      <c r="AX66" s="14" t="str">
        <f t="shared" si="56"/>
        <v>#REF!</v>
      </c>
      <c r="AZ66" s="15" t="str">
        <f t="shared" si="57"/>
        <v>#REF!</v>
      </c>
      <c r="BA66" s="15" t="str">
        <f t="shared" si="58"/>
        <v>#REF!</v>
      </c>
      <c r="BB66" s="15" t="str">
        <f t="shared" si="59"/>
        <v>#REF!</v>
      </c>
      <c r="BC66" s="15" t="str">
        <f t="shared" si="60"/>
        <v>#REF!</v>
      </c>
      <c r="BD66" s="15" t="str">
        <f t="shared" si="61"/>
        <v>#REF!</v>
      </c>
    </row>
    <row r="67">
      <c r="A67" s="8" t="s">
        <v>113</v>
      </c>
      <c r="B67" s="34">
        <f t="shared" si="1"/>
        <v>0</v>
      </c>
      <c r="C67" s="9">
        <v>1041901.95</v>
      </c>
      <c r="D67" s="9">
        <v>369216.79</v>
      </c>
      <c r="E67" s="9">
        <v>225000.0</v>
      </c>
      <c r="F67" s="9">
        <v>647983.78</v>
      </c>
      <c r="G67" s="9">
        <v>1764234.8</v>
      </c>
      <c r="H67" s="9">
        <v>1564603.39</v>
      </c>
      <c r="I67" s="9">
        <v>208990.4</v>
      </c>
      <c r="J67" s="9">
        <v>199631.41</v>
      </c>
      <c r="K67" s="9">
        <v>156974.07</v>
      </c>
      <c r="L67" s="9">
        <v>111654.67</v>
      </c>
      <c r="M67" s="9">
        <v>93674.48</v>
      </c>
      <c r="N67" s="10">
        <f t="shared" si="55"/>
        <v>0</v>
      </c>
      <c r="O67" s="12">
        <v>0.35</v>
      </c>
      <c r="P67" s="9">
        <v>-74779.03</v>
      </c>
      <c r="Q67" s="9">
        <v>64921.95</v>
      </c>
      <c r="R67" s="9">
        <v>-166484.34</v>
      </c>
      <c r="S67" s="9">
        <v>-176341.41</v>
      </c>
      <c r="T67" s="12">
        <v>25.7</v>
      </c>
      <c r="U67" s="12">
        <v>15.88</v>
      </c>
      <c r="V67" s="12">
        <v>16.49</v>
      </c>
      <c r="W67" s="12">
        <v>9.0</v>
      </c>
      <c r="X67" s="12">
        <v>7.71</v>
      </c>
      <c r="Y67" s="12">
        <v>7.85</v>
      </c>
      <c r="Z67" s="12">
        <f t="shared" si="3"/>
        <v>0</v>
      </c>
      <c r="AA67" s="12"/>
      <c r="AB67" s="12">
        <v>11.32</v>
      </c>
      <c r="AC67" s="12">
        <v>0.55</v>
      </c>
      <c r="AD67" s="12">
        <v>219.46</v>
      </c>
      <c r="AE67" s="12">
        <v>3.32</v>
      </c>
      <c r="AF67" s="12">
        <v>1.49</v>
      </c>
      <c r="AG67" s="12">
        <v>113.58</v>
      </c>
      <c r="AH67" s="12">
        <v>1.4</v>
      </c>
      <c r="AI67" s="12">
        <v>13.63</v>
      </c>
      <c r="AJ67" s="12">
        <v>26.78</v>
      </c>
      <c r="AK67" s="12">
        <v>8.22</v>
      </c>
      <c r="AL67" s="12">
        <v>44.38</v>
      </c>
      <c r="AM67" s="12">
        <v>5.28</v>
      </c>
      <c r="AN67" s="12">
        <v>69.11</v>
      </c>
      <c r="AO67" s="12">
        <v>2.05</v>
      </c>
      <c r="AP67" s="12">
        <f t="shared" si="4"/>
        <v>2.29669</v>
      </c>
      <c r="AQ67" s="35">
        <v>0.908602534959948</v>
      </c>
      <c r="AR67" s="15">
        <f t="shared" si="5"/>
        <v>1</v>
      </c>
      <c r="AS67" s="15">
        <f t="shared" si="47"/>
        <v>0</v>
      </c>
      <c r="AU67" s="15">
        <f>2.551996+('2021'!C67*0.000000012919)+('2021'!E67*0.000003)-('2021'!H67*0.000002)
-('2021'!U67*0.123062)+('2021'!AC67*0.831)-('2021'!AD67*0.008464)-('2021'!AF67*0.15884)
-('2021'!AL67*0.025383)-('2021'!AM67*0.427021)-('2021'!AN67*0.009878)
</f>
        <v>-7.543943049</v>
      </c>
      <c r="AV67" s="15">
        <v>5.290264035835177E-4</v>
      </c>
      <c r="AW67" s="14">
        <f t="shared" si="7"/>
        <v>0</v>
      </c>
      <c r="AX67" s="14" t="str">
        <f t="shared" si="56"/>
        <v>#REF!</v>
      </c>
      <c r="AZ67" s="15" t="str">
        <f t="shared" si="57"/>
        <v>#REF!</v>
      </c>
      <c r="BA67" s="15" t="str">
        <f t="shared" si="58"/>
        <v>#REF!</v>
      </c>
      <c r="BB67" s="15" t="str">
        <f t="shared" si="59"/>
        <v>#REF!</v>
      </c>
      <c r="BC67" s="15" t="str">
        <f t="shared" si="60"/>
        <v>#REF!</v>
      </c>
      <c r="BD67" s="15" t="str">
        <f t="shared" si="61"/>
        <v>#REF!</v>
      </c>
    </row>
    <row r="68">
      <c r="A68" s="8" t="s">
        <v>114</v>
      </c>
      <c r="B68" s="34" t="str">
        <f t="shared" si="1"/>
        <v/>
      </c>
      <c r="C68" s="9">
        <v>796996.68</v>
      </c>
      <c r="D68" s="9">
        <v>243047.6</v>
      </c>
      <c r="E68" s="9">
        <v>50000.0</v>
      </c>
      <c r="F68" s="9">
        <v>553355.08</v>
      </c>
      <c r="G68" s="9">
        <v>690030.3</v>
      </c>
      <c r="H68" s="9">
        <v>588819.98</v>
      </c>
      <c r="I68" s="9">
        <v>104475.13</v>
      </c>
      <c r="J68" s="9">
        <v>100864.01</v>
      </c>
      <c r="K68" s="9">
        <v>79319.62</v>
      </c>
      <c r="L68" s="9">
        <v>62769.41</v>
      </c>
      <c r="M68" s="9" t="e">
        <v>#N/A</v>
      </c>
      <c r="N68" s="10"/>
      <c r="O68" s="12">
        <v>0.79</v>
      </c>
      <c r="P68" s="9">
        <v>55157.52</v>
      </c>
      <c r="Q68" s="9">
        <v>-37473.05</v>
      </c>
      <c r="R68" s="9">
        <v>-17583.11</v>
      </c>
      <c r="S68" s="12">
        <v>101.35</v>
      </c>
      <c r="T68" s="12">
        <v>15.24</v>
      </c>
      <c r="U68" s="12">
        <v>14.1</v>
      </c>
      <c r="V68" s="12">
        <v>27.93</v>
      </c>
      <c r="W68" s="12">
        <v>11.5</v>
      </c>
      <c r="X68" s="12">
        <v>11.35</v>
      </c>
      <c r="Y68" s="12" t="e">
        <v>#N/A</v>
      </c>
      <c r="Z68" s="12" t="str">
        <f t="shared" si="3"/>
        <v>#N/A</v>
      </c>
      <c r="AA68" s="12"/>
      <c r="AB68" s="12">
        <v>14.62</v>
      </c>
      <c r="AC68" s="12">
        <v>0.44</v>
      </c>
      <c r="AD68" s="12">
        <v>182.27</v>
      </c>
      <c r="AE68" s="12">
        <v>2.5</v>
      </c>
      <c r="AF68" s="12">
        <v>1.52</v>
      </c>
      <c r="AG68" s="12">
        <v>165.12</v>
      </c>
      <c r="AH68" s="12">
        <v>0.96</v>
      </c>
      <c r="AI68" s="12" t="s">
        <v>47</v>
      </c>
      <c r="AJ68" s="12" t="s">
        <v>46</v>
      </c>
      <c r="AK68" s="12">
        <v>6.05</v>
      </c>
      <c r="AL68" s="12">
        <v>60.35</v>
      </c>
      <c r="AM68" s="12">
        <v>7.89</v>
      </c>
      <c r="AN68" s="12">
        <v>46.28</v>
      </c>
      <c r="AO68" s="12">
        <v>14.07</v>
      </c>
      <c r="AP68" s="12">
        <f t="shared" si="4"/>
        <v>0.89873</v>
      </c>
      <c r="AQ68" s="35">
        <v>0.7106884473315221</v>
      </c>
      <c r="AR68" s="15">
        <f t="shared" si="5"/>
        <v>1</v>
      </c>
      <c r="AS68" s="15">
        <f t="shared" si="47"/>
        <v>0</v>
      </c>
      <c r="AU68" s="15">
        <f>2.551996+('2021'!C68*0.000000012919)+('2021'!E68*0.000003)-('2021'!H68*0.000002)
-('2021'!U68*0.123062)+('2021'!AC68*0.831)-('2021'!AD68*0.008464)-('2021'!AF68*0.15884)
-('2021'!AL68*0.025383)-('2021'!AM68*0.427021)-('2021'!AN68*0.009878)
</f>
        <v>-6.97726542</v>
      </c>
      <c r="AV68" s="15">
        <v>9.319812740237999E-4</v>
      </c>
      <c r="AW68" s="14">
        <f t="shared" si="7"/>
        <v>0</v>
      </c>
      <c r="AX68" s="14"/>
    </row>
    <row r="69">
      <c r="A69" s="8" t="s">
        <v>115</v>
      </c>
      <c r="B69" s="34">
        <f t="shared" si="1"/>
        <v>0</v>
      </c>
      <c r="C69" s="9">
        <v>1180098.63</v>
      </c>
      <c r="D69" s="9">
        <v>335702.9</v>
      </c>
      <c r="E69" s="9">
        <v>107500.0</v>
      </c>
      <c r="F69" s="9">
        <v>844395.73</v>
      </c>
      <c r="G69" s="9">
        <v>952883.78</v>
      </c>
      <c r="H69" s="9">
        <v>421326.64</v>
      </c>
      <c r="I69" s="9">
        <v>568074.51</v>
      </c>
      <c r="J69" s="9">
        <v>531557.14</v>
      </c>
      <c r="K69" s="9">
        <v>422698.18</v>
      </c>
      <c r="L69" s="9">
        <v>-16607.15</v>
      </c>
      <c r="M69" s="9">
        <v>10498.57</v>
      </c>
      <c r="N69" s="10">
        <f>IF(AND(K69&lt;0,L69&lt;0,M69&lt;0),1,0)</f>
        <v>0</v>
      </c>
      <c r="O69" s="12">
        <v>1.97</v>
      </c>
      <c r="P69" s="9">
        <v>353740.05</v>
      </c>
      <c r="Q69" s="9">
        <v>-185285.2</v>
      </c>
      <c r="R69" s="9">
        <v>-17997.73</v>
      </c>
      <c r="S69" s="9">
        <v>150457.13</v>
      </c>
      <c r="T69" s="12">
        <v>66.08</v>
      </c>
      <c r="U69" s="12">
        <v>63.61</v>
      </c>
      <c r="V69" s="12">
        <v>66.53</v>
      </c>
      <c r="W69" s="12">
        <v>44.36</v>
      </c>
      <c r="X69" s="12">
        <v>-6.85</v>
      </c>
      <c r="Y69" s="12">
        <v>3.12</v>
      </c>
      <c r="Z69" s="12">
        <f t="shared" si="3"/>
        <v>0</v>
      </c>
      <c r="AA69" s="12"/>
      <c r="AB69" s="12">
        <v>55.78</v>
      </c>
      <c r="AC69" s="12">
        <v>0.4</v>
      </c>
      <c r="AD69" s="12">
        <v>60.72</v>
      </c>
      <c r="AE69" s="12">
        <v>4.56</v>
      </c>
      <c r="AF69" s="12">
        <v>2.51</v>
      </c>
      <c r="AG69" s="12">
        <v>4.04</v>
      </c>
      <c r="AH69" s="12">
        <v>1.14</v>
      </c>
      <c r="AI69" s="12">
        <v>23.88</v>
      </c>
      <c r="AJ69" s="12">
        <v>15.29</v>
      </c>
      <c r="AK69" s="12">
        <v>18.7</v>
      </c>
      <c r="AL69" s="12">
        <v>19.51</v>
      </c>
      <c r="AM69" s="12">
        <v>7.3</v>
      </c>
      <c r="AN69" s="12">
        <v>49.99</v>
      </c>
      <c r="AO69" s="12">
        <v>-15.19</v>
      </c>
      <c r="AP69" s="12">
        <f t="shared" si="4"/>
        <v>2.04539</v>
      </c>
      <c r="AQ69" s="35">
        <v>0.8854809744363512</v>
      </c>
      <c r="AR69" s="15">
        <f t="shared" si="5"/>
        <v>1</v>
      </c>
      <c r="AS69" s="15">
        <f t="shared" si="47"/>
        <v>0</v>
      </c>
      <c r="AU69" s="15">
        <f>2.551996+('2021'!C69*0.000000012919)+('2021'!E69*0.000003)-('2021'!H69*0.000002)
-('2021'!U69*0.123062)+('2021'!AC69*0.831)-('2021'!AD69*0.008464)-('2021'!AF69*0.15884)
-('2021'!AL69*0.025383)-('2021'!AM69*0.427021)-('2021'!AN69*0.009878)
</f>
        <v>-10.46738474</v>
      </c>
      <c r="AV69" s="15">
        <v>2.8448555136102437E-5</v>
      </c>
      <c r="AW69" s="14">
        <f t="shared" si="7"/>
        <v>0</v>
      </c>
      <c r="AX69" s="14" t="str">
        <f>IF(AW69='temp result 2022'!B69,1,IF(Z69="-",1,0))</f>
        <v>#REF!</v>
      </c>
      <c r="AZ69" s="15" t="str">
        <f>IF(and(AW69=0,AX69=1),1,0)</f>
        <v>#REF!</v>
      </c>
      <c r="BA69" s="15" t="str">
        <f>IF(AND(AW69=0,AX69=0),1,0)</f>
        <v>#REF!</v>
      </c>
      <c r="BB69" s="15" t="str">
        <f>IF(AND(AW69=1,AX69=0),1,0)</f>
        <v>#REF!</v>
      </c>
      <c r="BC69" s="15" t="str">
        <f>IF(AND(AW69=1,AX69=1),1,0)</f>
        <v>#REF!</v>
      </c>
      <c r="BD69" s="15" t="str">
        <f>IF(AZ69+BA69+BB69+BC69&gt;1,1,0)</f>
        <v>#REF!</v>
      </c>
    </row>
    <row r="70">
      <c r="A70" s="8" t="s">
        <v>116</v>
      </c>
      <c r="B70" s="34" t="str">
        <f t="shared" si="1"/>
        <v/>
      </c>
      <c r="C70" s="9">
        <v>671570.2</v>
      </c>
      <c r="D70" s="9">
        <v>292584.55</v>
      </c>
      <c r="E70" s="9">
        <v>175000.0</v>
      </c>
      <c r="F70" s="9">
        <v>378985.66</v>
      </c>
      <c r="G70" s="9">
        <v>473736.51</v>
      </c>
      <c r="H70" s="9">
        <v>454564.42</v>
      </c>
      <c r="I70" s="9">
        <v>25752.34</v>
      </c>
      <c r="J70" s="9">
        <v>19172.09</v>
      </c>
      <c r="K70" s="9">
        <v>14257.61</v>
      </c>
      <c r="L70" s="9">
        <v>17781.64</v>
      </c>
      <c r="M70" s="9" t="e">
        <v>#N/A</v>
      </c>
      <c r="N70" s="10"/>
      <c r="O70" s="12">
        <v>0.04</v>
      </c>
      <c r="P70" s="9">
        <v>-22974.94</v>
      </c>
      <c r="Q70" s="9">
        <v>-53365.16</v>
      </c>
      <c r="R70" s="9">
        <v>-4733.32</v>
      </c>
      <c r="S70" s="9">
        <v>-81073.43</v>
      </c>
      <c r="T70" s="12">
        <v>3.86</v>
      </c>
      <c r="U70" s="12">
        <v>2.75</v>
      </c>
      <c r="V70" s="12">
        <v>19.92</v>
      </c>
      <c r="W70" s="12">
        <v>3.01</v>
      </c>
      <c r="X70" s="12">
        <v>3.08</v>
      </c>
      <c r="Y70" s="12" t="e">
        <v>#N/A</v>
      </c>
      <c r="Z70" s="12" t="str">
        <f t="shared" si="3"/>
        <v>#N/A</v>
      </c>
      <c r="AA70" s="12"/>
      <c r="AB70" s="12">
        <v>4.05</v>
      </c>
      <c r="AC70" s="12">
        <v>0.77</v>
      </c>
      <c r="AD70" s="12">
        <v>29.49</v>
      </c>
      <c r="AE70" s="12">
        <v>2.01</v>
      </c>
      <c r="AF70" s="12">
        <v>1.03</v>
      </c>
      <c r="AG70" s="12">
        <v>29.21</v>
      </c>
      <c r="AH70" s="12">
        <v>0.68</v>
      </c>
      <c r="AI70" s="12" t="s">
        <v>47</v>
      </c>
      <c r="AJ70" s="12" t="s">
        <v>46</v>
      </c>
      <c r="AK70" s="12">
        <v>3.03</v>
      </c>
      <c r="AL70" s="12">
        <v>120.61</v>
      </c>
      <c r="AM70" s="12">
        <v>1.57</v>
      </c>
      <c r="AN70" s="12">
        <v>232.45</v>
      </c>
      <c r="AO70" s="12">
        <v>-111.84</v>
      </c>
      <c r="AP70" s="12">
        <f t="shared" si="4"/>
        <v>3.13852</v>
      </c>
      <c r="AQ70" s="35">
        <v>0.9584539871553652</v>
      </c>
      <c r="AR70" s="15">
        <f t="shared" si="5"/>
        <v>1</v>
      </c>
      <c r="AS70" s="15">
        <f t="shared" si="47"/>
        <v>0</v>
      </c>
      <c r="AU70" s="15">
        <f>2.551996+('2021'!C70*0.000000012919)+('2021'!E70*0.000003)-('2021'!H70*0.000002)
-('2021'!U70*0.123062)+('2021'!AC70*0.831)-('2021'!AD70*0.008464)-('2021'!AF70*0.15884)
-('2021'!AL70*0.025383)-('2021'!AM70*0.427021)-('2021'!AN70*0.009878)
</f>
        <v>-3.963223585</v>
      </c>
      <c r="AV70" s="15">
        <v>0.018647427694203102</v>
      </c>
      <c r="AW70" s="14">
        <f t="shared" si="7"/>
        <v>0</v>
      </c>
      <c r="AX70" s="14"/>
    </row>
    <row r="71">
      <c r="A71" s="8" t="s">
        <v>304</v>
      </c>
      <c r="B71" s="34">
        <f t="shared" si="1"/>
        <v>0</v>
      </c>
      <c r="C71" s="9">
        <v>1216164.15</v>
      </c>
      <c r="D71" s="9">
        <v>251843.71</v>
      </c>
      <c r="E71" s="9">
        <v>307999.98</v>
      </c>
      <c r="F71" s="9">
        <v>964320.44</v>
      </c>
      <c r="G71" s="9">
        <v>1316442.21</v>
      </c>
      <c r="H71" s="9">
        <v>1102441.37</v>
      </c>
      <c r="I71" s="9">
        <v>225573.05</v>
      </c>
      <c r="J71" s="9">
        <v>214000.84</v>
      </c>
      <c r="K71" s="9">
        <v>170538.8</v>
      </c>
      <c r="L71" s="9">
        <v>135490.51</v>
      </c>
      <c r="M71" s="9">
        <v>120121.21</v>
      </c>
      <c r="N71" s="10">
        <f t="shared" ref="N71:N73" si="62">IF(AND(K71&lt;0,L71&lt;0,M71&lt;0),1,0)</f>
        <v>0</v>
      </c>
      <c r="O71" s="12">
        <v>0.28</v>
      </c>
      <c r="P71" s="9">
        <v>276593.03</v>
      </c>
      <c r="Q71" s="9">
        <v>-190613.54</v>
      </c>
      <c r="R71" s="9">
        <v>-57585.41</v>
      </c>
      <c r="S71" s="9">
        <v>28394.08</v>
      </c>
      <c r="T71" s="12">
        <v>18.91</v>
      </c>
      <c r="U71" s="12">
        <v>16.8</v>
      </c>
      <c r="V71" s="12">
        <v>20.99</v>
      </c>
      <c r="W71" s="12">
        <v>12.95</v>
      </c>
      <c r="X71" s="12">
        <v>9.01</v>
      </c>
      <c r="Y71" s="12">
        <v>9.85</v>
      </c>
      <c r="Z71" s="12">
        <f t="shared" si="3"/>
        <v>0</v>
      </c>
      <c r="AA71" s="12"/>
      <c r="AB71" s="12">
        <v>16.26</v>
      </c>
      <c r="AC71" s="12">
        <v>0.26</v>
      </c>
      <c r="AD71" s="12">
        <v>254.6</v>
      </c>
      <c r="AE71" s="12">
        <v>4.7</v>
      </c>
      <c r="AF71" s="12">
        <v>1.76</v>
      </c>
      <c r="AG71" s="12">
        <v>14.74</v>
      </c>
      <c r="AH71" s="12">
        <v>1.03</v>
      </c>
      <c r="AI71" s="12" t="s">
        <v>47</v>
      </c>
      <c r="AJ71" s="12" t="s">
        <v>46</v>
      </c>
      <c r="AK71" s="12">
        <v>3.56</v>
      </c>
      <c r="AL71" s="12">
        <v>102.4</v>
      </c>
      <c r="AM71" s="12">
        <v>3.17</v>
      </c>
      <c r="AN71" s="12">
        <v>115.07</v>
      </c>
      <c r="AO71" s="12">
        <v>-12.67</v>
      </c>
      <c r="AP71" s="12">
        <f t="shared" si="4"/>
        <v>3.94266</v>
      </c>
      <c r="AQ71" s="35">
        <v>0.9809725163249252</v>
      </c>
      <c r="AR71" s="15">
        <f t="shared" si="5"/>
        <v>1</v>
      </c>
      <c r="AS71" s="15">
        <f t="shared" si="47"/>
        <v>0</v>
      </c>
      <c r="AU71" s="15">
        <f>2.551996+('2021'!C71*0.000000012919)+('2021'!E71*0.000003)-('2021'!H71*0.000002)
-('2021'!U71*0.123062)+('2021'!AC71*0.831)-('2021'!AD71*0.008464)-('2021'!AF71*0.15884)
-('2021'!AL71*0.025383)-('2021'!AM71*0.427021)-('2021'!AN71*0.009878)
</f>
        <v>-8.088586805</v>
      </c>
      <c r="AV71" s="15">
        <v>3.0692910003552354E-4</v>
      </c>
      <c r="AW71" s="14">
        <f t="shared" si="7"/>
        <v>0</v>
      </c>
      <c r="AX71" s="14" t="str">
        <f t="shared" ref="AX71:AX73" si="63">IF(AW71='temp result 2022'!B71,1,IF(Z71="-",1,0))</f>
        <v>#REF!</v>
      </c>
    </row>
    <row r="72">
      <c r="A72" s="8" t="s">
        <v>117</v>
      </c>
      <c r="B72" s="34">
        <f t="shared" si="1"/>
        <v>0</v>
      </c>
      <c r="C72" s="9">
        <v>1327043.55</v>
      </c>
      <c r="D72" s="9">
        <v>543539.98</v>
      </c>
      <c r="E72" s="9">
        <v>149005.26</v>
      </c>
      <c r="F72" s="9">
        <v>761644.01</v>
      </c>
      <c r="G72" s="9">
        <v>920984.78</v>
      </c>
      <c r="H72" s="9">
        <v>775213.16</v>
      </c>
      <c r="I72" s="9">
        <v>172298.2</v>
      </c>
      <c r="J72" s="9">
        <v>145692.99</v>
      </c>
      <c r="K72" s="9">
        <v>105215.86</v>
      </c>
      <c r="L72" s="9">
        <v>53776.04</v>
      </c>
      <c r="M72" s="9">
        <v>43471.52</v>
      </c>
      <c r="N72" s="10">
        <f t="shared" si="62"/>
        <v>0</v>
      </c>
      <c r="O72" s="12">
        <v>0.36</v>
      </c>
      <c r="P72" s="9">
        <v>-41574.52</v>
      </c>
      <c r="Q72" s="9">
        <v>-351788.55</v>
      </c>
      <c r="R72" s="9">
        <v>414915.95</v>
      </c>
      <c r="S72" s="9">
        <v>21552.88</v>
      </c>
      <c r="T72" s="12">
        <v>17.07</v>
      </c>
      <c r="U72" s="12">
        <v>14.03</v>
      </c>
      <c r="V72" s="12">
        <v>44.11</v>
      </c>
      <c r="W72" s="12">
        <v>12.0</v>
      </c>
      <c r="X72" s="12">
        <v>13.54</v>
      </c>
      <c r="Y72" s="12">
        <v>12.54</v>
      </c>
      <c r="Z72" s="12">
        <f t="shared" si="3"/>
        <v>0</v>
      </c>
      <c r="AA72" s="12"/>
      <c r="AB72" s="12">
        <v>15.82</v>
      </c>
      <c r="AC72" s="12">
        <v>0.69</v>
      </c>
      <c r="AD72" s="12">
        <v>18.19</v>
      </c>
      <c r="AE72" s="12">
        <v>1.99</v>
      </c>
      <c r="AF72" s="12">
        <v>1.39</v>
      </c>
      <c r="AG72" s="12">
        <v>2.67</v>
      </c>
      <c r="AH72" s="12">
        <v>0.89</v>
      </c>
      <c r="AI72" s="12">
        <v>3.5</v>
      </c>
      <c r="AJ72" s="12">
        <v>104.19</v>
      </c>
      <c r="AK72" s="12">
        <v>4.02</v>
      </c>
      <c r="AL72" s="12">
        <v>90.78</v>
      </c>
      <c r="AM72" s="12">
        <v>3.73</v>
      </c>
      <c r="AN72" s="12">
        <v>97.88</v>
      </c>
      <c r="AO72" s="12">
        <v>97.1</v>
      </c>
      <c r="AP72" s="12">
        <f t="shared" si="4"/>
        <v>1.12301</v>
      </c>
      <c r="AQ72" s="35">
        <v>0.7545466136050563</v>
      </c>
      <c r="AR72" s="15">
        <f t="shared" si="5"/>
        <v>1</v>
      </c>
      <c r="AS72" s="15">
        <f t="shared" si="47"/>
        <v>0</v>
      </c>
      <c r="AU72" s="15">
        <f>2.551996+('2021'!C72*0.000000012919)+('2021'!E72*0.000003)-('2021'!H72*0.000002)
-('2021'!U72*0.123062)+('2021'!AC72*0.831)-('2021'!AD72*0.008464)-('2021'!AF72*0.15884)
-('2021'!AL72*0.025383)-('2021'!AM72*0.427021)-('2021'!AN72*0.009878)
</f>
        <v>-4.926103794</v>
      </c>
      <c r="AV72" s="15">
        <v>0.00720246234063994</v>
      </c>
      <c r="AW72" s="14">
        <f t="shared" si="7"/>
        <v>0</v>
      </c>
      <c r="AX72" s="14" t="str">
        <f t="shared" si="63"/>
        <v>#REF!</v>
      </c>
      <c r="AZ72" s="15" t="str">
        <f t="shared" ref="AZ72:AZ73" si="64">IF(and(AW72=0,AX72=1),1,0)</f>
        <v>#REF!</v>
      </c>
      <c r="BA72" s="15" t="str">
        <f t="shared" ref="BA72:BA73" si="65">IF(AND(AW72=0,AX72=0),1,0)</f>
        <v>#REF!</v>
      </c>
      <c r="BB72" s="15" t="str">
        <f t="shared" ref="BB72:BB73" si="66">IF(AND(AW72=1,AX72=0),1,0)</f>
        <v>#REF!</v>
      </c>
      <c r="BC72" s="15" t="str">
        <f t="shared" ref="BC72:BC73" si="67">IF(AND(AW72=1,AX72=1),1,0)</f>
        <v>#REF!</v>
      </c>
      <c r="BD72" s="15" t="str">
        <f t="shared" ref="BD72:BD73" si="68">IF(AZ72+BA72+BB72+BC72&gt;1,1,0)</f>
        <v>#REF!</v>
      </c>
    </row>
    <row r="73">
      <c r="A73" s="8" t="s">
        <v>118</v>
      </c>
      <c r="B73" s="34">
        <f t="shared" si="1"/>
        <v>0</v>
      </c>
      <c r="C73" s="9">
        <v>805004.18</v>
      </c>
      <c r="D73" s="9">
        <v>487107.27</v>
      </c>
      <c r="E73" s="9">
        <v>206650.84</v>
      </c>
      <c r="F73" s="9">
        <v>338621.29</v>
      </c>
      <c r="G73" s="9">
        <v>763624.23</v>
      </c>
      <c r="H73" s="9">
        <v>731438.12</v>
      </c>
      <c r="I73" s="9">
        <v>57823.45</v>
      </c>
      <c r="J73" s="9">
        <v>42703.48</v>
      </c>
      <c r="K73" s="9">
        <v>18568.83</v>
      </c>
      <c r="L73" s="9">
        <v>7501.82</v>
      </c>
      <c r="M73" s="9">
        <v>-101485.87</v>
      </c>
      <c r="N73" s="10">
        <f t="shared" si="62"/>
        <v>0</v>
      </c>
      <c r="O73" s="12">
        <v>0.06</v>
      </c>
      <c r="P73" s="9">
        <v>123075.19</v>
      </c>
      <c r="Q73" s="9">
        <v>11391.91</v>
      </c>
      <c r="R73" s="9">
        <v>-50524.21</v>
      </c>
      <c r="S73" s="9">
        <v>83942.89</v>
      </c>
      <c r="T73" s="12">
        <v>7.06</v>
      </c>
      <c r="U73" s="12">
        <v>4.86</v>
      </c>
      <c r="V73" s="12">
        <v>19.43</v>
      </c>
      <c r="W73" s="12">
        <v>2.4</v>
      </c>
      <c r="X73" s="12">
        <v>2.63</v>
      </c>
      <c r="Y73" s="12">
        <v>-10.98</v>
      </c>
      <c r="Z73" s="12">
        <f t="shared" si="3"/>
        <v>0</v>
      </c>
      <c r="AA73" s="12"/>
      <c r="AB73" s="12">
        <v>5.59</v>
      </c>
      <c r="AC73" s="12">
        <v>1.53</v>
      </c>
      <c r="AD73" s="12">
        <v>2.0</v>
      </c>
      <c r="AE73" s="12">
        <v>1.06</v>
      </c>
      <c r="AF73" s="12">
        <v>0.82</v>
      </c>
      <c r="AG73" s="12">
        <v>27.12</v>
      </c>
      <c r="AH73" s="12">
        <v>0.87</v>
      </c>
      <c r="AI73" s="12">
        <v>11.8</v>
      </c>
      <c r="AJ73" s="12">
        <v>30.93</v>
      </c>
      <c r="AK73" s="12">
        <v>2.1</v>
      </c>
      <c r="AL73" s="12">
        <v>174.08</v>
      </c>
      <c r="AM73" s="12">
        <v>3.27</v>
      </c>
      <c r="AN73" s="12">
        <v>111.77</v>
      </c>
      <c r="AO73" s="12">
        <v>93.23</v>
      </c>
      <c r="AP73" s="12">
        <f t="shared" si="4"/>
        <v>3.13677</v>
      </c>
      <c r="AQ73" s="35">
        <v>0.9583842463225714</v>
      </c>
      <c r="AR73" s="15">
        <f t="shared" si="5"/>
        <v>1</v>
      </c>
      <c r="AS73" s="15">
        <f t="shared" si="47"/>
        <v>0</v>
      </c>
      <c r="AU73" s="15">
        <f>2.551996+('2021'!C73*0.000000012919)+('2021'!E73*0.000003)-('2021'!H73*0.000002)
-('2021'!U73*0.123062)+('2021'!AC73*0.831)-('2021'!AD73*0.008464)-('2021'!AF73*0.15884)
-('2021'!AL73*0.025383)-('2021'!AM73*0.427021)-('2021'!AN73*0.009878)
</f>
        <v>-4.673451361</v>
      </c>
      <c r="AV73" s="15">
        <v>0.009253550240561719</v>
      </c>
      <c r="AW73" s="14">
        <f t="shared" si="7"/>
        <v>0</v>
      </c>
      <c r="AX73" s="14" t="str">
        <f t="shared" si="63"/>
        <v>#REF!</v>
      </c>
      <c r="AZ73" s="15" t="str">
        <f t="shared" si="64"/>
        <v>#REF!</v>
      </c>
      <c r="BA73" s="15" t="str">
        <f t="shared" si="65"/>
        <v>#REF!</v>
      </c>
      <c r="BB73" s="15" t="str">
        <f t="shared" si="66"/>
        <v>#REF!</v>
      </c>
      <c r="BC73" s="15" t="str">
        <f t="shared" si="67"/>
        <v>#REF!</v>
      </c>
      <c r="BD73" s="15" t="str">
        <f t="shared" si="68"/>
        <v>#REF!</v>
      </c>
    </row>
    <row r="74">
      <c r="A74" s="8" t="s">
        <v>120</v>
      </c>
      <c r="B74" s="34" t="str">
        <f t="shared" si="1"/>
        <v/>
      </c>
      <c r="C74" s="9">
        <v>662787.13</v>
      </c>
      <c r="D74" s="9">
        <v>237339.04</v>
      </c>
      <c r="E74" s="9">
        <v>320000.0</v>
      </c>
      <c r="F74" s="9">
        <v>425448.09</v>
      </c>
      <c r="G74" s="9">
        <v>172035.31</v>
      </c>
      <c r="H74" s="9">
        <v>164715.13</v>
      </c>
      <c r="I74" s="9">
        <v>21299.09</v>
      </c>
      <c r="J74" s="9">
        <v>18128.47</v>
      </c>
      <c r="K74" s="9">
        <v>11815.25</v>
      </c>
      <c r="L74" s="9" t="e">
        <v>#N/A</v>
      </c>
      <c r="M74" s="9" t="e">
        <v>#N/A</v>
      </c>
      <c r="N74" s="10"/>
      <c r="O74" s="12">
        <v>0.04</v>
      </c>
      <c r="P74" s="9">
        <v>-33332.27</v>
      </c>
      <c r="Q74" s="9">
        <v>3810.83</v>
      </c>
      <c r="R74" s="9">
        <v>42217.86</v>
      </c>
      <c r="S74" s="9">
        <v>12696.42</v>
      </c>
      <c r="T74" s="12">
        <v>3.21</v>
      </c>
      <c r="U74" s="12">
        <v>2.87</v>
      </c>
      <c r="V74" s="12">
        <v>23.9</v>
      </c>
      <c r="W74" s="12">
        <v>6.87</v>
      </c>
      <c r="X74" s="12" t="e">
        <v>#N/A</v>
      </c>
      <c r="Y74" s="12" t="e">
        <v>#N/A</v>
      </c>
      <c r="Z74" s="12" t="str">
        <f t="shared" si="3"/>
        <v>#N/A</v>
      </c>
      <c r="AA74" s="12"/>
      <c r="AB74" s="12">
        <v>10.54</v>
      </c>
      <c r="AC74" s="12">
        <v>0.56</v>
      </c>
      <c r="AD74" s="12">
        <v>2.73</v>
      </c>
      <c r="AE74" s="12">
        <v>2.41</v>
      </c>
      <c r="AF74" s="12">
        <v>0.12</v>
      </c>
      <c r="AG74" s="12">
        <v>7.81</v>
      </c>
      <c r="AH74" s="12">
        <v>0.27</v>
      </c>
      <c r="AI74" s="12">
        <v>0.42</v>
      </c>
      <c r="AJ74" s="12">
        <v>878.99</v>
      </c>
      <c r="AK74" s="12">
        <v>163.23</v>
      </c>
      <c r="AL74" s="12">
        <v>2.24</v>
      </c>
      <c r="AM74" s="12">
        <v>9.73</v>
      </c>
      <c r="AN74" s="12">
        <v>37.5</v>
      </c>
      <c r="AO74" s="12">
        <v>843.72</v>
      </c>
      <c r="AP74" s="12">
        <f t="shared" si="4"/>
        <v>-2.9847</v>
      </c>
      <c r="AQ74" s="35">
        <v>0.04812188192605162</v>
      </c>
      <c r="AR74" s="15">
        <f t="shared" si="5"/>
        <v>0</v>
      </c>
      <c r="AS74" s="15">
        <f t="shared" si="47"/>
        <v>1</v>
      </c>
      <c r="AU74" s="15">
        <f>2.551996+('2021'!C74*0.000000012919)+('2021'!E74*0.000003)-('2021'!H74*0.000002)
-('2021'!U74*0.123062)+('2021'!AC74*0.831)-('2021'!AD74*0.008464)-('2021'!AF74*0.15884)
-('2021'!AL74*0.025383)-('2021'!AM74*0.427021)-('2021'!AN74*0.009878)
</f>
        <v>-1.321064423</v>
      </c>
      <c r="AV74" s="15">
        <v>0.21064125572852488</v>
      </c>
      <c r="AW74" s="14">
        <f t="shared" si="7"/>
        <v>0</v>
      </c>
      <c r="AX74" s="14"/>
    </row>
    <row r="75">
      <c r="A75" s="8" t="s">
        <v>121</v>
      </c>
      <c r="B75" s="34" t="str">
        <f t="shared" si="1"/>
        <v/>
      </c>
      <c r="C75" s="9">
        <v>1196160.31</v>
      </c>
      <c r="D75" s="9">
        <v>1182075.25</v>
      </c>
      <c r="E75" s="9">
        <v>329340.68</v>
      </c>
      <c r="F75" s="9">
        <v>14085.06</v>
      </c>
      <c r="G75" s="9">
        <v>443593.71</v>
      </c>
      <c r="H75" s="9">
        <v>748571.72</v>
      </c>
      <c r="I75" s="9">
        <v>-93064.55</v>
      </c>
      <c r="J75" s="9">
        <v>-304978.01</v>
      </c>
      <c r="K75" s="9">
        <v>-340027.07</v>
      </c>
      <c r="L75" s="9" t="e">
        <v>#N/A</v>
      </c>
      <c r="M75" s="9" t="e">
        <v>#N/A</v>
      </c>
      <c r="N75" s="10"/>
      <c r="O75" s="12">
        <v>-0.35</v>
      </c>
      <c r="P75" s="9">
        <v>-31870.28</v>
      </c>
      <c r="Q75" s="9">
        <v>-140062.0</v>
      </c>
      <c r="R75" s="9">
        <v>175872.73</v>
      </c>
      <c r="S75" s="9">
        <v>3940.45</v>
      </c>
      <c r="T75" s="9">
        <v>-1223.82</v>
      </c>
      <c r="U75" s="12">
        <v>-27.12</v>
      </c>
      <c r="V75" s="12">
        <v>47.46</v>
      </c>
      <c r="W75" s="12">
        <v>-76.65</v>
      </c>
      <c r="X75" s="12" t="e">
        <v>#N/A</v>
      </c>
      <c r="Y75" s="12" t="e">
        <v>#N/A</v>
      </c>
      <c r="Z75" s="12" t="str">
        <f t="shared" si="3"/>
        <v>#N/A</v>
      </c>
      <c r="AA75" s="12"/>
      <c r="AB75" s="12">
        <v>-68.75</v>
      </c>
      <c r="AC75" s="12">
        <v>83.92</v>
      </c>
      <c r="AD75" s="12">
        <v>-8.19</v>
      </c>
      <c r="AE75" s="12">
        <v>0.19</v>
      </c>
      <c r="AF75" s="12">
        <v>0.09</v>
      </c>
      <c r="AG75" s="12">
        <v>0.68</v>
      </c>
      <c r="AH75" s="12">
        <v>0.39</v>
      </c>
      <c r="AI75" s="12">
        <v>4.45</v>
      </c>
      <c r="AJ75" s="12">
        <v>81.94</v>
      </c>
      <c r="AK75" s="12">
        <v>8.19</v>
      </c>
      <c r="AL75" s="12">
        <v>44.55</v>
      </c>
      <c r="AM75" s="12">
        <v>0.82</v>
      </c>
      <c r="AN75" s="12">
        <v>442.57</v>
      </c>
      <c r="AO75" s="12">
        <v>-316.08</v>
      </c>
      <c r="AP75" s="12">
        <f t="shared" si="4"/>
        <v>-101.15995</v>
      </c>
      <c r="AQ75" s="35">
        <v>1.1662507213942053E-44</v>
      </c>
      <c r="AR75" s="15">
        <f t="shared" si="5"/>
        <v>0</v>
      </c>
      <c r="AS75" s="15">
        <f t="shared" si="47"/>
        <v>1</v>
      </c>
      <c r="AU75" s="15">
        <f>2.551996+('2021'!C75*0.000000012919)+('2021'!E75*0.000003)-('2021'!H75*0.000002)
-('2021'!U75*0.123062)+('2021'!AC75*0.831)-('2021'!AD75*0.008464)-('2021'!AF75*0.15884)
-('2021'!AL75*0.025383)-('2021'!AM75*0.427021)-('2021'!AN75*0.009878)
</f>
        <v>69.33563747</v>
      </c>
      <c r="AV75" s="15">
        <v>1.0</v>
      </c>
      <c r="AW75" s="14">
        <f t="shared" si="7"/>
        <v>1</v>
      </c>
      <c r="AX75" s="14"/>
    </row>
    <row r="76">
      <c r="A76" s="8" t="s">
        <v>305</v>
      </c>
      <c r="B76" s="34" t="str">
        <f t="shared" si="1"/>
        <v/>
      </c>
      <c r="C76" s="9">
        <v>1260636.81</v>
      </c>
      <c r="D76" s="9">
        <v>294211.4</v>
      </c>
      <c r="E76" s="9">
        <v>227500.0</v>
      </c>
      <c r="F76" s="9">
        <v>966425.41</v>
      </c>
      <c r="G76" s="9">
        <v>429126.36</v>
      </c>
      <c r="H76" s="9">
        <v>380828.63</v>
      </c>
      <c r="I76" s="9">
        <v>70522.63</v>
      </c>
      <c r="J76" s="9">
        <v>48297.72</v>
      </c>
      <c r="K76" s="9">
        <v>29691.12</v>
      </c>
      <c r="L76" s="9" t="e">
        <v>#N/A</v>
      </c>
      <c r="M76" s="9" t="e">
        <v>#N/A</v>
      </c>
      <c r="N76" s="10"/>
      <c r="O76" s="12">
        <v>0.08</v>
      </c>
      <c r="P76" s="9">
        <v>51721.64</v>
      </c>
      <c r="Q76" s="9">
        <v>-58263.77</v>
      </c>
      <c r="R76" s="9">
        <v>629954.52</v>
      </c>
      <c r="S76" s="9">
        <v>623412.39</v>
      </c>
      <c r="T76" s="12">
        <v>5.11</v>
      </c>
      <c r="U76" s="12">
        <v>5.54</v>
      </c>
      <c r="V76" s="12">
        <v>34.18</v>
      </c>
      <c r="W76" s="12">
        <v>6.92</v>
      </c>
      <c r="X76" s="12" t="e">
        <v>#N/A</v>
      </c>
      <c r="Y76" s="12" t="e">
        <v>#N/A</v>
      </c>
      <c r="Z76" s="12" t="str">
        <f t="shared" si="3"/>
        <v>#N/A</v>
      </c>
      <c r="AA76" s="12"/>
      <c r="AB76" s="12">
        <v>11.25</v>
      </c>
      <c r="AC76" s="12">
        <v>0.3</v>
      </c>
      <c r="AD76" s="12">
        <v>4.44</v>
      </c>
      <c r="AE76" s="12">
        <v>7.19</v>
      </c>
      <c r="AF76" s="12">
        <v>5.71</v>
      </c>
      <c r="AG76" s="12">
        <v>1.4</v>
      </c>
      <c r="AH76" s="12">
        <v>0.49</v>
      </c>
      <c r="AI76" s="12">
        <v>2.97</v>
      </c>
      <c r="AJ76" s="12">
        <v>123.01</v>
      </c>
      <c r="AK76" s="12">
        <v>11.32</v>
      </c>
      <c r="AL76" s="12">
        <v>32.26</v>
      </c>
      <c r="AM76" s="12">
        <v>7.92</v>
      </c>
      <c r="AN76" s="12">
        <v>46.06</v>
      </c>
      <c r="AO76" s="12">
        <v>109.2</v>
      </c>
      <c r="AP76" s="12">
        <f t="shared" si="4"/>
        <v>0.48176</v>
      </c>
      <c r="AQ76" s="35">
        <v>0.6181633869236645</v>
      </c>
      <c r="AR76" s="15">
        <f t="shared" si="5"/>
        <v>1</v>
      </c>
      <c r="AS76" s="15">
        <f t="shared" si="47"/>
        <v>0</v>
      </c>
      <c r="AU76" s="15">
        <f>2.551996+('2021'!C76*0.000000012919)+('2021'!E76*0.000003)-('2021'!H76*0.000002)
-('2021'!U76*0.123062)+('2021'!AC76*0.831)-('2021'!AD76*0.008464)-('2021'!AF76*0.15884)
-('2021'!AL76*0.025383)-('2021'!AM76*0.427021)-('2021'!AN76*0.009878)
</f>
        <v>-3.543737713</v>
      </c>
      <c r="AV76" s="15">
        <v>0.028093053865845912</v>
      </c>
      <c r="AW76" s="14">
        <f t="shared" si="7"/>
        <v>0</v>
      </c>
      <c r="AX76" s="14"/>
    </row>
    <row r="77">
      <c r="A77" s="8" t="s">
        <v>123</v>
      </c>
      <c r="B77" s="34">
        <f t="shared" si="1"/>
        <v>0</v>
      </c>
      <c r="C77" s="9">
        <v>2098125.61</v>
      </c>
      <c r="D77" s="9">
        <v>766046.86</v>
      </c>
      <c r="E77" s="9">
        <v>174273.13</v>
      </c>
      <c r="F77" s="9">
        <v>1332078.75</v>
      </c>
      <c r="G77" s="9">
        <v>1539941.19</v>
      </c>
      <c r="H77" s="9">
        <v>1250812.17</v>
      </c>
      <c r="I77" s="9">
        <v>377224.39</v>
      </c>
      <c r="J77" s="9">
        <v>289129.03</v>
      </c>
      <c r="K77" s="9">
        <v>225247.85</v>
      </c>
      <c r="L77" s="9">
        <v>266788.52</v>
      </c>
      <c r="M77" s="9">
        <v>262208.88</v>
      </c>
      <c r="N77" s="10">
        <f t="shared" ref="N77:N81" si="69">IF(AND(K77&lt;0,L77&lt;0,M77&lt;0),1,0)</f>
        <v>0</v>
      </c>
      <c r="O77" s="12">
        <v>1.29</v>
      </c>
      <c r="P77" s="9">
        <v>398934.13</v>
      </c>
      <c r="Q77" s="9">
        <v>-242672.63</v>
      </c>
      <c r="R77" s="9">
        <v>-160850.5</v>
      </c>
      <c r="S77" s="9">
        <v>-4589.0</v>
      </c>
      <c r="T77" s="12">
        <v>17.72</v>
      </c>
      <c r="U77" s="12">
        <v>13.85</v>
      </c>
      <c r="V77" s="12">
        <v>47.11</v>
      </c>
      <c r="W77" s="12">
        <v>14.63</v>
      </c>
      <c r="X77" s="12">
        <v>15.62</v>
      </c>
      <c r="Y77" s="12">
        <v>14.4</v>
      </c>
      <c r="Z77" s="12">
        <f t="shared" si="3"/>
        <v>0</v>
      </c>
      <c r="AA77" s="12"/>
      <c r="AB77" s="12">
        <v>18.78</v>
      </c>
      <c r="AC77" s="12">
        <v>0.58</v>
      </c>
      <c r="AD77" s="12">
        <v>66.29</v>
      </c>
      <c r="AE77" s="12">
        <v>3.26</v>
      </c>
      <c r="AF77" s="12">
        <v>2.11</v>
      </c>
      <c r="AG77" s="12">
        <v>7.49</v>
      </c>
      <c r="AH77" s="12">
        <v>0.74</v>
      </c>
      <c r="AI77" s="12">
        <v>1.3</v>
      </c>
      <c r="AJ77" s="12">
        <v>281.22</v>
      </c>
      <c r="AK77" s="12">
        <v>11.12</v>
      </c>
      <c r="AL77" s="12">
        <v>32.83</v>
      </c>
      <c r="AM77" s="12">
        <v>2.15</v>
      </c>
      <c r="AN77" s="12">
        <v>169.72</v>
      </c>
      <c r="AO77" s="12">
        <v>144.33</v>
      </c>
      <c r="AP77" s="12">
        <f t="shared" si="4"/>
        <v>-0.47109</v>
      </c>
      <c r="AQ77" s="35">
        <v>0.38435828769528335</v>
      </c>
      <c r="AR77" s="15">
        <f t="shared" si="5"/>
        <v>0</v>
      </c>
      <c r="AS77" s="15">
        <f t="shared" si="47"/>
        <v>1</v>
      </c>
      <c r="AU77" s="15">
        <f>2.551996+('2021'!C77*0.000000012919)+('2021'!E77*0.000003)-('2021'!H77*0.000002)
-('2021'!U77*0.123062)+('2021'!AC77*0.831)-('2021'!AD77*0.008464)-('2021'!AF77*0.15884)
-('2021'!AL77*0.025383)-('2021'!AM77*0.427021)-('2021'!AN77*0.009878)
</f>
        <v>-4.946276125</v>
      </c>
      <c r="AV77" s="15">
        <v>0.007059642929189709</v>
      </c>
      <c r="AW77" s="14">
        <f t="shared" si="7"/>
        <v>0</v>
      </c>
      <c r="AX77" s="14" t="str">
        <f t="shared" ref="AX77:AX81" si="70">IF(AW77='temp result 2022'!B77,1,IF(Z77="-",1,0))</f>
        <v>#REF!</v>
      </c>
      <c r="AZ77" s="15" t="str">
        <f t="shared" ref="AZ77:AZ81" si="71">IF(and(AW77=0,AX77=1),1,0)</f>
        <v>#REF!</v>
      </c>
      <c r="BA77" s="15" t="str">
        <f t="shared" ref="BA77:BA81" si="72">IF(AND(AW77=0,AX77=0),1,0)</f>
        <v>#REF!</v>
      </c>
      <c r="BB77" s="15" t="str">
        <f t="shared" ref="BB77:BB81" si="73">IF(AND(AW77=1,AX77=0),1,0)</f>
        <v>#REF!</v>
      </c>
      <c r="BC77" s="15" t="str">
        <f t="shared" ref="BC77:BC81" si="74">IF(AND(AW77=1,AX77=1),1,0)</f>
        <v>#REF!</v>
      </c>
      <c r="BD77" s="15" t="str">
        <f t="shared" ref="BD77:BD81" si="75">IF(AZ77+BA77+BB77+BC77&gt;1,1,0)</f>
        <v>#REF!</v>
      </c>
    </row>
    <row r="78">
      <c r="A78" s="8" t="s">
        <v>124</v>
      </c>
      <c r="B78" s="34">
        <f t="shared" si="1"/>
        <v>1</v>
      </c>
      <c r="C78" s="9">
        <v>854125.83</v>
      </c>
      <c r="D78" s="9">
        <v>653360.98</v>
      </c>
      <c r="E78" s="9">
        <v>179999.77</v>
      </c>
      <c r="F78" s="9">
        <v>200764.85</v>
      </c>
      <c r="G78" s="9">
        <v>786492.89</v>
      </c>
      <c r="H78" s="9">
        <v>817123.27</v>
      </c>
      <c r="I78" s="9">
        <v>-9007.65</v>
      </c>
      <c r="J78" s="9">
        <v>-30630.38</v>
      </c>
      <c r="K78" s="9">
        <v>-42792.36</v>
      </c>
      <c r="L78" s="9">
        <v>-106068.6</v>
      </c>
      <c r="M78" s="9">
        <v>-152243.97</v>
      </c>
      <c r="N78" s="10">
        <f t="shared" si="69"/>
        <v>1</v>
      </c>
      <c r="O78" s="12">
        <v>-0.12</v>
      </c>
      <c r="P78" s="9">
        <v>-50813.47</v>
      </c>
      <c r="Q78" s="12">
        <v>-784.37</v>
      </c>
      <c r="R78" s="9">
        <v>49020.94</v>
      </c>
      <c r="S78" s="9">
        <v>-2576.89</v>
      </c>
      <c r="T78" s="12">
        <v>-22.44</v>
      </c>
      <c r="U78" s="12">
        <v>-3.74</v>
      </c>
      <c r="V78" s="12">
        <v>7.89</v>
      </c>
      <c r="W78" s="12">
        <v>-5.44</v>
      </c>
      <c r="X78" s="12">
        <v>-16.9</v>
      </c>
      <c r="Y78" s="12">
        <v>-15.08</v>
      </c>
      <c r="Z78" s="12">
        <f t="shared" si="3"/>
        <v>1</v>
      </c>
      <c r="AA78" s="12"/>
      <c r="AB78" s="12">
        <v>-3.89</v>
      </c>
      <c r="AC78" s="12">
        <v>3.25</v>
      </c>
      <c r="AD78" s="12">
        <v>-2.47</v>
      </c>
      <c r="AE78" s="12">
        <v>0.93</v>
      </c>
      <c r="AF78" s="12">
        <v>0.47</v>
      </c>
      <c r="AG78" s="12">
        <v>5.8</v>
      </c>
      <c r="AH78" s="12">
        <v>0.96</v>
      </c>
      <c r="AI78" s="12">
        <v>138.34</v>
      </c>
      <c r="AJ78" s="12">
        <v>2.64</v>
      </c>
      <c r="AK78" s="12">
        <v>6.35</v>
      </c>
      <c r="AL78" s="12">
        <v>57.52</v>
      </c>
      <c r="AM78" s="12">
        <v>2.7</v>
      </c>
      <c r="AN78" s="12">
        <v>135.02</v>
      </c>
      <c r="AO78" s="12">
        <v>-74.87</v>
      </c>
      <c r="AP78" s="12">
        <f t="shared" si="4"/>
        <v>-2.18701</v>
      </c>
      <c r="AQ78" s="35">
        <v>0.100923075464606</v>
      </c>
      <c r="AR78" s="15">
        <f t="shared" si="5"/>
        <v>0</v>
      </c>
      <c r="AS78" s="15">
        <f t="shared" si="47"/>
        <v>0</v>
      </c>
      <c r="AU78" s="15">
        <f>2.551996+('2021'!C78*0.000000012919)+('2021'!E78*0.000003)-('2021'!H78*0.000002)
-('2021'!U78*0.123062)+('2021'!AC78*0.831)-('2021'!AD78*0.008464)-('2021'!AF78*0.15884)
-('2021'!AL78*0.025383)-('2021'!AM78*0.427021)-('2021'!AN78*0.009878)
</f>
        <v>0.6293219616</v>
      </c>
      <c r="AV78" s="15">
        <v>0.6523357031517902</v>
      </c>
      <c r="AW78" s="14">
        <f t="shared" si="7"/>
        <v>1</v>
      </c>
      <c r="AX78" s="14" t="str">
        <f t="shared" si="70"/>
        <v>#REF!</v>
      </c>
      <c r="AZ78" s="15" t="str">
        <f t="shared" si="71"/>
        <v>#REF!</v>
      </c>
      <c r="BA78" s="15" t="str">
        <f t="shared" si="72"/>
        <v>#REF!</v>
      </c>
      <c r="BB78" s="15" t="str">
        <f t="shared" si="73"/>
        <v>#REF!</v>
      </c>
      <c r="BC78" s="15" t="str">
        <f t="shared" si="74"/>
        <v>#REF!</v>
      </c>
      <c r="BD78" s="15" t="str">
        <f t="shared" si="75"/>
        <v>#REF!</v>
      </c>
    </row>
    <row r="79">
      <c r="A79" s="8" t="s">
        <v>125</v>
      </c>
      <c r="B79" s="34">
        <f t="shared" si="1"/>
        <v>1</v>
      </c>
      <c r="C79" s="9">
        <v>670038.3</v>
      </c>
      <c r="D79" s="9">
        <v>433606.34</v>
      </c>
      <c r="E79" s="9">
        <v>278000.0</v>
      </c>
      <c r="F79" s="9">
        <v>236431.96</v>
      </c>
      <c r="G79" s="9">
        <v>537682.77</v>
      </c>
      <c r="H79" s="9">
        <v>605749.66</v>
      </c>
      <c r="I79" s="9">
        <v>-38807.29</v>
      </c>
      <c r="J79" s="9">
        <v>-68066.89</v>
      </c>
      <c r="K79" s="9">
        <v>-69010.5</v>
      </c>
      <c r="L79" s="9">
        <v>-23589.14</v>
      </c>
      <c r="M79" s="9">
        <v>-31064.95</v>
      </c>
      <c r="N79" s="10">
        <f t="shared" si="69"/>
        <v>1</v>
      </c>
      <c r="O79" s="12">
        <v>-0.25</v>
      </c>
      <c r="P79" s="9">
        <v>-38880.9</v>
      </c>
      <c r="Q79" s="9">
        <v>-45388.04</v>
      </c>
      <c r="R79" s="9">
        <v>78115.55</v>
      </c>
      <c r="S79" s="9">
        <v>-6153.4</v>
      </c>
      <c r="T79" s="12">
        <v>-25.71</v>
      </c>
      <c r="U79" s="12">
        <v>-10.49</v>
      </c>
      <c r="V79" s="12">
        <v>15.23</v>
      </c>
      <c r="W79" s="12">
        <v>-12.83</v>
      </c>
      <c r="X79" s="12">
        <v>-3.86</v>
      </c>
      <c r="Y79" s="12">
        <v>-3.58</v>
      </c>
      <c r="Z79" s="12">
        <f t="shared" si="3"/>
        <v>1</v>
      </c>
      <c r="AA79" s="12"/>
      <c r="AB79" s="12">
        <v>-12.66</v>
      </c>
      <c r="AC79" s="12">
        <v>1.83</v>
      </c>
      <c r="AD79" s="12">
        <v>-15.45</v>
      </c>
      <c r="AE79" s="12">
        <v>0.9</v>
      </c>
      <c r="AF79" s="12">
        <v>0.61</v>
      </c>
      <c r="AG79" s="12">
        <v>2.18</v>
      </c>
      <c r="AH79" s="12">
        <v>0.83</v>
      </c>
      <c r="AI79" s="12">
        <v>2.94</v>
      </c>
      <c r="AJ79" s="12">
        <v>124.24</v>
      </c>
      <c r="AK79" s="12">
        <v>3.21</v>
      </c>
      <c r="AL79" s="12">
        <v>113.81</v>
      </c>
      <c r="AM79" s="12">
        <v>5.49</v>
      </c>
      <c r="AN79" s="12">
        <v>66.52</v>
      </c>
      <c r="AO79" s="12">
        <v>171.53</v>
      </c>
      <c r="AP79" s="12">
        <f t="shared" si="4"/>
        <v>1.91834</v>
      </c>
      <c r="AQ79" s="35">
        <v>0.8719532077431121</v>
      </c>
      <c r="AR79" s="15">
        <f t="shared" si="5"/>
        <v>1</v>
      </c>
      <c r="AS79" s="15">
        <f t="shared" si="47"/>
        <v>1</v>
      </c>
      <c r="AU79" s="15">
        <f>2.551996+('2021'!C79*0.000000012919)+('2021'!E79*0.000003)-('2021'!H79*0.000002)
-('2021'!U79*0.123062)+('2021'!AC79*0.831)-('2021'!AD79*0.008464)-('2021'!AF79*0.15884)
-('2021'!AL79*0.025383)-('2021'!AM79*0.427021)-('2021'!AN79*0.009878)
</f>
        <v>-0.8615893952</v>
      </c>
      <c r="AV79" s="15">
        <v>0.29700738244459035</v>
      </c>
      <c r="AW79" s="14">
        <f t="shared" si="7"/>
        <v>0</v>
      </c>
      <c r="AX79" s="14" t="str">
        <f t="shared" si="70"/>
        <v>#REF!</v>
      </c>
      <c r="AZ79" s="15" t="str">
        <f t="shared" si="71"/>
        <v>#REF!</v>
      </c>
      <c r="BA79" s="15" t="str">
        <f t="shared" si="72"/>
        <v>#REF!</v>
      </c>
      <c r="BB79" s="15" t="str">
        <f t="shared" si="73"/>
        <v>#REF!</v>
      </c>
      <c r="BC79" s="15" t="str">
        <f t="shared" si="74"/>
        <v>#REF!</v>
      </c>
      <c r="BD79" s="15" t="str">
        <f t="shared" si="75"/>
        <v>#REF!</v>
      </c>
    </row>
    <row r="80">
      <c r="A80" s="8" t="s">
        <v>127</v>
      </c>
      <c r="B80" s="34">
        <f t="shared" si="1"/>
        <v>0</v>
      </c>
      <c r="C80" s="9">
        <v>636829.11</v>
      </c>
      <c r="D80" s="9">
        <v>192907.98</v>
      </c>
      <c r="E80" s="9">
        <v>170000.0</v>
      </c>
      <c r="F80" s="9">
        <v>443919.03</v>
      </c>
      <c r="G80" s="9">
        <v>439841.74</v>
      </c>
      <c r="H80" s="9">
        <v>438578.17</v>
      </c>
      <c r="I80" s="9">
        <v>26065.68</v>
      </c>
      <c r="J80" s="9">
        <v>1263.57</v>
      </c>
      <c r="K80" s="9">
        <v>-4880.6</v>
      </c>
      <c r="L80" s="9">
        <v>5092.45</v>
      </c>
      <c r="M80" s="9">
        <v>-11185.11</v>
      </c>
      <c r="N80" s="10">
        <f t="shared" si="69"/>
        <v>0</v>
      </c>
      <c r="O80" s="12">
        <v>-0.01</v>
      </c>
      <c r="P80" s="9">
        <v>27395.18</v>
      </c>
      <c r="Q80" s="9">
        <v>-34961.59</v>
      </c>
      <c r="R80" s="9">
        <v>14603.29</v>
      </c>
      <c r="S80" s="9">
        <v>7036.89</v>
      </c>
      <c r="T80" s="12">
        <v>-1.09</v>
      </c>
      <c r="U80" s="12">
        <v>0.2</v>
      </c>
      <c r="V80" s="12">
        <v>21.02</v>
      </c>
      <c r="W80" s="12">
        <v>-1.11</v>
      </c>
      <c r="X80" s="12">
        <v>1.27</v>
      </c>
      <c r="Y80" s="12">
        <v>-3.22</v>
      </c>
      <c r="Z80" s="12">
        <f t="shared" si="3"/>
        <v>0</v>
      </c>
      <c r="AA80" s="12"/>
      <c r="AB80" s="12">
        <v>0.29</v>
      </c>
      <c r="AC80" s="12">
        <v>0.43</v>
      </c>
      <c r="AD80" s="12">
        <v>0.27</v>
      </c>
      <c r="AE80" s="12">
        <v>1.19</v>
      </c>
      <c r="AF80" s="12">
        <v>0.33</v>
      </c>
      <c r="AG80" s="12">
        <v>2.55</v>
      </c>
      <c r="AH80" s="12">
        <v>0.7</v>
      </c>
      <c r="AI80" s="12">
        <v>2.98</v>
      </c>
      <c r="AJ80" s="12">
        <v>122.56</v>
      </c>
      <c r="AK80" s="12">
        <v>8.73</v>
      </c>
      <c r="AL80" s="12">
        <v>41.79</v>
      </c>
      <c r="AM80" s="12">
        <v>9.97</v>
      </c>
      <c r="AN80" s="12">
        <v>36.61</v>
      </c>
      <c r="AO80" s="12">
        <v>127.74</v>
      </c>
      <c r="AP80" s="12">
        <f t="shared" si="4"/>
        <v>0.38588</v>
      </c>
      <c r="AQ80" s="35">
        <v>0.5952905009860924</v>
      </c>
      <c r="AR80" s="15">
        <f t="shared" si="5"/>
        <v>1</v>
      </c>
      <c r="AS80" s="15">
        <f t="shared" si="47"/>
        <v>0</v>
      </c>
      <c r="AU80" s="15">
        <f>2.551996+('2021'!C80*0.000000012919)+('2021'!E80*0.000003)-('2021'!H80*0.000002)
-('2021'!U80*0.123062)+('2021'!AC80*0.831)-('2021'!AD80*0.008464)-('2021'!AF80*0.15884)
-('2021'!AL80*0.025383)-('2021'!AM80*0.427021)-('2021'!AN80*0.009878)
</f>
        <v>-3.208706545</v>
      </c>
      <c r="AV80" s="15">
        <v>0.03883939150922187</v>
      </c>
      <c r="AW80" s="14">
        <f t="shared" si="7"/>
        <v>0</v>
      </c>
      <c r="AX80" s="14" t="str">
        <f t="shared" si="70"/>
        <v>#REF!</v>
      </c>
      <c r="AZ80" s="15" t="str">
        <f t="shared" si="71"/>
        <v>#REF!</v>
      </c>
      <c r="BA80" s="15" t="str">
        <f t="shared" si="72"/>
        <v>#REF!</v>
      </c>
      <c r="BB80" s="15" t="str">
        <f t="shared" si="73"/>
        <v>#REF!</v>
      </c>
      <c r="BC80" s="15" t="str">
        <f t="shared" si="74"/>
        <v>#REF!</v>
      </c>
      <c r="BD80" s="15" t="str">
        <f t="shared" si="75"/>
        <v>#REF!</v>
      </c>
    </row>
    <row r="81">
      <c r="A81" s="8" t="s">
        <v>128</v>
      </c>
      <c r="B81" s="34">
        <f t="shared" si="1"/>
        <v>0</v>
      </c>
      <c r="C81" s="9">
        <v>950957.91</v>
      </c>
      <c r="D81" s="9">
        <v>333998.31</v>
      </c>
      <c r="E81" s="9">
        <v>1124417.3</v>
      </c>
      <c r="F81" s="9">
        <v>616661.12</v>
      </c>
      <c r="G81" s="9">
        <v>498323.29</v>
      </c>
      <c r="H81" s="9">
        <v>572982.98</v>
      </c>
      <c r="I81" s="9">
        <v>19757.19</v>
      </c>
      <c r="J81" s="9">
        <v>-74659.69</v>
      </c>
      <c r="K81" s="9">
        <v>-103774.4</v>
      </c>
      <c r="L81" s="9">
        <v>43074.59</v>
      </c>
      <c r="M81" s="9">
        <v>405245.04</v>
      </c>
      <c r="N81" s="10">
        <f t="shared" si="69"/>
        <v>0</v>
      </c>
      <c r="O81" s="12">
        <v>-0.09</v>
      </c>
      <c r="P81" s="9">
        <v>-48746.14</v>
      </c>
      <c r="Q81" s="9">
        <v>-138741.4</v>
      </c>
      <c r="R81" s="9">
        <v>42140.19</v>
      </c>
      <c r="S81" s="9">
        <v>-145347.35</v>
      </c>
      <c r="T81" s="12">
        <v>-15.52</v>
      </c>
      <c r="U81" s="12">
        <v>-7.47</v>
      </c>
      <c r="V81" s="12">
        <v>-19.29</v>
      </c>
      <c r="W81" s="12">
        <v>-24.71</v>
      </c>
      <c r="X81" s="12">
        <v>3.53</v>
      </c>
      <c r="Y81" s="12">
        <v>82.23</v>
      </c>
      <c r="Z81" s="12">
        <f t="shared" si="3"/>
        <v>0</v>
      </c>
      <c r="AA81" s="12"/>
      <c r="AB81" s="12">
        <v>-14.98</v>
      </c>
      <c r="AC81" s="12">
        <v>0.54</v>
      </c>
      <c r="AD81" s="12">
        <v>-6.71</v>
      </c>
      <c r="AE81" s="12">
        <v>1.33</v>
      </c>
      <c r="AF81" s="12">
        <v>1.02</v>
      </c>
      <c r="AG81" s="12">
        <v>3.57</v>
      </c>
      <c r="AH81" s="12">
        <v>0.5</v>
      </c>
      <c r="AI81" s="12">
        <v>42.15</v>
      </c>
      <c r="AJ81" s="12">
        <v>8.66</v>
      </c>
      <c r="AK81" s="12">
        <v>4.27</v>
      </c>
      <c r="AL81" s="12">
        <v>85.45</v>
      </c>
      <c r="AM81" s="12">
        <v>7.23</v>
      </c>
      <c r="AN81" s="12">
        <v>50.47</v>
      </c>
      <c r="AO81" s="12">
        <v>43.64</v>
      </c>
      <c r="AP81" s="12">
        <f t="shared" si="4"/>
        <v>8.72981</v>
      </c>
      <c r="AQ81" s="35">
        <v>0.9998383329654458</v>
      </c>
      <c r="AR81" s="15">
        <f t="shared" si="5"/>
        <v>1</v>
      </c>
      <c r="AS81" s="15">
        <f t="shared" si="47"/>
        <v>0</v>
      </c>
      <c r="AU81" s="15">
        <f>2.551996+('2021'!C81*0.000000012919)+('2021'!E81*0.000003)-('2021'!H81*0.000002)
-('2021'!U81*0.123062)+('2021'!AC81*0.831)-('2021'!AD81*0.008464)-('2021'!AF81*0.15884)
-('2021'!AL81*0.025383)-('2021'!AM81*0.427021)-('2021'!AN81*0.009878)
</f>
        <v>0.2994753052</v>
      </c>
      <c r="AV81" s="15">
        <v>0.5743142458090317</v>
      </c>
      <c r="AW81" s="14">
        <f t="shared" si="7"/>
        <v>1</v>
      </c>
      <c r="AX81" s="14" t="str">
        <f t="shared" si="70"/>
        <v>#REF!</v>
      </c>
      <c r="AZ81" s="15" t="str">
        <f t="shared" si="71"/>
        <v>#REF!</v>
      </c>
      <c r="BA81" s="15" t="str">
        <f t="shared" si="72"/>
        <v>#REF!</v>
      </c>
      <c r="BB81" s="15" t="str">
        <f t="shared" si="73"/>
        <v>#REF!</v>
      </c>
      <c r="BC81" s="15" t="str">
        <f t="shared" si="74"/>
        <v>#REF!</v>
      </c>
      <c r="BD81" s="15" t="str">
        <f t="shared" si="75"/>
        <v>#REF!</v>
      </c>
    </row>
    <row r="82">
      <c r="A82" s="8" t="s">
        <v>130</v>
      </c>
      <c r="B82" s="34" t="str">
        <f t="shared" si="1"/>
        <v/>
      </c>
      <c r="C82" s="9">
        <v>383560.03</v>
      </c>
      <c r="D82" s="9">
        <v>209237.59</v>
      </c>
      <c r="E82" s="9">
        <v>115000.0</v>
      </c>
      <c r="F82" s="9">
        <v>174322.44</v>
      </c>
      <c r="G82" s="9">
        <v>1007762.74</v>
      </c>
      <c r="H82" s="9">
        <v>971881.38</v>
      </c>
      <c r="I82" s="9">
        <v>53170.91</v>
      </c>
      <c r="J82" s="9">
        <v>35881.36</v>
      </c>
      <c r="K82" s="9">
        <v>26439.04</v>
      </c>
      <c r="L82" s="9">
        <v>14607.96</v>
      </c>
      <c r="M82" s="9" t="e">
        <v>#N/A</v>
      </c>
      <c r="N82" s="10"/>
      <c r="O82" s="12">
        <v>0.11</v>
      </c>
      <c r="P82" s="9">
        <v>25611.75</v>
      </c>
      <c r="Q82" s="9">
        <v>-9075.65</v>
      </c>
      <c r="R82" s="9">
        <v>-13715.07</v>
      </c>
      <c r="S82" s="9">
        <v>2821.03</v>
      </c>
      <c r="T82" s="12">
        <v>16.07</v>
      </c>
      <c r="U82" s="12">
        <v>9.56</v>
      </c>
      <c r="V82" s="12">
        <v>13.17</v>
      </c>
      <c r="W82" s="12">
        <v>2.62</v>
      </c>
      <c r="X82" s="12">
        <v>1.5</v>
      </c>
      <c r="Y82" s="12" t="e">
        <v>#N/A</v>
      </c>
      <c r="Z82" s="12" t="str">
        <f t="shared" si="3"/>
        <v>#N/A</v>
      </c>
      <c r="AA82" s="12"/>
      <c r="AB82" s="12">
        <v>3.56</v>
      </c>
      <c r="AC82" s="12">
        <v>1.2</v>
      </c>
      <c r="AD82" s="12">
        <v>11.39</v>
      </c>
      <c r="AE82" s="12">
        <v>1.41</v>
      </c>
      <c r="AF82" s="12">
        <v>0.36</v>
      </c>
      <c r="AG82" s="12">
        <v>7.02</v>
      </c>
      <c r="AH82" s="12">
        <v>2.69</v>
      </c>
      <c r="AI82" s="12">
        <v>5.66</v>
      </c>
      <c r="AJ82" s="12">
        <v>64.45</v>
      </c>
      <c r="AK82" s="12">
        <v>63.55</v>
      </c>
      <c r="AL82" s="12">
        <v>5.74</v>
      </c>
      <c r="AM82" s="12">
        <v>7.16</v>
      </c>
      <c r="AN82" s="12">
        <v>50.99</v>
      </c>
      <c r="AO82" s="12">
        <v>19.21</v>
      </c>
      <c r="AP82" s="12">
        <f t="shared" si="4"/>
        <v>-0.2738</v>
      </c>
      <c r="AQ82" s="35">
        <v>0.43197443948021624</v>
      </c>
      <c r="AR82" s="15">
        <f t="shared" si="5"/>
        <v>0</v>
      </c>
      <c r="AS82" s="15">
        <f t="shared" si="47"/>
        <v>1</v>
      </c>
      <c r="AU82" s="15">
        <f>2.551996+('2021'!C82*0.000000012919)+('2021'!E82*0.000003)-('2021'!H82*0.000002)
-('2021'!U82*0.123062)+('2021'!AC82*0.831)-('2021'!AD82*0.008464)-('2021'!AF82*0.15884)
-('2021'!AL82*0.025383)-('2021'!AM82*0.427021)-('2021'!AN82*0.009878)
</f>
        <v>-3.081519628</v>
      </c>
      <c r="AV82" s="15">
        <v>0.04387602140467869</v>
      </c>
      <c r="AW82" s="14">
        <f t="shared" si="7"/>
        <v>0</v>
      </c>
      <c r="AX82" s="14"/>
    </row>
    <row r="83">
      <c r="A83" s="8" t="s">
        <v>132</v>
      </c>
      <c r="B83" s="34">
        <f t="shared" si="1"/>
        <v>0</v>
      </c>
      <c r="C83" s="9">
        <v>630255.51</v>
      </c>
      <c r="D83" s="9">
        <v>228126.05</v>
      </c>
      <c r="E83" s="9">
        <v>214250.0</v>
      </c>
      <c r="F83" s="9">
        <v>402129.46</v>
      </c>
      <c r="G83" s="9">
        <v>545631.84</v>
      </c>
      <c r="H83" s="9">
        <v>558283.15</v>
      </c>
      <c r="I83" s="9">
        <v>7489.68</v>
      </c>
      <c r="J83" s="9">
        <v>-12651.31</v>
      </c>
      <c r="K83" s="9">
        <v>-21371.41</v>
      </c>
      <c r="L83" s="9">
        <v>-3515.19</v>
      </c>
      <c r="M83" s="9">
        <v>30967.76</v>
      </c>
      <c r="N83" s="10">
        <f t="shared" ref="N83:N87" si="76">IF(AND(K83&lt;0,L83&lt;0,M83&lt;0),1,0)</f>
        <v>0</v>
      </c>
      <c r="O83" s="12">
        <v>-0.03</v>
      </c>
      <c r="P83" s="9">
        <v>-10334.59</v>
      </c>
      <c r="Q83" s="9">
        <v>-119456.96</v>
      </c>
      <c r="R83" s="9">
        <v>167183.89</v>
      </c>
      <c r="S83" s="9">
        <v>37392.34</v>
      </c>
      <c r="T83" s="12">
        <v>-7.21</v>
      </c>
      <c r="U83" s="12">
        <v>-2.19</v>
      </c>
      <c r="V83" s="12">
        <v>21.5</v>
      </c>
      <c r="W83" s="12">
        <v>-3.92</v>
      </c>
      <c r="X83" s="12">
        <v>-0.48</v>
      </c>
      <c r="Y83" s="12">
        <v>4.35</v>
      </c>
      <c r="Z83" s="12">
        <f t="shared" si="3"/>
        <v>0</v>
      </c>
      <c r="AA83" s="12"/>
      <c r="AB83" s="12">
        <v>-2.32</v>
      </c>
      <c r="AC83" s="12">
        <v>0.57</v>
      </c>
      <c r="AD83" s="12">
        <v>-1.51</v>
      </c>
      <c r="AE83" s="12">
        <v>1.76</v>
      </c>
      <c r="AF83" s="12">
        <v>0.75</v>
      </c>
      <c r="AG83" s="12">
        <v>10.63</v>
      </c>
      <c r="AH83" s="12">
        <v>0.95</v>
      </c>
      <c r="AI83" s="12">
        <v>1.86</v>
      </c>
      <c r="AJ83" s="12">
        <v>196.36</v>
      </c>
      <c r="AK83" s="12">
        <v>6.03</v>
      </c>
      <c r="AL83" s="12">
        <v>60.57</v>
      </c>
      <c r="AM83" s="12">
        <v>6.21</v>
      </c>
      <c r="AN83" s="12">
        <v>58.8</v>
      </c>
      <c r="AO83" s="12">
        <v>198.13</v>
      </c>
      <c r="AP83" s="12">
        <f t="shared" si="4"/>
        <v>1.4494</v>
      </c>
      <c r="AQ83" s="35">
        <v>0.8099060762264454</v>
      </c>
      <c r="AR83" s="15">
        <f t="shared" si="5"/>
        <v>1</v>
      </c>
      <c r="AS83" s="15">
        <f t="shared" si="47"/>
        <v>0</v>
      </c>
      <c r="AU83" s="15">
        <f>2.551996+('2021'!C83*0.000000012919)+('2021'!E83*0.000003)-('2021'!H83*0.000002)
-('2021'!U83*0.123062)+('2021'!AC83*0.831)-('2021'!AD83*0.008464)-('2021'!AF83*0.15884)
-('2021'!AL83*0.025383)-('2021'!AM83*0.427021)-('2021'!AN83*0.009878)
</f>
        <v>-2.046926729</v>
      </c>
      <c r="AV83" s="15">
        <v>0.11436328673371</v>
      </c>
      <c r="AW83" s="14">
        <f t="shared" si="7"/>
        <v>0</v>
      </c>
      <c r="AX83" s="14" t="str">
        <f t="shared" ref="AX83:AX87" si="77">IF(AW83='temp result 2022'!B83,1,IF(Z83="-",1,0))</f>
        <v>#REF!</v>
      </c>
      <c r="AZ83" s="15" t="str">
        <f t="shared" ref="AZ83:AZ87" si="78">IF(and(AW83=0,AX83=1),1,0)</f>
        <v>#REF!</v>
      </c>
      <c r="BA83" s="15" t="str">
        <f t="shared" ref="BA83:BA87" si="79">IF(AND(AW83=0,AX83=0),1,0)</f>
        <v>#REF!</v>
      </c>
      <c r="BB83" s="15" t="str">
        <f t="shared" ref="BB83:BB87" si="80">IF(AND(AW83=1,AX83=0),1,0)</f>
        <v>#REF!</v>
      </c>
      <c r="BC83" s="15" t="str">
        <f t="shared" ref="BC83:BC87" si="81">IF(AND(AW83=1,AX83=1),1,0)</f>
        <v>#REF!</v>
      </c>
      <c r="BD83" s="15" t="str">
        <f t="shared" ref="BD83:BD87" si="82">IF(AZ83+BA83+BB83+BC83&gt;1,1,0)</f>
        <v>#REF!</v>
      </c>
    </row>
    <row r="84">
      <c r="A84" s="8" t="s">
        <v>134</v>
      </c>
      <c r="B84" s="34">
        <f t="shared" si="1"/>
        <v>0</v>
      </c>
      <c r="C84" s="9">
        <v>690626.01</v>
      </c>
      <c r="D84" s="9">
        <v>174058.29</v>
      </c>
      <c r="E84" s="9">
        <v>215000.0</v>
      </c>
      <c r="F84" s="9">
        <v>516567.72</v>
      </c>
      <c r="G84" s="9">
        <v>471303.79</v>
      </c>
      <c r="H84" s="9">
        <v>398751.46</v>
      </c>
      <c r="I84" s="9">
        <v>92410.26</v>
      </c>
      <c r="J84" s="9">
        <v>72552.33</v>
      </c>
      <c r="K84" s="9">
        <v>57702.48</v>
      </c>
      <c r="L84" s="9">
        <v>46691.53</v>
      </c>
      <c r="M84" s="9">
        <v>23396.27</v>
      </c>
      <c r="N84" s="10">
        <f t="shared" si="76"/>
        <v>0</v>
      </c>
      <c r="O84" s="12">
        <v>0.13</v>
      </c>
      <c r="P84" s="9">
        <v>35398.74</v>
      </c>
      <c r="Q84" s="9">
        <v>-35598.39</v>
      </c>
      <c r="R84" s="9">
        <v>3226.35</v>
      </c>
      <c r="S84" s="9">
        <v>3026.7</v>
      </c>
      <c r="T84" s="12">
        <v>11.36</v>
      </c>
      <c r="U84" s="12">
        <v>11.12</v>
      </c>
      <c r="V84" s="12">
        <v>42.95</v>
      </c>
      <c r="W84" s="12">
        <v>12.24</v>
      </c>
      <c r="X84" s="12">
        <v>10.57</v>
      </c>
      <c r="Y84" s="12">
        <v>5.34</v>
      </c>
      <c r="Z84" s="12">
        <f t="shared" si="3"/>
        <v>0</v>
      </c>
      <c r="AA84" s="12"/>
      <c r="AB84" s="12">
        <v>15.39</v>
      </c>
      <c r="AC84" s="12">
        <v>0.34</v>
      </c>
      <c r="AD84" s="12">
        <v>20.82</v>
      </c>
      <c r="AE84" s="12">
        <v>5.04</v>
      </c>
      <c r="AF84" s="12">
        <v>2.51</v>
      </c>
      <c r="AG84" s="12">
        <v>2.04</v>
      </c>
      <c r="AH84" s="12">
        <v>0.72</v>
      </c>
      <c r="AI84" s="12">
        <v>1.52</v>
      </c>
      <c r="AJ84" s="12">
        <v>240.86</v>
      </c>
      <c r="AK84" s="12">
        <v>3.73</v>
      </c>
      <c r="AL84" s="12">
        <v>97.99</v>
      </c>
      <c r="AM84" s="12">
        <v>7.49</v>
      </c>
      <c r="AN84" s="12">
        <v>48.76</v>
      </c>
      <c r="AO84" s="12">
        <v>290.09</v>
      </c>
      <c r="AP84" s="12">
        <f t="shared" si="4"/>
        <v>1.34801</v>
      </c>
      <c r="AQ84" s="35">
        <v>0.7938040971212813</v>
      </c>
      <c r="AR84" s="15">
        <f t="shared" si="5"/>
        <v>1</v>
      </c>
      <c r="AS84" s="15">
        <f t="shared" si="47"/>
        <v>0</v>
      </c>
      <c r="AU84" s="15">
        <f>2.551996+('2021'!C84*0.000000012919)+('2021'!E84*0.000003)-('2021'!H84*0.000002)
-('2021'!U84*0.123062)+('2021'!AC84*0.831)-('2021'!AD84*0.008464)-('2021'!AF84*0.15884)
-('2021'!AL84*0.025383)-('2021'!AM84*0.427021)-('2021'!AN84*0.009878)
</f>
        <v>-5.419721783</v>
      </c>
      <c r="AV84" s="15">
        <v>0.004408854452130154</v>
      </c>
      <c r="AW84" s="14">
        <f t="shared" si="7"/>
        <v>0</v>
      </c>
      <c r="AX84" s="14" t="str">
        <f t="shared" si="77"/>
        <v>#REF!</v>
      </c>
      <c r="AZ84" s="15" t="str">
        <f t="shared" si="78"/>
        <v>#REF!</v>
      </c>
      <c r="BA84" s="15" t="str">
        <f t="shared" si="79"/>
        <v>#REF!</v>
      </c>
      <c r="BB84" s="15" t="str">
        <f t="shared" si="80"/>
        <v>#REF!</v>
      </c>
      <c r="BC84" s="15" t="str">
        <f t="shared" si="81"/>
        <v>#REF!</v>
      </c>
      <c r="BD84" s="15" t="str">
        <f t="shared" si="82"/>
        <v>#REF!</v>
      </c>
    </row>
    <row r="85">
      <c r="A85" s="8" t="s">
        <v>135</v>
      </c>
      <c r="B85" s="34">
        <f t="shared" si="1"/>
        <v>0</v>
      </c>
      <c r="C85" s="9">
        <v>1822473.87</v>
      </c>
      <c r="D85" s="9">
        <v>1198974.68</v>
      </c>
      <c r="E85" s="9">
        <v>343199.96</v>
      </c>
      <c r="F85" s="9">
        <v>622301.71</v>
      </c>
      <c r="G85" s="9">
        <v>996388.8</v>
      </c>
      <c r="H85" s="9">
        <v>801001.39</v>
      </c>
      <c r="I85" s="9">
        <v>203083.81</v>
      </c>
      <c r="J85" s="9">
        <v>195387.41</v>
      </c>
      <c r="K85" s="9">
        <v>155786.08</v>
      </c>
      <c r="L85" s="9">
        <v>84657.52</v>
      </c>
      <c r="M85" s="9">
        <v>56312.35</v>
      </c>
      <c r="N85" s="10">
        <f t="shared" si="76"/>
        <v>0</v>
      </c>
      <c r="O85" s="12">
        <v>0.23</v>
      </c>
      <c r="P85" s="9">
        <v>-484873.61</v>
      </c>
      <c r="Q85" s="9">
        <v>8642.45</v>
      </c>
      <c r="R85" s="9">
        <v>512742.0</v>
      </c>
      <c r="S85" s="9">
        <v>36510.83</v>
      </c>
      <c r="T85" s="12">
        <v>27.47</v>
      </c>
      <c r="U85" s="12">
        <v>13.68</v>
      </c>
      <c r="V85" s="12">
        <v>32.21</v>
      </c>
      <c r="W85" s="12">
        <v>15.63</v>
      </c>
      <c r="X85" s="12">
        <v>10.53</v>
      </c>
      <c r="Y85" s="12">
        <v>8.68</v>
      </c>
      <c r="Z85" s="12">
        <f t="shared" si="3"/>
        <v>0</v>
      </c>
      <c r="AA85" s="12"/>
      <c r="AB85" s="12">
        <v>19.61</v>
      </c>
      <c r="AC85" s="12">
        <v>1.92</v>
      </c>
      <c r="AD85" s="9">
        <v>1048.78</v>
      </c>
      <c r="AE85" s="12">
        <v>2.28</v>
      </c>
      <c r="AF85" s="12">
        <v>0.24</v>
      </c>
      <c r="AG85" s="12">
        <v>12.9</v>
      </c>
      <c r="AH85" s="12">
        <v>0.7</v>
      </c>
      <c r="AI85" s="12">
        <v>0.65</v>
      </c>
      <c r="AJ85" s="12">
        <v>558.95</v>
      </c>
      <c r="AK85" s="12">
        <v>52.8</v>
      </c>
      <c r="AL85" s="12">
        <v>6.91</v>
      </c>
      <c r="AM85" s="12">
        <v>3.43</v>
      </c>
      <c r="AN85" s="12">
        <v>106.56</v>
      </c>
      <c r="AO85" s="12">
        <v>459.3</v>
      </c>
      <c r="AP85" s="12">
        <f t="shared" si="4"/>
        <v>-2.51925</v>
      </c>
      <c r="AQ85" s="35">
        <v>0.07451965351900704</v>
      </c>
      <c r="AR85" s="15">
        <f t="shared" si="5"/>
        <v>0</v>
      </c>
      <c r="AS85" s="15">
        <f t="shared" si="47"/>
        <v>1</v>
      </c>
      <c r="AU85" s="15">
        <f>2.551996+('2021'!C85*0.000000012919)+('2021'!E85*0.000003)-('2021'!H85*0.000002)
-('2021'!U85*0.123062)+('2021'!AC85*0.831)-('2021'!AD85*0.008464)-('2021'!AF85*0.15884)
-('2021'!AL85*0.025383)-('2021'!AM85*0.427021)-('2021'!AN85*0.009878)
</f>
        <v>-9.69250428</v>
      </c>
      <c r="AV85" s="15">
        <v>6.174077275119603E-5</v>
      </c>
      <c r="AW85" s="14">
        <f t="shared" si="7"/>
        <v>0</v>
      </c>
      <c r="AX85" s="14" t="str">
        <f t="shared" si="77"/>
        <v>#REF!</v>
      </c>
      <c r="AZ85" s="15" t="str">
        <f t="shared" si="78"/>
        <v>#REF!</v>
      </c>
      <c r="BA85" s="15" t="str">
        <f t="shared" si="79"/>
        <v>#REF!</v>
      </c>
      <c r="BB85" s="15" t="str">
        <f t="shared" si="80"/>
        <v>#REF!</v>
      </c>
      <c r="BC85" s="15" t="str">
        <f t="shared" si="81"/>
        <v>#REF!</v>
      </c>
      <c r="BD85" s="15" t="str">
        <f t="shared" si="82"/>
        <v>#REF!</v>
      </c>
    </row>
    <row r="86">
      <c r="A86" s="8" t="s">
        <v>136</v>
      </c>
      <c r="B86" s="34">
        <f t="shared" si="1"/>
        <v>0</v>
      </c>
      <c r="C86" s="9">
        <v>730862.04</v>
      </c>
      <c r="D86" s="9">
        <v>228883.45</v>
      </c>
      <c r="E86" s="9">
        <v>210000.0</v>
      </c>
      <c r="F86" s="9">
        <v>494955.01</v>
      </c>
      <c r="G86" s="9">
        <v>572784.51</v>
      </c>
      <c r="H86" s="9">
        <v>479316.79</v>
      </c>
      <c r="I86" s="9">
        <v>114549.48</v>
      </c>
      <c r="J86" s="9">
        <v>94408.99</v>
      </c>
      <c r="K86" s="9">
        <v>83189.15</v>
      </c>
      <c r="L86" s="9">
        <v>43319.27</v>
      </c>
      <c r="M86" s="9">
        <v>27047.97</v>
      </c>
      <c r="N86" s="10">
        <f t="shared" si="76"/>
        <v>0</v>
      </c>
      <c r="O86" s="12">
        <v>0.2</v>
      </c>
      <c r="P86" s="9">
        <v>-51263.38</v>
      </c>
      <c r="Q86" s="9">
        <v>-66711.47</v>
      </c>
      <c r="R86" s="9">
        <v>146412.95</v>
      </c>
      <c r="S86" s="9">
        <v>28438.1</v>
      </c>
      <c r="T86" s="12">
        <v>19.37</v>
      </c>
      <c r="U86" s="12">
        <v>15.65</v>
      </c>
      <c r="V86" s="12">
        <v>24.15</v>
      </c>
      <c r="W86" s="12">
        <v>14.46</v>
      </c>
      <c r="X86" s="12">
        <v>12.2</v>
      </c>
      <c r="Y86" s="12">
        <v>7.91</v>
      </c>
      <c r="Z86" s="12">
        <f t="shared" si="3"/>
        <v>0</v>
      </c>
      <c r="AA86" s="12"/>
      <c r="AB86" s="12">
        <v>16.48</v>
      </c>
      <c r="AC86" s="12">
        <v>0.46</v>
      </c>
      <c r="AD86" s="12">
        <v>25.25</v>
      </c>
      <c r="AE86" s="12">
        <v>2.78</v>
      </c>
      <c r="AF86" s="12">
        <v>1.3</v>
      </c>
      <c r="AG86" s="12">
        <v>3.3</v>
      </c>
      <c r="AH86" s="12">
        <v>0.95</v>
      </c>
      <c r="AI86" s="12">
        <v>2.19</v>
      </c>
      <c r="AJ86" s="12">
        <v>166.36</v>
      </c>
      <c r="AK86" s="12">
        <v>6.21</v>
      </c>
      <c r="AL86" s="12">
        <v>58.8</v>
      </c>
      <c r="AM86" s="12">
        <v>14.01</v>
      </c>
      <c r="AN86" s="12">
        <v>26.05</v>
      </c>
      <c r="AO86" s="12">
        <v>199.11</v>
      </c>
      <c r="AP86" s="12">
        <f t="shared" si="4"/>
        <v>-0.2868</v>
      </c>
      <c r="AQ86" s="35">
        <v>0.4287874599118072</v>
      </c>
      <c r="AR86" s="15">
        <f t="shared" si="5"/>
        <v>0</v>
      </c>
      <c r="AS86" s="15">
        <f t="shared" si="47"/>
        <v>1</v>
      </c>
      <c r="AU86" s="15">
        <f>2.551996+('2021'!C86*0.000000012919)+('2021'!E86*0.000003)-('2021'!H86*0.000002)
-('2021'!U86*0.123062)+('2021'!AC86*0.831)-('2021'!AD86*0.008464)-('2021'!AF86*0.15884)
-('2021'!AL86*0.025383)-('2021'!AM86*0.427021)-('2021'!AN86*0.009878)
</f>
        <v>-7.463470383</v>
      </c>
      <c r="AV86" s="15">
        <v>5.733329871056566E-4</v>
      </c>
      <c r="AW86" s="14">
        <f t="shared" si="7"/>
        <v>0</v>
      </c>
      <c r="AX86" s="14" t="str">
        <f t="shared" si="77"/>
        <v>#REF!</v>
      </c>
      <c r="AZ86" s="15" t="str">
        <f t="shared" si="78"/>
        <v>#REF!</v>
      </c>
      <c r="BA86" s="15" t="str">
        <f t="shared" si="79"/>
        <v>#REF!</v>
      </c>
      <c r="BB86" s="15" t="str">
        <f t="shared" si="80"/>
        <v>#REF!</v>
      </c>
      <c r="BC86" s="15" t="str">
        <f t="shared" si="81"/>
        <v>#REF!</v>
      </c>
      <c r="BD86" s="15" t="str">
        <f t="shared" si="82"/>
        <v>#REF!</v>
      </c>
    </row>
    <row r="87">
      <c r="A87" s="8" t="s">
        <v>137</v>
      </c>
      <c r="B87" s="34">
        <f t="shared" si="1"/>
        <v>1</v>
      </c>
      <c r="C87" s="9">
        <v>467924.2</v>
      </c>
      <c r="D87" s="9">
        <v>257542.46</v>
      </c>
      <c r="E87" s="9">
        <v>150000.0</v>
      </c>
      <c r="F87" s="9">
        <v>210381.74</v>
      </c>
      <c r="G87" s="9">
        <v>372145.74</v>
      </c>
      <c r="H87" s="9">
        <v>384348.18</v>
      </c>
      <c r="I87" s="9">
        <v>40618.66</v>
      </c>
      <c r="J87" s="9">
        <v>-12202.44</v>
      </c>
      <c r="K87" s="9">
        <v>-23838.16</v>
      </c>
      <c r="L87" s="9">
        <v>-17602.25</v>
      </c>
      <c r="M87" s="9">
        <v>-27088.8</v>
      </c>
      <c r="N87" s="10">
        <f t="shared" si="76"/>
        <v>1</v>
      </c>
      <c r="O87" s="12">
        <v>-0.04</v>
      </c>
      <c r="P87" s="9">
        <v>42016.42</v>
      </c>
      <c r="Q87" s="9">
        <v>-25563.88</v>
      </c>
      <c r="R87" s="9">
        <v>-20171.46</v>
      </c>
      <c r="S87" s="9">
        <v>-3718.91</v>
      </c>
      <c r="T87" s="12">
        <v>-10.71</v>
      </c>
      <c r="U87" s="12">
        <v>-2.48</v>
      </c>
      <c r="V87" s="12">
        <v>12.07</v>
      </c>
      <c r="W87" s="12">
        <v>-6.41</v>
      </c>
      <c r="X87" s="12">
        <v>-4.12</v>
      </c>
      <c r="Y87" s="12">
        <v>-4.94</v>
      </c>
      <c r="Z87" s="12">
        <f t="shared" si="3"/>
        <v>1</v>
      </c>
      <c r="AA87" s="12"/>
      <c r="AB87" s="12">
        <v>-3.28</v>
      </c>
      <c r="AC87" s="12">
        <v>1.22</v>
      </c>
      <c r="AD87" s="12">
        <v>-0.78</v>
      </c>
      <c r="AE87" s="12">
        <v>1.98</v>
      </c>
      <c r="AF87" s="12">
        <v>1.29</v>
      </c>
      <c r="AG87" s="12">
        <v>1.67</v>
      </c>
      <c r="AH87" s="12">
        <v>0.76</v>
      </c>
      <c r="AI87" s="12">
        <v>15.15</v>
      </c>
      <c r="AJ87" s="12">
        <v>24.1</v>
      </c>
      <c r="AK87" s="12">
        <v>35.08</v>
      </c>
      <c r="AL87" s="12">
        <v>10.41</v>
      </c>
      <c r="AM87" s="12">
        <v>8.58</v>
      </c>
      <c r="AN87" s="12">
        <v>42.56</v>
      </c>
      <c r="AO87" s="12">
        <v>-8.06</v>
      </c>
      <c r="AP87" s="12">
        <f t="shared" si="4"/>
        <v>-0.14901</v>
      </c>
      <c r="AQ87" s="35">
        <v>0.4628162767729489</v>
      </c>
      <c r="AR87" s="15">
        <f t="shared" si="5"/>
        <v>0</v>
      </c>
      <c r="AS87" s="15">
        <f t="shared" si="47"/>
        <v>0</v>
      </c>
      <c r="AU87" s="15">
        <f>2.551996+('2021'!C87*0.000000012919)+('2021'!E87*0.000003)-('2021'!H87*0.000002)
-('2021'!U87*0.123062)+('2021'!AC87*0.831)-('2021'!AD87*0.008464)-('2021'!AF87*0.15884)
-('2021'!AL87*0.025383)-('2021'!AM87*0.427021)-('2021'!AN87*0.009878)
</f>
        <v>-0.9884280573</v>
      </c>
      <c r="AV87" s="15">
        <v>0.27122267756173635</v>
      </c>
      <c r="AW87" s="14">
        <f t="shared" si="7"/>
        <v>0</v>
      </c>
      <c r="AX87" s="14" t="str">
        <f t="shared" si="77"/>
        <v>#REF!</v>
      </c>
      <c r="AZ87" s="15" t="str">
        <f t="shared" si="78"/>
        <v>#REF!</v>
      </c>
      <c r="BA87" s="15" t="str">
        <f t="shared" si="79"/>
        <v>#REF!</v>
      </c>
      <c r="BB87" s="15" t="str">
        <f t="shared" si="80"/>
        <v>#REF!</v>
      </c>
      <c r="BC87" s="15" t="str">
        <f t="shared" si="81"/>
        <v>#REF!</v>
      </c>
      <c r="BD87" s="15" t="str">
        <f t="shared" si="82"/>
        <v>#REF!</v>
      </c>
    </row>
    <row r="88">
      <c r="A88" s="8" t="s">
        <v>138</v>
      </c>
      <c r="B88" s="34" t="str">
        <f t="shared" si="1"/>
        <v/>
      </c>
      <c r="C88" s="9">
        <v>1610843.89</v>
      </c>
      <c r="D88" s="9">
        <v>820814.26</v>
      </c>
      <c r="E88" s="9">
        <v>160000.0</v>
      </c>
      <c r="F88" s="9">
        <v>771770.45</v>
      </c>
      <c r="G88" s="9">
        <v>3369660.41</v>
      </c>
      <c r="H88" s="9">
        <v>3148813.94</v>
      </c>
      <c r="I88" s="9">
        <v>264294.73</v>
      </c>
      <c r="J88" s="9">
        <v>246266.29</v>
      </c>
      <c r="K88" s="9">
        <v>198806.63</v>
      </c>
      <c r="L88" s="9">
        <v>56875.66</v>
      </c>
      <c r="M88" s="9" t="e">
        <v>#N/A</v>
      </c>
      <c r="N88" s="10"/>
      <c r="O88" s="12">
        <v>0.62</v>
      </c>
      <c r="P88" s="9">
        <v>-301936.66</v>
      </c>
      <c r="Q88" s="9">
        <v>279604.86</v>
      </c>
      <c r="R88" s="9">
        <v>84439.11</v>
      </c>
      <c r="S88" s="9">
        <v>62107.31</v>
      </c>
      <c r="T88" s="12">
        <v>28.68</v>
      </c>
      <c r="U88" s="12">
        <v>18.98</v>
      </c>
      <c r="V88" s="12">
        <v>19.34</v>
      </c>
      <c r="W88" s="12">
        <v>5.93</v>
      </c>
      <c r="X88" s="12">
        <v>5.12</v>
      </c>
      <c r="Y88" s="12" t="e">
        <v>#N/A</v>
      </c>
      <c r="Z88" s="12" t="str">
        <f t="shared" si="3"/>
        <v>#N/A</v>
      </c>
      <c r="AA88" s="12"/>
      <c r="AB88" s="12">
        <v>7.31</v>
      </c>
      <c r="AC88" s="12">
        <v>1.04</v>
      </c>
      <c r="AD88" s="12">
        <v>49.67</v>
      </c>
      <c r="AE88" s="12">
        <v>1.9</v>
      </c>
      <c r="AF88" s="12">
        <v>1.87</v>
      </c>
      <c r="AG88" s="12">
        <v>29.26</v>
      </c>
      <c r="AH88" s="12">
        <v>2.6</v>
      </c>
      <c r="AI88" s="12" t="s">
        <v>47</v>
      </c>
      <c r="AJ88" s="12" t="s">
        <v>46</v>
      </c>
      <c r="AK88" s="12">
        <v>5.31</v>
      </c>
      <c r="AL88" s="12">
        <v>68.8</v>
      </c>
      <c r="AM88" s="12">
        <v>9.77</v>
      </c>
      <c r="AN88" s="12">
        <v>37.37</v>
      </c>
      <c r="AO88" s="12">
        <v>31.43</v>
      </c>
      <c r="AP88" s="12">
        <f t="shared" si="4"/>
        <v>3.44182</v>
      </c>
      <c r="AQ88" s="35">
        <v>0.9689862569909758</v>
      </c>
      <c r="AR88" s="15">
        <f t="shared" si="5"/>
        <v>1</v>
      </c>
      <c r="AS88" s="15">
        <f t="shared" si="47"/>
        <v>0</v>
      </c>
      <c r="AU88" s="15">
        <f>2.551996+('2021'!C88*0.000000012919)+('2021'!E88*0.000003)-('2021'!H88*0.000002)
-('2021'!U88*0.123062)+('2021'!AC88*0.831)-('2021'!AD88*0.008464)-('2021'!AF88*0.15884)
-('2021'!AL88*0.025383)-('2021'!AM88*0.427021)-('2021'!AN88*0.009878)
</f>
        <v>-11.72122226</v>
      </c>
      <c r="AV88" s="15">
        <v>8.119594224331819E-6</v>
      </c>
      <c r="AW88" s="14">
        <f t="shared" si="7"/>
        <v>0</v>
      </c>
      <c r="AX88" s="14"/>
    </row>
    <row r="89">
      <c r="A89" s="8" t="s">
        <v>139</v>
      </c>
      <c r="B89" s="34">
        <f t="shared" si="1"/>
        <v>0</v>
      </c>
      <c r="C89" s="9">
        <v>2157121.78</v>
      </c>
      <c r="D89" s="9">
        <v>1217523.9</v>
      </c>
      <c r="E89" s="9">
        <v>221449.46</v>
      </c>
      <c r="F89" s="9">
        <v>939597.74</v>
      </c>
      <c r="G89" s="9">
        <v>331388.55</v>
      </c>
      <c r="H89" s="9">
        <v>363290.71</v>
      </c>
      <c r="I89" s="9">
        <v>-20533.57</v>
      </c>
      <c r="J89" s="9">
        <v>-31902.16</v>
      </c>
      <c r="K89" s="9">
        <v>-95492.64</v>
      </c>
      <c r="L89" s="9">
        <v>71241.11</v>
      </c>
      <c r="M89" s="9">
        <v>103097.28</v>
      </c>
      <c r="N89" s="10">
        <f t="shared" ref="N89:N103" si="83">IF(AND(K89&lt;0,L89&lt;0,M89&lt;0),1,0)</f>
        <v>0</v>
      </c>
      <c r="O89" s="12">
        <v>-0.43</v>
      </c>
      <c r="P89" s="9">
        <v>383683.32</v>
      </c>
      <c r="Q89" s="9">
        <v>5711.8</v>
      </c>
      <c r="R89" s="9">
        <v>-365955.17</v>
      </c>
      <c r="S89" s="9">
        <v>23439.95</v>
      </c>
      <c r="T89" s="12">
        <v>-9.48</v>
      </c>
      <c r="U89" s="12">
        <v>-1.33</v>
      </c>
      <c r="V89" s="12">
        <v>56.81</v>
      </c>
      <c r="W89" s="12">
        <v>-28.82</v>
      </c>
      <c r="X89" s="12">
        <v>17.97</v>
      </c>
      <c r="Y89" s="12">
        <v>22.58</v>
      </c>
      <c r="Z89" s="12">
        <f t="shared" si="3"/>
        <v>0</v>
      </c>
      <c r="AA89" s="12"/>
      <c r="AB89" s="12">
        <v>-9.63</v>
      </c>
      <c r="AC89" s="12">
        <v>1.3</v>
      </c>
      <c r="AD89" s="12">
        <v>-0.37</v>
      </c>
      <c r="AE89" s="12">
        <v>1.66</v>
      </c>
      <c r="AF89" s="12">
        <v>0.09</v>
      </c>
      <c r="AG89" s="12" t="s">
        <v>46</v>
      </c>
      <c r="AH89" s="12">
        <v>0.14</v>
      </c>
      <c r="AI89" s="12" t="s">
        <v>47</v>
      </c>
      <c r="AJ89" s="12" t="s">
        <v>46</v>
      </c>
      <c r="AK89" s="12" t="s">
        <v>47</v>
      </c>
      <c r="AL89" s="12" t="s">
        <v>46</v>
      </c>
      <c r="AM89" s="12" t="s">
        <v>47</v>
      </c>
      <c r="AN89" s="12" t="s">
        <v>46</v>
      </c>
      <c r="AO89" s="12" t="s">
        <v>46</v>
      </c>
      <c r="AP89" s="12" t="str">
        <f t="shared" si="4"/>
        <v>#VALUE!</v>
      </c>
      <c r="AQ89" s="35" t="e">
        <v>#VALUE!</v>
      </c>
      <c r="AR89" s="15" t="str">
        <f t="shared" si="5"/>
        <v>#VALUE!</v>
      </c>
      <c r="AU89" s="15" t="str">
        <f>2.551996+('2021'!C89*0.000000012919)+('2021'!E89*0.000003)-('2021'!H89*0.000002)
-('2021'!U89*0.123062)+('2021'!AC89*0.831)-('2021'!AD89*0.008464)-('2021'!AF89*0.15884)
-('2021'!AL89*0.025383)-('2021'!AM89*0.427021)-('2021'!AN89*0.009878)
</f>
        <v>#VALUE!</v>
      </c>
      <c r="AV89" s="15" t="e">
        <v>#VALUE!</v>
      </c>
      <c r="AW89" s="14" t="str">
        <f t="shared" si="7"/>
        <v>#VALUE!</v>
      </c>
      <c r="AX89" s="14"/>
    </row>
    <row r="90">
      <c r="A90" s="8" t="s">
        <v>140</v>
      </c>
      <c r="B90" s="34">
        <f t="shared" si="1"/>
        <v>0</v>
      </c>
      <c r="C90" s="9">
        <v>1466162.47</v>
      </c>
      <c r="D90" s="9">
        <v>916327.23</v>
      </c>
      <c r="E90" s="9">
        <v>191895.14</v>
      </c>
      <c r="F90" s="9">
        <v>549835.24</v>
      </c>
      <c r="G90" s="9">
        <v>1501136.55</v>
      </c>
      <c r="H90" s="9">
        <v>1394749.02</v>
      </c>
      <c r="I90" s="9">
        <v>173565.15</v>
      </c>
      <c r="J90" s="9">
        <v>95016.42</v>
      </c>
      <c r="K90" s="9">
        <v>62408.3</v>
      </c>
      <c r="L90" s="9">
        <v>176063.22</v>
      </c>
      <c r="M90" s="9">
        <v>50977.05</v>
      </c>
      <c r="N90" s="10">
        <f t="shared" si="83"/>
        <v>0</v>
      </c>
      <c r="O90" s="12">
        <v>0.33</v>
      </c>
      <c r="P90" s="9">
        <v>40601.16</v>
      </c>
      <c r="Q90" s="9">
        <v>-39076.04</v>
      </c>
      <c r="R90" s="9">
        <v>-10384.32</v>
      </c>
      <c r="S90" s="9">
        <v>-8859.19</v>
      </c>
      <c r="T90" s="12">
        <v>10.9</v>
      </c>
      <c r="U90" s="12">
        <v>6.52</v>
      </c>
      <c r="V90" s="12">
        <v>11.29</v>
      </c>
      <c r="W90" s="12">
        <v>4.16</v>
      </c>
      <c r="X90" s="12">
        <v>9.31</v>
      </c>
      <c r="Y90" s="12">
        <v>3.54</v>
      </c>
      <c r="Z90" s="12">
        <f t="shared" si="3"/>
        <v>0</v>
      </c>
      <c r="AA90" s="12"/>
      <c r="AB90" s="12">
        <v>6.33</v>
      </c>
      <c r="AC90" s="12">
        <v>1.67</v>
      </c>
      <c r="AD90" s="12">
        <v>4.36</v>
      </c>
      <c r="AE90" s="12">
        <v>0.99</v>
      </c>
      <c r="AF90" s="12">
        <v>0.49</v>
      </c>
      <c r="AG90" s="12">
        <v>2.41</v>
      </c>
      <c r="AH90" s="12">
        <v>1.03</v>
      </c>
      <c r="AI90" s="12">
        <v>3.61</v>
      </c>
      <c r="AJ90" s="12">
        <v>101.04</v>
      </c>
      <c r="AK90" s="12">
        <v>5.19</v>
      </c>
      <c r="AL90" s="12">
        <v>70.34</v>
      </c>
      <c r="AM90" s="12">
        <v>5.24</v>
      </c>
      <c r="AN90" s="12">
        <v>69.67</v>
      </c>
      <c r="AO90" s="12">
        <v>101.71</v>
      </c>
      <c r="AP90" s="12">
        <f t="shared" si="4"/>
        <v>-0.63483</v>
      </c>
      <c r="AQ90" s="35">
        <v>0.3464161581360814</v>
      </c>
      <c r="AR90" s="15">
        <f t="shared" si="5"/>
        <v>0</v>
      </c>
      <c r="AS90" s="15">
        <f t="shared" ref="AS90:AS92" si="84">IF(AR90=N90,1,0)</f>
        <v>1</v>
      </c>
      <c r="AU90" s="15">
        <f>2.551996+('2021'!C90*0.000000012919)+('2021'!E90*0.000003)-('2021'!H90*0.000002)
-('2021'!U90*0.123062)+('2021'!AC90*0.831)-('2021'!AD90*0.008464)-('2021'!AF90*0.15884)
-('2021'!AL90*0.025383)-('2021'!AM90*0.427021)-('2021'!AN90*0.009878)
</f>
        <v>-3.883434667</v>
      </c>
      <c r="AV90" s="15">
        <v>0.02016502163082396</v>
      </c>
      <c r="AW90" s="14">
        <f t="shared" si="7"/>
        <v>0</v>
      </c>
      <c r="AX90" s="14" t="str">
        <f t="shared" ref="AX90:AX92" si="85">IF(AW90='temp result 2022'!B90,1,IF(Z90="-",1,0))</f>
        <v>#REF!</v>
      </c>
      <c r="AZ90" s="15" t="str">
        <f t="shared" ref="AZ90:AZ92" si="86">IF(and(AW90=0,AX90=1),1,0)</f>
        <v>#REF!</v>
      </c>
      <c r="BA90" s="15" t="str">
        <f t="shared" ref="BA90:BA92" si="87">IF(AND(AW90=0,AX90=0),1,0)</f>
        <v>#REF!</v>
      </c>
      <c r="BB90" s="15" t="str">
        <f t="shared" ref="BB90:BB92" si="88">IF(AND(AW90=1,AX90=0),1,0)</f>
        <v>#REF!</v>
      </c>
      <c r="BC90" s="15" t="str">
        <f t="shared" ref="BC90:BC92" si="89">IF(AND(AW90=1,AX90=1),1,0)</f>
        <v>#REF!</v>
      </c>
      <c r="BD90" s="15" t="str">
        <f t="shared" ref="BD90:BD92" si="90">IF(AZ90+BA90+BB90+BC90&gt;1,1,0)</f>
        <v>#REF!</v>
      </c>
    </row>
    <row r="91">
      <c r="A91" s="8" t="s">
        <v>141</v>
      </c>
      <c r="B91" s="34">
        <f t="shared" si="1"/>
        <v>1</v>
      </c>
      <c r="C91" s="9">
        <v>5886132.53</v>
      </c>
      <c r="D91" s="9">
        <v>3742516.73</v>
      </c>
      <c r="E91" s="9">
        <v>1651175.66</v>
      </c>
      <c r="F91" s="9">
        <v>2054477.01</v>
      </c>
      <c r="G91" s="9">
        <v>89112.59</v>
      </c>
      <c r="H91" s="9">
        <v>164175.47</v>
      </c>
      <c r="I91" s="9">
        <v>-47441.32</v>
      </c>
      <c r="J91" s="9">
        <v>-57351.1</v>
      </c>
      <c r="K91" s="9">
        <v>-100127.51</v>
      </c>
      <c r="L91" s="9">
        <v>-117979.04</v>
      </c>
      <c r="M91" s="9">
        <v>-54036.78</v>
      </c>
      <c r="N91" s="10">
        <f t="shared" si="83"/>
        <v>1</v>
      </c>
      <c r="O91" s="12">
        <v>-0.07</v>
      </c>
      <c r="P91" s="9">
        <v>-77382.84</v>
      </c>
      <c r="Q91" s="9">
        <v>-146440.65</v>
      </c>
      <c r="R91" s="9">
        <v>247960.3</v>
      </c>
      <c r="S91" s="9">
        <v>24136.8</v>
      </c>
      <c r="T91" s="12">
        <v>-5.27</v>
      </c>
      <c r="U91" s="12">
        <v>-1.04</v>
      </c>
      <c r="V91" s="12">
        <v>4.1</v>
      </c>
      <c r="W91" s="12">
        <v>-112.15</v>
      </c>
      <c r="X91" s="12">
        <v>-69.47</v>
      </c>
      <c r="Y91" s="12">
        <v>-7.63</v>
      </c>
      <c r="Z91" s="12">
        <f t="shared" si="3"/>
        <v>1</v>
      </c>
      <c r="AA91" s="12"/>
      <c r="AB91" s="12">
        <v>-64.36</v>
      </c>
      <c r="AC91" s="12">
        <v>1.75</v>
      </c>
      <c r="AD91" s="12">
        <v>-1.35</v>
      </c>
      <c r="AE91" s="12">
        <v>1.32</v>
      </c>
      <c r="AF91" s="12">
        <v>0.51</v>
      </c>
      <c r="AG91" s="12">
        <v>3.25</v>
      </c>
      <c r="AH91" s="12">
        <v>0.02</v>
      </c>
      <c r="AI91" s="12" t="s">
        <v>47</v>
      </c>
      <c r="AJ91" s="12" t="s">
        <v>46</v>
      </c>
      <c r="AK91" s="12">
        <v>0.04</v>
      </c>
      <c r="AL91" s="9">
        <v>9078.55</v>
      </c>
      <c r="AM91" s="12">
        <v>0.03</v>
      </c>
      <c r="AN91" s="9">
        <v>10771.56</v>
      </c>
      <c r="AO91" s="9">
        <v>-1693.02</v>
      </c>
      <c r="AP91" s="12">
        <f t="shared" si="4"/>
        <v>390.40392</v>
      </c>
      <c r="AQ91" s="35">
        <v>1.0</v>
      </c>
      <c r="AR91" s="15">
        <f t="shared" si="5"/>
        <v>1</v>
      </c>
      <c r="AS91" s="15">
        <f t="shared" si="84"/>
        <v>1</v>
      </c>
      <c r="AU91" s="15">
        <f>2.551996+('2021'!C91*0.000000012919)+('2021'!E91*0.000003)-('2021'!H91*0.000002)
-('2021'!U91*0.123062)+('2021'!AC91*0.831)-('2021'!AD91*0.008464)-('2021'!AF91*0.15884)
-('2021'!AL91*0.025383)-('2021'!AM91*0.427021)-('2021'!AN91*0.009878)
</f>
        <v>-328.0892475</v>
      </c>
      <c r="AV91" s="15">
        <v>3.255743945736574E-143</v>
      </c>
      <c r="AW91" s="14">
        <f t="shared" si="7"/>
        <v>0</v>
      </c>
      <c r="AX91" s="14" t="str">
        <f t="shared" si="85"/>
        <v>#REF!</v>
      </c>
      <c r="AZ91" s="15" t="str">
        <f t="shared" si="86"/>
        <v>#REF!</v>
      </c>
      <c r="BA91" s="15" t="str">
        <f t="shared" si="87"/>
        <v>#REF!</v>
      </c>
      <c r="BB91" s="15" t="str">
        <f t="shared" si="88"/>
        <v>#REF!</v>
      </c>
      <c r="BC91" s="15" t="str">
        <f t="shared" si="89"/>
        <v>#REF!</v>
      </c>
      <c r="BD91" s="15" t="str">
        <f t="shared" si="90"/>
        <v>#REF!</v>
      </c>
    </row>
    <row r="92">
      <c r="A92" s="8" t="s">
        <v>142</v>
      </c>
      <c r="B92" s="34">
        <f t="shared" si="1"/>
        <v>0</v>
      </c>
      <c r="C92" s="9">
        <v>855737.56</v>
      </c>
      <c r="D92" s="9">
        <v>208030.42</v>
      </c>
      <c r="E92" s="9">
        <v>200000.0</v>
      </c>
      <c r="F92" s="9">
        <v>540644.44</v>
      </c>
      <c r="G92" s="9">
        <v>951923.35</v>
      </c>
      <c r="H92" s="9">
        <v>805525.83</v>
      </c>
      <c r="I92" s="9">
        <v>159850.99</v>
      </c>
      <c r="J92" s="9">
        <v>145762.3</v>
      </c>
      <c r="K92" s="9">
        <v>105252.55</v>
      </c>
      <c r="L92" s="9">
        <v>99680.07</v>
      </c>
      <c r="M92" s="9">
        <v>71502.41</v>
      </c>
      <c r="N92" s="10">
        <f t="shared" si="83"/>
        <v>0</v>
      </c>
      <c r="O92" s="12">
        <v>0.26</v>
      </c>
      <c r="P92" s="9">
        <v>64224.27</v>
      </c>
      <c r="Q92" s="9">
        <v>29204.01</v>
      </c>
      <c r="R92" s="9">
        <v>-68412.27</v>
      </c>
      <c r="S92" s="9">
        <v>25016.01</v>
      </c>
      <c r="T92" s="12">
        <v>20.72</v>
      </c>
      <c r="U92" s="12">
        <v>20.22</v>
      </c>
      <c r="V92" s="12">
        <v>28.66</v>
      </c>
      <c r="W92" s="12">
        <v>12.03</v>
      </c>
      <c r="X92" s="12">
        <v>14.62</v>
      </c>
      <c r="Y92" s="12">
        <v>11.03</v>
      </c>
      <c r="Z92" s="12">
        <f t="shared" si="3"/>
        <v>0</v>
      </c>
      <c r="AA92" s="12"/>
      <c r="AB92" s="12">
        <v>15.31</v>
      </c>
      <c r="AC92" s="12">
        <v>0.32</v>
      </c>
      <c r="AD92" s="12">
        <v>131.76</v>
      </c>
      <c r="AE92" s="12">
        <v>3.31</v>
      </c>
      <c r="AF92" s="12">
        <v>2.1</v>
      </c>
      <c r="AG92" s="12">
        <v>7.28</v>
      </c>
      <c r="AH92" s="12">
        <v>1.32</v>
      </c>
      <c r="AI92" s="12">
        <v>5.6</v>
      </c>
      <c r="AJ92" s="12">
        <v>65.22</v>
      </c>
      <c r="AK92" s="12">
        <v>5.36</v>
      </c>
      <c r="AL92" s="12">
        <v>68.09</v>
      </c>
      <c r="AM92" s="12">
        <v>12.92</v>
      </c>
      <c r="AN92" s="12">
        <v>28.26</v>
      </c>
      <c r="AO92" s="12">
        <v>105.06</v>
      </c>
      <c r="AP92" s="12">
        <f t="shared" si="4"/>
        <v>2.93509</v>
      </c>
      <c r="AQ92" s="35">
        <v>0.9495540506105159</v>
      </c>
      <c r="AR92" s="15">
        <f t="shared" si="5"/>
        <v>1</v>
      </c>
      <c r="AS92" s="15">
        <f t="shared" si="84"/>
        <v>0</v>
      </c>
      <c r="AU92" s="15">
        <f>2.551996+('2021'!C92*0.000000012919)+('2021'!E92*0.000003)-('2021'!H92*0.000002)
-('2021'!U92*0.123062)+('2021'!AC92*0.831)-('2021'!AD92*0.008464)-('2021'!AF92*0.15884)
-('2021'!AL92*0.025383)-('2021'!AM92*0.427021)-('2021'!AN92*0.009878)
</f>
        <v>-9.643766736</v>
      </c>
      <c r="AV92" s="15">
        <v>6.482420030919226E-5</v>
      </c>
      <c r="AW92" s="14">
        <f t="shared" si="7"/>
        <v>0</v>
      </c>
      <c r="AX92" s="14" t="str">
        <f t="shared" si="85"/>
        <v>#REF!</v>
      </c>
      <c r="AZ92" s="15" t="str">
        <f t="shared" si="86"/>
        <v>#REF!</v>
      </c>
      <c r="BA92" s="15" t="str">
        <f t="shared" si="87"/>
        <v>#REF!</v>
      </c>
      <c r="BB92" s="15" t="str">
        <f t="shared" si="88"/>
        <v>#REF!</v>
      </c>
      <c r="BC92" s="15" t="str">
        <f t="shared" si="89"/>
        <v>#REF!</v>
      </c>
      <c r="BD92" s="15" t="str">
        <f t="shared" si="90"/>
        <v>#REF!</v>
      </c>
    </row>
    <row r="93">
      <c r="A93" s="8" t="s">
        <v>143</v>
      </c>
      <c r="B93" s="34">
        <f t="shared" si="1"/>
        <v>0</v>
      </c>
      <c r="C93" s="9">
        <v>1573558.42</v>
      </c>
      <c r="D93" s="9">
        <v>845077.17</v>
      </c>
      <c r="E93" s="9">
        <v>375187.18</v>
      </c>
      <c r="F93" s="9">
        <v>728480.57</v>
      </c>
      <c r="G93" s="9">
        <v>555706.55</v>
      </c>
      <c r="H93" s="9">
        <v>503468.4</v>
      </c>
      <c r="I93" s="9">
        <v>63565.89</v>
      </c>
      <c r="J93" s="9">
        <v>48843.38</v>
      </c>
      <c r="K93" s="9">
        <v>12953.13</v>
      </c>
      <c r="L93" s="9">
        <v>25786.08</v>
      </c>
      <c r="M93" s="9">
        <v>65985.73</v>
      </c>
      <c r="N93" s="10">
        <f t="shared" si="83"/>
        <v>0</v>
      </c>
      <c r="O93" s="12">
        <v>0.02</v>
      </c>
      <c r="P93" s="9">
        <v>9701.26</v>
      </c>
      <c r="Q93" s="12">
        <v>-741.02</v>
      </c>
      <c r="R93" s="9">
        <v>36242.63</v>
      </c>
      <c r="S93" s="9">
        <v>45202.88</v>
      </c>
      <c r="T93" s="12">
        <v>1.75</v>
      </c>
      <c r="U93" s="12">
        <v>3.2</v>
      </c>
      <c r="V93" s="12">
        <v>28.44</v>
      </c>
      <c r="W93" s="12">
        <v>2.33</v>
      </c>
      <c r="X93" s="12">
        <v>5.25</v>
      </c>
      <c r="Y93" s="12">
        <v>14.05</v>
      </c>
      <c r="Z93" s="12">
        <f t="shared" si="3"/>
        <v>0</v>
      </c>
      <c r="AA93" s="12"/>
      <c r="AB93" s="12">
        <v>8.79</v>
      </c>
      <c r="AC93" s="12">
        <v>1.16</v>
      </c>
      <c r="AD93" s="12">
        <v>1.65</v>
      </c>
      <c r="AE93" s="12">
        <v>1.64</v>
      </c>
      <c r="AF93" s="12">
        <v>0.16</v>
      </c>
      <c r="AG93" s="12" t="s">
        <v>46</v>
      </c>
      <c r="AH93" s="12">
        <v>0.36</v>
      </c>
      <c r="AI93" s="12" t="s">
        <v>47</v>
      </c>
      <c r="AJ93" s="12" t="s">
        <v>46</v>
      </c>
      <c r="AK93" s="12" t="s">
        <v>47</v>
      </c>
      <c r="AL93" s="12" t="s">
        <v>46</v>
      </c>
      <c r="AM93" s="12" t="s">
        <v>47</v>
      </c>
      <c r="AN93" s="12" t="s">
        <v>46</v>
      </c>
      <c r="AO93" s="12" t="s">
        <v>46</v>
      </c>
      <c r="AP93" s="12" t="str">
        <f t="shared" si="4"/>
        <v>#VALUE!</v>
      </c>
      <c r="AQ93" s="35" t="e">
        <v>#VALUE!</v>
      </c>
      <c r="AR93" s="15" t="str">
        <f t="shared" si="5"/>
        <v>#VALUE!</v>
      </c>
      <c r="AU93" s="15" t="str">
        <f>2.551996+('2021'!C93*0.000000012919)+('2021'!E93*0.000003)-('2021'!H93*0.000002)
-('2021'!U93*0.123062)+('2021'!AC93*0.831)-('2021'!AD93*0.008464)-('2021'!AF93*0.15884)
-('2021'!AL93*0.025383)-('2021'!AM93*0.427021)-('2021'!AN93*0.009878)
</f>
        <v>#VALUE!</v>
      </c>
      <c r="AV93" s="15" t="e">
        <v>#VALUE!</v>
      </c>
      <c r="AW93" s="14" t="str">
        <f t="shared" si="7"/>
        <v>#VALUE!</v>
      </c>
      <c r="AX93" s="14"/>
    </row>
    <row r="94">
      <c r="A94" s="8" t="s">
        <v>144</v>
      </c>
      <c r="B94" s="34">
        <f t="shared" si="1"/>
        <v>0</v>
      </c>
      <c r="C94" s="9">
        <v>1364857.74</v>
      </c>
      <c r="D94" s="9">
        <v>304115.98</v>
      </c>
      <c r="E94" s="9">
        <v>168722.63</v>
      </c>
      <c r="F94" s="9">
        <v>1060741.75</v>
      </c>
      <c r="G94" s="9">
        <v>813592.26</v>
      </c>
      <c r="H94" s="9">
        <v>789746.45</v>
      </c>
      <c r="I94" s="9">
        <v>103189.79</v>
      </c>
      <c r="J94" s="9">
        <v>86304.34</v>
      </c>
      <c r="K94" s="9">
        <v>82308.51</v>
      </c>
      <c r="L94" s="9">
        <v>57175.9</v>
      </c>
      <c r="M94" s="9">
        <v>88365.98</v>
      </c>
      <c r="N94" s="10">
        <f t="shared" si="83"/>
        <v>0</v>
      </c>
      <c r="O94" s="12">
        <v>0.49</v>
      </c>
      <c r="P94" s="9">
        <v>70407.47</v>
      </c>
      <c r="Q94" s="9">
        <v>22507.71</v>
      </c>
      <c r="R94" s="9">
        <v>-39552.01</v>
      </c>
      <c r="S94" s="9">
        <v>53363.17</v>
      </c>
      <c r="T94" s="12">
        <v>8.88</v>
      </c>
      <c r="U94" s="12">
        <v>7.29</v>
      </c>
      <c r="V94" s="12">
        <v>39.19</v>
      </c>
      <c r="W94" s="12">
        <v>10.12</v>
      </c>
      <c r="X94" s="12">
        <v>7.13</v>
      </c>
      <c r="Y94" s="12">
        <v>10.98</v>
      </c>
      <c r="Z94" s="12">
        <f t="shared" si="3"/>
        <v>0</v>
      </c>
      <c r="AA94" s="12"/>
      <c r="AB94" s="12">
        <v>10.61</v>
      </c>
      <c r="AC94" s="12">
        <v>0.29</v>
      </c>
      <c r="AD94" s="12">
        <v>200.91</v>
      </c>
      <c r="AE94" s="12">
        <v>1.76</v>
      </c>
      <c r="AF94" s="12">
        <v>1.37</v>
      </c>
      <c r="AG94" s="12">
        <v>18.41</v>
      </c>
      <c r="AH94" s="12">
        <v>0.69</v>
      </c>
      <c r="AI94" s="12">
        <v>5.46</v>
      </c>
      <c r="AJ94" s="12">
        <v>66.84</v>
      </c>
      <c r="AK94" s="12">
        <v>4.36</v>
      </c>
      <c r="AL94" s="12">
        <v>83.78</v>
      </c>
      <c r="AM94" s="12">
        <v>2.49</v>
      </c>
      <c r="AN94" s="12">
        <v>146.78</v>
      </c>
      <c r="AO94" s="12">
        <v>3.84</v>
      </c>
      <c r="AP94" s="12">
        <f t="shared" si="4"/>
        <v>0.92129</v>
      </c>
      <c r="AQ94" s="35">
        <v>0.715304879161738</v>
      </c>
      <c r="AR94" s="15">
        <f t="shared" si="5"/>
        <v>1</v>
      </c>
      <c r="AS94" s="15">
        <f t="shared" ref="AS94:AS107" si="91">IF(AR94=N94,1,0)</f>
        <v>0</v>
      </c>
      <c r="AU94" s="15">
        <f>2.551996+('2021'!C94*0.000000012919)+('2021'!E94*0.000003)-('2021'!H94*0.000002)
-('2021'!U94*0.123062)+('2021'!AC94*0.831)-('2021'!AD94*0.008464)-('2021'!AF94*0.15884)
-('2021'!AL94*0.025383)-('2021'!AM94*0.427021)-('2021'!AN94*0.009878)
</f>
        <v>-5.717704303</v>
      </c>
      <c r="AV94" s="15">
        <v>0.0032764781754508684</v>
      </c>
      <c r="AW94" s="14">
        <f t="shared" si="7"/>
        <v>0</v>
      </c>
      <c r="AX94" s="14" t="str">
        <f t="shared" ref="AX94:AX103" si="92">IF(AW94='temp result 2022'!B94,1,IF(Z94="-",1,0))</f>
        <v>#REF!</v>
      </c>
      <c r="AZ94" s="15" t="str">
        <f t="shared" ref="AZ94:AZ103" si="93">IF(and(AW94=0,AX94=1),1,0)</f>
        <v>#REF!</v>
      </c>
      <c r="BA94" s="15" t="str">
        <f t="shared" ref="BA94:BA103" si="94">IF(AND(AW94=0,AX94=0),1,0)</f>
        <v>#REF!</v>
      </c>
      <c r="BB94" s="15" t="str">
        <f t="shared" ref="BB94:BB103" si="95">IF(AND(AW94=1,AX94=0),1,0)</f>
        <v>#REF!</v>
      </c>
      <c r="BC94" s="15" t="str">
        <f t="shared" ref="BC94:BC103" si="96">IF(AND(AW94=1,AX94=1),1,0)</f>
        <v>#REF!</v>
      </c>
      <c r="BD94" s="15" t="str">
        <f t="shared" ref="BD94:BD103" si="97">IF(AZ94+BA94+BB94+BC94&gt;1,1,0)</f>
        <v>#REF!</v>
      </c>
    </row>
    <row r="95">
      <c r="A95" s="8" t="s">
        <v>145</v>
      </c>
      <c r="B95" s="34">
        <f t="shared" si="1"/>
        <v>0</v>
      </c>
      <c r="C95" s="9">
        <v>1628123.0</v>
      </c>
      <c r="D95" s="9">
        <v>173024.92</v>
      </c>
      <c r="E95" s="9">
        <v>326543.58</v>
      </c>
      <c r="F95" s="9">
        <v>1438832.93</v>
      </c>
      <c r="G95" s="9">
        <v>143727.64</v>
      </c>
      <c r="H95" s="9">
        <v>136345.86</v>
      </c>
      <c r="I95" s="9">
        <v>1169825.33</v>
      </c>
      <c r="J95" s="9">
        <v>1161180.02</v>
      </c>
      <c r="K95" s="9">
        <v>1158671.61</v>
      </c>
      <c r="L95" s="9">
        <v>-47221.96</v>
      </c>
      <c r="M95" s="9">
        <v>-15771.21</v>
      </c>
      <c r="N95" s="10">
        <f t="shared" si="83"/>
        <v>0</v>
      </c>
      <c r="O95" s="12">
        <v>0.18</v>
      </c>
      <c r="P95" s="12">
        <v>-619.94</v>
      </c>
      <c r="Q95" s="9">
        <v>-12061.17</v>
      </c>
      <c r="R95" s="9">
        <v>16051.06</v>
      </c>
      <c r="S95" s="9">
        <v>3369.95</v>
      </c>
      <c r="T95" s="12">
        <v>134.93</v>
      </c>
      <c r="U95" s="12">
        <v>107.59</v>
      </c>
      <c r="V95" s="12">
        <v>22.16</v>
      </c>
      <c r="W95" s="12">
        <v>805.48</v>
      </c>
      <c r="X95" s="12">
        <v>-115.39</v>
      </c>
      <c r="Y95" s="12">
        <v>-45.18</v>
      </c>
      <c r="Z95" s="12">
        <f t="shared" si="3"/>
        <v>0</v>
      </c>
      <c r="AA95" s="12"/>
      <c r="AB95" s="12">
        <v>807.9</v>
      </c>
      <c r="AC95" s="12">
        <v>0.12</v>
      </c>
      <c r="AD95" s="12">
        <v>431.23</v>
      </c>
      <c r="AE95" s="12">
        <v>0.29</v>
      </c>
      <c r="AF95" s="12">
        <v>0.17</v>
      </c>
      <c r="AG95" s="12">
        <v>1.76</v>
      </c>
      <c r="AH95" s="12">
        <v>0.13</v>
      </c>
      <c r="AI95" s="12">
        <v>5.6</v>
      </c>
      <c r="AJ95" s="12">
        <v>65.2</v>
      </c>
      <c r="AK95" s="12">
        <v>5.86</v>
      </c>
      <c r="AL95" s="12">
        <v>62.29</v>
      </c>
      <c r="AM95" s="12">
        <v>0.88</v>
      </c>
      <c r="AN95" s="12">
        <v>416.15</v>
      </c>
      <c r="AO95" s="12">
        <v>-288.65</v>
      </c>
      <c r="AP95" s="12">
        <f t="shared" si="4"/>
        <v>-284.89317</v>
      </c>
      <c r="AQ95" s="35">
        <v>1.8727005458498032E-124</v>
      </c>
      <c r="AR95" s="15">
        <f t="shared" si="5"/>
        <v>0</v>
      </c>
      <c r="AS95" s="15">
        <f t="shared" si="91"/>
        <v>1</v>
      </c>
      <c r="AU95" s="15">
        <f>2.551996+('2021'!C95*0.000000012919)+('2021'!E95*0.000003)-('2021'!H95*0.000002)
-('2021'!U95*0.123062)+('2021'!AC95*0.831)-('2021'!AD95*0.008464)-('2021'!AF95*0.15884)
-('2021'!AL95*0.025383)-('2021'!AM95*0.427021)-('2021'!AN95*0.009878)
</f>
        <v>-19.60510061</v>
      </c>
      <c r="AV95" s="15">
        <v>3.0592360407980945E-9</v>
      </c>
      <c r="AW95" s="14">
        <f t="shared" si="7"/>
        <v>0</v>
      </c>
      <c r="AX95" s="14" t="str">
        <f t="shared" si="92"/>
        <v>#REF!</v>
      </c>
      <c r="AZ95" s="15" t="str">
        <f t="shared" si="93"/>
        <v>#REF!</v>
      </c>
      <c r="BA95" s="15" t="str">
        <f t="shared" si="94"/>
        <v>#REF!</v>
      </c>
      <c r="BB95" s="15" t="str">
        <f t="shared" si="95"/>
        <v>#REF!</v>
      </c>
      <c r="BC95" s="15" t="str">
        <f t="shared" si="96"/>
        <v>#REF!</v>
      </c>
      <c r="BD95" s="15" t="str">
        <f t="shared" si="97"/>
        <v>#REF!</v>
      </c>
    </row>
    <row r="96">
      <c r="A96" s="8" t="s">
        <v>147</v>
      </c>
      <c r="B96" s="34">
        <f t="shared" si="1"/>
        <v>1</v>
      </c>
      <c r="C96" s="9">
        <v>4896555.9</v>
      </c>
      <c r="D96" s="9">
        <v>2786668.87</v>
      </c>
      <c r="E96" s="9">
        <v>1053386.75</v>
      </c>
      <c r="F96" s="9">
        <v>2150829.19</v>
      </c>
      <c r="G96" s="9">
        <v>2316400.78</v>
      </c>
      <c r="H96" s="9">
        <v>2333630.28</v>
      </c>
      <c r="I96" s="9">
        <v>424414.75</v>
      </c>
      <c r="J96" s="9">
        <v>-17229.5</v>
      </c>
      <c r="K96" s="9">
        <v>-101096.27</v>
      </c>
      <c r="L96" s="9">
        <v>-395093.2</v>
      </c>
      <c r="M96" s="9">
        <v>-18936.9</v>
      </c>
      <c r="N96" s="10">
        <f t="shared" si="83"/>
        <v>1</v>
      </c>
      <c r="O96" s="12">
        <v>-0.1</v>
      </c>
      <c r="P96" s="9">
        <v>411238.96</v>
      </c>
      <c r="Q96" s="9">
        <v>-250092.95</v>
      </c>
      <c r="R96" s="9">
        <v>-96258.9</v>
      </c>
      <c r="S96" s="9">
        <v>64887.12</v>
      </c>
      <c r="T96" s="12">
        <v>-4.58</v>
      </c>
      <c r="U96" s="12">
        <v>-0.36</v>
      </c>
      <c r="V96" s="12">
        <v>60.88</v>
      </c>
      <c r="W96" s="12">
        <v>-4.8</v>
      </c>
      <c r="X96" s="12">
        <v>-18.13</v>
      </c>
      <c r="Y96" s="12">
        <v>-0.83</v>
      </c>
      <c r="Z96" s="12">
        <f t="shared" si="3"/>
        <v>1</v>
      </c>
      <c r="AA96" s="12"/>
      <c r="AB96" s="12">
        <v>-0.74</v>
      </c>
      <c r="AC96" s="12">
        <v>1.32</v>
      </c>
      <c r="AD96" s="12">
        <v>-0.17</v>
      </c>
      <c r="AE96" s="12">
        <v>0.48</v>
      </c>
      <c r="AF96" s="12">
        <v>0.28</v>
      </c>
      <c r="AG96" s="12">
        <v>2.28</v>
      </c>
      <c r="AH96" s="12">
        <v>0.48</v>
      </c>
      <c r="AI96" s="12">
        <v>5.18</v>
      </c>
      <c r="AJ96" s="12">
        <v>70.52</v>
      </c>
      <c r="AK96" s="12">
        <v>17.82</v>
      </c>
      <c r="AL96" s="12">
        <v>20.48</v>
      </c>
      <c r="AM96" s="12">
        <v>2.16</v>
      </c>
      <c r="AN96" s="12">
        <v>169.26</v>
      </c>
      <c r="AO96" s="12">
        <v>-78.26</v>
      </c>
      <c r="AP96" s="12">
        <f t="shared" si="4"/>
        <v>0.58682</v>
      </c>
      <c r="AQ96" s="35">
        <v>0.6426351738512364</v>
      </c>
      <c r="AR96" s="15">
        <f t="shared" si="5"/>
        <v>1</v>
      </c>
      <c r="AS96" s="15">
        <f t="shared" si="91"/>
        <v>1</v>
      </c>
      <c r="AU96" s="15">
        <f>2.551996+('2021'!C96*0.000000012919)+('2021'!E96*0.000003)-('2021'!H96*0.000002)
-('2021'!U96*0.123062)+('2021'!AC96*0.831)-('2021'!AD96*0.008464)-('2021'!AF96*0.15884)
-('2021'!AL96*0.025383)-('2021'!AM96*0.427021)-('2021'!AN96*0.009878)
</f>
        <v>-0.9078191843</v>
      </c>
      <c r="AV96" s="15">
        <v>0.28744630680276584</v>
      </c>
      <c r="AW96" s="14">
        <f t="shared" si="7"/>
        <v>0</v>
      </c>
      <c r="AX96" s="14" t="str">
        <f t="shared" si="92"/>
        <v>#REF!</v>
      </c>
      <c r="AZ96" s="15" t="str">
        <f t="shared" si="93"/>
        <v>#REF!</v>
      </c>
      <c r="BA96" s="15" t="str">
        <f t="shared" si="94"/>
        <v>#REF!</v>
      </c>
      <c r="BB96" s="15" t="str">
        <f t="shared" si="95"/>
        <v>#REF!</v>
      </c>
      <c r="BC96" s="15" t="str">
        <f t="shared" si="96"/>
        <v>#REF!</v>
      </c>
      <c r="BD96" s="15" t="str">
        <f t="shared" si="97"/>
        <v>#REF!</v>
      </c>
    </row>
    <row r="97">
      <c r="A97" s="8" t="s">
        <v>148</v>
      </c>
      <c r="B97" s="34">
        <f t="shared" si="1"/>
        <v>0</v>
      </c>
      <c r="C97" s="9">
        <v>403151.4</v>
      </c>
      <c r="D97" s="9">
        <v>173865.63</v>
      </c>
      <c r="E97" s="9">
        <v>124205.85</v>
      </c>
      <c r="F97" s="9">
        <v>229811.0</v>
      </c>
      <c r="G97" s="9">
        <v>242439.04</v>
      </c>
      <c r="H97" s="9">
        <v>261081.33</v>
      </c>
      <c r="I97" s="9">
        <v>53072.06</v>
      </c>
      <c r="J97" s="9">
        <v>29744.08</v>
      </c>
      <c r="K97" s="9">
        <v>45303.46</v>
      </c>
      <c r="L97" s="9">
        <v>-43460.31</v>
      </c>
      <c r="M97" s="9">
        <v>30194.7</v>
      </c>
      <c r="N97" s="10">
        <f t="shared" si="83"/>
        <v>0</v>
      </c>
      <c r="O97" s="12">
        <v>0.21</v>
      </c>
      <c r="P97" s="9">
        <v>-27817.71</v>
      </c>
      <c r="Q97" s="9">
        <v>-6575.55</v>
      </c>
      <c r="R97" s="9">
        <v>40436.34</v>
      </c>
      <c r="S97" s="9">
        <v>6043.09</v>
      </c>
      <c r="T97" s="12">
        <v>25.44</v>
      </c>
      <c r="U97" s="12">
        <v>8.59</v>
      </c>
      <c r="V97" s="12">
        <v>33.41</v>
      </c>
      <c r="W97" s="12">
        <v>2.3</v>
      </c>
      <c r="X97" s="12">
        <v>-20.9</v>
      </c>
      <c r="Y97" s="12">
        <v>8.91</v>
      </c>
      <c r="Z97" s="12">
        <f t="shared" si="3"/>
        <v>0</v>
      </c>
      <c r="AA97" s="12"/>
      <c r="AB97" s="12">
        <v>12.27</v>
      </c>
      <c r="AC97" s="12">
        <v>0.76</v>
      </c>
      <c r="AD97" s="12">
        <v>3.79</v>
      </c>
      <c r="AE97" s="12">
        <v>2.68</v>
      </c>
      <c r="AF97" s="12">
        <v>1.91</v>
      </c>
      <c r="AG97" s="12">
        <v>2.17</v>
      </c>
      <c r="AH97" s="12">
        <v>0.7</v>
      </c>
      <c r="AI97" s="12">
        <v>13.85</v>
      </c>
      <c r="AJ97" s="12">
        <v>26.36</v>
      </c>
      <c r="AK97" s="12">
        <v>1.69</v>
      </c>
      <c r="AL97" s="12">
        <v>216.44</v>
      </c>
      <c r="AM97" s="12">
        <v>3.11</v>
      </c>
      <c r="AN97" s="12">
        <v>117.46</v>
      </c>
      <c r="AO97" s="12">
        <v>125.34</v>
      </c>
      <c r="AP97" s="12">
        <f t="shared" si="4"/>
        <v>7.20838</v>
      </c>
      <c r="AQ97" s="35">
        <v>0.9992601921603472</v>
      </c>
      <c r="AR97" s="15">
        <f t="shared" si="5"/>
        <v>1</v>
      </c>
      <c r="AS97" s="15">
        <f t="shared" si="91"/>
        <v>0</v>
      </c>
      <c r="AU97" s="15">
        <f>2.551996+('2021'!C97*0.000000012919)+('2021'!E97*0.000003)-('2021'!H97*0.000002)
-('2021'!U97*0.123062)+('2021'!AC97*0.831)-('2021'!AD97*0.008464)-('2021'!AF97*0.15884)
-('2021'!AL97*0.025383)-('2021'!AM97*0.427021)-('2021'!AN97*0.009878)
</f>
        <v>-6.335548047</v>
      </c>
      <c r="AV97" s="15">
        <v>0.0017690392914331704</v>
      </c>
      <c r="AW97" s="14">
        <f t="shared" si="7"/>
        <v>0</v>
      </c>
      <c r="AX97" s="14" t="str">
        <f t="shared" si="92"/>
        <v>#REF!</v>
      </c>
      <c r="AZ97" s="15" t="str">
        <f t="shared" si="93"/>
        <v>#REF!</v>
      </c>
      <c r="BA97" s="15" t="str">
        <f t="shared" si="94"/>
        <v>#REF!</v>
      </c>
      <c r="BB97" s="15" t="str">
        <f t="shared" si="95"/>
        <v>#REF!</v>
      </c>
      <c r="BC97" s="15" t="str">
        <f t="shared" si="96"/>
        <v>#REF!</v>
      </c>
      <c r="BD97" s="15" t="str">
        <f t="shared" si="97"/>
        <v>#REF!</v>
      </c>
    </row>
    <row r="98">
      <c r="A98" s="8" t="s">
        <v>149</v>
      </c>
      <c r="B98" s="34">
        <f t="shared" si="1"/>
        <v>0</v>
      </c>
      <c r="C98" s="9">
        <v>1052526.51</v>
      </c>
      <c r="D98" s="9">
        <v>617358.51</v>
      </c>
      <c r="E98" s="9">
        <v>116538.06</v>
      </c>
      <c r="F98" s="9">
        <v>413660.5</v>
      </c>
      <c r="G98" s="9">
        <v>1928519.8</v>
      </c>
      <c r="H98" s="9">
        <v>1789543.49</v>
      </c>
      <c r="I98" s="9">
        <v>181056.7</v>
      </c>
      <c r="J98" s="9">
        <v>141622.74</v>
      </c>
      <c r="K98" s="9">
        <v>111081.3</v>
      </c>
      <c r="L98" s="9">
        <v>-26072.82</v>
      </c>
      <c r="M98" s="9">
        <v>11064.49</v>
      </c>
      <c r="N98" s="10">
        <f t="shared" si="83"/>
        <v>0</v>
      </c>
      <c r="O98" s="12">
        <v>0.24</v>
      </c>
      <c r="P98" s="9">
        <v>98991.03</v>
      </c>
      <c r="Q98" s="9">
        <v>-29285.35</v>
      </c>
      <c r="R98" s="9">
        <v>22043.66</v>
      </c>
      <c r="S98" s="9">
        <v>91749.34</v>
      </c>
      <c r="T98" s="12">
        <v>33.24</v>
      </c>
      <c r="U98" s="12">
        <v>15.65</v>
      </c>
      <c r="V98" s="12">
        <v>17.43</v>
      </c>
      <c r="W98" s="12">
        <v>5.85</v>
      </c>
      <c r="X98" s="12">
        <v>-2.62</v>
      </c>
      <c r="Y98" s="12">
        <v>0.91</v>
      </c>
      <c r="Z98" s="12">
        <f t="shared" si="3"/>
        <v>0</v>
      </c>
      <c r="AA98" s="12"/>
      <c r="AB98" s="12">
        <v>7.34</v>
      </c>
      <c r="AC98" s="12">
        <v>1.42</v>
      </c>
      <c r="AD98" s="12">
        <v>11.6</v>
      </c>
      <c r="AE98" s="12">
        <v>1.2</v>
      </c>
      <c r="AF98" s="12">
        <v>1.08</v>
      </c>
      <c r="AG98" s="12">
        <v>11.0</v>
      </c>
      <c r="AH98" s="12">
        <v>2.13</v>
      </c>
      <c r="AI98" s="12">
        <v>232.98</v>
      </c>
      <c r="AJ98" s="12">
        <v>1.57</v>
      </c>
      <c r="AK98" s="12">
        <v>6.22</v>
      </c>
      <c r="AL98" s="12">
        <v>58.66</v>
      </c>
      <c r="AM98" s="12">
        <v>8.46</v>
      </c>
      <c r="AN98" s="12">
        <v>43.15</v>
      </c>
      <c r="AO98" s="12">
        <v>17.07</v>
      </c>
      <c r="AP98" s="12">
        <f t="shared" si="4"/>
        <v>1.36584</v>
      </c>
      <c r="AQ98" s="35">
        <v>0.796707211457552</v>
      </c>
      <c r="AR98" s="15">
        <f t="shared" si="5"/>
        <v>1</v>
      </c>
      <c r="AS98" s="15">
        <f t="shared" si="91"/>
        <v>0</v>
      </c>
      <c r="AU98" s="15">
        <f>2.551996+('2021'!C98*0.000000012919)+('2021'!E98*0.000003)-('2021'!H98*0.000002)
-('2021'!U98*0.123062)+('2021'!AC98*0.831)-('2021'!AD98*0.008464)-('2021'!AF98*0.15884)
-('2021'!AL98*0.025383)-('2021'!AM98*0.427021)-('2021'!AN98*0.009878)
</f>
        <v>-7.20730925</v>
      </c>
      <c r="AV98" s="15">
        <v>7.405998261528863E-4</v>
      </c>
      <c r="AW98" s="14">
        <f t="shared" si="7"/>
        <v>0</v>
      </c>
      <c r="AX98" s="14" t="str">
        <f t="shared" si="92"/>
        <v>#REF!</v>
      </c>
      <c r="AZ98" s="15" t="str">
        <f t="shared" si="93"/>
        <v>#REF!</v>
      </c>
      <c r="BA98" s="15" t="str">
        <f t="shared" si="94"/>
        <v>#REF!</v>
      </c>
      <c r="BB98" s="15" t="str">
        <f t="shared" si="95"/>
        <v>#REF!</v>
      </c>
      <c r="BC98" s="15" t="str">
        <f t="shared" si="96"/>
        <v>#REF!</v>
      </c>
      <c r="BD98" s="15" t="str">
        <f t="shared" si="97"/>
        <v>#REF!</v>
      </c>
    </row>
    <row r="99">
      <c r="A99" s="8" t="s">
        <v>150</v>
      </c>
      <c r="B99" s="34">
        <f t="shared" si="1"/>
        <v>0</v>
      </c>
      <c r="C99" s="9">
        <v>1226244.67</v>
      </c>
      <c r="D99" s="9">
        <v>317388.66</v>
      </c>
      <c r="E99" s="9">
        <v>346891.51</v>
      </c>
      <c r="F99" s="9">
        <v>906808.87</v>
      </c>
      <c r="G99" s="9">
        <v>851479.06</v>
      </c>
      <c r="H99" s="9">
        <v>800658.61</v>
      </c>
      <c r="I99" s="9">
        <v>96323.86</v>
      </c>
      <c r="J99" s="9">
        <v>51158.84</v>
      </c>
      <c r="K99" s="9">
        <v>41633.51</v>
      </c>
      <c r="L99" s="9">
        <v>45263.69</v>
      </c>
      <c r="M99" s="9">
        <v>-19542.6</v>
      </c>
      <c r="N99" s="10">
        <f t="shared" si="83"/>
        <v>0</v>
      </c>
      <c r="O99" s="12">
        <v>0.13</v>
      </c>
      <c r="P99" s="9">
        <v>58267.66</v>
      </c>
      <c r="Q99" s="9">
        <v>-20297.71</v>
      </c>
      <c r="R99" s="9">
        <v>-6126.9</v>
      </c>
      <c r="S99" s="9">
        <v>31843.06</v>
      </c>
      <c r="T99" s="12">
        <v>5.02</v>
      </c>
      <c r="U99" s="12">
        <v>4.43</v>
      </c>
      <c r="V99" s="12">
        <v>18.52</v>
      </c>
      <c r="W99" s="12">
        <v>4.92</v>
      </c>
      <c r="X99" s="12">
        <v>5.8</v>
      </c>
      <c r="Y99" s="12">
        <v>-2.32</v>
      </c>
      <c r="Z99" s="12">
        <f t="shared" si="3"/>
        <v>0</v>
      </c>
      <c r="AA99" s="12"/>
      <c r="AB99" s="12">
        <v>6.01</v>
      </c>
      <c r="AC99" s="12">
        <v>0.35</v>
      </c>
      <c r="AD99" s="12">
        <v>12.0</v>
      </c>
      <c r="AE99" s="12">
        <v>1.66</v>
      </c>
      <c r="AF99" s="12">
        <v>1.06</v>
      </c>
      <c r="AG99" s="12">
        <v>1.54</v>
      </c>
      <c r="AH99" s="12">
        <v>0.74</v>
      </c>
      <c r="AI99" s="12">
        <v>5.12</v>
      </c>
      <c r="AJ99" s="12">
        <v>71.35</v>
      </c>
      <c r="AK99" s="12">
        <v>7.37</v>
      </c>
      <c r="AL99" s="12">
        <v>49.49</v>
      </c>
      <c r="AM99" s="12">
        <v>8.56</v>
      </c>
      <c r="AN99" s="12">
        <v>42.64</v>
      </c>
      <c r="AO99" s="12">
        <v>78.2</v>
      </c>
      <c r="AP99" s="12">
        <f t="shared" si="4"/>
        <v>-0.1924</v>
      </c>
      <c r="AQ99" s="35">
        <v>0.45204783230336715</v>
      </c>
      <c r="AR99" s="15">
        <f t="shared" si="5"/>
        <v>0</v>
      </c>
      <c r="AS99" s="15">
        <f t="shared" si="91"/>
        <v>1</v>
      </c>
      <c r="AU99" s="15">
        <f>2.551996+('2021'!C99*0.000000012919)+('2021'!E99*0.000003)-('2021'!H99*0.000002)
-('2021'!U99*0.123062)+('2021'!AC99*0.831)-('2021'!AD99*0.008464)-('2021'!AF99*0.15884)
-('2021'!AL99*0.025383)-('2021'!AM99*0.427021)-('2021'!AN99*0.009878)
</f>
        <v>-3.849760245</v>
      </c>
      <c r="AV99" s="15">
        <v>0.020841236605826888</v>
      </c>
      <c r="AW99" s="14">
        <f t="shared" si="7"/>
        <v>0</v>
      </c>
      <c r="AX99" s="14" t="str">
        <f t="shared" si="92"/>
        <v>#REF!</v>
      </c>
      <c r="AZ99" s="15" t="str">
        <f t="shared" si="93"/>
        <v>#REF!</v>
      </c>
      <c r="BA99" s="15" t="str">
        <f t="shared" si="94"/>
        <v>#REF!</v>
      </c>
      <c r="BB99" s="15" t="str">
        <f t="shared" si="95"/>
        <v>#REF!</v>
      </c>
      <c r="BC99" s="15" t="str">
        <f t="shared" si="96"/>
        <v>#REF!</v>
      </c>
      <c r="BD99" s="15" t="str">
        <f t="shared" si="97"/>
        <v>#REF!</v>
      </c>
    </row>
    <row r="100">
      <c r="A100" s="8" t="s">
        <v>151</v>
      </c>
      <c r="B100" s="34">
        <f t="shared" si="1"/>
        <v>0</v>
      </c>
      <c r="C100" s="9">
        <v>639575.9</v>
      </c>
      <c r="D100" s="9">
        <v>157611.45</v>
      </c>
      <c r="E100" s="9">
        <v>200000.0</v>
      </c>
      <c r="F100" s="9">
        <v>481964.46</v>
      </c>
      <c r="G100" s="9">
        <v>405973.31</v>
      </c>
      <c r="H100" s="9">
        <v>216443.17</v>
      </c>
      <c r="I100" s="9">
        <v>204808.02</v>
      </c>
      <c r="J100" s="9">
        <v>190071.51</v>
      </c>
      <c r="K100" s="9">
        <v>165565.9</v>
      </c>
      <c r="L100" s="9">
        <v>156447.92</v>
      </c>
      <c r="M100" s="9">
        <v>179077.42</v>
      </c>
      <c r="N100" s="10">
        <f t="shared" si="83"/>
        <v>0</v>
      </c>
      <c r="O100" s="12">
        <v>0.83</v>
      </c>
      <c r="P100" s="9">
        <v>204529.66</v>
      </c>
      <c r="Q100" s="9">
        <v>-30581.28</v>
      </c>
      <c r="R100" s="9">
        <v>-159885.55</v>
      </c>
      <c r="S100" s="9">
        <v>14062.83</v>
      </c>
      <c r="T100" s="12">
        <v>34.97</v>
      </c>
      <c r="U100" s="12">
        <v>30.44</v>
      </c>
      <c r="V100" s="12">
        <v>80.5</v>
      </c>
      <c r="W100" s="12">
        <v>40.78</v>
      </c>
      <c r="X100" s="12">
        <v>39.66</v>
      </c>
      <c r="Y100" s="12">
        <v>42.41</v>
      </c>
      <c r="Z100" s="12">
        <f t="shared" si="3"/>
        <v>0</v>
      </c>
      <c r="AA100" s="12"/>
      <c r="AB100" s="12">
        <v>46.82</v>
      </c>
      <c r="AC100" s="12">
        <v>0.33</v>
      </c>
      <c r="AD100" s="9">
        <v>1424.4</v>
      </c>
      <c r="AE100" s="12">
        <v>3.79</v>
      </c>
      <c r="AF100" s="12">
        <v>1.01</v>
      </c>
      <c r="AG100" s="12">
        <v>17.24</v>
      </c>
      <c r="AH100" s="12">
        <v>0.65</v>
      </c>
      <c r="AI100" s="12" t="s">
        <v>47</v>
      </c>
      <c r="AJ100" s="12" t="s">
        <v>46</v>
      </c>
      <c r="AK100" s="12">
        <v>6.29</v>
      </c>
      <c r="AL100" s="12">
        <v>58.07</v>
      </c>
      <c r="AM100" s="12">
        <v>11.11</v>
      </c>
      <c r="AN100" s="12">
        <v>32.84</v>
      </c>
      <c r="AO100" s="12">
        <v>25.22</v>
      </c>
      <c r="AP100" s="12">
        <f t="shared" si="4"/>
        <v>-3.00744</v>
      </c>
      <c r="AQ100" s="35">
        <v>0.047090888319155116</v>
      </c>
      <c r="AR100" s="15">
        <f t="shared" si="5"/>
        <v>0</v>
      </c>
      <c r="AS100" s="15">
        <f t="shared" si="91"/>
        <v>1</v>
      </c>
      <c r="AU100" s="15">
        <f>2.551996+('2021'!C100*0.000000012919)+('2021'!E100*0.000003)-('2021'!H100*0.000002)
-('2021'!U100*0.123062)+('2021'!AC100*0.831)-('2021'!AD100*0.008464)-('2021'!AF100*0.15884)
-('2021'!AL100*0.025383)-('2021'!AM100*0.427021)-('2021'!AN100*0.009878)
</f>
        <v>-19.50354258</v>
      </c>
      <c r="AV100" s="15">
        <v>3.3862504747356642E-9</v>
      </c>
      <c r="AW100" s="14">
        <f t="shared" si="7"/>
        <v>0</v>
      </c>
      <c r="AX100" s="14" t="str">
        <f t="shared" si="92"/>
        <v>#REF!</v>
      </c>
      <c r="AZ100" s="15" t="str">
        <f t="shared" si="93"/>
        <v>#REF!</v>
      </c>
      <c r="BA100" s="15" t="str">
        <f t="shared" si="94"/>
        <v>#REF!</v>
      </c>
      <c r="BB100" s="15" t="str">
        <f t="shared" si="95"/>
        <v>#REF!</v>
      </c>
      <c r="BC100" s="15" t="str">
        <f t="shared" si="96"/>
        <v>#REF!</v>
      </c>
      <c r="BD100" s="15" t="str">
        <f t="shared" si="97"/>
        <v>#REF!</v>
      </c>
    </row>
    <row r="101">
      <c r="A101" s="8" t="s">
        <v>152</v>
      </c>
      <c r="B101" s="34">
        <f t="shared" si="1"/>
        <v>0</v>
      </c>
      <c r="C101" s="9">
        <v>840004.06</v>
      </c>
      <c r="D101" s="9">
        <v>104989.78</v>
      </c>
      <c r="E101" s="9">
        <v>7.565019765E7</v>
      </c>
      <c r="F101" s="9">
        <v>735007.9</v>
      </c>
      <c r="G101" s="9">
        <v>100788.41</v>
      </c>
      <c r="H101" s="9">
        <v>144808.22</v>
      </c>
      <c r="I101" s="9">
        <v>106355.86</v>
      </c>
      <c r="J101" s="9">
        <v>99554.5</v>
      </c>
      <c r="K101" s="9">
        <v>97270.4</v>
      </c>
      <c r="L101" s="9">
        <v>-37807.56</v>
      </c>
      <c r="M101" s="9">
        <v>496286.86</v>
      </c>
      <c r="N101" s="10">
        <f t="shared" si="83"/>
        <v>0</v>
      </c>
      <c r="O101" s="12" t="s">
        <v>46</v>
      </c>
      <c r="P101" s="9">
        <v>-55868.66</v>
      </c>
      <c r="Q101" s="9">
        <v>25287.06</v>
      </c>
      <c r="R101" s="9">
        <v>51822.03</v>
      </c>
      <c r="S101" s="9">
        <v>21240.43</v>
      </c>
      <c r="T101" s="12">
        <v>14.52</v>
      </c>
      <c r="U101" s="12">
        <v>11.32</v>
      </c>
      <c r="V101" s="12">
        <v>38.62</v>
      </c>
      <c r="W101" s="12">
        <v>96.51</v>
      </c>
      <c r="X101" s="12">
        <v>-25.64</v>
      </c>
      <c r="Y101" s="12">
        <v>112.47</v>
      </c>
      <c r="Z101" s="12">
        <f t="shared" si="3"/>
        <v>0</v>
      </c>
      <c r="AA101" s="12"/>
      <c r="AB101" s="12">
        <v>98.78</v>
      </c>
      <c r="AC101" s="12">
        <v>0.14</v>
      </c>
      <c r="AD101" s="12">
        <v>109.08</v>
      </c>
      <c r="AE101" s="12">
        <v>1.12</v>
      </c>
      <c r="AF101" s="12">
        <v>1.09</v>
      </c>
      <c r="AG101" s="12">
        <v>10.35</v>
      </c>
      <c r="AH101" s="12">
        <v>0.11</v>
      </c>
      <c r="AI101" s="12">
        <v>689.88</v>
      </c>
      <c r="AJ101" s="12">
        <v>0.53</v>
      </c>
      <c r="AK101" s="12">
        <v>1.52</v>
      </c>
      <c r="AL101" s="12">
        <v>239.88</v>
      </c>
      <c r="AM101" s="12">
        <v>0.42</v>
      </c>
      <c r="AN101" s="12">
        <v>865.44</v>
      </c>
      <c r="AO101" s="12">
        <v>-625.03</v>
      </c>
      <c r="AP101" s="12">
        <f t="shared" si="4"/>
        <v>-22.26902</v>
      </c>
      <c r="AQ101" s="35">
        <v>2.1315105989189964E-10</v>
      </c>
      <c r="AR101" s="15">
        <f t="shared" si="5"/>
        <v>0</v>
      </c>
      <c r="AS101" s="15">
        <f t="shared" si="91"/>
        <v>1</v>
      </c>
      <c r="AU101" s="15">
        <f>2.551996+('2021'!C101*0.000000012919)+('2021'!E101*0.000003)-('2021'!H101*0.000002)
-('2021'!U101*0.123062)+('2021'!AC101*0.831)-('2021'!AD101*0.008464)-('2021'!AF101*0.15884)
-('2021'!AL101*0.025383)-('2021'!AM101*0.427021)-('2021'!AN101*0.009878)
</f>
        <v>212.0336748</v>
      </c>
      <c r="AV101" s="15">
        <v>1.0</v>
      </c>
      <c r="AW101" s="14">
        <f t="shared" si="7"/>
        <v>1</v>
      </c>
      <c r="AX101" s="14" t="str">
        <f t="shared" si="92"/>
        <v>#REF!</v>
      </c>
      <c r="AZ101" s="15" t="str">
        <f t="shared" si="93"/>
        <v>#REF!</v>
      </c>
      <c r="BA101" s="15" t="str">
        <f t="shared" si="94"/>
        <v>#REF!</v>
      </c>
      <c r="BB101" s="15" t="str">
        <f t="shared" si="95"/>
        <v>#REF!</v>
      </c>
      <c r="BC101" s="15" t="str">
        <f t="shared" si="96"/>
        <v>#REF!</v>
      </c>
      <c r="BD101" s="15" t="str">
        <f t="shared" si="97"/>
        <v>#REF!</v>
      </c>
    </row>
    <row r="102">
      <c r="A102" s="8" t="s">
        <v>153</v>
      </c>
      <c r="B102" s="34">
        <f t="shared" si="1"/>
        <v>0</v>
      </c>
      <c r="C102" s="9">
        <v>463722.96</v>
      </c>
      <c r="D102" s="9">
        <v>47951.98</v>
      </c>
      <c r="E102" s="9">
        <v>100000.0</v>
      </c>
      <c r="F102" s="9">
        <v>415770.97</v>
      </c>
      <c r="G102" s="9">
        <v>150816.26</v>
      </c>
      <c r="H102" s="9">
        <v>167474.73</v>
      </c>
      <c r="I102" s="9">
        <v>-4250.46</v>
      </c>
      <c r="J102" s="9">
        <v>-17981.07</v>
      </c>
      <c r="K102" s="9">
        <v>-19307.49</v>
      </c>
      <c r="L102" s="9">
        <v>9512.33</v>
      </c>
      <c r="M102" s="9">
        <v>14454.13</v>
      </c>
      <c r="N102" s="10">
        <f t="shared" si="83"/>
        <v>0</v>
      </c>
      <c r="O102" s="12">
        <v>-1.93</v>
      </c>
      <c r="P102" s="12">
        <v>-622.78</v>
      </c>
      <c r="Q102" s="9">
        <v>-1678.22</v>
      </c>
      <c r="R102" s="9">
        <v>-5385.39</v>
      </c>
      <c r="S102" s="9">
        <v>-7686.39</v>
      </c>
      <c r="T102" s="12">
        <v>-4.53</v>
      </c>
      <c r="U102" s="12">
        <v>-3.77</v>
      </c>
      <c r="V102" s="12">
        <v>2.1</v>
      </c>
      <c r="W102" s="12">
        <v>-12.8</v>
      </c>
      <c r="X102" s="12">
        <v>4.42</v>
      </c>
      <c r="Y102" s="12">
        <v>4.2</v>
      </c>
      <c r="Z102" s="12">
        <f t="shared" si="3"/>
        <v>0</v>
      </c>
      <c r="AA102" s="12"/>
      <c r="AB102" s="12">
        <v>-11.92</v>
      </c>
      <c r="AC102" s="12">
        <v>0.12</v>
      </c>
      <c r="AD102" s="12">
        <v>-32.83</v>
      </c>
      <c r="AE102" s="12">
        <v>12.96</v>
      </c>
      <c r="AF102" s="12">
        <v>8.59</v>
      </c>
      <c r="AG102" s="12">
        <v>0.62</v>
      </c>
      <c r="AH102" s="12">
        <v>0.32</v>
      </c>
      <c r="AI102" s="12">
        <v>2.53</v>
      </c>
      <c r="AJ102" s="12">
        <v>144.23</v>
      </c>
      <c r="AK102" s="12">
        <v>2.92</v>
      </c>
      <c r="AL102" s="12">
        <v>124.81</v>
      </c>
      <c r="AM102" s="12">
        <v>11.49</v>
      </c>
      <c r="AN102" s="12">
        <v>31.78</v>
      </c>
      <c r="AO102" s="12">
        <v>237.27</v>
      </c>
      <c r="AP102" s="12">
        <f t="shared" si="4"/>
        <v>9.92299</v>
      </c>
      <c r="AQ102" s="35">
        <v>0.9999509680794977</v>
      </c>
      <c r="AR102" s="15">
        <f t="shared" si="5"/>
        <v>1</v>
      </c>
      <c r="AS102" s="15">
        <f t="shared" si="91"/>
        <v>0</v>
      </c>
      <c r="AU102" s="15">
        <f>2.551996+('2021'!C102*0.000000012919)+('2021'!E102*0.000003)-('2021'!H102*0.000002)
-('2021'!U102*0.123062)+('2021'!AC102*0.831)-('2021'!AD102*0.008464)-('2021'!AF102*0.15884)
-('2021'!AL102*0.025383)-('2021'!AM102*0.427021)-('2021'!AN102*0.009878)
</f>
        <v>-6.388307723</v>
      </c>
      <c r="AV102" s="15">
        <v>0.0016782773302725642</v>
      </c>
      <c r="AW102" s="14">
        <f t="shared" si="7"/>
        <v>0</v>
      </c>
      <c r="AX102" s="14" t="str">
        <f t="shared" si="92"/>
        <v>#REF!</v>
      </c>
      <c r="AZ102" s="15" t="str">
        <f t="shared" si="93"/>
        <v>#REF!</v>
      </c>
      <c r="BA102" s="15" t="str">
        <f t="shared" si="94"/>
        <v>#REF!</v>
      </c>
      <c r="BB102" s="15" t="str">
        <f t="shared" si="95"/>
        <v>#REF!</v>
      </c>
      <c r="BC102" s="15" t="str">
        <f t="shared" si="96"/>
        <v>#REF!</v>
      </c>
      <c r="BD102" s="15" t="str">
        <f t="shared" si="97"/>
        <v>#REF!</v>
      </c>
    </row>
    <row r="103">
      <c r="A103" s="8" t="s">
        <v>154</v>
      </c>
      <c r="B103" s="34">
        <f t="shared" si="1"/>
        <v>0</v>
      </c>
      <c r="C103" s="9">
        <v>1002969.55</v>
      </c>
      <c r="D103" s="9">
        <v>98771.26</v>
      </c>
      <c r="E103" s="9">
        <v>559999.99</v>
      </c>
      <c r="F103" s="9">
        <v>904198.3</v>
      </c>
      <c r="G103" s="9">
        <v>657158.68</v>
      </c>
      <c r="H103" s="9">
        <v>586835.17</v>
      </c>
      <c r="I103" s="9">
        <v>115594.88</v>
      </c>
      <c r="J103" s="9">
        <v>70323.51</v>
      </c>
      <c r="K103" s="9">
        <v>55679.47</v>
      </c>
      <c r="L103" s="9">
        <v>-48851.01</v>
      </c>
      <c r="M103" s="9">
        <v>33008.87</v>
      </c>
      <c r="N103" s="10">
        <f t="shared" si="83"/>
        <v>0</v>
      </c>
      <c r="O103" s="12">
        <v>0.17</v>
      </c>
      <c r="P103" s="9">
        <v>118758.56</v>
      </c>
      <c r="Q103" s="9">
        <v>-498534.51</v>
      </c>
      <c r="R103" s="9">
        <v>266118.79</v>
      </c>
      <c r="S103" s="9">
        <v>-113657.16</v>
      </c>
      <c r="T103" s="12">
        <v>7.59</v>
      </c>
      <c r="U103" s="12">
        <v>8.27</v>
      </c>
      <c r="V103" s="12">
        <v>18.13</v>
      </c>
      <c r="W103" s="12">
        <v>8.47</v>
      </c>
      <c r="X103" s="12">
        <v>-7.13</v>
      </c>
      <c r="Y103" s="12">
        <v>4.18</v>
      </c>
      <c r="Z103" s="12">
        <f t="shared" si="3"/>
        <v>0</v>
      </c>
      <c r="AA103" s="12"/>
      <c r="AB103" s="12">
        <v>10.7</v>
      </c>
      <c r="AC103" s="12">
        <v>0.11</v>
      </c>
      <c r="AD103" s="12">
        <v>36.75</v>
      </c>
      <c r="AE103" s="12">
        <v>9.99</v>
      </c>
      <c r="AF103" s="12">
        <v>8.53</v>
      </c>
      <c r="AG103" s="12">
        <v>10.34</v>
      </c>
      <c r="AH103" s="12">
        <v>0.77</v>
      </c>
      <c r="AI103" s="12">
        <v>55.91</v>
      </c>
      <c r="AJ103" s="12">
        <v>6.53</v>
      </c>
      <c r="AK103" s="12">
        <v>5.75</v>
      </c>
      <c r="AL103" s="12">
        <v>63.53</v>
      </c>
      <c r="AM103" s="12">
        <v>11.51</v>
      </c>
      <c r="AN103" s="12">
        <v>31.71</v>
      </c>
      <c r="AO103" s="12">
        <v>38.34</v>
      </c>
      <c r="AP103" s="12">
        <f t="shared" si="4"/>
        <v>2.62018</v>
      </c>
      <c r="AQ103" s="35">
        <v>0.9321490917978494</v>
      </c>
      <c r="AR103" s="15">
        <f t="shared" si="5"/>
        <v>1</v>
      </c>
      <c r="AS103" s="15">
        <f t="shared" si="91"/>
        <v>0</v>
      </c>
      <c r="AU103" s="15">
        <f>2.551996+('2021'!C103*0.000000012919)+('2021'!E103*0.000003)-('2021'!H103*0.000002)
-('2021'!U103*0.123062)+('2021'!AC103*0.831)-('2021'!AD103*0.008464)-('2021'!AF103*0.15884)
-('2021'!AL103*0.025383)-('2021'!AM103*0.427021)-('2021'!AN103*0.009878)
</f>
        <v>-6.361812026</v>
      </c>
      <c r="AV103" s="15">
        <v>0.001723261135947205</v>
      </c>
      <c r="AW103" s="14">
        <f t="shared" si="7"/>
        <v>0</v>
      </c>
      <c r="AX103" s="14" t="str">
        <f t="shared" si="92"/>
        <v>#REF!</v>
      </c>
      <c r="AZ103" s="15" t="str">
        <f t="shared" si="93"/>
        <v>#REF!</v>
      </c>
      <c r="BA103" s="15" t="str">
        <f t="shared" si="94"/>
        <v>#REF!</v>
      </c>
      <c r="BB103" s="15" t="str">
        <f t="shared" si="95"/>
        <v>#REF!</v>
      </c>
      <c r="BC103" s="15" t="str">
        <f t="shared" si="96"/>
        <v>#REF!</v>
      </c>
      <c r="BD103" s="15" t="str">
        <f t="shared" si="97"/>
        <v>#REF!</v>
      </c>
    </row>
    <row r="104">
      <c r="A104" s="8" t="s">
        <v>155</v>
      </c>
      <c r="B104" s="34" t="str">
        <f t="shared" si="1"/>
        <v/>
      </c>
      <c r="C104" s="9">
        <v>1145272.38</v>
      </c>
      <c r="D104" s="9">
        <v>243961.72</v>
      </c>
      <c r="E104" s="9">
        <v>500000.0</v>
      </c>
      <c r="F104" s="9">
        <v>901310.66</v>
      </c>
      <c r="G104" s="9">
        <v>709083.04</v>
      </c>
      <c r="H104" s="9">
        <v>587731.38</v>
      </c>
      <c r="I104" s="9">
        <v>189771.06</v>
      </c>
      <c r="J104" s="9">
        <v>140983.75</v>
      </c>
      <c r="K104" s="9">
        <v>107682.94</v>
      </c>
      <c r="L104" s="9" t="e">
        <v>#N/A</v>
      </c>
      <c r="M104" s="9" t="e">
        <v>#N/A</v>
      </c>
      <c r="N104" s="10"/>
      <c r="O104" s="12">
        <v>0.11</v>
      </c>
      <c r="P104" s="9">
        <v>109755.52</v>
      </c>
      <c r="Q104" s="9">
        <v>-54285.4</v>
      </c>
      <c r="R104" s="9">
        <v>-58955.1</v>
      </c>
      <c r="S104" s="9">
        <v>-3484.98</v>
      </c>
      <c r="T104" s="12">
        <v>15.72</v>
      </c>
      <c r="U104" s="12">
        <v>12.99</v>
      </c>
      <c r="V104" s="12">
        <v>24.95</v>
      </c>
      <c r="W104" s="12">
        <v>15.19</v>
      </c>
      <c r="X104" s="12" t="e">
        <v>#N/A</v>
      </c>
      <c r="Y104" s="12" t="e">
        <v>#N/A</v>
      </c>
      <c r="Z104" s="12" t="str">
        <f t="shared" si="3"/>
        <v>#N/A</v>
      </c>
      <c r="AA104" s="12"/>
      <c r="AB104" s="12">
        <v>19.88</v>
      </c>
      <c r="AC104" s="12">
        <v>0.27</v>
      </c>
      <c r="AD104" s="12">
        <v>21.5</v>
      </c>
      <c r="AE104" s="12">
        <v>3.43</v>
      </c>
      <c r="AF104" s="12">
        <v>1.18</v>
      </c>
      <c r="AG104" s="12">
        <v>1.53</v>
      </c>
      <c r="AH104" s="12">
        <v>0.65</v>
      </c>
      <c r="AI104" s="12">
        <v>1.39</v>
      </c>
      <c r="AJ104" s="12">
        <v>263.38</v>
      </c>
      <c r="AK104" s="12">
        <v>5.95</v>
      </c>
      <c r="AL104" s="12">
        <v>61.38</v>
      </c>
      <c r="AM104" s="12">
        <v>5.4</v>
      </c>
      <c r="AN104" s="12">
        <v>67.63</v>
      </c>
      <c r="AO104" s="12">
        <v>257.12</v>
      </c>
      <c r="AP104" s="12">
        <f t="shared" si="4"/>
        <v>-0.51763</v>
      </c>
      <c r="AQ104" s="35">
        <v>0.37340658574177465</v>
      </c>
      <c r="AR104" s="15">
        <f t="shared" si="5"/>
        <v>0</v>
      </c>
      <c r="AS104" s="15">
        <f t="shared" si="91"/>
        <v>1</v>
      </c>
      <c r="AU104" s="15">
        <f>2.551996+('2021'!C104*0.000000012919)+('2021'!E104*0.000003)-('2021'!H104*0.000002)
-('2021'!U104*0.123062)+('2021'!AC104*0.831)-('2021'!AD104*0.008464)-('2021'!AF104*0.15884)
-('2021'!AL104*0.025383)-('2021'!AM104*0.427021)-('2021'!AN104*0.009878)
</f>
        <v>-3.384254646</v>
      </c>
      <c r="AV104" s="15">
        <v>0.0327911861989591</v>
      </c>
      <c r="AW104" s="14">
        <f t="shared" si="7"/>
        <v>0</v>
      </c>
      <c r="AX104" s="14"/>
    </row>
    <row r="105">
      <c r="A105" s="8" t="s">
        <v>156</v>
      </c>
      <c r="B105" s="34">
        <f t="shared" si="1"/>
        <v>0</v>
      </c>
      <c r="C105" s="9">
        <v>764480.1</v>
      </c>
      <c r="D105" s="9">
        <v>175999.51</v>
      </c>
      <c r="E105" s="9">
        <v>135000.0</v>
      </c>
      <c r="F105" s="9">
        <v>588480.58</v>
      </c>
      <c r="G105" s="9">
        <v>685249.06</v>
      </c>
      <c r="H105" s="9">
        <v>615876.15</v>
      </c>
      <c r="I105" s="9">
        <v>122236.71</v>
      </c>
      <c r="J105" s="9">
        <v>69372.91</v>
      </c>
      <c r="K105" s="9">
        <v>55241.87</v>
      </c>
      <c r="L105" s="9">
        <v>98254.66</v>
      </c>
      <c r="M105" s="9">
        <v>65877.68</v>
      </c>
      <c r="N105" s="10">
        <f t="shared" ref="N105:N112" si="98">IF(AND(K105&lt;0,L105&lt;0,M105&lt;0),1,0)</f>
        <v>0</v>
      </c>
      <c r="O105" s="12">
        <v>0.19</v>
      </c>
      <c r="P105" s="9">
        <v>145941.24</v>
      </c>
      <c r="Q105" s="9">
        <v>-17604.7</v>
      </c>
      <c r="R105" s="9">
        <v>-85493.39</v>
      </c>
      <c r="S105" s="9">
        <v>42843.14</v>
      </c>
      <c r="T105" s="12">
        <v>9.17</v>
      </c>
      <c r="U105" s="12">
        <v>9.34</v>
      </c>
      <c r="V105" s="12">
        <v>19.0</v>
      </c>
      <c r="W105" s="12">
        <v>8.06</v>
      </c>
      <c r="X105" s="12">
        <v>15.61</v>
      </c>
      <c r="Y105" s="12">
        <v>9.74</v>
      </c>
      <c r="Z105" s="12">
        <f t="shared" si="3"/>
        <v>0</v>
      </c>
      <c r="AA105" s="12"/>
      <c r="AB105" s="12">
        <v>10.12</v>
      </c>
      <c r="AC105" s="12">
        <v>0.3</v>
      </c>
      <c r="AD105" s="12">
        <v>221.53</v>
      </c>
      <c r="AE105" s="12">
        <v>3.13</v>
      </c>
      <c r="AF105" s="12">
        <v>2.55</v>
      </c>
      <c r="AG105" s="12">
        <v>2.42</v>
      </c>
      <c r="AH105" s="12">
        <v>0.92</v>
      </c>
      <c r="AI105" s="12">
        <v>7.4</v>
      </c>
      <c r="AJ105" s="12">
        <v>49.32</v>
      </c>
      <c r="AK105" s="12">
        <v>6.8</v>
      </c>
      <c r="AL105" s="12">
        <v>53.68</v>
      </c>
      <c r="AM105" s="12">
        <v>5.03</v>
      </c>
      <c r="AN105" s="12">
        <v>72.6</v>
      </c>
      <c r="AO105" s="12">
        <v>30.39</v>
      </c>
      <c r="AP105" s="12">
        <f t="shared" si="4"/>
        <v>1.31184</v>
      </c>
      <c r="AQ105" s="35">
        <v>0.78782089157177</v>
      </c>
      <c r="AR105" s="15">
        <f t="shared" si="5"/>
        <v>1</v>
      </c>
      <c r="AS105" s="15">
        <f t="shared" si="91"/>
        <v>0</v>
      </c>
      <c r="AU105" s="15">
        <f>2.551996+('2021'!C105*0.000000012919)+('2021'!E105*0.000003)-('2021'!H105*0.000002)
-('2021'!U105*0.123062)+('2021'!AC105*0.831)-('2021'!AD105*0.008464)-('2021'!AF105*0.15884)
-('2021'!AL105*0.025383)-('2021'!AM105*0.427021)-('2021'!AN105*0.009878)
</f>
        <v>-5.672668852</v>
      </c>
      <c r="AV105" s="15">
        <v>0.0034268917342968326</v>
      </c>
      <c r="AW105" s="14">
        <f t="shared" si="7"/>
        <v>0</v>
      </c>
      <c r="AX105" s="14" t="str">
        <f t="shared" ref="AX105:AX107" si="99">IF(AW105='temp result 2022'!B105,1,IF(Z105="-",1,0))</f>
        <v>#REF!</v>
      </c>
      <c r="AZ105" s="15" t="str">
        <f t="shared" ref="AZ105:AZ107" si="100">IF(and(AW105=0,AX105=1),1,0)</f>
        <v>#REF!</v>
      </c>
      <c r="BA105" s="15" t="str">
        <f t="shared" ref="BA105:BA107" si="101">IF(AND(AW105=0,AX105=0),1,0)</f>
        <v>#REF!</v>
      </c>
      <c r="BB105" s="15" t="str">
        <f t="shared" ref="BB105:BB107" si="102">IF(AND(AW105=1,AX105=0),1,0)</f>
        <v>#REF!</v>
      </c>
      <c r="BC105" s="15" t="str">
        <f t="shared" ref="BC105:BC107" si="103">IF(AND(AW105=1,AX105=1),1,0)</f>
        <v>#REF!</v>
      </c>
      <c r="BD105" s="15" t="str">
        <f t="shared" ref="BD105:BD107" si="104">IF(AZ105+BA105+BB105+BC105&gt;1,1,0)</f>
        <v>#REF!</v>
      </c>
    </row>
    <row r="106">
      <c r="A106" s="8" t="s">
        <v>157</v>
      </c>
      <c r="B106" s="34">
        <f t="shared" si="1"/>
        <v>0</v>
      </c>
      <c r="C106" s="9">
        <v>636229.65</v>
      </c>
      <c r="D106" s="9">
        <v>288064.4</v>
      </c>
      <c r="E106" s="9">
        <v>202500.23</v>
      </c>
      <c r="F106" s="9">
        <v>349467.89</v>
      </c>
      <c r="G106" s="9">
        <v>1229823.41</v>
      </c>
      <c r="H106" s="9">
        <v>1122185.06</v>
      </c>
      <c r="I106" s="9">
        <v>113364.04</v>
      </c>
      <c r="J106" s="9">
        <v>104995.55</v>
      </c>
      <c r="K106" s="9">
        <v>81890.61</v>
      </c>
      <c r="L106" s="9">
        <v>73859.55</v>
      </c>
      <c r="M106" s="9">
        <v>41419.0</v>
      </c>
      <c r="N106" s="10">
        <f t="shared" si="98"/>
        <v>0</v>
      </c>
      <c r="O106" s="12">
        <v>0.4</v>
      </c>
      <c r="P106" s="9">
        <v>35311.38</v>
      </c>
      <c r="Q106" s="9">
        <v>-4636.33</v>
      </c>
      <c r="R106" s="9">
        <v>-64221.01</v>
      </c>
      <c r="S106" s="9">
        <v>-33545.96</v>
      </c>
      <c r="T106" s="12">
        <v>24.16</v>
      </c>
      <c r="U106" s="12">
        <v>16.9</v>
      </c>
      <c r="V106" s="12">
        <v>23.46</v>
      </c>
      <c r="W106" s="12">
        <v>6.66</v>
      </c>
      <c r="X106" s="12">
        <v>6.95</v>
      </c>
      <c r="Y106" s="12">
        <v>4.52</v>
      </c>
      <c r="Z106" s="12">
        <f t="shared" si="3"/>
        <v>0</v>
      </c>
      <c r="AA106" s="12"/>
      <c r="AB106" s="12">
        <v>8.54</v>
      </c>
      <c r="AC106" s="12">
        <v>0.83</v>
      </c>
      <c r="AD106" s="12">
        <v>38.02</v>
      </c>
      <c r="AE106" s="12">
        <v>1.87</v>
      </c>
      <c r="AF106" s="12">
        <v>0.96</v>
      </c>
      <c r="AG106" s="12">
        <v>12.89</v>
      </c>
      <c r="AH106" s="12">
        <v>1.98</v>
      </c>
      <c r="AI106" s="12">
        <v>4.97</v>
      </c>
      <c r="AJ106" s="12">
        <v>73.47</v>
      </c>
      <c r="AK106" s="12">
        <v>6.85</v>
      </c>
      <c r="AL106" s="12">
        <v>53.25</v>
      </c>
      <c r="AM106" s="12">
        <v>5.75</v>
      </c>
      <c r="AN106" s="12">
        <v>63.46</v>
      </c>
      <c r="AO106" s="12">
        <v>63.26</v>
      </c>
      <c r="AP106" s="12">
        <f t="shared" si="4"/>
        <v>2.56172</v>
      </c>
      <c r="AQ106" s="35">
        <v>0.9283569398266615</v>
      </c>
      <c r="AR106" s="15">
        <f t="shared" si="5"/>
        <v>1</v>
      </c>
      <c r="AS106" s="15">
        <f t="shared" si="91"/>
        <v>0</v>
      </c>
      <c r="AU106" s="15">
        <f>2.551996+('2021'!C106*0.000000012919)+('2021'!E106*0.000003)-('2021'!H106*0.000002)
-('2021'!U106*0.123062)+('2021'!AC106*0.831)-('2021'!AD106*0.008464)-('2021'!AF106*0.15884)
-('2021'!AL106*0.025383)-('2021'!AM106*0.427021)-('2021'!AN106*0.009878)
</f>
        <v>-5.374832839</v>
      </c>
      <c r="AV106" s="15">
        <v>0.004610339231028187</v>
      </c>
      <c r="AW106" s="14">
        <f t="shared" si="7"/>
        <v>0</v>
      </c>
      <c r="AX106" s="14" t="str">
        <f t="shared" si="99"/>
        <v>#REF!</v>
      </c>
      <c r="AZ106" s="15" t="str">
        <f t="shared" si="100"/>
        <v>#REF!</v>
      </c>
      <c r="BA106" s="15" t="str">
        <f t="shared" si="101"/>
        <v>#REF!</v>
      </c>
      <c r="BB106" s="15" t="str">
        <f t="shared" si="102"/>
        <v>#REF!</v>
      </c>
      <c r="BC106" s="15" t="str">
        <f t="shared" si="103"/>
        <v>#REF!</v>
      </c>
      <c r="BD106" s="15" t="str">
        <f t="shared" si="104"/>
        <v>#REF!</v>
      </c>
    </row>
    <row r="107">
      <c r="A107" s="8" t="s">
        <v>158</v>
      </c>
      <c r="B107" s="34">
        <f t="shared" si="1"/>
        <v>0</v>
      </c>
      <c r="C107" s="9">
        <v>646338.3</v>
      </c>
      <c r="D107" s="9">
        <v>310144.62</v>
      </c>
      <c r="E107" s="9">
        <v>215624.56</v>
      </c>
      <c r="F107" s="9">
        <v>336319.71</v>
      </c>
      <c r="G107" s="9">
        <v>678237.05</v>
      </c>
      <c r="H107" s="9">
        <v>705579.97</v>
      </c>
      <c r="I107" s="9">
        <v>-14839.47</v>
      </c>
      <c r="J107" s="9">
        <v>-30779.53</v>
      </c>
      <c r="K107" s="9">
        <v>-26355.58</v>
      </c>
      <c r="L107" s="9">
        <v>-53532.0</v>
      </c>
      <c r="M107" s="9">
        <v>31636.47</v>
      </c>
      <c r="N107" s="10">
        <f t="shared" si="98"/>
        <v>0</v>
      </c>
      <c r="O107" s="12">
        <v>-0.12</v>
      </c>
      <c r="P107" s="9">
        <v>-77868.92</v>
      </c>
      <c r="Q107" s="9">
        <v>-1857.28</v>
      </c>
      <c r="R107" s="9">
        <v>-5328.67</v>
      </c>
      <c r="S107" s="9">
        <v>-85054.87</v>
      </c>
      <c r="T107" s="12">
        <v>-7.54</v>
      </c>
      <c r="U107" s="12">
        <v>-4.67</v>
      </c>
      <c r="V107" s="12">
        <v>25.52</v>
      </c>
      <c r="W107" s="12">
        <v>-3.97</v>
      </c>
      <c r="X107" s="12">
        <v>-9.26</v>
      </c>
      <c r="Y107" s="12">
        <v>2.27</v>
      </c>
      <c r="Z107" s="12">
        <f t="shared" si="3"/>
        <v>0</v>
      </c>
      <c r="AA107" s="12"/>
      <c r="AB107" s="12">
        <v>-4.54</v>
      </c>
      <c r="AC107" s="12">
        <v>0.92</v>
      </c>
      <c r="AD107" s="12">
        <v>-13.5</v>
      </c>
      <c r="AE107" s="12">
        <v>1.92</v>
      </c>
      <c r="AF107" s="12">
        <v>1.37</v>
      </c>
      <c r="AG107" s="12">
        <v>4.98</v>
      </c>
      <c r="AH107" s="12">
        <v>1.03</v>
      </c>
      <c r="AI107" s="12" t="s">
        <v>47</v>
      </c>
      <c r="AJ107" s="12" t="s">
        <v>46</v>
      </c>
      <c r="AK107" s="12">
        <v>5.99</v>
      </c>
      <c r="AL107" s="12">
        <v>60.94</v>
      </c>
      <c r="AM107" s="12">
        <v>3.28</v>
      </c>
      <c r="AN107" s="12">
        <v>111.18</v>
      </c>
      <c r="AO107" s="12">
        <v>-50.24</v>
      </c>
      <c r="AP107" s="12">
        <f t="shared" si="4"/>
        <v>0.63582</v>
      </c>
      <c r="AQ107" s="35">
        <v>0.6538079556530431</v>
      </c>
      <c r="AR107" s="15">
        <f t="shared" si="5"/>
        <v>1</v>
      </c>
      <c r="AS107" s="15">
        <f t="shared" si="91"/>
        <v>0</v>
      </c>
      <c r="AU107" s="15">
        <f>2.551996+('2021'!C107*0.000000012919)+('2021'!E107*0.000003)-('2021'!H107*0.000002)
-('2021'!U107*0.123062)+('2021'!AC107*0.831)-('2021'!AD107*0.008464)-('2021'!AF107*0.15884)
-('2021'!AL107*0.025383)-('2021'!AM107*0.427021)-('2021'!AN107*0.009878)
</f>
        <v>-1.013772416</v>
      </c>
      <c r="AV107" s="15">
        <v>0.26624223225101423</v>
      </c>
      <c r="AW107" s="14">
        <f t="shared" si="7"/>
        <v>0</v>
      </c>
      <c r="AX107" s="14" t="str">
        <f t="shared" si="99"/>
        <v>#REF!</v>
      </c>
      <c r="AZ107" s="15" t="str">
        <f t="shared" si="100"/>
        <v>#REF!</v>
      </c>
      <c r="BA107" s="15" t="str">
        <f t="shared" si="101"/>
        <v>#REF!</v>
      </c>
      <c r="BB107" s="15" t="str">
        <f t="shared" si="102"/>
        <v>#REF!</v>
      </c>
      <c r="BC107" s="15" t="str">
        <f t="shared" si="103"/>
        <v>#REF!</v>
      </c>
      <c r="BD107" s="15" t="str">
        <f t="shared" si="104"/>
        <v>#REF!</v>
      </c>
    </row>
    <row r="108">
      <c r="A108" s="8" t="s">
        <v>306</v>
      </c>
      <c r="B108" s="34">
        <f t="shared" si="1"/>
        <v>0</v>
      </c>
      <c r="C108" s="12" t="s">
        <v>46</v>
      </c>
      <c r="D108" s="12" t="s">
        <v>46</v>
      </c>
      <c r="E108" s="12" t="s">
        <v>46</v>
      </c>
      <c r="F108" s="12" t="s">
        <v>46</v>
      </c>
      <c r="G108" s="9">
        <v>1030584.11</v>
      </c>
      <c r="H108" s="9">
        <v>905725.94</v>
      </c>
      <c r="I108" s="9">
        <v>154038.81</v>
      </c>
      <c r="J108" s="9">
        <v>124858.17</v>
      </c>
      <c r="K108" s="9">
        <v>102093.14</v>
      </c>
      <c r="L108" s="9">
        <v>79439.72</v>
      </c>
      <c r="M108" s="9">
        <v>28476.96</v>
      </c>
      <c r="N108" s="10">
        <f t="shared" si="98"/>
        <v>0</v>
      </c>
      <c r="O108" s="12">
        <v>0.17</v>
      </c>
      <c r="P108" s="9">
        <v>8475.81</v>
      </c>
      <c r="Q108" s="9">
        <v>3671.06</v>
      </c>
      <c r="R108" s="9">
        <v>-34132.25</v>
      </c>
      <c r="S108" s="9">
        <v>-21985.37</v>
      </c>
      <c r="T108" s="12" t="s">
        <v>46</v>
      </c>
      <c r="U108" s="12" t="s">
        <v>47</v>
      </c>
      <c r="V108" s="12">
        <v>18.87</v>
      </c>
      <c r="W108" s="12">
        <v>9.91</v>
      </c>
      <c r="X108" s="12">
        <v>9.77</v>
      </c>
      <c r="Y108" s="12">
        <v>4.29</v>
      </c>
      <c r="Z108" s="12">
        <f t="shared" si="3"/>
        <v>0</v>
      </c>
      <c r="AA108" s="12"/>
      <c r="AB108" s="12">
        <v>12.12</v>
      </c>
      <c r="AC108" s="12" t="s">
        <v>46</v>
      </c>
      <c r="AD108" s="12">
        <v>893.7</v>
      </c>
      <c r="AE108" s="12" t="s">
        <v>46</v>
      </c>
      <c r="AF108" s="12" t="s">
        <v>46</v>
      </c>
      <c r="AG108" s="12" t="s">
        <v>47</v>
      </c>
      <c r="AH108" s="12" t="s">
        <v>47</v>
      </c>
      <c r="AI108" s="12" t="s">
        <v>47</v>
      </c>
      <c r="AJ108" s="12" t="s">
        <v>46</v>
      </c>
      <c r="AK108" s="12" t="s">
        <v>47</v>
      </c>
      <c r="AL108" s="12" t="s">
        <v>46</v>
      </c>
      <c r="AM108" s="12" t="s">
        <v>47</v>
      </c>
      <c r="AN108" s="12" t="s">
        <v>46</v>
      </c>
      <c r="AO108" s="12" t="s">
        <v>46</v>
      </c>
      <c r="AP108" s="12" t="str">
        <f t="shared" si="4"/>
        <v>#VALUE!</v>
      </c>
      <c r="AQ108" s="35" t="e">
        <v>#VALUE!</v>
      </c>
      <c r="AR108" s="15" t="str">
        <f t="shared" si="5"/>
        <v>#VALUE!</v>
      </c>
      <c r="AU108" s="15" t="str">
        <f>2.551996+('2021'!C108*0.000000012919)+('2021'!E108*0.000003)-('2021'!H108*0.000002)
-('2021'!U108*0.123062)+('2021'!AC108*0.831)-('2021'!AD108*0.008464)-('2021'!AF108*0.15884)
-('2021'!AL108*0.025383)-('2021'!AM108*0.427021)-('2021'!AN108*0.009878)
</f>
        <v>#VALUE!</v>
      </c>
      <c r="AV108" s="15" t="e">
        <v>#VALUE!</v>
      </c>
      <c r="AW108" s="14" t="str">
        <f t="shared" si="7"/>
        <v>#VALUE!</v>
      </c>
      <c r="AX108" s="14"/>
    </row>
    <row r="109">
      <c r="A109" s="8" t="s">
        <v>160</v>
      </c>
      <c r="B109" s="34">
        <f t="shared" si="1"/>
        <v>0</v>
      </c>
      <c r="C109" s="9">
        <v>3028418.96</v>
      </c>
      <c r="D109" s="9">
        <v>1838354.36</v>
      </c>
      <c r="E109" s="9">
        <v>287039.97</v>
      </c>
      <c r="F109" s="9">
        <v>1190064.6</v>
      </c>
      <c r="G109" s="9">
        <v>3086795.36</v>
      </c>
      <c r="H109" s="9">
        <v>2835361.08</v>
      </c>
      <c r="I109" s="9">
        <v>500243.25</v>
      </c>
      <c r="J109" s="9">
        <v>251434.29</v>
      </c>
      <c r="K109" s="9">
        <v>169467.24</v>
      </c>
      <c r="L109" s="9">
        <v>115047.14</v>
      </c>
      <c r="M109" s="9">
        <v>63328.78</v>
      </c>
      <c r="N109" s="10">
        <f t="shared" si="98"/>
        <v>0</v>
      </c>
      <c r="O109" s="12">
        <v>0.29</v>
      </c>
      <c r="P109" s="9">
        <v>350330.6</v>
      </c>
      <c r="Q109" s="9">
        <v>-183372.48</v>
      </c>
      <c r="R109" s="9">
        <v>-142549.23</v>
      </c>
      <c r="S109" s="9">
        <v>24408.89</v>
      </c>
      <c r="T109" s="12">
        <v>14.78</v>
      </c>
      <c r="U109" s="12">
        <v>8.51</v>
      </c>
      <c r="V109" s="12">
        <v>18.48</v>
      </c>
      <c r="W109" s="12">
        <v>5.49</v>
      </c>
      <c r="X109" s="12">
        <v>4.08</v>
      </c>
      <c r="Y109" s="12">
        <v>2.01</v>
      </c>
      <c r="Z109" s="12">
        <f t="shared" si="3"/>
        <v>0</v>
      </c>
      <c r="AA109" s="12"/>
      <c r="AB109" s="12">
        <v>8.15</v>
      </c>
      <c r="AC109" s="12">
        <v>1.54</v>
      </c>
      <c r="AD109" s="12">
        <v>5.15</v>
      </c>
      <c r="AE109" s="12">
        <v>0.9</v>
      </c>
      <c r="AF109" s="12">
        <v>0.62</v>
      </c>
      <c r="AG109" s="12">
        <v>1.78</v>
      </c>
      <c r="AH109" s="12">
        <v>1.04</v>
      </c>
      <c r="AI109" s="12">
        <v>8.99</v>
      </c>
      <c r="AJ109" s="12">
        <v>40.6</v>
      </c>
      <c r="AK109" s="12">
        <v>4.47</v>
      </c>
      <c r="AL109" s="12">
        <v>81.73</v>
      </c>
      <c r="AM109" s="12">
        <v>5.32</v>
      </c>
      <c r="AN109" s="12">
        <v>68.57</v>
      </c>
      <c r="AO109" s="12">
        <v>53.76</v>
      </c>
      <c r="AP109" s="12">
        <f t="shared" si="4"/>
        <v>-0.06703</v>
      </c>
      <c r="AQ109" s="35">
        <v>0.4832487714986954</v>
      </c>
      <c r="AR109" s="15">
        <f t="shared" si="5"/>
        <v>0</v>
      </c>
      <c r="AS109" s="15">
        <f t="shared" ref="AS109:AS115" si="105">IF(AR109=N109,1,0)</f>
        <v>1</v>
      </c>
      <c r="AU109" s="15">
        <f>2.551996+('2021'!C109*0.000000012919)+('2021'!E109*0.000003)-('2021'!H109*0.000002)
-('2021'!U109*0.123062)+('2021'!AC109*0.831)-('2021'!AD109*0.008464)-('2021'!AF109*0.15884)
-('2021'!AL109*0.025383)-('2021'!AM109*0.427021)-('2021'!AN109*0.009878)
</f>
        <v>-7.151708895</v>
      </c>
      <c r="AV109" s="15">
        <v>7.829105468405035E-4</v>
      </c>
      <c r="AW109" s="14">
        <f t="shared" si="7"/>
        <v>0</v>
      </c>
      <c r="AX109" s="14" t="str">
        <f t="shared" ref="AX109:AX112" si="106">IF(AW109='temp result 2022'!B109,1,IF(Z109="-",1,0))</f>
        <v>#REF!</v>
      </c>
      <c r="AZ109" s="15" t="str">
        <f t="shared" ref="AZ109:AZ112" si="107">IF(and(AW109=0,AX109=1),1,0)</f>
        <v>#REF!</v>
      </c>
      <c r="BA109" s="15" t="str">
        <f t="shared" ref="BA109:BA112" si="108">IF(AND(AW109=0,AX109=0),1,0)</f>
        <v>#REF!</v>
      </c>
      <c r="BB109" s="15" t="str">
        <f t="shared" ref="BB109:BB112" si="109">IF(AND(AW109=1,AX109=0),1,0)</f>
        <v>#REF!</v>
      </c>
      <c r="BC109" s="15" t="str">
        <f t="shared" ref="BC109:BC112" si="110">IF(AND(AW109=1,AX109=1),1,0)</f>
        <v>#REF!</v>
      </c>
      <c r="BD109" s="15" t="str">
        <f t="shared" ref="BD109:BD112" si="111">IF(AZ109+BA109+BB109+BC109&gt;1,1,0)</f>
        <v>#REF!</v>
      </c>
    </row>
    <row r="110">
      <c r="A110" s="8" t="s">
        <v>161</v>
      </c>
      <c r="B110" s="34">
        <f t="shared" si="1"/>
        <v>0</v>
      </c>
      <c r="C110" s="9">
        <v>834001.36</v>
      </c>
      <c r="D110" s="9">
        <v>224129.25</v>
      </c>
      <c r="E110" s="9">
        <v>375000.0</v>
      </c>
      <c r="F110" s="9">
        <v>609872.11</v>
      </c>
      <c r="G110" s="9">
        <v>435867.29</v>
      </c>
      <c r="H110" s="9">
        <v>412132.86</v>
      </c>
      <c r="I110" s="9">
        <v>57228.6</v>
      </c>
      <c r="J110" s="9">
        <v>23949.84</v>
      </c>
      <c r="K110" s="9">
        <v>6704.42</v>
      </c>
      <c r="L110" s="9">
        <v>2440.66</v>
      </c>
      <c r="M110" s="9">
        <v>-996.59</v>
      </c>
      <c r="N110" s="10">
        <f t="shared" si="98"/>
        <v>0</v>
      </c>
      <c r="O110" s="12">
        <v>0.02</v>
      </c>
      <c r="P110" s="9">
        <v>128461.45</v>
      </c>
      <c r="Q110" s="9">
        <v>-23149.4</v>
      </c>
      <c r="R110" s="9">
        <v>41659.95</v>
      </c>
      <c r="S110" s="9">
        <v>146972.01</v>
      </c>
      <c r="T110" s="12">
        <v>1.31</v>
      </c>
      <c r="U110" s="12">
        <v>2.92</v>
      </c>
      <c r="V110" s="12">
        <v>29.38</v>
      </c>
      <c r="W110" s="12">
        <v>1.54</v>
      </c>
      <c r="X110" s="12">
        <v>0.4</v>
      </c>
      <c r="Y110" s="12">
        <v>-0.12</v>
      </c>
      <c r="Z110" s="12">
        <f t="shared" si="3"/>
        <v>0</v>
      </c>
      <c r="AA110" s="12"/>
      <c r="AB110" s="12">
        <v>5.49</v>
      </c>
      <c r="AC110" s="12">
        <v>0.37</v>
      </c>
      <c r="AD110" s="12">
        <v>2.55</v>
      </c>
      <c r="AE110" s="12">
        <v>4.0</v>
      </c>
      <c r="AF110" s="12">
        <v>2.4</v>
      </c>
      <c r="AG110" s="12">
        <v>2.6</v>
      </c>
      <c r="AH110" s="12">
        <v>0.53</v>
      </c>
      <c r="AI110" s="12">
        <v>6.45</v>
      </c>
      <c r="AJ110" s="12">
        <v>56.58</v>
      </c>
      <c r="AK110" s="12">
        <v>1.87</v>
      </c>
      <c r="AL110" s="12">
        <v>195.07</v>
      </c>
      <c r="AM110" s="12">
        <v>3.43</v>
      </c>
      <c r="AN110" s="12">
        <v>106.56</v>
      </c>
      <c r="AO110" s="12">
        <v>145.09</v>
      </c>
      <c r="AP110" s="12">
        <f t="shared" si="4"/>
        <v>6.03974</v>
      </c>
      <c r="AQ110" s="35">
        <v>0.997623483087342</v>
      </c>
      <c r="AR110" s="15">
        <f t="shared" si="5"/>
        <v>1</v>
      </c>
      <c r="AS110" s="15">
        <f t="shared" si="105"/>
        <v>0</v>
      </c>
      <c r="AU110" s="15">
        <f>2.551996+('2021'!C110*0.000000012919)+('2021'!E110*0.000003)-('2021'!H110*0.000002)
-('2021'!U110*0.123062)+('2021'!AC110*0.831)-('2021'!AD110*0.008464)-('2021'!AF110*0.15884)
-('2021'!AL110*0.025383)-('2021'!AM110*0.427021)-('2021'!AN110*0.009878)
</f>
        <v>-5.059909016</v>
      </c>
      <c r="AV110" s="15">
        <v>0.006306117396645626</v>
      </c>
      <c r="AW110" s="14">
        <f t="shared" si="7"/>
        <v>0</v>
      </c>
      <c r="AX110" s="14" t="str">
        <f t="shared" si="106"/>
        <v>#REF!</v>
      </c>
      <c r="AZ110" s="15" t="str">
        <f t="shared" si="107"/>
        <v>#REF!</v>
      </c>
      <c r="BA110" s="15" t="str">
        <f t="shared" si="108"/>
        <v>#REF!</v>
      </c>
      <c r="BB110" s="15" t="str">
        <f t="shared" si="109"/>
        <v>#REF!</v>
      </c>
      <c r="BC110" s="15" t="str">
        <f t="shared" si="110"/>
        <v>#REF!</v>
      </c>
      <c r="BD110" s="15" t="str">
        <f t="shared" si="111"/>
        <v>#REF!</v>
      </c>
    </row>
    <row r="111">
      <c r="A111" s="8" t="s">
        <v>162</v>
      </c>
      <c r="B111" s="34">
        <f t="shared" si="1"/>
        <v>0</v>
      </c>
      <c r="C111" s="9">
        <v>1866440.34</v>
      </c>
      <c r="D111" s="9">
        <v>923332.3</v>
      </c>
      <c r="E111" s="9">
        <v>211000.05</v>
      </c>
      <c r="F111" s="9">
        <v>943485.82</v>
      </c>
      <c r="G111" s="9">
        <v>2080453.48</v>
      </c>
      <c r="H111" s="9">
        <v>1918165.42</v>
      </c>
      <c r="I111" s="9">
        <v>201666.54</v>
      </c>
      <c r="J111" s="9">
        <v>139070.21</v>
      </c>
      <c r="K111" s="9">
        <v>86836.83</v>
      </c>
      <c r="L111" s="9">
        <v>-8371.8</v>
      </c>
      <c r="M111" s="9">
        <v>9911.42</v>
      </c>
      <c r="N111" s="10">
        <f t="shared" si="98"/>
        <v>0</v>
      </c>
      <c r="O111" s="12">
        <v>0.21</v>
      </c>
      <c r="P111" s="9">
        <v>-204863.35</v>
      </c>
      <c r="Q111" s="9">
        <v>-46393.28</v>
      </c>
      <c r="R111" s="9">
        <v>231119.32</v>
      </c>
      <c r="S111" s="9">
        <v>-20137.32</v>
      </c>
      <c r="T111" s="12">
        <v>9.7</v>
      </c>
      <c r="U111" s="12">
        <v>8.34</v>
      </c>
      <c r="V111" s="12">
        <v>14.59</v>
      </c>
      <c r="W111" s="12">
        <v>5.59</v>
      </c>
      <c r="X111" s="12">
        <v>-1.63</v>
      </c>
      <c r="Y111" s="12">
        <v>0.26</v>
      </c>
      <c r="Z111" s="12">
        <f t="shared" si="3"/>
        <v>0</v>
      </c>
      <c r="AA111" s="12"/>
      <c r="AB111" s="12">
        <v>6.68</v>
      </c>
      <c r="AC111" s="12">
        <v>0.98</v>
      </c>
      <c r="AD111" s="12">
        <v>11.02</v>
      </c>
      <c r="AE111" s="12">
        <v>1.27</v>
      </c>
      <c r="AF111" s="12">
        <v>0.51</v>
      </c>
      <c r="AG111" s="12">
        <v>4.54</v>
      </c>
      <c r="AH111" s="12">
        <v>1.25</v>
      </c>
      <c r="AI111" s="12">
        <v>3.74</v>
      </c>
      <c r="AJ111" s="12">
        <v>97.53</v>
      </c>
      <c r="AK111" s="12">
        <v>5.67</v>
      </c>
      <c r="AL111" s="12">
        <v>64.35</v>
      </c>
      <c r="AM111" s="12">
        <v>42.42</v>
      </c>
      <c r="AN111" s="12">
        <v>8.6</v>
      </c>
      <c r="AO111" s="12">
        <v>153.27</v>
      </c>
      <c r="AP111" s="12">
        <f t="shared" si="4"/>
        <v>-0.17875</v>
      </c>
      <c r="AQ111" s="35">
        <v>0.4554311073328839</v>
      </c>
      <c r="AR111" s="15">
        <f t="shared" si="5"/>
        <v>0</v>
      </c>
      <c r="AS111" s="15">
        <f t="shared" si="105"/>
        <v>1</v>
      </c>
      <c r="AU111" s="15">
        <f>2.551996+('2021'!C111*0.000000012919)+('2021'!E111*0.000003)-('2021'!H111*0.000002)
-('2021'!U111*0.123062)+('2021'!AC111*0.831)-('2021'!AD111*0.008464)-('2021'!AF111*0.15884)
-('2021'!AL111*0.025383)-('2021'!AM111*0.427021)-('2021'!AN111*0.009878)
</f>
        <v>-20.84603858</v>
      </c>
      <c r="AV111" s="15">
        <v>8.844646421087186E-10</v>
      </c>
      <c r="AW111" s="14">
        <f t="shared" si="7"/>
        <v>0</v>
      </c>
      <c r="AX111" s="14" t="str">
        <f t="shared" si="106"/>
        <v>#REF!</v>
      </c>
      <c r="AZ111" s="15" t="str">
        <f t="shared" si="107"/>
        <v>#REF!</v>
      </c>
      <c r="BA111" s="15" t="str">
        <f t="shared" si="108"/>
        <v>#REF!</v>
      </c>
      <c r="BB111" s="15" t="str">
        <f t="shared" si="109"/>
        <v>#REF!</v>
      </c>
      <c r="BC111" s="15" t="str">
        <f t="shared" si="110"/>
        <v>#REF!</v>
      </c>
      <c r="BD111" s="15" t="str">
        <f t="shared" si="111"/>
        <v>#REF!</v>
      </c>
    </row>
    <row r="112">
      <c r="A112" s="8" t="s">
        <v>163</v>
      </c>
      <c r="B112" s="34">
        <f t="shared" si="1"/>
        <v>0</v>
      </c>
      <c r="C112" s="9">
        <v>646773.73</v>
      </c>
      <c r="D112" s="9">
        <v>341769.54</v>
      </c>
      <c r="E112" s="9">
        <v>214963.79</v>
      </c>
      <c r="F112" s="9">
        <v>306742.78</v>
      </c>
      <c r="G112" s="9">
        <v>396561.7</v>
      </c>
      <c r="H112" s="9">
        <v>359988.18</v>
      </c>
      <c r="I112" s="9">
        <v>62363.57</v>
      </c>
      <c r="J112" s="9">
        <v>43076.08</v>
      </c>
      <c r="K112" s="9">
        <v>20870.19</v>
      </c>
      <c r="L112" s="9">
        <v>-26129.02</v>
      </c>
      <c r="M112" s="9">
        <v>7435.35</v>
      </c>
      <c r="N112" s="10">
        <f t="shared" si="98"/>
        <v>0</v>
      </c>
      <c r="O112" s="12">
        <v>0.02</v>
      </c>
      <c r="P112" s="9">
        <v>-14750.21</v>
      </c>
      <c r="Q112" s="9">
        <v>9053.65</v>
      </c>
      <c r="R112" s="9">
        <v>5140.06</v>
      </c>
      <c r="S112" s="12">
        <v>-556.5</v>
      </c>
      <c r="T112" s="12">
        <v>7.1</v>
      </c>
      <c r="U112" s="12">
        <v>6.97</v>
      </c>
      <c r="V112" s="12">
        <v>26.24</v>
      </c>
      <c r="W112" s="12">
        <v>5.05</v>
      </c>
      <c r="X112" s="12">
        <v>-7.06</v>
      </c>
      <c r="Y112" s="12">
        <v>0.78</v>
      </c>
      <c r="Z112" s="12">
        <f t="shared" si="3"/>
        <v>0</v>
      </c>
      <c r="AA112" s="12"/>
      <c r="AB112" s="12">
        <v>10.86</v>
      </c>
      <c r="AC112" s="12">
        <v>1.12</v>
      </c>
      <c r="AD112" s="12">
        <v>2.26</v>
      </c>
      <c r="AE112" s="12">
        <v>2.0</v>
      </c>
      <c r="AF112" s="12">
        <v>0.58</v>
      </c>
      <c r="AG112" s="12">
        <v>9.9</v>
      </c>
      <c r="AH112" s="12">
        <v>0.64</v>
      </c>
      <c r="AI112" s="12" t="s">
        <v>47</v>
      </c>
      <c r="AJ112" s="12" t="s">
        <v>46</v>
      </c>
      <c r="AK112" s="12">
        <v>3.75</v>
      </c>
      <c r="AL112" s="12">
        <v>97.37</v>
      </c>
      <c r="AM112" s="12">
        <v>6.88</v>
      </c>
      <c r="AN112" s="12">
        <v>53.03</v>
      </c>
      <c r="AO112" s="12">
        <v>44.34</v>
      </c>
      <c r="AP112" s="12">
        <f t="shared" si="4"/>
        <v>0.90857</v>
      </c>
      <c r="AQ112" s="35">
        <v>0.712707451414293</v>
      </c>
      <c r="AR112" s="15">
        <f t="shared" si="5"/>
        <v>1</v>
      </c>
      <c r="AS112" s="15">
        <f t="shared" si="105"/>
        <v>0</v>
      </c>
      <c r="AU112" s="15">
        <f>2.551996+('2021'!C112*0.000000012919)+('2021'!E112*0.000003)-('2021'!H112*0.000002)
-('2021'!U112*0.123062)+('2021'!AC112*0.831)-('2021'!AD112*0.008464)-('2021'!AF112*0.15884)
-('2021'!AL112*0.025383)-('2021'!AM112*0.427021)-('2021'!AN112*0.009878)
</f>
        <v>-3.48628883</v>
      </c>
      <c r="AV112" s="15">
        <v>0.0297048828934484</v>
      </c>
      <c r="AW112" s="14">
        <f t="shared" si="7"/>
        <v>0</v>
      </c>
      <c r="AX112" s="14" t="str">
        <f t="shared" si="106"/>
        <v>#REF!</v>
      </c>
      <c r="AZ112" s="15" t="str">
        <f t="shared" si="107"/>
        <v>#REF!</v>
      </c>
      <c r="BA112" s="15" t="str">
        <f t="shared" si="108"/>
        <v>#REF!</v>
      </c>
      <c r="BB112" s="15" t="str">
        <f t="shared" si="109"/>
        <v>#REF!</v>
      </c>
      <c r="BC112" s="15" t="str">
        <f t="shared" si="110"/>
        <v>#REF!</v>
      </c>
      <c r="BD112" s="15" t="str">
        <f t="shared" si="111"/>
        <v>#REF!</v>
      </c>
    </row>
    <row r="113">
      <c r="A113" s="8" t="s">
        <v>164</v>
      </c>
      <c r="B113" s="34" t="str">
        <f t="shared" si="1"/>
        <v/>
      </c>
      <c r="C113" s="9">
        <v>1115536.75</v>
      </c>
      <c r="D113" s="9">
        <v>639875.23</v>
      </c>
      <c r="E113" s="9">
        <v>170000.0</v>
      </c>
      <c r="F113" s="9">
        <v>452872.28</v>
      </c>
      <c r="G113" s="9">
        <v>747750.72</v>
      </c>
      <c r="H113" s="9">
        <v>729237.2</v>
      </c>
      <c r="I113" s="9">
        <v>106742.02</v>
      </c>
      <c r="J113" s="9">
        <v>18513.53</v>
      </c>
      <c r="K113" s="9">
        <v>-12794.07</v>
      </c>
      <c r="L113" s="9">
        <v>5855.16</v>
      </c>
      <c r="M113" s="9" t="e">
        <v>#N/A</v>
      </c>
      <c r="N113" s="10"/>
      <c r="O113" s="12">
        <v>-0.03</v>
      </c>
      <c r="P113" s="9">
        <v>58581.99</v>
      </c>
      <c r="Q113" s="9">
        <v>-96575.53</v>
      </c>
      <c r="R113" s="9">
        <v>9902.29</v>
      </c>
      <c r="S113" s="9">
        <v>-28091.25</v>
      </c>
      <c r="T113" s="12">
        <v>-2.77</v>
      </c>
      <c r="U113" s="12">
        <v>1.67</v>
      </c>
      <c r="V113" s="12">
        <v>41.03</v>
      </c>
      <c r="W113" s="12">
        <v>-0.83</v>
      </c>
      <c r="X113" s="12">
        <v>1.67</v>
      </c>
      <c r="Y113" s="12" t="e">
        <v>#N/A</v>
      </c>
      <c r="Z113" s="12" t="str">
        <f t="shared" si="3"/>
        <v>#N/A</v>
      </c>
      <c r="AA113" s="12"/>
      <c r="AB113" s="12">
        <v>2.48</v>
      </c>
      <c r="AC113" s="12">
        <v>1.35</v>
      </c>
      <c r="AD113" s="12">
        <v>1.04</v>
      </c>
      <c r="AE113" s="12">
        <v>1.1</v>
      </c>
      <c r="AF113" s="12">
        <v>0.66</v>
      </c>
      <c r="AG113" s="12">
        <v>1.69</v>
      </c>
      <c r="AH113" s="12">
        <v>0.67</v>
      </c>
      <c r="AI113" s="12">
        <v>2.33</v>
      </c>
      <c r="AJ113" s="12">
        <v>156.52</v>
      </c>
      <c r="AK113" s="12">
        <v>4.39</v>
      </c>
      <c r="AL113" s="12">
        <v>83.12</v>
      </c>
      <c r="AM113" s="12">
        <v>4.15</v>
      </c>
      <c r="AN113" s="12">
        <v>87.93</v>
      </c>
      <c r="AO113" s="12">
        <v>151.72</v>
      </c>
      <c r="AP113" s="12">
        <f t="shared" si="4"/>
        <v>0.91243</v>
      </c>
      <c r="AQ113" s="35">
        <v>0.7134971584290558</v>
      </c>
      <c r="AR113" s="15">
        <f t="shared" si="5"/>
        <v>1</v>
      </c>
      <c r="AS113" s="15">
        <f t="shared" si="105"/>
        <v>0</v>
      </c>
      <c r="AU113" s="15">
        <f>2.551996+('2021'!C113*0.000000012919)+('2021'!E113*0.000003)-('2021'!H113*0.000002)
-('2021'!U113*0.123062)+('2021'!AC113*0.831)-('2021'!AD113*0.008464)-('2021'!AF113*0.15884)
-('2021'!AL113*0.025383)-('2021'!AM113*0.427021)-('2021'!AN113*0.009878)
</f>
        <v>-2.329911931</v>
      </c>
      <c r="AV113" s="15">
        <v>0.08867578008503577</v>
      </c>
      <c r="AW113" s="14">
        <f t="shared" si="7"/>
        <v>0</v>
      </c>
      <c r="AX113" s="14"/>
    </row>
    <row r="114">
      <c r="A114" s="8" t="s">
        <v>166</v>
      </c>
      <c r="B114" s="34" t="str">
        <f t="shared" si="1"/>
        <v/>
      </c>
      <c r="C114" s="9">
        <v>1078605.35</v>
      </c>
      <c r="D114" s="9">
        <v>658825.53</v>
      </c>
      <c r="E114" s="9">
        <v>158000.0</v>
      </c>
      <c r="F114" s="9">
        <v>419765.35</v>
      </c>
      <c r="G114" s="9">
        <v>1061563.53</v>
      </c>
      <c r="H114" s="9">
        <v>1014617.88</v>
      </c>
      <c r="I114" s="9">
        <v>80213.97</v>
      </c>
      <c r="J114" s="9">
        <v>46945.65</v>
      </c>
      <c r="K114" s="9">
        <v>29158.01</v>
      </c>
      <c r="L114" s="9" t="e">
        <v>#N/A</v>
      </c>
      <c r="M114" s="9" t="e">
        <v>#N/A</v>
      </c>
      <c r="N114" s="10"/>
      <c r="O114" s="12">
        <v>0.1</v>
      </c>
      <c r="P114" s="9">
        <v>26626.44</v>
      </c>
      <c r="Q114" s="9">
        <v>-181588.09</v>
      </c>
      <c r="R114" s="9">
        <v>205469.76</v>
      </c>
      <c r="S114" s="9">
        <v>50508.11</v>
      </c>
      <c r="T114" s="12">
        <v>10.23</v>
      </c>
      <c r="U114" s="12">
        <v>5.38</v>
      </c>
      <c r="V114" s="12">
        <v>13.8</v>
      </c>
      <c r="W114" s="12">
        <v>2.75</v>
      </c>
      <c r="X114" s="12" t="e">
        <v>#N/A</v>
      </c>
      <c r="Y114" s="12" t="e">
        <v>#N/A</v>
      </c>
      <c r="Z114" s="12" t="str">
        <f t="shared" si="3"/>
        <v>#N/A</v>
      </c>
      <c r="AA114" s="12"/>
      <c r="AB114" s="12">
        <v>4.42</v>
      </c>
      <c r="AC114" s="12">
        <v>1.57</v>
      </c>
      <c r="AD114" s="12">
        <v>4.81</v>
      </c>
      <c r="AE114" s="12">
        <v>1.42</v>
      </c>
      <c r="AF114" s="12">
        <v>1.21</v>
      </c>
      <c r="AG114" s="12">
        <v>7.2</v>
      </c>
      <c r="AH114" s="12">
        <v>1.22</v>
      </c>
      <c r="AI114" s="12">
        <v>14.7</v>
      </c>
      <c r="AJ114" s="12">
        <v>24.83</v>
      </c>
      <c r="AK114" s="12">
        <v>2.93</v>
      </c>
      <c r="AL114" s="12">
        <v>124.59</v>
      </c>
      <c r="AM114" s="12">
        <v>2.54</v>
      </c>
      <c r="AN114" s="12">
        <v>143.54</v>
      </c>
      <c r="AO114" s="12">
        <v>5.88</v>
      </c>
      <c r="AP114" s="12">
        <f t="shared" si="4"/>
        <v>2.01962</v>
      </c>
      <c r="AQ114" s="35">
        <v>0.8828417105964779</v>
      </c>
      <c r="AR114" s="15">
        <f t="shared" si="5"/>
        <v>1</v>
      </c>
      <c r="AS114" s="15">
        <f t="shared" si="105"/>
        <v>0</v>
      </c>
      <c r="AU114" s="15">
        <f>2.551996+('2021'!C114*0.000000012919)+('2021'!E114*0.000003)-('2021'!H114*0.000002)
-('2021'!U114*0.123062)+('2021'!AC114*0.831)-('2021'!AD114*0.008464)-('2021'!AF114*0.15884)
-('2021'!AL114*0.025383)-('2021'!AM114*0.427021)-('2021'!AN114*0.009878)
</f>
        <v>-4.244606487</v>
      </c>
      <c r="AV114" s="15">
        <v>0.014138608971253075</v>
      </c>
      <c r="AW114" s="14">
        <f t="shared" si="7"/>
        <v>0</v>
      </c>
      <c r="AX114" s="14"/>
    </row>
    <row r="115">
      <c r="A115" s="8" t="s">
        <v>167</v>
      </c>
      <c r="B115" s="34" t="str">
        <f t="shared" si="1"/>
        <v/>
      </c>
      <c r="C115" s="9">
        <v>987100.05</v>
      </c>
      <c r="D115" s="9">
        <v>452477.59</v>
      </c>
      <c r="E115" s="9">
        <v>270000.0</v>
      </c>
      <c r="F115" s="9">
        <v>527410.02</v>
      </c>
      <c r="G115" s="9">
        <v>1036850.36</v>
      </c>
      <c r="H115" s="9">
        <v>990012.22</v>
      </c>
      <c r="I115" s="9">
        <v>55413.26</v>
      </c>
      <c r="J115" s="9">
        <v>46838.14</v>
      </c>
      <c r="K115" s="9">
        <v>36675.31</v>
      </c>
      <c r="L115" s="9" t="e">
        <v>#N/A</v>
      </c>
      <c r="M115" s="9" t="e">
        <v>#N/A</v>
      </c>
      <c r="N115" s="10"/>
      <c r="O115" s="12">
        <v>0.07</v>
      </c>
      <c r="P115" s="9">
        <v>-109694.31</v>
      </c>
      <c r="Q115" s="9">
        <v>27159.72</v>
      </c>
      <c r="R115" s="9">
        <v>185520.15</v>
      </c>
      <c r="S115" s="9">
        <v>102985.55</v>
      </c>
      <c r="T115" s="12">
        <v>8.94</v>
      </c>
      <c r="U115" s="12">
        <v>5.71</v>
      </c>
      <c r="V115" s="12">
        <v>12.28</v>
      </c>
      <c r="W115" s="12">
        <v>3.58</v>
      </c>
      <c r="X115" s="12" t="e">
        <v>#N/A</v>
      </c>
      <c r="Y115" s="12" t="e">
        <v>#N/A</v>
      </c>
      <c r="Z115" s="12" t="str">
        <f t="shared" si="3"/>
        <v>#N/A</v>
      </c>
      <c r="AA115" s="12"/>
      <c r="AB115" s="12">
        <v>4.52</v>
      </c>
      <c r="AC115" s="12">
        <v>0.85</v>
      </c>
      <c r="AD115" s="12">
        <v>42.14</v>
      </c>
      <c r="AE115" s="12">
        <v>1.9</v>
      </c>
      <c r="AF115" s="12">
        <v>1.13</v>
      </c>
      <c r="AG115" s="12">
        <v>11.08</v>
      </c>
      <c r="AH115" s="12">
        <v>1.26</v>
      </c>
      <c r="AI115" s="12">
        <v>22.44</v>
      </c>
      <c r="AJ115" s="12">
        <v>16.26</v>
      </c>
      <c r="AK115" s="12">
        <v>4.16</v>
      </c>
      <c r="AL115" s="12">
        <v>87.75</v>
      </c>
      <c r="AM115" s="12">
        <v>2.69</v>
      </c>
      <c r="AN115" s="12">
        <v>135.61</v>
      </c>
      <c r="AO115" s="12">
        <v>-31.59</v>
      </c>
      <c r="AP115" s="12">
        <f t="shared" si="4"/>
        <v>1.956</v>
      </c>
      <c r="AQ115" s="35">
        <v>0.8760994082952923</v>
      </c>
      <c r="AR115" s="15">
        <f t="shared" si="5"/>
        <v>1</v>
      </c>
      <c r="AS115" s="15">
        <f t="shared" si="105"/>
        <v>0</v>
      </c>
      <c r="AU115" s="15">
        <f>2.551996+('2021'!C115*0.000000012919)+('2021'!E115*0.000003)-('2021'!H115*0.000002)
-('2021'!U115*0.123062)+('2021'!AC115*0.831)-('2021'!AD115*0.008464)-('2021'!AF115*0.15884)
-('2021'!AL115*0.025383)-('2021'!AM115*0.427021)-('2021'!AN115*0.009878)
</f>
        <v>-3.853372594</v>
      </c>
      <c r="AV115" s="15">
        <v>0.020767647283111375</v>
      </c>
      <c r="AW115" s="14">
        <f t="shared" si="7"/>
        <v>0</v>
      </c>
      <c r="AX115" s="14"/>
    </row>
    <row r="116">
      <c r="A116" s="8" t="s">
        <v>168</v>
      </c>
      <c r="B116" s="34">
        <f t="shared" si="1"/>
        <v>1</v>
      </c>
      <c r="C116" s="9">
        <v>3988156.81</v>
      </c>
      <c r="D116" s="9">
        <v>3392242.86</v>
      </c>
      <c r="E116" s="9">
        <v>641469.42</v>
      </c>
      <c r="F116" s="9">
        <v>595913.94</v>
      </c>
      <c r="G116" s="9">
        <v>3617.86</v>
      </c>
      <c r="H116" s="9">
        <v>101973.39</v>
      </c>
      <c r="I116" s="9">
        <v>-82655.5</v>
      </c>
      <c r="J116" s="9">
        <v>-98355.54</v>
      </c>
      <c r="K116" s="9">
        <v>-97237.21</v>
      </c>
      <c r="L116" s="9">
        <v>-44817.68</v>
      </c>
      <c r="M116" s="9">
        <v>-40086.51</v>
      </c>
      <c r="N116" s="10">
        <f t="shared" ref="N116:N124" si="112">IF(AND(K116&lt;0,L116&lt;0,M116&lt;0),1,0)</f>
        <v>1</v>
      </c>
      <c r="O116" s="12">
        <v>-0.15</v>
      </c>
      <c r="P116" s="9">
        <v>-974810.73</v>
      </c>
      <c r="Q116" s="12">
        <v>-774.46</v>
      </c>
      <c r="R116" s="9">
        <v>1102680.91</v>
      </c>
      <c r="S116" s="9">
        <v>127095.72</v>
      </c>
      <c r="T116" s="12">
        <v>-15.08</v>
      </c>
      <c r="U116" s="12">
        <v>-3.28</v>
      </c>
      <c r="V116" s="12" t="s">
        <v>47</v>
      </c>
      <c r="W116" s="9">
        <v>-2687.7</v>
      </c>
      <c r="X116" s="12">
        <v>-22.61</v>
      </c>
      <c r="Y116" s="12">
        <v>-34.96</v>
      </c>
      <c r="Z116" s="12">
        <f t="shared" si="3"/>
        <v>1</v>
      </c>
      <c r="AA116" s="12"/>
      <c r="AB116" s="9">
        <v>-2718.61</v>
      </c>
      <c r="AC116" s="12">
        <v>5.69</v>
      </c>
      <c r="AD116" s="12">
        <v>-5.73</v>
      </c>
      <c r="AE116" s="12">
        <v>1.86</v>
      </c>
      <c r="AF116" s="12">
        <v>0.14</v>
      </c>
      <c r="AG116" s="12">
        <v>0.24</v>
      </c>
      <c r="AH116" s="12">
        <v>0.0</v>
      </c>
      <c r="AI116" s="12" t="s">
        <v>46</v>
      </c>
      <c r="AJ116" s="12" t="s">
        <v>47</v>
      </c>
      <c r="AK116" s="12" t="s">
        <v>46</v>
      </c>
      <c r="AL116" s="12" t="s">
        <v>47</v>
      </c>
      <c r="AM116" s="12" t="s">
        <v>46</v>
      </c>
      <c r="AN116" s="12" t="s">
        <v>47</v>
      </c>
      <c r="AO116" s="12" t="s">
        <v>46</v>
      </c>
      <c r="AP116" s="12" t="str">
        <f t="shared" si="4"/>
        <v>#VALUE!</v>
      </c>
      <c r="AQ116" s="35" t="e">
        <v>#VALUE!</v>
      </c>
      <c r="AR116" s="15" t="str">
        <f t="shared" si="5"/>
        <v>#VALUE!</v>
      </c>
      <c r="AU116" s="15" t="str">
        <f>2.551996+('2021'!C116*0.000000012919)+('2021'!E116*0.000003)-('2021'!H116*0.000002)
-('2021'!U116*0.123062)+('2021'!AC116*0.831)-('2021'!AD116*0.008464)-('2021'!AF116*0.15884)
-('2021'!AL116*0.025383)-('2021'!AM116*0.427021)-('2021'!AN116*0.009878)
</f>
        <v>#VALUE!</v>
      </c>
      <c r="AV116" s="15" t="e">
        <v>#VALUE!</v>
      </c>
      <c r="AW116" s="14" t="str">
        <f t="shared" si="7"/>
        <v>#VALUE!</v>
      </c>
      <c r="AX116" s="14"/>
    </row>
    <row r="117">
      <c r="A117" s="8" t="s">
        <v>307</v>
      </c>
      <c r="B117" s="34">
        <f t="shared" si="1"/>
        <v>1</v>
      </c>
      <c r="C117" s="9">
        <v>1291547.34</v>
      </c>
      <c r="D117" s="9">
        <v>91205.89</v>
      </c>
      <c r="E117" s="9">
        <v>6.499243816E7</v>
      </c>
      <c r="F117" s="9">
        <v>1200341.45</v>
      </c>
      <c r="G117" s="9">
        <v>44582.11</v>
      </c>
      <c r="H117" s="9">
        <v>104651.27</v>
      </c>
      <c r="I117" s="9">
        <v>-56610.88</v>
      </c>
      <c r="J117" s="9">
        <v>-60069.16</v>
      </c>
      <c r="K117" s="9">
        <v>-63129.01</v>
      </c>
      <c r="L117" s="9">
        <v>-22670.89</v>
      </c>
      <c r="M117" s="9">
        <v>-91007.49</v>
      </c>
      <c r="N117" s="10">
        <f t="shared" si="112"/>
        <v>1</v>
      </c>
      <c r="O117" s="12" t="s">
        <v>46</v>
      </c>
      <c r="P117" s="9">
        <v>-48439.06</v>
      </c>
      <c r="Q117" s="9">
        <v>11501.31</v>
      </c>
      <c r="R117" s="9">
        <v>1078959.18</v>
      </c>
      <c r="S117" s="9">
        <v>1042021.44</v>
      </c>
      <c r="T117" s="12">
        <v>-9.26</v>
      </c>
      <c r="U117" s="12">
        <v>-7.61</v>
      </c>
      <c r="V117" s="12">
        <v>-8.32</v>
      </c>
      <c r="W117" s="12">
        <v>-141.6</v>
      </c>
      <c r="X117" s="12">
        <v>-19.95</v>
      </c>
      <c r="Y117" s="12">
        <v>-23.22</v>
      </c>
      <c r="Z117" s="12">
        <f t="shared" si="3"/>
        <v>1</v>
      </c>
      <c r="AA117" s="12"/>
      <c r="AB117" s="12">
        <v>-134.74</v>
      </c>
      <c r="AC117" s="12">
        <v>0.08</v>
      </c>
      <c r="AD117" s="12">
        <v>-34.64</v>
      </c>
      <c r="AE117" s="12">
        <v>16.98</v>
      </c>
      <c r="AF117" s="12">
        <v>16.78</v>
      </c>
      <c r="AG117" s="12">
        <v>2.14</v>
      </c>
      <c r="AH117" s="12">
        <v>0.06</v>
      </c>
      <c r="AI117" s="12" t="s">
        <v>47</v>
      </c>
      <c r="AJ117" s="12" t="s">
        <v>46</v>
      </c>
      <c r="AK117" s="12">
        <v>1.97</v>
      </c>
      <c r="AL117" s="12">
        <v>185.02</v>
      </c>
      <c r="AM117" s="12">
        <v>0.56</v>
      </c>
      <c r="AN117" s="12">
        <v>657.64</v>
      </c>
      <c r="AO117" s="12">
        <v>-472.62</v>
      </c>
      <c r="AP117" s="12">
        <f t="shared" si="4"/>
        <v>68.21118</v>
      </c>
      <c r="AQ117" s="35">
        <v>1.0</v>
      </c>
      <c r="AR117" s="15">
        <f t="shared" si="5"/>
        <v>1</v>
      </c>
      <c r="AS117" s="15">
        <f t="shared" ref="AS117:AS130" si="113">IF(AR117=N117,1,0)</f>
        <v>1</v>
      </c>
      <c r="AU117" s="15">
        <f>2.551996+('2021'!C117*0.000000012919)+('2021'!E117*0.000003)-('2021'!H117*0.000002)
-('2021'!U117*0.123062)+('2021'!AC117*0.831)-('2021'!AD117*0.008464)-('2021'!AF117*0.15884)
-('2021'!AL117*0.025383)-('2021'!AM117*0.427021)-('2021'!AN117*0.009878)
</f>
        <v>184.5358707</v>
      </c>
      <c r="AV117" s="15">
        <v>1.0</v>
      </c>
      <c r="AW117" s="14">
        <f t="shared" si="7"/>
        <v>1</v>
      </c>
      <c r="AX117" s="14" t="str">
        <f t="shared" ref="AX117:AX124" si="114">IF(AW117='temp result 2022'!B117,1,IF(Z117="-",1,0))</f>
        <v>#REF!</v>
      </c>
    </row>
    <row r="118">
      <c r="A118" s="8" t="s">
        <v>170</v>
      </c>
      <c r="B118" s="34">
        <f t="shared" si="1"/>
        <v>0</v>
      </c>
      <c r="C118" s="9">
        <v>7666344.02</v>
      </c>
      <c r="D118" s="9">
        <v>2566495.22</v>
      </c>
      <c r="E118" s="9">
        <v>1185974.79</v>
      </c>
      <c r="F118" s="9">
        <v>5093280.09</v>
      </c>
      <c r="G118" s="9">
        <v>2318972.18</v>
      </c>
      <c r="H118" s="9">
        <v>2385741.27</v>
      </c>
      <c r="I118" s="9">
        <v>40198.57</v>
      </c>
      <c r="J118" s="9">
        <v>-45469.68</v>
      </c>
      <c r="K118" s="9">
        <v>-671522.05</v>
      </c>
      <c r="L118" s="9">
        <v>-1005356.44</v>
      </c>
      <c r="M118" s="9">
        <v>3128780.2</v>
      </c>
      <c r="N118" s="10">
        <f t="shared" si="112"/>
        <v>0</v>
      </c>
      <c r="O118" s="12">
        <v>-0.28</v>
      </c>
      <c r="P118" s="9">
        <v>201656.78</v>
      </c>
      <c r="Q118" s="9">
        <v>-445929.36</v>
      </c>
      <c r="R118" s="9">
        <v>186948.94</v>
      </c>
      <c r="S118" s="9">
        <v>-57323.65</v>
      </c>
      <c r="T118" s="12">
        <v>-12.38</v>
      </c>
      <c r="U118" s="12">
        <v>-0.57</v>
      </c>
      <c r="V118" s="12">
        <v>10.24</v>
      </c>
      <c r="W118" s="12">
        <v>-28.94</v>
      </c>
      <c r="X118" s="12">
        <v>-38.04</v>
      </c>
      <c r="Y118" s="12">
        <v>60.43</v>
      </c>
      <c r="Z118" s="12">
        <f t="shared" si="3"/>
        <v>0</v>
      </c>
      <c r="AA118" s="12"/>
      <c r="AB118" s="12">
        <v>-1.96</v>
      </c>
      <c r="AC118" s="12">
        <v>0.5</v>
      </c>
      <c r="AD118" s="12">
        <v>-0.73</v>
      </c>
      <c r="AE118" s="12">
        <v>0.82</v>
      </c>
      <c r="AF118" s="12">
        <v>0.22</v>
      </c>
      <c r="AG118" s="12">
        <v>1.16</v>
      </c>
      <c r="AH118" s="12">
        <v>0.29</v>
      </c>
      <c r="AI118" s="12">
        <v>21.83</v>
      </c>
      <c r="AJ118" s="12">
        <v>16.72</v>
      </c>
      <c r="AK118" s="12">
        <v>4.26</v>
      </c>
      <c r="AL118" s="12">
        <v>85.74</v>
      </c>
      <c r="AM118" s="12">
        <v>3.62</v>
      </c>
      <c r="AN118" s="12">
        <v>100.86</v>
      </c>
      <c r="AO118" s="12">
        <v>1.61</v>
      </c>
      <c r="AP118" s="12">
        <f t="shared" si="4"/>
        <v>12.8607</v>
      </c>
      <c r="AQ118" s="35">
        <v>0.9999974018284185</v>
      </c>
      <c r="AR118" s="15">
        <f t="shared" si="5"/>
        <v>1</v>
      </c>
      <c r="AS118" s="15">
        <f t="shared" si="113"/>
        <v>0</v>
      </c>
      <c r="AU118" s="15">
        <f>2.551996+('2021'!C118*0.000000012919)+('2021'!E118*0.000003)-('2021'!H118*0.000002)
-('2021'!U118*0.123062)+('2021'!AC118*0.831)-('2021'!AD118*0.008464)-('2021'!AF118*0.15884)
-('2021'!AL118*0.025383)-('2021'!AM118*0.427021)-('2021'!AN118*0.009878)
</f>
        <v>-2.824090932</v>
      </c>
      <c r="AV118" s="15">
        <v>0.05603614582830809</v>
      </c>
      <c r="AW118" s="14">
        <f t="shared" si="7"/>
        <v>0</v>
      </c>
      <c r="AX118" s="14" t="str">
        <f t="shared" si="114"/>
        <v>#REF!</v>
      </c>
      <c r="AZ118" s="15" t="str">
        <f t="shared" ref="AZ118:AZ124" si="115">IF(and(AW118=0,AX118=1),1,0)</f>
        <v>#REF!</v>
      </c>
      <c r="BA118" s="15" t="str">
        <f t="shared" ref="BA118:BA124" si="116">IF(AND(AW118=0,AX118=0),1,0)</f>
        <v>#REF!</v>
      </c>
      <c r="BB118" s="15" t="str">
        <f t="shared" ref="BB118:BB124" si="117">IF(AND(AW118=1,AX118=0),1,0)</f>
        <v>#REF!</v>
      </c>
      <c r="BC118" s="15" t="str">
        <f t="shared" ref="BC118:BC124" si="118">IF(AND(AW118=1,AX118=1),1,0)</f>
        <v>#REF!</v>
      </c>
      <c r="BD118" s="15" t="str">
        <f t="shared" ref="BD118:BD124" si="119">IF(AZ118+BA118+BB118+BC118&gt;1,1,0)</f>
        <v>#REF!</v>
      </c>
    </row>
    <row r="119">
      <c r="A119" s="8" t="s">
        <v>172</v>
      </c>
      <c r="B119" s="34">
        <f t="shared" si="1"/>
        <v>0</v>
      </c>
      <c r="C119" s="9">
        <v>506884.27</v>
      </c>
      <c r="D119" s="9">
        <v>69734.52</v>
      </c>
      <c r="E119" s="9">
        <v>98568.49</v>
      </c>
      <c r="F119" s="9">
        <v>433358.84</v>
      </c>
      <c r="G119" s="9">
        <v>392113.79</v>
      </c>
      <c r="H119" s="9">
        <v>384991.05</v>
      </c>
      <c r="I119" s="9">
        <v>33693.73</v>
      </c>
      <c r="J119" s="9">
        <v>7122.74</v>
      </c>
      <c r="K119" s="9">
        <v>6605.56</v>
      </c>
      <c r="L119" s="9">
        <v>31832.54</v>
      </c>
      <c r="M119" s="9">
        <v>50938.46</v>
      </c>
      <c r="N119" s="10">
        <f t="shared" si="112"/>
        <v>0</v>
      </c>
      <c r="O119" s="12">
        <v>0.07</v>
      </c>
      <c r="P119" s="9">
        <v>55855.75</v>
      </c>
      <c r="Q119" s="9">
        <v>-18147.62</v>
      </c>
      <c r="R119" s="9">
        <v>-24084.87</v>
      </c>
      <c r="S119" s="9">
        <v>13623.26</v>
      </c>
      <c r="T119" s="12">
        <v>1.5</v>
      </c>
      <c r="U119" s="12">
        <v>1.39</v>
      </c>
      <c r="V119" s="12">
        <v>21.48</v>
      </c>
      <c r="W119" s="12">
        <v>1.67</v>
      </c>
      <c r="X119" s="12">
        <v>7.45</v>
      </c>
      <c r="Y119" s="12">
        <v>10.58</v>
      </c>
      <c r="Z119" s="12">
        <f t="shared" si="3"/>
        <v>0</v>
      </c>
      <c r="AA119" s="12"/>
      <c r="AB119" s="12">
        <v>1.82</v>
      </c>
      <c r="AC119" s="12">
        <v>0.16</v>
      </c>
      <c r="AD119" s="12">
        <v>10.22</v>
      </c>
      <c r="AE119" s="12">
        <v>7.57</v>
      </c>
      <c r="AF119" s="12">
        <v>5.69</v>
      </c>
      <c r="AG119" s="12">
        <v>2.24</v>
      </c>
      <c r="AH119" s="12">
        <v>0.77</v>
      </c>
      <c r="AI119" s="12">
        <v>31.59</v>
      </c>
      <c r="AJ119" s="12">
        <v>11.55</v>
      </c>
      <c r="AK119" s="12">
        <v>4.37</v>
      </c>
      <c r="AL119" s="12">
        <v>83.43</v>
      </c>
      <c r="AM119" s="12">
        <v>8.47</v>
      </c>
      <c r="AN119" s="12">
        <v>43.11</v>
      </c>
      <c r="AO119" s="12">
        <v>51.87</v>
      </c>
      <c r="AP119" s="12">
        <f t="shared" si="4"/>
        <v>3.11055</v>
      </c>
      <c r="AQ119" s="35">
        <v>0.9573258306307514</v>
      </c>
      <c r="AR119" s="15">
        <f t="shared" si="5"/>
        <v>1</v>
      </c>
      <c r="AS119" s="15">
        <f t="shared" si="113"/>
        <v>0</v>
      </c>
      <c r="AU119" s="15">
        <f>2.551996+('2021'!C119*0.000000012919)+('2021'!E119*0.000003)-('2021'!H119*0.000002)
-('2021'!U119*0.123062)+('2021'!AC119*0.831)-('2021'!AD119*0.008464)-('2021'!AF119*0.15884)
-('2021'!AL119*0.025383)-('2021'!AM119*0.427021)-('2021'!AN119*0.009878)
</f>
        <v>-5.104542192</v>
      </c>
      <c r="AV119" s="15">
        <v>0.006032504792764085</v>
      </c>
      <c r="AW119" s="14">
        <f t="shared" si="7"/>
        <v>0</v>
      </c>
      <c r="AX119" s="14" t="str">
        <f t="shared" si="114"/>
        <v>#REF!</v>
      </c>
      <c r="AZ119" s="15" t="str">
        <f t="shared" si="115"/>
        <v>#REF!</v>
      </c>
      <c r="BA119" s="15" t="str">
        <f t="shared" si="116"/>
        <v>#REF!</v>
      </c>
      <c r="BB119" s="15" t="str">
        <f t="shared" si="117"/>
        <v>#REF!</v>
      </c>
      <c r="BC119" s="15" t="str">
        <f t="shared" si="118"/>
        <v>#REF!</v>
      </c>
      <c r="BD119" s="15" t="str">
        <f t="shared" si="119"/>
        <v>#REF!</v>
      </c>
    </row>
    <row r="120">
      <c r="A120" s="8" t="s">
        <v>173</v>
      </c>
      <c r="B120" s="34">
        <f t="shared" si="1"/>
        <v>0</v>
      </c>
      <c r="C120" s="9">
        <v>1193303.77</v>
      </c>
      <c r="D120" s="9">
        <v>485170.25</v>
      </c>
      <c r="E120" s="9">
        <v>200811.61</v>
      </c>
      <c r="F120" s="9">
        <v>708133.52</v>
      </c>
      <c r="G120" s="9">
        <v>372809.01</v>
      </c>
      <c r="H120" s="9">
        <v>498100.86</v>
      </c>
      <c r="I120" s="12">
        <v>-286.63</v>
      </c>
      <c r="J120" s="9">
        <v>-125291.85</v>
      </c>
      <c r="K120" s="9">
        <v>-110105.74</v>
      </c>
      <c r="L120" s="9">
        <v>-78382.98</v>
      </c>
      <c r="M120" s="9">
        <v>7292.44</v>
      </c>
      <c r="N120" s="10">
        <f t="shared" si="112"/>
        <v>0</v>
      </c>
      <c r="O120" s="12">
        <v>-0.55</v>
      </c>
      <c r="P120" s="9">
        <v>10290.11</v>
      </c>
      <c r="Q120" s="9">
        <v>-79349.77</v>
      </c>
      <c r="R120" s="9">
        <v>36627.42</v>
      </c>
      <c r="S120" s="9">
        <v>-32432.24</v>
      </c>
      <c r="T120" s="12">
        <v>-14.56</v>
      </c>
      <c r="U120" s="12">
        <v>-10.32</v>
      </c>
      <c r="V120" s="12">
        <v>-16.45</v>
      </c>
      <c r="W120" s="12">
        <v>-29.53</v>
      </c>
      <c r="X120" s="12">
        <v>-15.56</v>
      </c>
      <c r="Y120" s="12">
        <v>1.01</v>
      </c>
      <c r="Z120" s="12">
        <f t="shared" si="3"/>
        <v>0</v>
      </c>
      <c r="AA120" s="12"/>
      <c r="AB120" s="12">
        <v>-33.61</v>
      </c>
      <c r="AC120" s="12">
        <v>0.69</v>
      </c>
      <c r="AD120" s="12">
        <v>-9.02</v>
      </c>
      <c r="AE120" s="12">
        <v>0.64</v>
      </c>
      <c r="AF120" s="12">
        <v>0.55</v>
      </c>
      <c r="AG120" s="12">
        <v>0.37</v>
      </c>
      <c r="AH120" s="12">
        <v>0.31</v>
      </c>
      <c r="AI120" s="12">
        <v>28.94</v>
      </c>
      <c r="AJ120" s="12">
        <v>12.61</v>
      </c>
      <c r="AK120" s="12">
        <v>14.95</v>
      </c>
      <c r="AL120" s="12">
        <v>24.41</v>
      </c>
      <c r="AM120" s="12">
        <v>8.8</v>
      </c>
      <c r="AN120" s="12">
        <v>41.5</v>
      </c>
      <c r="AO120" s="12">
        <v>-4.47</v>
      </c>
      <c r="AP120" s="12">
        <f t="shared" si="4"/>
        <v>7.52442</v>
      </c>
      <c r="AQ120" s="35">
        <v>0.9994605495361013</v>
      </c>
      <c r="AR120" s="15">
        <f t="shared" si="5"/>
        <v>1</v>
      </c>
      <c r="AS120" s="15">
        <f t="shared" si="113"/>
        <v>0</v>
      </c>
      <c r="AU120" s="15">
        <f>2.551996+('2021'!C120*0.000000012919)+('2021'!E120*0.000003)-('2021'!H120*0.000002)
-('2021'!U120*0.123062)+('2021'!AC120*0.831)-('2021'!AD120*0.008464)-('2021'!AF120*0.15884)
-('2021'!AL120*0.025383)-('2021'!AM120*0.427021)-('2021'!AN120*0.009878)
</f>
        <v>-0.7813023086</v>
      </c>
      <c r="AV120" s="15">
        <v>0.3140392766373265</v>
      </c>
      <c r="AW120" s="14">
        <f t="shared" si="7"/>
        <v>0</v>
      </c>
      <c r="AX120" s="14" t="str">
        <f t="shared" si="114"/>
        <v>#REF!</v>
      </c>
      <c r="AZ120" s="15" t="str">
        <f t="shared" si="115"/>
        <v>#REF!</v>
      </c>
      <c r="BA120" s="15" t="str">
        <f t="shared" si="116"/>
        <v>#REF!</v>
      </c>
      <c r="BB120" s="15" t="str">
        <f t="shared" si="117"/>
        <v>#REF!</v>
      </c>
      <c r="BC120" s="15" t="str">
        <f t="shared" si="118"/>
        <v>#REF!</v>
      </c>
      <c r="BD120" s="15" t="str">
        <f t="shared" si="119"/>
        <v>#REF!</v>
      </c>
    </row>
    <row r="121">
      <c r="A121" s="8" t="s">
        <v>174</v>
      </c>
      <c r="B121" s="34">
        <f t="shared" si="1"/>
        <v>0</v>
      </c>
      <c r="C121" s="9">
        <v>1764123.82</v>
      </c>
      <c r="D121" s="9">
        <v>391867.08</v>
      </c>
      <c r="E121" s="9">
        <v>318727.59</v>
      </c>
      <c r="F121" s="9">
        <v>1372256.74</v>
      </c>
      <c r="G121" s="9">
        <v>891323.28</v>
      </c>
      <c r="H121" s="9">
        <v>806210.27</v>
      </c>
      <c r="I121" s="9">
        <v>213308.14</v>
      </c>
      <c r="J121" s="9">
        <v>183693.19</v>
      </c>
      <c r="K121" s="9">
        <v>179916.01</v>
      </c>
      <c r="L121" s="9">
        <v>30882.44</v>
      </c>
      <c r="M121" s="9">
        <v>-282077.26</v>
      </c>
      <c r="N121" s="10">
        <f t="shared" si="112"/>
        <v>0</v>
      </c>
      <c r="O121" s="12">
        <v>0.29</v>
      </c>
      <c r="P121" s="9">
        <v>-66895.07</v>
      </c>
      <c r="Q121" s="9">
        <v>-63528.69</v>
      </c>
      <c r="R121" s="9">
        <v>467251.05</v>
      </c>
      <c r="S121" s="9">
        <v>336827.29</v>
      </c>
      <c r="T121" s="12">
        <v>16.77</v>
      </c>
      <c r="U121" s="12">
        <v>12.7</v>
      </c>
      <c r="V121" s="12">
        <v>14.67</v>
      </c>
      <c r="W121" s="12">
        <v>20.19</v>
      </c>
      <c r="X121" s="12">
        <v>4.92</v>
      </c>
      <c r="Y121" s="12">
        <v>-41.24</v>
      </c>
      <c r="Z121" s="12">
        <f t="shared" si="3"/>
        <v>0</v>
      </c>
      <c r="AA121" s="12"/>
      <c r="AB121" s="12">
        <v>20.61</v>
      </c>
      <c r="AC121" s="12">
        <v>0.29</v>
      </c>
      <c r="AD121" s="12">
        <v>14.5</v>
      </c>
      <c r="AE121" s="12">
        <v>5.3</v>
      </c>
      <c r="AF121" s="12">
        <v>4.27</v>
      </c>
      <c r="AG121" s="12">
        <v>3.41</v>
      </c>
      <c r="AH121" s="12">
        <v>0.62</v>
      </c>
      <c r="AI121" s="12">
        <v>4.79</v>
      </c>
      <c r="AJ121" s="12">
        <v>76.21</v>
      </c>
      <c r="AK121" s="12">
        <v>3.96</v>
      </c>
      <c r="AL121" s="12">
        <v>92.13</v>
      </c>
      <c r="AM121" s="12">
        <v>17.26</v>
      </c>
      <c r="AN121" s="12">
        <v>21.15</v>
      </c>
      <c r="AO121" s="12">
        <v>147.19</v>
      </c>
      <c r="AP121" s="12">
        <f t="shared" si="4"/>
        <v>-1.60658</v>
      </c>
      <c r="AQ121" s="35">
        <v>0.16706397717163315</v>
      </c>
      <c r="AR121" s="15">
        <f t="shared" si="5"/>
        <v>0</v>
      </c>
      <c r="AS121" s="15">
        <f t="shared" si="113"/>
        <v>1</v>
      </c>
      <c r="AU121" s="15">
        <f>2.551996+('2021'!C121*0.000000012919)+('2021'!E121*0.000003)-('2021'!H121*0.000002)
-('2021'!U121*0.123062)+('2021'!AC121*0.831)-('2021'!AD121*0.008464)-('2021'!AF121*0.15884)
-('2021'!AL121*0.025383)-('2021'!AM121*0.427021)-('2021'!AN121*0.009878)
</f>
        <v>-10.1221612</v>
      </c>
      <c r="AV121" s="15">
        <v>4.017758187237681E-5</v>
      </c>
      <c r="AW121" s="14">
        <f t="shared" si="7"/>
        <v>0</v>
      </c>
      <c r="AX121" s="14" t="str">
        <f t="shared" si="114"/>
        <v>#REF!</v>
      </c>
      <c r="AZ121" s="15" t="str">
        <f t="shared" si="115"/>
        <v>#REF!</v>
      </c>
      <c r="BA121" s="15" t="str">
        <f t="shared" si="116"/>
        <v>#REF!</v>
      </c>
      <c r="BB121" s="15" t="str">
        <f t="shared" si="117"/>
        <v>#REF!</v>
      </c>
      <c r="BC121" s="15" t="str">
        <f t="shared" si="118"/>
        <v>#REF!</v>
      </c>
      <c r="BD121" s="15" t="str">
        <f t="shared" si="119"/>
        <v>#REF!</v>
      </c>
    </row>
    <row r="122">
      <c r="A122" s="8" t="s">
        <v>175</v>
      </c>
      <c r="B122" s="34">
        <f t="shared" si="1"/>
        <v>0</v>
      </c>
      <c r="C122" s="9">
        <v>429122.29</v>
      </c>
      <c r="D122" s="9">
        <v>123333.24</v>
      </c>
      <c r="E122" s="9">
        <v>150000.0</v>
      </c>
      <c r="F122" s="9">
        <v>305785.75</v>
      </c>
      <c r="G122" s="9">
        <v>75432.37</v>
      </c>
      <c r="H122" s="9">
        <v>39145.29</v>
      </c>
      <c r="I122" s="9">
        <v>46378.91</v>
      </c>
      <c r="J122" s="9">
        <v>36287.08</v>
      </c>
      <c r="K122" s="9">
        <v>27702.28</v>
      </c>
      <c r="L122" s="9">
        <v>24272.33</v>
      </c>
      <c r="M122" s="9">
        <v>16549.11</v>
      </c>
      <c r="N122" s="10">
        <f t="shared" si="112"/>
        <v>0</v>
      </c>
      <c r="O122" s="12">
        <v>0.09</v>
      </c>
      <c r="P122" s="9">
        <v>66050.68</v>
      </c>
      <c r="Q122" s="9">
        <v>-45601.04</v>
      </c>
      <c r="R122" s="9">
        <v>-39435.04</v>
      </c>
      <c r="S122" s="9">
        <v>-18985.4</v>
      </c>
      <c r="T122" s="12">
        <v>9.25</v>
      </c>
      <c r="U122" s="12">
        <v>8.65</v>
      </c>
      <c r="V122" s="12">
        <v>73.69</v>
      </c>
      <c r="W122" s="12">
        <v>36.71</v>
      </c>
      <c r="X122" s="12">
        <v>33.04</v>
      </c>
      <c r="Y122" s="12">
        <v>22.5</v>
      </c>
      <c r="Z122" s="12">
        <f t="shared" si="3"/>
        <v>0</v>
      </c>
      <c r="AA122" s="12"/>
      <c r="AB122" s="12">
        <v>48.11</v>
      </c>
      <c r="AC122" s="12">
        <v>0.4</v>
      </c>
      <c r="AD122" s="12">
        <v>11.49</v>
      </c>
      <c r="AE122" s="12">
        <v>3.38</v>
      </c>
      <c r="AF122" s="12">
        <v>3.08</v>
      </c>
      <c r="AG122" s="12">
        <v>0.57</v>
      </c>
      <c r="AH122" s="12">
        <v>0.18</v>
      </c>
      <c r="AI122" s="12">
        <v>1.75</v>
      </c>
      <c r="AJ122" s="12">
        <v>207.98</v>
      </c>
      <c r="AK122" s="12">
        <v>8.75</v>
      </c>
      <c r="AL122" s="12">
        <v>41.71</v>
      </c>
      <c r="AM122" s="12">
        <v>7.56</v>
      </c>
      <c r="AN122" s="12">
        <v>48.25</v>
      </c>
      <c r="AO122" s="12">
        <v>201.44</v>
      </c>
      <c r="AP122" s="12">
        <f t="shared" si="4"/>
        <v>-11.40143</v>
      </c>
      <c r="AQ122" s="35">
        <v>1.1179361761108555E-5</v>
      </c>
      <c r="AR122" s="15">
        <f t="shared" si="5"/>
        <v>0</v>
      </c>
      <c r="AS122" s="15">
        <f t="shared" si="113"/>
        <v>1</v>
      </c>
      <c r="AU122" s="15">
        <f>2.551996+('2021'!C122*0.000000012919)+('2021'!E122*0.000003)-('2021'!H122*0.000002)
-('2021'!U122*0.123062)+('2021'!AC122*0.831)-('2021'!AD122*0.008464)-('2021'!AF122*0.15884)
-('2021'!AL122*0.025383)-('2021'!AM122*0.427021)-('2021'!AN122*0.009878)
</f>
        <v>-3.152932799</v>
      </c>
      <c r="AV122" s="15">
        <v>0.04097587315140262</v>
      </c>
      <c r="AW122" s="14">
        <f t="shared" si="7"/>
        <v>0</v>
      </c>
      <c r="AX122" s="14" t="str">
        <f t="shared" si="114"/>
        <v>#REF!</v>
      </c>
      <c r="AZ122" s="15" t="str">
        <f t="shared" si="115"/>
        <v>#REF!</v>
      </c>
      <c r="BA122" s="15" t="str">
        <f t="shared" si="116"/>
        <v>#REF!</v>
      </c>
      <c r="BB122" s="15" t="str">
        <f t="shared" si="117"/>
        <v>#REF!</v>
      </c>
      <c r="BC122" s="15" t="str">
        <f t="shared" si="118"/>
        <v>#REF!</v>
      </c>
      <c r="BD122" s="15" t="str">
        <f t="shared" si="119"/>
        <v>#REF!</v>
      </c>
    </row>
    <row r="123">
      <c r="A123" s="8" t="s">
        <v>176</v>
      </c>
      <c r="B123" s="34">
        <f t="shared" si="1"/>
        <v>0</v>
      </c>
      <c r="C123" s="9">
        <v>1939180.97</v>
      </c>
      <c r="D123" s="9">
        <v>345909.03</v>
      </c>
      <c r="E123" s="9">
        <v>380121.02</v>
      </c>
      <c r="F123" s="9">
        <v>1227849.41</v>
      </c>
      <c r="G123" s="9">
        <v>1306729.61</v>
      </c>
      <c r="H123" s="9">
        <v>1300734.68</v>
      </c>
      <c r="I123" s="9">
        <v>142841.54</v>
      </c>
      <c r="J123" s="9">
        <v>5994.93</v>
      </c>
      <c r="K123" s="12">
        <v>781.13</v>
      </c>
      <c r="L123" s="12">
        <v>-620.0</v>
      </c>
      <c r="M123" s="12">
        <v>-30066.91</v>
      </c>
      <c r="N123" s="10">
        <f t="shared" si="112"/>
        <v>0</v>
      </c>
      <c r="O123" s="12" t="s">
        <v>46</v>
      </c>
      <c r="P123" s="9">
        <v>36916.48</v>
      </c>
      <c r="Q123" s="9">
        <v>-126638.82</v>
      </c>
      <c r="R123" s="9">
        <v>-73343.01</v>
      </c>
      <c r="S123" s="9">
        <v>-163065.35</v>
      </c>
      <c r="T123" s="12">
        <v>0.06</v>
      </c>
      <c r="U123" s="12">
        <v>0.31</v>
      </c>
      <c r="V123" s="12">
        <v>18.07</v>
      </c>
      <c r="W123" s="12">
        <v>-1.2</v>
      </c>
      <c r="X123" s="12">
        <v>-0.62</v>
      </c>
      <c r="Y123" s="12">
        <v>-3.56</v>
      </c>
      <c r="Z123" s="12">
        <f t="shared" si="3"/>
        <v>1</v>
      </c>
      <c r="AA123" s="12"/>
      <c r="AB123" s="12">
        <v>0.46</v>
      </c>
      <c r="AC123" s="12">
        <v>0.22</v>
      </c>
      <c r="AD123" s="12">
        <v>1.18</v>
      </c>
      <c r="AE123" s="12">
        <v>3.4</v>
      </c>
      <c r="AF123" s="12">
        <v>2.04</v>
      </c>
      <c r="AG123" s="12">
        <v>1.53</v>
      </c>
      <c r="AH123" s="12">
        <v>0.67</v>
      </c>
      <c r="AI123" s="12">
        <v>5.5</v>
      </c>
      <c r="AJ123" s="12">
        <v>66.35</v>
      </c>
      <c r="AK123" s="12">
        <v>4.1</v>
      </c>
      <c r="AL123" s="12">
        <v>89.07</v>
      </c>
      <c r="AM123" s="12">
        <v>7.19</v>
      </c>
      <c r="AN123" s="12">
        <v>50.77</v>
      </c>
      <c r="AO123" s="12">
        <v>104.65</v>
      </c>
      <c r="AP123" s="12">
        <f t="shared" si="4"/>
        <v>2.87849</v>
      </c>
      <c r="AQ123" s="35">
        <v>0.9467728199059486</v>
      </c>
      <c r="AR123" s="15">
        <f t="shared" si="5"/>
        <v>1</v>
      </c>
      <c r="AS123" s="15">
        <f t="shared" si="113"/>
        <v>0</v>
      </c>
      <c r="AU123" s="15">
        <f>2.551996+('2021'!C123*0.000000012919)+('2021'!E123*0.000003)-('2021'!H123*0.000002)
-('2021'!U123*0.123062)+('2021'!AC123*0.831)-('2021'!AD123*0.008464)-('2021'!AF123*0.15884)
-('2021'!AL123*0.025383)-('2021'!AM123*0.427021)-('2021'!AN123*0.009878)
</f>
        <v>-4.906059221</v>
      </c>
      <c r="AV123" s="15">
        <v>0.007347217839671347</v>
      </c>
      <c r="AW123" s="14">
        <f t="shared" si="7"/>
        <v>0</v>
      </c>
      <c r="AX123" s="14" t="str">
        <f t="shared" si="114"/>
        <v>#REF!</v>
      </c>
      <c r="AZ123" s="15" t="str">
        <f t="shared" si="115"/>
        <v>#REF!</v>
      </c>
      <c r="BA123" s="15" t="str">
        <f t="shared" si="116"/>
        <v>#REF!</v>
      </c>
      <c r="BB123" s="15" t="str">
        <f t="shared" si="117"/>
        <v>#REF!</v>
      </c>
      <c r="BC123" s="15" t="str">
        <f t="shared" si="118"/>
        <v>#REF!</v>
      </c>
      <c r="BD123" s="15" t="str">
        <f t="shared" si="119"/>
        <v>#REF!</v>
      </c>
    </row>
    <row r="124">
      <c r="A124" s="8" t="s">
        <v>177</v>
      </c>
      <c r="B124" s="34">
        <f t="shared" si="1"/>
        <v>0</v>
      </c>
      <c r="C124" s="9">
        <v>500643.16</v>
      </c>
      <c r="D124" s="9">
        <v>313805.41</v>
      </c>
      <c r="E124" s="9">
        <v>154271.93</v>
      </c>
      <c r="F124" s="9">
        <v>186837.75</v>
      </c>
      <c r="G124" s="9">
        <v>651249.11</v>
      </c>
      <c r="H124" s="9">
        <v>632093.11</v>
      </c>
      <c r="I124" s="9">
        <v>51265.36</v>
      </c>
      <c r="J124" s="9">
        <v>19156.0</v>
      </c>
      <c r="K124" s="9">
        <v>13503.61</v>
      </c>
      <c r="L124" s="9">
        <v>-35416.26</v>
      </c>
      <c r="M124" s="9">
        <v>38192.0</v>
      </c>
      <c r="N124" s="10">
        <f t="shared" si="112"/>
        <v>0</v>
      </c>
      <c r="O124" s="12">
        <v>0.04</v>
      </c>
      <c r="P124" s="12">
        <v>710.12</v>
      </c>
      <c r="Q124" s="9">
        <v>-6460.03</v>
      </c>
      <c r="R124" s="9">
        <v>3518.89</v>
      </c>
      <c r="S124" s="9">
        <v>-2231.02</v>
      </c>
      <c r="T124" s="12">
        <v>7.5</v>
      </c>
      <c r="U124" s="12">
        <v>4.1</v>
      </c>
      <c r="V124" s="12">
        <v>13.36</v>
      </c>
      <c r="W124" s="12">
        <v>2.07</v>
      </c>
      <c r="X124" s="12">
        <v>-7.86</v>
      </c>
      <c r="Y124" s="12">
        <v>6.34</v>
      </c>
      <c r="Z124" s="12">
        <f t="shared" si="3"/>
        <v>0</v>
      </c>
      <c r="AA124" s="12"/>
      <c r="AB124" s="12">
        <v>2.94</v>
      </c>
      <c r="AC124" s="12">
        <v>1.68</v>
      </c>
      <c r="AD124" s="12">
        <v>2.52</v>
      </c>
      <c r="AE124" s="12">
        <v>1.01</v>
      </c>
      <c r="AF124" s="12">
        <v>0.57</v>
      </c>
      <c r="AG124" s="12">
        <v>2.66</v>
      </c>
      <c r="AH124" s="12">
        <v>1.39</v>
      </c>
      <c r="AI124" s="12">
        <v>7.64</v>
      </c>
      <c r="AJ124" s="12">
        <v>47.76</v>
      </c>
      <c r="AK124" s="12">
        <v>6.42</v>
      </c>
      <c r="AL124" s="12">
        <v>56.9</v>
      </c>
      <c r="AM124" s="12">
        <v>5.63</v>
      </c>
      <c r="AN124" s="12">
        <v>64.88</v>
      </c>
      <c r="AO124" s="12">
        <v>39.78</v>
      </c>
      <c r="AP124" s="12">
        <f t="shared" si="4"/>
        <v>-0.97582</v>
      </c>
      <c r="AQ124" s="35">
        <v>0.2737219739266896</v>
      </c>
      <c r="AR124" s="15">
        <f t="shared" si="5"/>
        <v>0</v>
      </c>
      <c r="AS124" s="15">
        <f t="shared" si="113"/>
        <v>1</v>
      </c>
      <c r="AU124" s="15">
        <f>2.551996+('2021'!C124*0.000000012919)+('2021'!E124*0.000003)-('2021'!H124*0.000002)
-('2021'!U124*0.123062)+('2021'!AC124*0.831)-('2021'!AD124*0.008464)-('2021'!AF124*0.15884)
-('2021'!AL124*0.025383)-('2021'!AM124*0.427021)-('2021'!AN124*0.009878)
</f>
        <v>-1.952554471</v>
      </c>
      <c r="AV124" s="15">
        <v>0.12427508616279886</v>
      </c>
      <c r="AW124" s="14">
        <f t="shared" si="7"/>
        <v>0</v>
      </c>
      <c r="AX124" s="14" t="str">
        <f t="shared" si="114"/>
        <v>#REF!</v>
      </c>
      <c r="AZ124" s="15" t="str">
        <f t="shared" si="115"/>
        <v>#REF!</v>
      </c>
      <c r="BA124" s="15" t="str">
        <f t="shared" si="116"/>
        <v>#REF!</v>
      </c>
      <c r="BB124" s="15" t="str">
        <f t="shared" si="117"/>
        <v>#REF!</v>
      </c>
      <c r="BC124" s="15" t="str">
        <f t="shared" si="118"/>
        <v>#REF!</v>
      </c>
      <c r="BD124" s="15" t="str">
        <f t="shared" si="119"/>
        <v>#REF!</v>
      </c>
    </row>
    <row r="125">
      <c r="A125" s="8" t="s">
        <v>178</v>
      </c>
      <c r="B125" s="34" t="str">
        <f t="shared" si="1"/>
        <v/>
      </c>
      <c r="C125" s="9">
        <v>488160.18</v>
      </c>
      <c r="D125" s="9">
        <v>155148.18</v>
      </c>
      <c r="E125" s="9">
        <v>311998.99</v>
      </c>
      <c r="F125" s="9">
        <v>331131.42</v>
      </c>
      <c r="G125" s="9">
        <v>498090.23</v>
      </c>
      <c r="H125" s="9">
        <v>471225.01</v>
      </c>
      <c r="I125" s="9">
        <v>56514.19</v>
      </c>
      <c r="J125" s="9">
        <v>47805.44</v>
      </c>
      <c r="K125" s="9">
        <v>34870.37</v>
      </c>
      <c r="L125" s="9" t="e">
        <v>#N/A</v>
      </c>
      <c r="M125" s="9" t="e">
        <v>#N/A</v>
      </c>
      <c r="N125" s="10"/>
      <c r="O125" s="12">
        <v>0.08</v>
      </c>
      <c r="P125" s="9">
        <v>69478.84</v>
      </c>
      <c r="Q125" s="9">
        <v>-257369.61</v>
      </c>
      <c r="R125" s="9">
        <v>142471.26</v>
      </c>
      <c r="S125" s="9">
        <v>-45419.52</v>
      </c>
      <c r="T125" s="12">
        <v>10.01</v>
      </c>
      <c r="U125" s="12">
        <v>9.9</v>
      </c>
      <c r="V125" s="12">
        <v>26.74</v>
      </c>
      <c r="W125" s="12">
        <v>8.03</v>
      </c>
      <c r="X125" s="12" t="e">
        <v>#N/A</v>
      </c>
      <c r="Y125" s="12" t="e">
        <v>#N/A</v>
      </c>
      <c r="Z125" s="12" t="str">
        <f t="shared" si="3"/>
        <v>#N/A</v>
      </c>
      <c r="AA125" s="12"/>
      <c r="AB125" s="12">
        <v>9.6</v>
      </c>
      <c r="AC125" s="12">
        <v>0.47</v>
      </c>
      <c r="AD125" s="12">
        <v>29.21</v>
      </c>
      <c r="AE125" s="12">
        <v>1.73</v>
      </c>
      <c r="AF125" s="12">
        <v>1.22</v>
      </c>
      <c r="AG125" s="12">
        <v>12.27</v>
      </c>
      <c r="AH125" s="12">
        <v>1.03</v>
      </c>
      <c r="AI125" s="12">
        <v>7.69</v>
      </c>
      <c r="AJ125" s="12">
        <v>47.47</v>
      </c>
      <c r="AK125" s="12">
        <v>3.97</v>
      </c>
      <c r="AL125" s="12">
        <v>91.84</v>
      </c>
      <c r="AM125" s="12">
        <v>4.16</v>
      </c>
      <c r="AN125" s="12">
        <v>87.73</v>
      </c>
      <c r="AO125" s="12">
        <v>51.58</v>
      </c>
      <c r="AP125" s="12">
        <f t="shared" si="4"/>
        <v>1.68757</v>
      </c>
      <c r="AQ125" s="35">
        <v>0.8439043238636482</v>
      </c>
      <c r="AR125" s="15">
        <f t="shared" si="5"/>
        <v>1</v>
      </c>
      <c r="AS125" s="15">
        <f t="shared" si="113"/>
        <v>0</v>
      </c>
      <c r="AU125" s="15">
        <f>2.551996+('2021'!C125*0.000000012919)+('2021'!E125*0.000003)-('2021'!H125*0.000002)
-('2021'!U125*0.123062)+('2021'!AC125*0.831)-('2021'!AD125*0.008464)-('2021'!AF125*0.15884)
-('2021'!AL125*0.025383)-('2021'!AM125*0.427021)-('2021'!AN125*0.009878)
</f>
        <v>-3.691091569</v>
      </c>
      <c r="AV125" s="15">
        <v>0.02433766118515984</v>
      </c>
      <c r="AW125" s="14">
        <f t="shared" si="7"/>
        <v>0</v>
      </c>
      <c r="AX125" s="14"/>
    </row>
    <row r="126">
      <c r="A126" s="8" t="s">
        <v>179</v>
      </c>
      <c r="B126" s="34">
        <f t="shared" si="1"/>
        <v>0</v>
      </c>
      <c r="C126" s="9">
        <v>3096597.36</v>
      </c>
      <c r="D126" s="9">
        <v>1419316.44</v>
      </c>
      <c r="E126" s="9">
        <v>649507.47</v>
      </c>
      <c r="F126" s="9">
        <v>1648009.4</v>
      </c>
      <c r="G126" s="9">
        <v>1.135413021E7</v>
      </c>
      <c r="H126" s="9">
        <v>1.135703786E7</v>
      </c>
      <c r="I126" s="9">
        <v>311859.4</v>
      </c>
      <c r="J126" s="9">
        <v>266640.49</v>
      </c>
      <c r="K126" s="9">
        <v>230945.67</v>
      </c>
      <c r="L126" s="9">
        <v>18446.1</v>
      </c>
      <c r="M126" s="9">
        <v>60849.9</v>
      </c>
      <c r="N126" s="10">
        <f>IF(AND(K126&lt;0,L126&lt;0,M126&lt;0),1,0)</f>
        <v>0</v>
      </c>
      <c r="O126" s="12">
        <v>0.36</v>
      </c>
      <c r="P126" s="9">
        <v>-61687.85</v>
      </c>
      <c r="Q126" s="9">
        <v>338276.26</v>
      </c>
      <c r="R126" s="9">
        <v>-47532.67</v>
      </c>
      <c r="S126" s="9">
        <v>229055.75</v>
      </c>
      <c r="T126" s="12">
        <v>15.14</v>
      </c>
      <c r="U126" s="12">
        <v>10.06</v>
      </c>
      <c r="V126" s="12">
        <v>2.21</v>
      </c>
      <c r="W126" s="12">
        <v>2.11</v>
      </c>
      <c r="X126" s="12">
        <v>0.59</v>
      </c>
      <c r="Y126" s="12">
        <v>1.12</v>
      </c>
      <c r="Z126" s="12">
        <f t="shared" si="3"/>
        <v>0</v>
      </c>
      <c r="AA126" s="12"/>
      <c r="AB126" s="12">
        <v>2.35</v>
      </c>
      <c r="AC126" s="12">
        <v>0.85</v>
      </c>
      <c r="AD126" s="12">
        <v>12.93</v>
      </c>
      <c r="AE126" s="12">
        <v>1.27</v>
      </c>
      <c r="AF126" s="12">
        <v>1.23</v>
      </c>
      <c r="AG126" s="12">
        <v>60.59</v>
      </c>
      <c r="AH126" s="12">
        <v>4.28</v>
      </c>
      <c r="AI126" s="12">
        <v>995.06</v>
      </c>
      <c r="AJ126" s="12">
        <v>0.37</v>
      </c>
      <c r="AK126" s="12">
        <v>11.91</v>
      </c>
      <c r="AL126" s="12">
        <v>30.66</v>
      </c>
      <c r="AM126" s="12">
        <v>17.08</v>
      </c>
      <c r="AN126" s="12">
        <v>21.37</v>
      </c>
      <c r="AO126" s="12">
        <v>9.66</v>
      </c>
      <c r="AP126" s="12">
        <f t="shared" si="4"/>
        <v>1.06205</v>
      </c>
      <c r="AQ126" s="35">
        <v>0.7430821080203923</v>
      </c>
      <c r="AR126" s="15">
        <f t="shared" si="5"/>
        <v>1</v>
      </c>
      <c r="AS126" s="15">
        <f t="shared" si="113"/>
        <v>0</v>
      </c>
      <c r="AU126" s="15">
        <f>2.551996+('2021'!C126*0.000000012919)+('2021'!E126*0.000003)-('2021'!H126*0.000002)
-('2021'!U126*0.123062)+('2021'!AC126*0.831)-('2021'!AD126*0.008464)-('2021'!AF126*0.15884)
-('2021'!AL126*0.025383)-('2021'!AM126*0.427021)-('2021'!AN126*0.009878)
</f>
        <v>-27.29287313</v>
      </c>
      <c r="AV126" s="15">
        <v>1.4023480176362114E-12</v>
      </c>
      <c r="AW126" s="14">
        <f t="shared" si="7"/>
        <v>0</v>
      </c>
      <c r="AX126" s="14" t="str">
        <f>IF(AW126='temp result 2022'!B126,1,IF(Z126="-",1,0))</f>
        <v>#REF!</v>
      </c>
      <c r="AZ126" s="15" t="str">
        <f>IF(and(AW126=0,AX126=1),1,0)</f>
        <v>#REF!</v>
      </c>
      <c r="BA126" s="15" t="str">
        <f>IF(AND(AW126=0,AX126=0),1,0)</f>
        <v>#REF!</v>
      </c>
      <c r="BB126" s="15" t="str">
        <f>IF(AND(AW126=1,AX126=0),1,0)</f>
        <v>#REF!</v>
      </c>
      <c r="BC126" s="15" t="str">
        <f>IF(AND(AW126=1,AX126=1),1,0)</f>
        <v>#REF!</v>
      </c>
      <c r="BD126" s="15" t="str">
        <f>IF(AZ126+BA126+BB126+BC126&gt;1,1,0)</f>
        <v>#REF!</v>
      </c>
    </row>
    <row r="127">
      <c r="A127" s="8" t="s">
        <v>180</v>
      </c>
      <c r="B127" s="34" t="str">
        <f t="shared" si="1"/>
        <v/>
      </c>
      <c r="C127" s="9">
        <v>736016.56</v>
      </c>
      <c r="D127" s="9">
        <v>162542.66</v>
      </c>
      <c r="E127" s="9">
        <v>51370.5</v>
      </c>
      <c r="F127" s="9">
        <v>573473.9</v>
      </c>
      <c r="G127" s="9">
        <v>826344.84</v>
      </c>
      <c r="H127" s="9">
        <v>749393.92</v>
      </c>
      <c r="I127" s="9">
        <v>86039.21</v>
      </c>
      <c r="J127" s="9">
        <v>74868.93</v>
      </c>
      <c r="K127" s="9">
        <v>61114.83</v>
      </c>
      <c r="L127" s="9" t="e">
        <v>#N/A</v>
      </c>
      <c r="M127" s="9" t="e">
        <v>#N/A</v>
      </c>
      <c r="N127" s="10"/>
      <c r="O127" s="12">
        <v>0.69</v>
      </c>
      <c r="P127" s="9">
        <v>37877.56</v>
      </c>
      <c r="Q127" s="9">
        <v>-44861.02</v>
      </c>
      <c r="R127" s="9">
        <v>369455.05</v>
      </c>
      <c r="S127" s="9">
        <v>362471.59</v>
      </c>
      <c r="T127" s="12">
        <v>17.79</v>
      </c>
      <c r="U127" s="12">
        <v>14.38</v>
      </c>
      <c r="V127" s="12">
        <v>18.93</v>
      </c>
      <c r="W127" s="12">
        <v>7.4</v>
      </c>
      <c r="X127" s="12" t="e">
        <v>#N/A</v>
      </c>
      <c r="Y127" s="12" t="e">
        <v>#N/A</v>
      </c>
      <c r="Z127" s="12" t="str">
        <f t="shared" si="3"/>
        <v>#N/A</v>
      </c>
      <c r="AA127" s="12"/>
      <c r="AB127" s="12">
        <v>9.06</v>
      </c>
      <c r="AC127" s="12">
        <v>0.28</v>
      </c>
      <c r="AD127" s="12">
        <v>53.0</v>
      </c>
      <c r="AE127" s="12">
        <v>4.73</v>
      </c>
      <c r="AF127" s="12">
        <v>4.42</v>
      </c>
      <c r="AG127" s="12">
        <v>30.57</v>
      </c>
      <c r="AH127" s="12">
        <v>1.59</v>
      </c>
      <c r="AI127" s="12">
        <v>14.07</v>
      </c>
      <c r="AJ127" s="12">
        <v>25.94</v>
      </c>
      <c r="AK127" s="12">
        <v>5.34</v>
      </c>
      <c r="AL127" s="12">
        <v>68.3</v>
      </c>
      <c r="AM127" s="12">
        <v>5.4</v>
      </c>
      <c r="AN127" s="12">
        <v>67.6</v>
      </c>
      <c r="AO127" s="12">
        <v>26.64</v>
      </c>
      <c r="AP127" s="12">
        <f t="shared" si="4"/>
        <v>3.63322</v>
      </c>
      <c r="AQ127" s="35">
        <v>0.974249665912407</v>
      </c>
      <c r="AR127" s="15">
        <f t="shared" si="5"/>
        <v>1</v>
      </c>
      <c r="AS127" s="15">
        <f t="shared" si="113"/>
        <v>0</v>
      </c>
      <c r="AU127" s="15">
        <f>2.551996+('2021'!C127*0.000000012919)+('2021'!E127*0.000003)-('2021'!H127*0.000002)
-('2021'!U127*0.123062)+('2021'!AC127*0.831)-('2021'!AD127*0.008464)-('2021'!AF127*0.15884)
-('2021'!AL127*0.025383)-('2021'!AM127*0.427021)-('2021'!AN127*0.009878)
</f>
        <v>-6.178113202</v>
      </c>
      <c r="AV127" s="15">
        <v>0.0020700440502564228</v>
      </c>
      <c r="AW127" s="14">
        <f t="shared" si="7"/>
        <v>0</v>
      </c>
      <c r="AX127" s="14"/>
    </row>
    <row r="128">
      <c r="A128" s="8" t="s">
        <v>181</v>
      </c>
      <c r="B128" s="34">
        <f t="shared" si="1"/>
        <v>0</v>
      </c>
      <c r="C128" s="9">
        <v>1756915.0</v>
      </c>
      <c r="D128" s="9">
        <v>1088830.0</v>
      </c>
      <c r="E128" s="9">
        <v>228999.0</v>
      </c>
      <c r="F128" s="9">
        <v>668082.0</v>
      </c>
      <c r="G128" s="9">
        <v>1466032.0</v>
      </c>
      <c r="H128" s="9">
        <v>1340426.0</v>
      </c>
      <c r="I128" s="9">
        <v>180978.0</v>
      </c>
      <c r="J128" s="9">
        <v>125606.0</v>
      </c>
      <c r="K128" s="9">
        <v>81527.0</v>
      </c>
      <c r="L128" s="9">
        <v>89307.0</v>
      </c>
      <c r="M128" s="9">
        <v>85810.0</v>
      </c>
      <c r="N128" s="10">
        <f t="shared" ref="N128:N129" si="120">IF(AND(K128&lt;0,L128&lt;0,M128&lt;0),1,0)</f>
        <v>0</v>
      </c>
      <c r="O128" s="12">
        <v>0.18</v>
      </c>
      <c r="P128" s="9">
        <v>105504.0</v>
      </c>
      <c r="Q128" s="9">
        <v>-100201.0</v>
      </c>
      <c r="R128" s="9">
        <v>-58890.0</v>
      </c>
      <c r="S128" s="9">
        <v>-53587.0</v>
      </c>
      <c r="T128" s="12">
        <v>13.71</v>
      </c>
      <c r="U128" s="12">
        <v>7.44</v>
      </c>
      <c r="V128" s="12">
        <v>24.2</v>
      </c>
      <c r="W128" s="12">
        <v>5.56</v>
      </c>
      <c r="X128" s="12">
        <v>7.1</v>
      </c>
      <c r="Y128" s="12">
        <v>6.14</v>
      </c>
      <c r="Z128" s="12">
        <f t="shared" si="3"/>
        <v>0</v>
      </c>
      <c r="AA128" s="12"/>
      <c r="AB128" s="12">
        <v>8.57</v>
      </c>
      <c r="AC128" s="12">
        <v>1.63</v>
      </c>
      <c r="AD128" s="12">
        <v>5.9</v>
      </c>
      <c r="AE128" s="12">
        <v>1.65</v>
      </c>
      <c r="AF128" s="12">
        <v>0.85</v>
      </c>
      <c r="AG128" s="12">
        <v>4.45</v>
      </c>
      <c r="AH128" s="12">
        <v>0.87</v>
      </c>
      <c r="AI128" s="12">
        <v>3.29</v>
      </c>
      <c r="AJ128" s="12">
        <v>110.87</v>
      </c>
      <c r="AK128" s="12">
        <v>4.79</v>
      </c>
      <c r="AL128" s="12">
        <v>76.25</v>
      </c>
      <c r="AM128" s="12">
        <v>4.73</v>
      </c>
      <c r="AN128" s="12">
        <v>77.23</v>
      </c>
      <c r="AO128" s="12">
        <v>109.89</v>
      </c>
      <c r="AP128" s="12">
        <f t="shared" si="4"/>
        <v>-0.4348</v>
      </c>
      <c r="AQ128" s="35">
        <v>0.39298072028174863</v>
      </c>
      <c r="AR128" s="15">
        <f t="shared" si="5"/>
        <v>0</v>
      </c>
      <c r="AS128" s="15">
        <f t="shared" si="113"/>
        <v>1</v>
      </c>
      <c r="AU128" s="15">
        <f>2.551996+('2021'!C128*0.000000012919)+('2021'!E128*0.000003)-('2021'!H128*0.000002)
-('2021'!U128*0.123062)+('2021'!AC128*0.831)-('2021'!AD128*0.008464)-('2021'!AF128*0.15884)
-('2021'!AL128*0.025383)-('2021'!AM128*0.427021)-('2021'!AN128*0.009878)
</f>
        <v>-3.883305315</v>
      </c>
      <c r="AV128" s="15">
        <v>0.020167577575899143</v>
      </c>
      <c r="AW128" s="14">
        <f t="shared" si="7"/>
        <v>0</v>
      </c>
      <c r="AX128" s="14" t="str">
        <f t="shared" ref="AX128:AX129" si="121">IF(AW128='temp result 2022'!B128,1,IF(Z128="-",1,0))</f>
        <v>#REF!</v>
      </c>
      <c r="AZ128" s="15" t="str">
        <f t="shared" ref="AZ128:AZ129" si="122">IF(and(AW128=0,AX128=1),1,0)</f>
        <v>#REF!</v>
      </c>
      <c r="BA128" s="15" t="str">
        <f t="shared" ref="BA128:BA129" si="123">IF(AND(AW128=0,AX128=0),1,0)</f>
        <v>#REF!</v>
      </c>
      <c r="BB128" s="15" t="str">
        <f t="shared" ref="BB128:BB129" si="124">IF(AND(AW128=1,AX128=0),1,0)</f>
        <v>#REF!</v>
      </c>
      <c r="BC128" s="15" t="str">
        <f t="shared" ref="BC128:BC129" si="125">IF(AND(AW128=1,AX128=1),1,0)</f>
        <v>#REF!</v>
      </c>
      <c r="BD128" s="15" t="str">
        <f t="shared" ref="BD128:BD129" si="126">IF(AZ128+BA128+BB128+BC128&gt;1,1,0)</f>
        <v>#REF!</v>
      </c>
    </row>
    <row r="129">
      <c r="A129" s="8" t="s">
        <v>182</v>
      </c>
      <c r="B129" s="34">
        <f t="shared" si="1"/>
        <v>1</v>
      </c>
      <c r="C129" s="9">
        <v>6044676.34</v>
      </c>
      <c r="D129" s="9">
        <v>2283231.97</v>
      </c>
      <c r="E129" s="9">
        <v>2100000.0</v>
      </c>
      <c r="F129" s="9">
        <v>3761444.37</v>
      </c>
      <c r="G129" s="9">
        <v>1297725.53</v>
      </c>
      <c r="H129" s="9">
        <v>1533469.04</v>
      </c>
      <c r="I129" s="9">
        <v>-203167.06</v>
      </c>
      <c r="J129" s="9">
        <v>-235743.51</v>
      </c>
      <c r="K129" s="9">
        <v>-346724.46</v>
      </c>
      <c r="L129" s="9">
        <v>-907197.87</v>
      </c>
      <c r="M129" s="9">
        <v>-157127.72</v>
      </c>
      <c r="N129" s="10">
        <f t="shared" si="120"/>
        <v>1</v>
      </c>
      <c r="O129" s="12">
        <v>-0.08</v>
      </c>
      <c r="P129" s="9">
        <v>568519.54</v>
      </c>
      <c r="Q129" s="9">
        <v>488995.2</v>
      </c>
      <c r="R129" s="9">
        <v>-1038711.6</v>
      </c>
      <c r="S129" s="9">
        <v>18803.14</v>
      </c>
      <c r="T129" s="12">
        <v>-8.81</v>
      </c>
      <c r="U129" s="12">
        <v>-3.54</v>
      </c>
      <c r="V129" s="12">
        <v>1.26</v>
      </c>
      <c r="W129" s="12">
        <v>-26.72</v>
      </c>
      <c r="X129" s="12">
        <v>-72.93</v>
      </c>
      <c r="Y129" s="12">
        <v>-7.08</v>
      </c>
      <c r="Z129" s="12">
        <f t="shared" si="3"/>
        <v>1</v>
      </c>
      <c r="AA129" s="12"/>
      <c r="AB129" s="12">
        <v>-18.17</v>
      </c>
      <c r="AC129" s="12">
        <v>0.61</v>
      </c>
      <c r="AD129" s="12">
        <v>-2.16</v>
      </c>
      <c r="AE129" s="12">
        <v>2.22</v>
      </c>
      <c r="AF129" s="12">
        <v>0.14</v>
      </c>
      <c r="AG129" s="12">
        <v>21.22</v>
      </c>
      <c r="AH129" s="12">
        <v>0.19</v>
      </c>
      <c r="AI129" s="12">
        <v>0.24</v>
      </c>
      <c r="AJ129" s="9">
        <v>1518.39</v>
      </c>
      <c r="AK129" s="12">
        <v>5.76</v>
      </c>
      <c r="AL129" s="12">
        <v>63.33</v>
      </c>
      <c r="AM129" s="12">
        <v>3.06</v>
      </c>
      <c r="AN129" s="12">
        <v>119.25</v>
      </c>
      <c r="AO129" s="9">
        <v>1462.47</v>
      </c>
      <c r="AP129" s="12">
        <f t="shared" si="4"/>
        <v>10.78954</v>
      </c>
      <c r="AQ129" s="35">
        <v>0.999979386422839</v>
      </c>
      <c r="AR129" s="15">
        <f t="shared" si="5"/>
        <v>1</v>
      </c>
      <c r="AS129" s="15">
        <f t="shared" si="113"/>
        <v>1</v>
      </c>
      <c r="AU129" s="15">
        <f>2.551996+('2021'!C129*0.000000012919)+('2021'!E129*0.000003)-('2021'!H129*0.000002)
-('2021'!U129*0.123062)+('2021'!AC129*0.831)-('2021'!AD129*0.008464)-('2021'!AF129*0.15884)
-('2021'!AL129*0.025383)-('2021'!AM129*0.427021)-('2021'!AN129*0.009878)
</f>
        <v>2.709602064</v>
      </c>
      <c r="AV129" s="15">
        <v>0.9375908677334038</v>
      </c>
      <c r="AW129" s="14">
        <f t="shared" si="7"/>
        <v>1</v>
      </c>
      <c r="AX129" s="14" t="str">
        <f t="shared" si="121"/>
        <v>#REF!</v>
      </c>
      <c r="AZ129" s="15" t="str">
        <f t="shared" si="122"/>
        <v>#REF!</v>
      </c>
      <c r="BA129" s="15" t="str">
        <f t="shared" si="123"/>
        <v>#REF!</v>
      </c>
      <c r="BB129" s="15" t="str">
        <f t="shared" si="124"/>
        <v>#REF!</v>
      </c>
      <c r="BC129" s="15" t="str">
        <f t="shared" si="125"/>
        <v>#REF!</v>
      </c>
      <c r="BD129" s="15" t="str">
        <f t="shared" si="126"/>
        <v>#REF!</v>
      </c>
    </row>
    <row r="130">
      <c r="A130" s="8" t="s">
        <v>183</v>
      </c>
      <c r="B130" s="34" t="str">
        <f t="shared" si="1"/>
        <v/>
      </c>
      <c r="C130" s="9">
        <v>943791.64</v>
      </c>
      <c r="D130" s="9">
        <v>205763.72</v>
      </c>
      <c r="E130" s="9">
        <v>220000.0</v>
      </c>
      <c r="F130" s="9">
        <v>738027.91</v>
      </c>
      <c r="G130" s="9">
        <v>796716.29</v>
      </c>
      <c r="H130" s="9">
        <v>666040.14</v>
      </c>
      <c r="I130" s="9">
        <v>196361.37</v>
      </c>
      <c r="J130" s="9">
        <v>145449.93</v>
      </c>
      <c r="K130" s="9">
        <v>111745.31</v>
      </c>
      <c r="L130" s="9">
        <v>78176.38</v>
      </c>
      <c r="M130" s="9" t="e">
        <v>#N/A</v>
      </c>
      <c r="N130" s="10"/>
      <c r="O130" s="12">
        <v>0.25</v>
      </c>
      <c r="P130" s="9">
        <v>76518.93</v>
      </c>
      <c r="Q130" s="9">
        <v>-32008.93</v>
      </c>
      <c r="R130" s="9">
        <v>-56144.41</v>
      </c>
      <c r="S130" s="9">
        <v>-11634.4</v>
      </c>
      <c r="T130" s="12">
        <v>16.01</v>
      </c>
      <c r="U130" s="12">
        <v>16.28</v>
      </c>
      <c r="V130" s="12">
        <v>28.41</v>
      </c>
      <c r="W130" s="12">
        <v>14.03</v>
      </c>
      <c r="X130" s="12">
        <v>11.53</v>
      </c>
      <c r="Y130" s="12" t="e">
        <v>#N/A</v>
      </c>
      <c r="Z130" s="12" t="str">
        <f t="shared" si="3"/>
        <v>#N/A</v>
      </c>
      <c r="AA130" s="12"/>
      <c r="AB130" s="12">
        <v>18.26</v>
      </c>
      <c r="AC130" s="12">
        <v>0.28</v>
      </c>
      <c r="AD130" s="12">
        <v>25.3</v>
      </c>
      <c r="AE130" s="12">
        <v>3.99</v>
      </c>
      <c r="AF130" s="12">
        <v>2.44</v>
      </c>
      <c r="AG130" s="12">
        <v>2.7</v>
      </c>
      <c r="AH130" s="12">
        <v>0.89</v>
      </c>
      <c r="AI130" s="12">
        <v>3.41</v>
      </c>
      <c r="AJ130" s="12">
        <v>106.89</v>
      </c>
      <c r="AK130" s="12">
        <v>4.93</v>
      </c>
      <c r="AL130" s="12">
        <v>73.99</v>
      </c>
      <c r="AM130" s="12">
        <v>5.97</v>
      </c>
      <c r="AN130" s="12">
        <v>61.17</v>
      </c>
      <c r="AO130" s="12">
        <v>119.71</v>
      </c>
      <c r="AP130" s="12">
        <f t="shared" si="4"/>
        <v>1.40979</v>
      </c>
      <c r="AQ130" s="35">
        <v>0.8037328190084823</v>
      </c>
      <c r="AR130" s="15">
        <f t="shared" si="5"/>
        <v>1</v>
      </c>
      <c r="AS130" s="15">
        <f t="shared" si="113"/>
        <v>0</v>
      </c>
      <c r="AU130" s="15">
        <f>2.551996+('2021'!C130*0.000000012919)+('2021'!E130*0.000003)-('2021'!H130*0.000002)
-('2021'!U130*0.123062)+('2021'!AC130*0.831)-('2021'!AD130*0.008464)-('2021'!AF130*0.15884)
-('2021'!AL130*0.025383)-('2021'!AM130*0.427021)-('2021'!AN130*0.009878)
</f>
        <v>-5.512010396</v>
      </c>
      <c r="AV130" s="15">
        <v>0.00402174155988323</v>
      </c>
      <c r="AW130" s="14">
        <f t="shared" si="7"/>
        <v>0</v>
      </c>
      <c r="AX130" s="14"/>
    </row>
    <row r="131">
      <c r="A131" s="8" t="s">
        <v>184</v>
      </c>
      <c r="B131" s="34">
        <f t="shared" si="1"/>
        <v>0</v>
      </c>
      <c r="C131" s="9">
        <v>2594980.99</v>
      </c>
      <c r="D131" s="9">
        <v>853941.66</v>
      </c>
      <c r="E131" s="9">
        <v>1637500.0</v>
      </c>
      <c r="F131" s="9">
        <v>1741039.33</v>
      </c>
      <c r="G131" s="9">
        <v>414149.32</v>
      </c>
      <c r="H131" s="9">
        <v>297848.57</v>
      </c>
      <c r="I131" s="9">
        <v>132116.08</v>
      </c>
      <c r="J131" s="9">
        <v>116300.75</v>
      </c>
      <c r="K131" s="9">
        <v>56955.63</v>
      </c>
      <c r="L131" s="9">
        <v>40772.11</v>
      </c>
      <c r="M131" s="9">
        <v>55625.03</v>
      </c>
      <c r="N131" s="10">
        <f>IF(AND(K131&lt;0,L131&lt;0,M131&lt;0),1,0)</f>
        <v>0</v>
      </c>
      <c r="O131" s="12">
        <v>0.04</v>
      </c>
      <c r="P131" s="9">
        <v>-260801.22</v>
      </c>
      <c r="Q131" s="9">
        <v>-35664.15</v>
      </c>
      <c r="R131" s="9">
        <v>287272.69</v>
      </c>
      <c r="S131" s="9">
        <v>-9192.67</v>
      </c>
      <c r="T131" s="12">
        <v>3.33</v>
      </c>
      <c r="U131" s="12">
        <v>4.79</v>
      </c>
      <c r="V131" s="12">
        <v>85.45</v>
      </c>
      <c r="W131" s="12">
        <v>13.75</v>
      </c>
      <c r="X131" s="12">
        <v>10.22</v>
      </c>
      <c r="Y131" s="12">
        <v>16.25</v>
      </c>
      <c r="Z131" s="12">
        <f t="shared" si="3"/>
        <v>0</v>
      </c>
      <c r="AA131" s="12"/>
      <c r="AB131" s="12">
        <v>28.08</v>
      </c>
      <c r="AC131" s="12">
        <v>0.49</v>
      </c>
      <c r="AD131" s="12">
        <v>1.96</v>
      </c>
      <c r="AE131" s="12">
        <v>1.81</v>
      </c>
      <c r="AF131" s="12">
        <v>0.07</v>
      </c>
      <c r="AG131" s="12" t="s">
        <v>46</v>
      </c>
      <c r="AH131" s="12">
        <v>0.17</v>
      </c>
      <c r="AI131" s="12" t="s">
        <v>47</v>
      </c>
      <c r="AJ131" s="12" t="s">
        <v>46</v>
      </c>
      <c r="AK131" s="12" t="s">
        <v>47</v>
      </c>
      <c r="AL131" s="12" t="s">
        <v>46</v>
      </c>
      <c r="AM131" s="12" t="s">
        <v>47</v>
      </c>
      <c r="AN131" s="12" t="s">
        <v>46</v>
      </c>
      <c r="AO131" s="12" t="s">
        <v>46</v>
      </c>
      <c r="AP131" s="12" t="str">
        <f t="shared" si="4"/>
        <v>#VALUE!</v>
      </c>
      <c r="AQ131" s="35" t="e">
        <v>#VALUE!</v>
      </c>
      <c r="AR131" s="15" t="str">
        <f t="shared" si="5"/>
        <v>#VALUE!</v>
      </c>
      <c r="AU131" s="15" t="str">
        <f>2.551996+('2021'!C131*0.000000012919)+('2021'!E131*0.000003)-('2021'!H131*0.000002)
-('2021'!U131*0.123062)+('2021'!AC131*0.831)-('2021'!AD131*0.008464)-('2021'!AF131*0.15884)
-('2021'!AL131*0.025383)-('2021'!AM131*0.427021)-('2021'!AN131*0.009878)
</f>
        <v>#VALUE!</v>
      </c>
      <c r="AV131" s="15" t="e">
        <v>#VALUE!</v>
      </c>
      <c r="AW131" s="14" t="str">
        <f t="shared" si="7"/>
        <v>#VALUE!</v>
      </c>
      <c r="AX131" s="14"/>
    </row>
    <row r="132">
      <c r="A132" s="8" t="s">
        <v>185</v>
      </c>
      <c r="B132" s="34" t="str">
        <f t="shared" si="1"/>
        <v/>
      </c>
      <c r="C132" s="9">
        <v>484813.06</v>
      </c>
      <c r="D132" s="9">
        <v>90201.93</v>
      </c>
      <c r="E132" s="9">
        <v>200000.0</v>
      </c>
      <c r="F132" s="9">
        <v>394611.13</v>
      </c>
      <c r="G132" s="9">
        <v>430755.8</v>
      </c>
      <c r="H132" s="9">
        <v>360176.97</v>
      </c>
      <c r="I132" s="9">
        <v>75496.75</v>
      </c>
      <c r="J132" s="9">
        <v>64659.18</v>
      </c>
      <c r="K132" s="9">
        <v>64037.62</v>
      </c>
      <c r="L132" s="9">
        <v>34390.99</v>
      </c>
      <c r="M132" s="9" t="e">
        <v>#N/A</v>
      </c>
      <c r="N132" s="10"/>
      <c r="O132" s="12">
        <v>0.16</v>
      </c>
      <c r="P132" s="9">
        <v>60989.59</v>
      </c>
      <c r="Q132" s="9">
        <v>-50172.89</v>
      </c>
      <c r="R132" s="9">
        <v>-20834.36</v>
      </c>
      <c r="S132" s="9">
        <v>-10017.66</v>
      </c>
      <c r="T132" s="12">
        <v>17.22</v>
      </c>
      <c r="U132" s="12">
        <v>14.31</v>
      </c>
      <c r="V132" s="12">
        <v>52.78</v>
      </c>
      <c r="W132" s="12">
        <v>14.87</v>
      </c>
      <c r="X132" s="12">
        <v>9.94</v>
      </c>
      <c r="Y132" s="12" t="e">
        <v>#N/A</v>
      </c>
      <c r="Z132" s="12" t="str">
        <f t="shared" si="3"/>
        <v>#N/A</v>
      </c>
      <c r="AA132" s="12"/>
      <c r="AB132" s="12">
        <v>15.01</v>
      </c>
      <c r="AC132" s="12">
        <v>0.23</v>
      </c>
      <c r="AD132" s="12">
        <v>93.92</v>
      </c>
      <c r="AE132" s="12">
        <v>5.14</v>
      </c>
      <c r="AF132" s="12">
        <v>2.98</v>
      </c>
      <c r="AG132" s="12">
        <v>15.17</v>
      </c>
      <c r="AH132" s="12">
        <v>0.95</v>
      </c>
      <c r="AI132" s="12">
        <v>1.96</v>
      </c>
      <c r="AJ132" s="12">
        <v>186.0</v>
      </c>
      <c r="AK132" s="12">
        <v>6.81</v>
      </c>
      <c r="AL132" s="12">
        <v>53.61</v>
      </c>
      <c r="AM132" s="12">
        <v>5.0</v>
      </c>
      <c r="AN132" s="12">
        <v>73.04</v>
      </c>
      <c r="AO132" s="12">
        <v>166.57</v>
      </c>
      <c r="AP132" s="12">
        <f t="shared" si="4"/>
        <v>0.51384</v>
      </c>
      <c r="AQ132" s="35">
        <v>0.6257062277905531</v>
      </c>
      <c r="AR132" s="15">
        <f t="shared" si="5"/>
        <v>1</v>
      </c>
      <c r="AS132" s="15">
        <f t="shared" ref="AS132:AS141" si="127">IF(AR132=N132,1,0)</f>
        <v>0</v>
      </c>
      <c r="AU132" s="15">
        <f>2.551996+('2021'!C132*0.000000012919)+('2021'!E132*0.000003)-('2021'!H132*0.000002)
-('2021'!U132*0.123062)+('2021'!AC132*0.831)-('2021'!AD132*0.008464)-('2021'!AF132*0.15884)
-('2021'!AL132*0.025383)-('2021'!AM132*0.427021)-('2021'!AN132*0.009878)
</f>
        <v>-4.61764069</v>
      </c>
      <c r="AV132" s="15">
        <v>0.009779486418665204</v>
      </c>
      <c r="AW132" s="14">
        <f t="shared" si="7"/>
        <v>0</v>
      </c>
      <c r="AX132" s="14"/>
    </row>
    <row r="133">
      <c r="A133" s="8" t="s">
        <v>186</v>
      </c>
      <c r="B133" s="34">
        <f t="shared" si="1"/>
        <v>0</v>
      </c>
      <c r="C133" s="9">
        <v>1760668.69</v>
      </c>
      <c r="D133" s="9">
        <v>607559.21</v>
      </c>
      <c r="E133" s="9">
        <v>648564.61</v>
      </c>
      <c r="F133" s="9">
        <v>951823.45</v>
      </c>
      <c r="G133" s="9">
        <v>980399.3</v>
      </c>
      <c r="H133" s="9">
        <v>827955.29</v>
      </c>
      <c r="I133" s="9">
        <v>274284.8</v>
      </c>
      <c r="J133" s="9">
        <v>152474.07</v>
      </c>
      <c r="K133" s="9">
        <v>74241.94</v>
      </c>
      <c r="L133" s="9">
        <v>40777.0</v>
      </c>
      <c r="M133" s="9">
        <v>69027.0</v>
      </c>
      <c r="N133" s="10">
        <f>IF(AND(K133&lt;0,L133&lt;0,M133&lt;0),1,0)</f>
        <v>0</v>
      </c>
      <c r="O133" s="12">
        <v>0.12</v>
      </c>
      <c r="P133" s="9">
        <v>-138498.71</v>
      </c>
      <c r="Q133" s="9">
        <v>124653.09</v>
      </c>
      <c r="R133" s="9">
        <v>-67277.46</v>
      </c>
      <c r="S133" s="9">
        <v>-81123.07</v>
      </c>
      <c r="T133" s="12">
        <v>10.13</v>
      </c>
      <c r="U133" s="12">
        <v>8.77</v>
      </c>
      <c r="V133" s="12">
        <v>37.16</v>
      </c>
      <c r="W133" s="12">
        <v>10.12</v>
      </c>
      <c r="X133" s="12">
        <v>6.38</v>
      </c>
      <c r="Y133" s="12">
        <v>4.98</v>
      </c>
      <c r="Z133" s="12">
        <f t="shared" si="3"/>
        <v>0</v>
      </c>
      <c r="AA133" s="12"/>
      <c r="AB133" s="12">
        <v>15.55</v>
      </c>
      <c r="AC133" s="12">
        <v>0.53</v>
      </c>
      <c r="AD133" s="12">
        <v>5.15</v>
      </c>
      <c r="AE133" s="12">
        <v>1.79</v>
      </c>
      <c r="AF133" s="12">
        <v>0.62</v>
      </c>
      <c r="AG133" s="12">
        <v>2.67</v>
      </c>
      <c r="AH133" s="12">
        <v>0.56</v>
      </c>
      <c r="AI133" s="12">
        <v>6.65</v>
      </c>
      <c r="AJ133" s="12">
        <v>54.87</v>
      </c>
      <c r="AK133" s="12">
        <v>5.02</v>
      </c>
      <c r="AL133" s="12">
        <v>72.66</v>
      </c>
      <c r="AM133" s="12">
        <v>3.33</v>
      </c>
      <c r="AN133" s="12">
        <v>109.7</v>
      </c>
      <c r="AO133" s="12">
        <v>17.82</v>
      </c>
      <c r="AP133" s="12">
        <f t="shared" si="4"/>
        <v>0.00537</v>
      </c>
      <c r="AQ133" s="35">
        <v>0.501342496773881</v>
      </c>
      <c r="AR133" s="15">
        <f t="shared" si="5"/>
        <v>1</v>
      </c>
      <c r="AS133" s="15">
        <f t="shared" si="127"/>
        <v>0</v>
      </c>
      <c r="AU133" s="15">
        <f>2.551996+('2021'!C133*0.000000012919)+('2021'!E133*0.000003)-('2021'!H133*0.000002)
-('2021'!U133*0.123062)+('2021'!AC133*0.831)-('2021'!AD133*0.008464)-('2021'!AF133*0.15884)
-('2021'!AL133*0.025383)-('2021'!AM133*0.427021)-('2021'!AN133*0.009878)
</f>
        <v>-2.266294121</v>
      </c>
      <c r="AV133" s="15">
        <v>0.09395320452820342</v>
      </c>
      <c r="AW133" s="14">
        <f t="shared" si="7"/>
        <v>0</v>
      </c>
      <c r="AX133" s="14" t="str">
        <f>IF(AW133='temp result 2022'!B133,1,IF(Z133="-",1,0))</f>
        <v>#REF!</v>
      </c>
      <c r="AZ133" s="15" t="str">
        <f>IF(and(AW133=0,AX133=1),1,0)</f>
        <v>#REF!</v>
      </c>
      <c r="BA133" s="15" t="str">
        <f>IF(AND(AW133=0,AX133=0),1,0)</f>
        <v>#REF!</v>
      </c>
      <c r="BB133" s="15" t="str">
        <f>IF(AND(AW133=1,AX133=0),1,0)</f>
        <v>#REF!</v>
      </c>
      <c r="BC133" s="15" t="str">
        <f>IF(AND(AW133=1,AX133=1),1,0)</f>
        <v>#REF!</v>
      </c>
      <c r="BD133" s="15" t="str">
        <f>IF(AZ133+BA133+BB133+BC133&gt;1,1,0)</f>
        <v>#REF!</v>
      </c>
    </row>
    <row r="134">
      <c r="A134" s="8" t="s">
        <v>187</v>
      </c>
      <c r="B134" s="34" t="str">
        <f t="shared" si="1"/>
        <v/>
      </c>
      <c r="C134" s="9">
        <v>530095.88</v>
      </c>
      <c r="D134" s="9">
        <v>175714.95</v>
      </c>
      <c r="E134" s="9">
        <v>230000.0</v>
      </c>
      <c r="F134" s="9">
        <v>354380.72</v>
      </c>
      <c r="G134" s="9">
        <v>636328.26</v>
      </c>
      <c r="H134" s="9">
        <v>604722.38</v>
      </c>
      <c r="I134" s="9">
        <v>47788.78</v>
      </c>
      <c r="J134" s="9">
        <v>32418.16</v>
      </c>
      <c r="K134" s="9">
        <v>24854.56</v>
      </c>
      <c r="L134" s="9">
        <v>19131.36</v>
      </c>
      <c r="M134" s="9" t="e">
        <v>#N/A</v>
      </c>
      <c r="N134" s="10"/>
      <c r="O134" s="12">
        <v>0.05</v>
      </c>
      <c r="P134" s="9">
        <v>6832.49</v>
      </c>
      <c r="Q134" s="9">
        <v>-16217.69</v>
      </c>
      <c r="R134" s="9">
        <v>-3934.07</v>
      </c>
      <c r="S134" s="9">
        <v>-13319.27</v>
      </c>
      <c r="T134" s="12">
        <v>7.17</v>
      </c>
      <c r="U134" s="12">
        <v>6.38</v>
      </c>
      <c r="V134" s="12">
        <v>19.6</v>
      </c>
      <c r="W134" s="12">
        <v>3.91</v>
      </c>
      <c r="X134" s="12">
        <v>3.41</v>
      </c>
      <c r="Y134" s="12" t="e">
        <v>#N/A</v>
      </c>
      <c r="Z134" s="12" t="str">
        <f t="shared" si="3"/>
        <v>#N/A</v>
      </c>
      <c r="AA134" s="12"/>
      <c r="AB134" s="12">
        <v>5.09</v>
      </c>
      <c r="AC134" s="12">
        <v>0.5</v>
      </c>
      <c r="AD134" s="12">
        <v>32.62</v>
      </c>
      <c r="AE134" s="12">
        <v>2.79</v>
      </c>
      <c r="AF134" s="12">
        <v>1.36</v>
      </c>
      <c r="AG134" s="12">
        <v>4.59</v>
      </c>
      <c r="AH134" s="12">
        <v>1.25</v>
      </c>
      <c r="AI134" s="12">
        <v>6.15</v>
      </c>
      <c r="AJ134" s="12">
        <v>59.33</v>
      </c>
      <c r="AK134" s="12">
        <v>7.25</v>
      </c>
      <c r="AL134" s="12">
        <v>50.34</v>
      </c>
      <c r="AM134" s="12">
        <v>8.59</v>
      </c>
      <c r="AN134" s="12">
        <v>42.47</v>
      </c>
      <c r="AO134" s="12">
        <v>67.2</v>
      </c>
      <c r="AP134" s="12">
        <f t="shared" si="4"/>
        <v>0.95808</v>
      </c>
      <c r="AQ134" s="35">
        <v>0.7227372245032041</v>
      </c>
      <c r="AR134" s="15">
        <f t="shared" si="5"/>
        <v>1</v>
      </c>
      <c r="AS134" s="15">
        <f t="shared" si="127"/>
        <v>0</v>
      </c>
      <c r="AU134" s="15">
        <f>2.551996+('2021'!C134*0.000000012919)+('2021'!E134*0.000003)-('2021'!H134*0.000002)
-('2021'!U134*0.123062)+('2021'!AC134*0.831)-('2021'!AD134*0.008464)-('2021'!AF134*0.15884)
-('2021'!AL134*0.025383)-('2021'!AM134*0.427021)-('2021'!AN134*0.009878)
</f>
        <v>-4.187763361</v>
      </c>
      <c r="AV134" s="15">
        <v>0.014953206888340906</v>
      </c>
      <c r="AW134" s="14">
        <f t="shared" si="7"/>
        <v>0</v>
      </c>
      <c r="AX134" s="14"/>
    </row>
    <row r="135">
      <c r="A135" s="8" t="s">
        <v>188</v>
      </c>
      <c r="B135" s="34">
        <f t="shared" si="1"/>
        <v>0</v>
      </c>
      <c r="C135" s="9">
        <v>134946.62</v>
      </c>
      <c r="D135" s="9">
        <v>86899.94</v>
      </c>
      <c r="E135" s="9">
        <v>128077.7</v>
      </c>
      <c r="F135" s="9">
        <v>48046.68</v>
      </c>
      <c r="G135" s="9">
        <v>180872.24</v>
      </c>
      <c r="H135" s="9">
        <v>170662.42</v>
      </c>
      <c r="I135" s="9">
        <v>13411.89</v>
      </c>
      <c r="J135" s="9">
        <v>10209.83</v>
      </c>
      <c r="K135" s="9">
        <v>10072.96</v>
      </c>
      <c r="L135" s="9">
        <v>-26101.01</v>
      </c>
      <c r="M135" s="9">
        <v>-19984.7</v>
      </c>
      <c r="N135" s="10">
        <f t="shared" ref="N135:N136" si="128">IF(AND(K135&lt;0,L135&lt;0,M135&lt;0),1,0)</f>
        <v>0</v>
      </c>
      <c r="O135" s="12">
        <v>0.05</v>
      </c>
      <c r="P135" s="9">
        <v>-24226.96</v>
      </c>
      <c r="Q135" s="9">
        <v>-1278.09</v>
      </c>
      <c r="R135" s="9">
        <v>54102.53</v>
      </c>
      <c r="S135" s="9">
        <v>28597.47</v>
      </c>
      <c r="T135" s="12">
        <v>67.83</v>
      </c>
      <c r="U135" s="12">
        <v>10.34</v>
      </c>
      <c r="V135" s="12">
        <v>34.79</v>
      </c>
      <c r="W135" s="12">
        <v>5.57</v>
      </c>
      <c r="X135" s="12">
        <v>-25.45</v>
      </c>
      <c r="Y135" s="12">
        <v>-163.19</v>
      </c>
      <c r="Z135" s="12">
        <f t="shared" si="3"/>
        <v>0</v>
      </c>
      <c r="AA135" s="12"/>
      <c r="AB135" s="12">
        <v>5.64</v>
      </c>
      <c r="AC135" s="12">
        <v>1.81</v>
      </c>
      <c r="AD135" s="12">
        <v>40.11</v>
      </c>
      <c r="AE135" s="12">
        <v>1.41</v>
      </c>
      <c r="AF135" s="12">
        <v>0.91</v>
      </c>
      <c r="AG135" s="12">
        <v>33.24</v>
      </c>
      <c r="AH135" s="12">
        <v>1.83</v>
      </c>
      <c r="AI135" s="12">
        <v>91.89</v>
      </c>
      <c r="AJ135" s="12">
        <v>3.97</v>
      </c>
      <c r="AK135" s="12">
        <v>7.33</v>
      </c>
      <c r="AL135" s="12">
        <v>49.76</v>
      </c>
      <c r="AM135" s="12">
        <v>2.12</v>
      </c>
      <c r="AN135" s="12">
        <v>171.91</v>
      </c>
      <c r="AO135" s="12">
        <v>-118.17</v>
      </c>
      <c r="AP135" s="12">
        <f t="shared" si="4"/>
        <v>0.16055</v>
      </c>
      <c r="AQ135" s="35">
        <v>0.5400515052939562</v>
      </c>
      <c r="AR135" s="15">
        <f t="shared" si="5"/>
        <v>1</v>
      </c>
      <c r="AS135" s="15">
        <f t="shared" si="127"/>
        <v>0</v>
      </c>
      <c r="AU135" s="15">
        <f>2.551996+('2021'!C135*0.000000012919)+('2021'!E135*0.000003)-('2021'!H135*0.000002)
-('2021'!U135*0.123062)+('2021'!AC135*0.831)-('2021'!AD135*0.008464)-('2021'!AF135*0.15884)
-('2021'!AL135*0.025383)-('2021'!AM135*0.427021)-('2021'!AN135*0.009878)
</f>
        <v>-1.522208465</v>
      </c>
      <c r="AV135" s="15">
        <v>0.17913654195109796</v>
      </c>
      <c r="AW135" s="14">
        <f t="shared" si="7"/>
        <v>0</v>
      </c>
      <c r="AX135" s="14" t="str">
        <f t="shared" ref="AX135:AX136" si="129">IF(AW135='temp result 2022'!B135,1,IF(Z135="-",1,0))</f>
        <v>#REF!</v>
      </c>
      <c r="AZ135" s="15" t="str">
        <f t="shared" ref="AZ135:AZ136" si="130">IF(and(AW135=0,AX135=1),1,0)</f>
        <v>#REF!</v>
      </c>
      <c r="BA135" s="15" t="str">
        <f t="shared" ref="BA135:BA136" si="131">IF(AND(AW135=0,AX135=0),1,0)</f>
        <v>#REF!</v>
      </c>
      <c r="BB135" s="15" t="str">
        <f t="shared" ref="BB135:BB136" si="132">IF(AND(AW135=1,AX135=0),1,0)</f>
        <v>#REF!</v>
      </c>
      <c r="BC135" s="15" t="str">
        <f t="shared" ref="BC135:BC136" si="133">IF(AND(AW135=1,AX135=1),1,0)</f>
        <v>#REF!</v>
      </c>
      <c r="BD135" s="15" t="str">
        <f t="shared" ref="BD135:BD136" si="134">IF(AZ135+BA135+BB135+BC135&gt;1,1,0)</f>
        <v>#REF!</v>
      </c>
    </row>
    <row r="136">
      <c r="A136" s="8" t="s">
        <v>189</v>
      </c>
      <c r="B136" s="34">
        <f t="shared" si="1"/>
        <v>0</v>
      </c>
      <c r="C136" s="9">
        <v>722299.0</v>
      </c>
      <c r="D136" s="9">
        <v>114829.0</v>
      </c>
      <c r="E136" s="9">
        <v>520783.0</v>
      </c>
      <c r="F136" s="9">
        <v>607470.0</v>
      </c>
      <c r="G136" s="9">
        <v>459481.0</v>
      </c>
      <c r="H136" s="9">
        <v>409087.0</v>
      </c>
      <c r="I136" s="9">
        <v>97746.0</v>
      </c>
      <c r="J136" s="9">
        <v>50394.0</v>
      </c>
      <c r="K136" s="9">
        <v>39869.0</v>
      </c>
      <c r="L136" s="9">
        <v>45807.0</v>
      </c>
      <c r="M136" s="9">
        <v>44235.0</v>
      </c>
      <c r="N136" s="10">
        <f t="shared" si="128"/>
        <v>0</v>
      </c>
      <c r="O136" s="12">
        <v>0.04</v>
      </c>
      <c r="P136" s="9">
        <v>87015.0</v>
      </c>
      <c r="Q136" s="9">
        <v>-10033.0</v>
      </c>
      <c r="R136" s="9">
        <v>38855.0</v>
      </c>
      <c r="S136" s="9">
        <v>115837.0</v>
      </c>
      <c r="T136" s="12">
        <v>7.11</v>
      </c>
      <c r="U136" s="12">
        <v>7.42</v>
      </c>
      <c r="V136" s="12">
        <v>22.54</v>
      </c>
      <c r="W136" s="12">
        <v>8.68</v>
      </c>
      <c r="X136" s="12">
        <v>10.93</v>
      </c>
      <c r="Y136" s="12">
        <v>9.48</v>
      </c>
      <c r="Z136" s="12">
        <f t="shared" si="3"/>
        <v>0</v>
      </c>
      <c r="AA136" s="12"/>
      <c r="AB136" s="12">
        <v>10.97</v>
      </c>
      <c r="AC136" s="12">
        <v>0.19</v>
      </c>
      <c r="AD136" s="12">
        <v>23.61</v>
      </c>
      <c r="AE136" s="12">
        <v>3.51</v>
      </c>
      <c r="AF136" s="12">
        <v>3.02</v>
      </c>
      <c r="AG136" s="12">
        <v>1.0</v>
      </c>
      <c r="AH136" s="12">
        <v>0.68</v>
      </c>
      <c r="AI136" s="12">
        <v>10.43</v>
      </c>
      <c r="AJ136" s="12">
        <v>35.01</v>
      </c>
      <c r="AK136" s="12">
        <v>5.5</v>
      </c>
      <c r="AL136" s="12">
        <v>66.34</v>
      </c>
      <c r="AM136" s="12">
        <v>5.7</v>
      </c>
      <c r="AN136" s="12">
        <v>64.04</v>
      </c>
      <c r="AO136" s="12">
        <v>37.3</v>
      </c>
      <c r="AP136" s="12">
        <f t="shared" si="4"/>
        <v>0.65603</v>
      </c>
      <c r="AQ136" s="35">
        <v>0.6583680199803793</v>
      </c>
      <c r="AR136" s="15">
        <f t="shared" si="5"/>
        <v>1</v>
      </c>
      <c r="AS136" s="15">
        <f t="shared" si="127"/>
        <v>0</v>
      </c>
      <c r="AU136" s="15">
        <f>2.551996+('2021'!C136*0.000000012919)+('2021'!E136*0.000003)-('2021'!H136*0.000002)
-('2021'!U136*0.123062)+('2021'!AC136*0.831)-('2021'!AD136*0.008464)-('2021'!AF136*0.15884)
-('2021'!AL136*0.025383)-('2021'!AM136*0.427021)-('2021'!AN136*0.009878)
</f>
        <v>-2.879774539</v>
      </c>
      <c r="AV136" s="15">
        <v>0.053162484101516035</v>
      </c>
      <c r="AW136" s="14">
        <f t="shared" si="7"/>
        <v>0</v>
      </c>
      <c r="AX136" s="14" t="str">
        <f t="shared" si="129"/>
        <v>#REF!</v>
      </c>
      <c r="AZ136" s="15" t="str">
        <f t="shared" si="130"/>
        <v>#REF!</v>
      </c>
      <c r="BA136" s="15" t="str">
        <f t="shared" si="131"/>
        <v>#REF!</v>
      </c>
      <c r="BB136" s="15" t="str">
        <f t="shared" si="132"/>
        <v>#REF!</v>
      </c>
      <c r="BC136" s="15" t="str">
        <f t="shared" si="133"/>
        <v>#REF!</v>
      </c>
      <c r="BD136" s="15" t="str">
        <f t="shared" si="134"/>
        <v>#REF!</v>
      </c>
    </row>
    <row r="137">
      <c r="A137" s="8" t="s">
        <v>308</v>
      </c>
      <c r="B137" s="34" t="str">
        <f t="shared" si="1"/>
        <v/>
      </c>
      <c r="C137" s="9">
        <v>1377124.33</v>
      </c>
      <c r="D137" s="9">
        <v>479265.82</v>
      </c>
      <c r="E137" s="9">
        <v>107000.0</v>
      </c>
      <c r="F137" s="9">
        <v>897858.51</v>
      </c>
      <c r="G137" s="9">
        <v>1622724.52</v>
      </c>
      <c r="H137" s="9">
        <v>1207350.63</v>
      </c>
      <c r="I137" s="9">
        <v>435371.42</v>
      </c>
      <c r="J137" s="9">
        <v>406867.25</v>
      </c>
      <c r="K137" s="9">
        <v>319842.7</v>
      </c>
      <c r="L137" s="9" t="e">
        <v>#N/A</v>
      </c>
      <c r="M137" s="9" t="e">
        <v>#N/A</v>
      </c>
      <c r="N137" s="10"/>
      <c r="O137" s="12">
        <v>1.69</v>
      </c>
      <c r="P137" s="9">
        <v>143258.52</v>
      </c>
      <c r="Q137" s="9">
        <v>-36428.27</v>
      </c>
      <c r="R137" s="9">
        <v>352013.24</v>
      </c>
      <c r="S137" s="9">
        <v>458843.49</v>
      </c>
      <c r="T137" s="12">
        <v>57.02</v>
      </c>
      <c r="U137" s="12">
        <v>40.28</v>
      </c>
      <c r="V137" s="12">
        <v>38.93</v>
      </c>
      <c r="W137" s="12">
        <v>19.71</v>
      </c>
      <c r="X137" s="12" t="e">
        <v>#N/A</v>
      </c>
      <c r="Y137" s="12" t="e">
        <v>#N/A</v>
      </c>
      <c r="Z137" s="12" t="str">
        <f t="shared" si="3"/>
        <v>#N/A</v>
      </c>
      <c r="AA137" s="12"/>
      <c r="AB137" s="12">
        <v>25.07</v>
      </c>
      <c r="AC137" s="12">
        <v>0.53</v>
      </c>
      <c r="AD137" s="12">
        <v>36.54</v>
      </c>
      <c r="AE137" s="12">
        <v>2.89</v>
      </c>
      <c r="AF137" s="12">
        <v>1.97</v>
      </c>
      <c r="AG137" s="12">
        <v>12.48</v>
      </c>
      <c r="AH137" s="12">
        <v>1.61</v>
      </c>
      <c r="AI137" s="12">
        <v>3.88</v>
      </c>
      <c r="AJ137" s="12">
        <v>94.13</v>
      </c>
      <c r="AK137" s="12">
        <v>7.22</v>
      </c>
      <c r="AL137" s="12">
        <v>50.53</v>
      </c>
      <c r="AM137" s="12">
        <v>15.04</v>
      </c>
      <c r="AN137" s="12">
        <v>24.28</v>
      </c>
      <c r="AO137" s="12">
        <v>120.38</v>
      </c>
      <c r="AP137" s="12">
        <f t="shared" si="4"/>
        <v>4.79406</v>
      </c>
      <c r="AQ137" s="35">
        <v>0.9917891981771633</v>
      </c>
      <c r="AR137" s="15">
        <f t="shared" si="5"/>
        <v>1</v>
      </c>
      <c r="AS137" s="15">
        <f t="shared" si="127"/>
        <v>0</v>
      </c>
      <c r="AU137" s="15">
        <f>2.551996+('2021'!C137*0.000000012919)+('2021'!E137*0.000003)-('2021'!H137*0.000002)
-('2021'!U137*0.123062)+('2021'!AC137*0.831)-('2021'!AD137*0.008464)-('2021'!AF137*0.15884)
-('2021'!AL137*0.025383)-('2021'!AM137*0.427021)-('2021'!AN137*0.009878)
</f>
        <v>-12.60744758</v>
      </c>
      <c r="AV137" s="15">
        <v>3.346983961096593E-6</v>
      </c>
      <c r="AW137" s="14">
        <f t="shared" si="7"/>
        <v>0</v>
      </c>
      <c r="AX137" s="14"/>
    </row>
    <row r="138">
      <c r="A138" s="8" t="s">
        <v>191</v>
      </c>
      <c r="B138" s="34">
        <f t="shared" si="1"/>
        <v>0</v>
      </c>
      <c r="C138" s="9">
        <v>1657097.41</v>
      </c>
      <c r="D138" s="9">
        <v>628766.29</v>
      </c>
      <c r="E138" s="9">
        <v>358659.4</v>
      </c>
      <c r="F138" s="9">
        <v>1014745.12</v>
      </c>
      <c r="G138" s="9">
        <v>3374844.53</v>
      </c>
      <c r="H138" s="9">
        <v>3072316.96</v>
      </c>
      <c r="I138" s="9">
        <v>335013.47</v>
      </c>
      <c r="J138" s="9">
        <v>302527.57</v>
      </c>
      <c r="K138" s="9">
        <v>226140.17</v>
      </c>
      <c r="L138" s="9">
        <v>59837.17</v>
      </c>
      <c r="M138" s="9">
        <v>46532.73</v>
      </c>
      <c r="N138" s="10">
        <f t="shared" ref="N138:N153" si="135">IF(AND(K138&lt;0,L138&lt;0,M138&lt;0),1,0)</f>
        <v>0</v>
      </c>
      <c r="O138" s="12">
        <v>0.39</v>
      </c>
      <c r="P138" s="9">
        <v>82408.82</v>
      </c>
      <c r="Q138" s="9">
        <v>-214646.03</v>
      </c>
      <c r="R138" s="9">
        <v>258593.55</v>
      </c>
      <c r="S138" s="9">
        <v>126356.34</v>
      </c>
      <c r="T138" s="12">
        <v>27.27</v>
      </c>
      <c r="U138" s="12">
        <v>22.54</v>
      </c>
      <c r="V138" s="12">
        <v>16.09</v>
      </c>
      <c r="W138" s="12">
        <v>6.94</v>
      </c>
      <c r="X138" s="12">
        <v>4.54</v>
      </c>
      <c r="Y138" s="12">
        <v>4.18</v>
      </c>
      <c r="Z138" s="12">
        <f t="shared" si="3"/>
        <v>0</v>
      </c>
      <c r="AA138" s="12"/>
      <c r="AB138" s="12">
        <v>8.96</v>
      </c>
      <c r="AC138" s="12">
        <v>0.61</v>
      </c>
      <c r="AD138" s="12">
        <v>31.38</v>
      </c>
      <c r="AE138" s="12">
        <v>1.88</v>
      </c>
      <c r="AF138" s="12">
        <v>1.81</v>
      </c>
      <c r="AG138" s="12">
        <v>5.98</v>
      </c>
      <c r="AH138" s="12">
        <v>2.51</v>
      </c>
      <c r="AI138" s="12" t="s">
        <v>47</v>
      </c>
      <c r="AJ138" s="12" t="s">
        <v>46</v>
      </c>
      <c r="AK138" s="12">
        <v>7.1</v>
      </c>
      <c r="AL138" s="12">
        <v>51.39</v>
      </c>
      <c r="AM138" s="12">
        <v>20.94</v>
      </c>
      <c r="AN138" s="12">
        <v>17.43</v>
      </c>
      <c r="AO138" s="12">
        <v>33.96</v>
      </c>
      <c r="AP138" s="12">
        <f t="shared" si="4"/>
        <v>4.06492</v>
      </c>
      <c r="AQ138" s="35">
        <v>0.9831252814169443</v>
      </c>
      <c r="AR138" s="15">
        <f t="shared" si="5"/>
        <v>1</v>
      </c>
      <c r="AS138" s="15">
        <f t="shared" si="127"/>
        <v>0</v>
      </c>
      <c r="AU138" s="15">
        <f>2.551996+('2021'!C138*0.000000012919)+('2021'!E138*0.000003)-('2021'!H138*0.000002)
-('2021'!U138*0.123062)+('2021'!AC138*0.831)-('2021'!AD138*0.008464)-('2021'!AF138*0.15884)
-('2021'!AL138*0.025383)-('2021'!AM138*0.427021)-('2021'!AN138*0.009878)
</f>
        <v>-15.73368553</v>
      </c>
      <c r="AV138" s="15">
        <v>1.4687474687775568E-7</v>
      </c>
      <c r="AW138" s="14">
        <f t="shared" si="7"/>
        <v>0</v>
      </c>
      <c r="AX138" s="14" t="str">
        <f t="shared" ref="AX138:AX141" si="136">IF(AW138='temp result 2022'!B138,1,IF(Z138="-",1,0))</f>
        <v>#REF!</v>
      </c>
      <c r="AZ138" s="15" t="str">
        <f t="shared" ref="AZ138:AZ141" si="137">IF(and(AW138=0,AX138=1),1,0)</f>
        <v>#REF!</v>
      </c>
      <c r="BA138" s="15" t="str">
        <f t="shared" ref="BA138:BA141" si="138">IF(AND(AW138=0,AX138=0),1,0)</f>
        <v>#REF!</v>
      </c>
      <c r="BB138" s="15" t="str">
        <f t="shared" ref="BB138:BB141" si="139">IF(AND(AW138=1,AX138=0),1,0)</f>
        <v>#REF!</v>
      </c>
      <c r="BC138" s="15" t="str">
        <f t="shared" ref="BC138:BC141" si="140">IF(AND(AW138=1,AX138=1),1,0)</f>
        <v>#REF!</v>
      </c>
      <c r="BD138" s="15" t="str">
        <f t="shared" ref="BD138:BD141" si="141">IF(AZ138+BA138+BB138+BC138&gt;1,1,0)</f>
        <v>#REF!</v>
      </c>
    </row>
    <row r="139">
      <c r="A139" s="8" t="s">
        <v>192</v>
      </c>
      <c r="B139" s="34">
        <f t="shared" si="1"/>
        <v>0</v>
      </c>
      <c r="C139" s="9">
        <v>2257836.92</v>
      </c>
      <c r="D139" s="9">
        <v>1639345.19</v>
      </c>
      <c r="E139" s="9">
        <v>213749.98</v>
      </c>
      <c r="F139" s="9">
        <v>618488.87</v>
      </c>
      <c r="G139" s="9">
        <v>174943.09</v>
      </c>
      <c r="H139" s="9">
        <v>426211.01</v>
      </c>
      <c r="I139" s="9">
        <v>75476.66</v>
      </c>
      <c r="J139" s="9">
        <v>-251267.91</v>
      </c>
      <c r="K139" s="9">
        <v>-286718.58</v>
      </c>
      <c r="L139" s="9">
        <v>-209084.94</v>
      </c>
      <c r="M139" s="9">
        <v>245469.17</v>
      </c>
      <c r="N139" s="10">
        <f t="shared" si="135"/>
        <v>0</v>
      </c>
      <c r="O139" s="12">
        <v>-0.34</v>
      </c>
      <c r="P139" s="9">
        <v>-80896.45</v>
      </c>
      <c r="Q139" s="9">
        <v>-24932.6</v>
      </c>
      <c r="R139" s="9">
        <v>101156.78</v>
      </c>
      <c r="S139" s="9">
        <v>-4672.27</v>
      </c>
      <c r="T139" s="12">
        <v>-37.63</v>
      </c>
      <c r="U139" s="12">
        <v>-10.28</v>
      </c>
      <c r="V139" s="12">
        <v>-90.03</v>
      </c>
      <c r="W139" s="12">
        <v>-163.89</v>
      </c>
      <c r="X139" s="12">
        <v>-48.0</v>
      </c>
      <c r="Y139" s="12">
        <v>17.53</v>
      </c>
      <c r="Z139" s="12">
        <f t="shared" si="3"/>
        <v>0</v>
      </c>
      <c r="AA139" s="12"/>
      <c r="AB139" s="12">
        <v>-143.63</v>
      </c>
      <c r="AC139" s="12">
        <v>2.65</v>
      </c>
      <c r="AD139" s="12">
        <v>-5.69</v>
      </c>
      <c r="AE139" s="12">
        <v>0.54</v>
      </c>
      <c r="AF139" s="12">
        <v>0.33</v>
      </c>
      <c r="AG139" s="12">
        <v>0.12</v>
      </c>
      <c r="AH139" s="12">
        <v>0.07</v>
      </c>
      <c r="AI139" s="12">
        <v>9.35</v>
      </c>
      <c r="AJ139" s="12">
        <v>39.03</v>
      </c>
      <c r="AK139" s="12">
        <v>7.21</v>
      </c>
      <c r="AL139" s="12">
        <v>50.63</v>
      </c>
      <c r="AM139" s="12">
        <v>7.8</v>
      </c>
      <c r="AN139" s="12">
        <v>46.81</v>
      </c>
      <c r="AO139" s="12">
        <v>42.84</v>
      </c>
      <c r="AP139" s="12">
        <f t="shared" si="4"/>
        <v>59.0927</v>
      </c>
      <c r="AQ139" s="35">
        <v>1.0</v>
      </c>
      <c r="AR139" s="15">
        <f t="shared" si="5"/>
        <v>1</v>
      </c>
      <c r="AS139" s="15">
        <f t="shared" si="127"/>
        <v>0</v>
      </c>
      <c r="AU139" s="15">
        <f>2.551996+('2021'!C139*0.000000012919)+('2021'!E139*0.000003)-('2021'!H139*0.000002)
-('2021'!U139*0.123062)+('2021'!AC139*0.831)-('2021'!AD139*0.008464)-('2021'!AF139*0.15884)
-('2021'!AL139*0.025383)-('2021'!AM139*0.427021)-('2021'!AN139*0.009878)
</f>
        <v>0.7546689652</v>
      </c>
      <c r="AV139" s="15">
        <v>0.6801951910894132</v>
      </c>
      <c r="AW139" s="14">
        <f t="shared" si="7"/>
        <v>1</v>
      </c>
      <c r="AX139" s="14" t="str">
        <f t="shared" si="136"/>
        <v>#REF!</v>
      </c>
      <c r="AZ139" s="15" t="str">
        <f t="shared" si="137"/>
        <v>#REF!</v>
      </c>
      <c r="BA139" s="15" t="str">
        <f t="shared" si="138"/>
        <v>#REF!</v>
      </c>
      <c r="BB139" s="15" t="str">
        <f t="shared" si="139"/>
        <v>#REF!</v>
      </c>
      <c r="BC139" s="15" t="str">
        <f t="shared" si="140"/>
        <v>#REF!</v>
      </c>
      <c r="BD139" s="15" t="str">
        <f t="shared" si="141"/>
        <v>#REF!</v>
      </c>
    </row>
    <row r="140">
      <c r="A140" s="8" t="s">
        <v>193</v>
      </c>
      <c r="B140" s="34">
        <f t="shared" si="1"/>
        <v>0</v>
      </c>
      <c r="C140" s="9">
        <v>791784.71</v>
      </c>
      <c r="D140" s="9">
        <v>299732.51</v>
      </c>
      <c r="E140" s="9">
        <v>200000.0</v>
      </c>
      <c r="F140" s="9">
        <v>492052.21</v>
      </c>
      <c r="G140" s="9">
        <v>5573258.93</v>
      </c>
      <c r="H140" s="9">
        <v>5408013.9</v>
      </c>
      <c r="I140" s="9">
        <v>242125.71</v>
      </c>
      <c r="J140" s="9">
        <v>165245.03</v>
      </c>
      <c r="K140" s="9">
        <v>125561.64</v>
      </c>
      <c r="L140" s="9">
        <v>73301.19</v>
      </c>
      <c r="M140" s="9">
        <v>75695.99</v>
      </c>
      <c r="N140" s="10">
        <f t="shared" si="135"/>
        <v>0</v>
      </c>
      <c r="O140" s="12">
        <v>0.31</v>
      </c>
      <c r="P140" s="9">
        <v>304716.36</v>
      </c>
      <c r="Q140" s="9">
        <v>-42384.96</v>
      </c>
      <c r="R140" s="9">
        <v>-207856.64</v>
      </c>
      <c r="S140" s="9">
        <v>54474.77</v>
      </c>
      <c r="T140" s="12">
        <v>27.77</v>
      </c>
      <c r="U140" s="12">
        <v>19.96</v>
      </c>
      <c r="V140" s="12">
        <v>9.7</v>
      </c>
      <c r="W140" s="12">
        <v>2.25</v>
      </c>
      <c r="X140" s="12">
        <v>2.02</v>
      </c>
      <c r="Y140" s="12">
        <v>2.1</v>
      </c>
      <c r="Z140" s="12">
        <f t="shared" si="3"/>
        <v>0</v>
      </c>
      <c r="AA140" s="12"/>
      <c r="AB140" s="12">
        <v>2.96</v>
      </c>
      <c r="AC140" s="12">
        <v>0.61</v>
      </c>
      <c r="AD140" s="12">
        <v>19.29</v>
      </c>
      <c r="AE140" s="12">
        <v>2.8</v>
      </c>
      <c r="AF140" s="12">
        <v>0.96</v>
      </c>
      <c r="AG140" s="12">
        <v>25.36</v>
      </c>
      <c r="AH140" s="12">
        <v>6.73</v>
      </c>
      <c r="AI140" s="12">
        <v>12.81</v>
      </c>
      <c r="AJ140" s="12">
        <v>28.48</v>
      </c>
      <c r="AK140" s="12">
        <v>76.78</v>
      </c>
      <c r="AL140" s="12">
        <v>4.75</v>
      </c>
      <c r="AM140" s="12">
        <v>39.63</v>
      </c>
      <c r="AN140" s="12">
        <v>9.21</v>
      </c>
      <c r="AO140" s="12">
        <v>24.03</v>
      </c>
      <c r="AP140" s="12">
        <f t="shared" si="4"/>
        <v>3.9717</v>
      </c>
      <c r="AQ140" s="35">
        <v>0.9815070569300226</v>
      </c>
      <c r="AR140" s="15">
        <f t="shared" si="5"/>
        <v>1</v>
      </c>
      <c r="AS140" s="15">
        <f t="shared" si="127"/>
        <v>0</v>
      </c>
      <c r="AU140" s="15">
        <f>2.551996+('2021'!C140*0.000000012919)+('2021'!E140*0.000003)-('2021'!H140*0.000002)
-('2021'!U140*0.123062)+('2021'!AC140*0.831)-('2021'!AD140*0.008464)-('2021'!AF140*0.15884)
-('2021'!AL140*0.025383)-('2021'!AM140*0.427021)-('2021'!AN140*0.009878)
</f>
        <v>-27.05335507</v>
      </c>
      <c r="AV140" s="15">
        <v>1.7818747539417007E-12</v>
      </c>
      <c r="AW140" s="14">
        <f t="shared" si="7"/>
        <v>0</v>
      </c>
      <c r="AX140" s="14" t="str">
        <f t="shared" si="136"/>
        <v>#REF!</v>
      </c>
      <c r="AZ140" s="15" t="str">
        <f t="shared" si="137"/>
        <v>#REF!</v>
      </c>
      <c r="BA140" s="15" t="str">
        <f t="shared" si="138"/>
        <v>#REF!</v>
      </c>
      <c r="BB140" s="15" t="str">
        <f t="shared" si="139"/>
        <v>#REF!</v>
      </c>
      <c r="BC140" s="15" t="str">
        <f t="shared" si="140"/>
        <v>#REF!</v>
      </c>
      <c r="BD140" s="15" t="str">
        <f t="shared" si="141"/>
        <v>#REF!</v>
      </c>
    </row>
    <row r="141">
      <c r="A141" s="8" t="s">
        <v>194</v>
      </c>
      <c r="B141" s="34">
        <f t="shared" si="1"/>
        <v>0</v>
      </c>
      <c r="C141" s="9">
        <v>2403209.0</v>
      </c>
      <c r="D141" s="9">
        <v>1513689.0</v>
      </c>
      <c r="E141" s="9">
        <v>338350.0</v>
      </c>
      <c r="F141" s="9">
        <v>860972.0</v>
      </c>
      <c r="G141" s="9">
        <v>942323.0</v>
      </c>
      <c r="H141" s="9">
        <v>1041802.0</v>
      </c>
      <c r="I141" s="12">
        <v>673.0</v>
      </c>
      <c r="J141" s="9">
        <v>-81164.0</v>
      </c>
      <c r="K141" s="9">
        <v>-129774.0</v>
      </c>
      <c r="L141" s="9">
        <v>-129682.0</v>
      </c>
      <c r="M141" s="9">
        <v>20383.0</v>
      </c>
      <c r="N141" s="10">
        <f t="shared" si="135"/>
        <v>0</v>
      </c>
      <c r="O141" s="12">
        <v>-0.19</v>
      </c>
      <c r="P141" s="9">
        <v>214406.0</v>
      </c>
      <c r="Q141" s="9">
        <v>-237504.0</v>
      </c>
      <c r="R141" s="9">
        <v>21880.0</v>
      </c>
      <c r="S141" s="9">
        <v>-1218.0</v>
      </c>
      <c r="T141" s="12">
        <v>-13.99</v>
      </c>
      <c r="U141" s="12">
        <v>-3.36</v>
      </c>
      <c r="V141" s="12">
        <v>9.3</v>
      </c>
      <c r="W141" s="12">
        <v>-14.74</v>
      </c>
      <c r="X141" s="12">
        <v>-7.7</v>
      </c>
      <c r="Y141" s="12">
        <v>1.25</v>
      </c>
      <c r="Z141" s="12">
        <f t="shared" si="3"/>
        <v>0</v>
      </c>
      <c r="AA141" s="12"/>
      <c r="AB141" s="12">
        <v>-8.61</v>
      </c>
      <c r="AC141" s="12">
        <v>1.7</v>
      </c>
      <c r="AD141" s="12">
        <v>-3.81</v>
      </c>
      <c r="AE141" s="12">
        <v>0.97</v>
      </c>
      <c r="AF141" s="12">
        <v>0.66</v>
      </c>
      <c r="AG141" s="12">
        <v>1.33</v>
      </c>
      <c r="AH141" s="12">
        <v>0.39</v>
      </c>
      <c r="AI141" s="12">
        <v>6.93</v>
      </c>
      <c r="AJ141" s="12">
        <v>52.63</v>
      </c>
      <c r="AK141" s="12">
        <v>2.64</v>
      </c>
      <c r="AL141" s="12">
        <v>138.42</v>
      </c>
      <c r="AM141" s="12">
        <v>3.26</v>
      </c>
      <c r="AN141" s="12">
        <v>111.92</v>
      </c>
      <c r="AO141" s="12">
        <v>79.13</v>
      </c>
      <c r="AP141" s="12">
        <f t="shared" si="4"/>
        <v>6.16658</v>
      </c>
      <c r="AQ141" s="35">
        <v>0.9979059937916389</v>
      </c>
      <c r="AR141" s="15">
        <f t="shared" si="5"/>
        <v>1</v>
      </c>
      <c r="AS141" s="15">
        <f t="shared" si="127"/>
        <v>0</v>
      </c>
      <c r="AU141" s="15">
        <f>2.551996+('2021'!C141*0.000000012919)+('2021'!E141*0.000003)-('2021'!H141*0.000002)
-('2021'!U141*0.123062)+('2021'!AC141*0.831)-('2021'!AD141*0.008464)-('2021'!AF141*0.15884)
-('2021'!AL141*0.025383)-('2021'!AM141*0.427021)-('2021'!AN141*0.009878)
</f>
        <v>-2.743058263</v>
      </c>
      <c r="AV141" s="15">
        <v>0.06047989270538659</v>
      </c>
      <c r="AW141" s="14">
        <f t="shared" si="7"/>
        <v>0</v>
      </c>
      <c r="AX141" s="14" t="str">
        <f t="shared" si="136"/>
        <v>#REF!</v>
      </c>
      <c r="AZ141" s="15" t="str">
        <f t="shared" si="137"/>
        <v>#REF!</v>
      </c>
      <c r="BA141" s="15" t="str">
        <f t="shared" si="138"/>
        <v>#REF!</v>
      </c>
      <c r="BB141" s="15" t="str">
        <f t="shared" si="139"/>
        <v>#REF!</v>
      </c>
      <c r="BC141" s="15" t="str">
        <f t="shared" si="140"/>
        <v>#REF!</v>
      </c>
      <c r="BD141" s="15" t="str">
        <f t="shared" si="141"/>
        <v>#REF!</v>
      </c>
    </row>
    <row r="142">
      <c r="A142" s="8" t="s">
        <v>195</v>
      </c>
      <c r="B142" s="34">
        <f t="shared" si="1"/>
        <v>0</v>
      </c>
      <c r="C142" s="9">
        <v>241648.47</v>
      </c>
      <c r="D142" s="9">
        <v>23825.44</v>
      </c>
      <c r="E142" s="9">
        <v>238636.98</v>
      </c>
      <c r="F142" s="9">
        <v>217823.04</v>
      </c>
      <c r="G142" s="9">
        <v>8961.97</v>
      </c>
      <c r="H142" s="9">
        <v>-8068.88</v>
      </c>
      <c r="I142" s="9">
        <v>19194.42</v>
      </c>
      <c r="J142" s="9">
        <v>17030.85</v>
      </c>
      <c r="K142" s="9">
        <v>12988.2</v>
      </c>
      <c r="L142" s="9">
        <v>-249061.8</v>
      </c>
      <c r="M142" s="9">
        <v>-112511.17</v>
      </c>
      <c r="N142" s="10">
        <f t="shared" si="135"/>
        <v>0</v>
      </c>
      <c r="O142" s="12">
        <v>0.04</v>
      </c>
      <c r="P142" s="9">
        <v>-27507.78</v>
      </c>
      <c r="Q142" s="9">
        <v>97014.19</v>
      </c>
      <c r="R142" s="9">
        <v>-64012.68</v>
      </c>
      <c r="S142" s="9">
        <v>5493.73</v>
      </c>
      <c r="T142" s="12">
        <v>9.15</v>
      </c>
      <c r="U142" s="12">
        <v>5.98</v>
      </c>
      <c r="V142" s="12" t="s">
        <v>47</v>
      </c>
      <c r="W142" s="12">
        <v>144.93</v>
      </c>
      <c r="X142" s="12">
        <v>-1084.95</v>
      </c>
      <c r="Y142" s="12">
        <v>-385.75</v>
      </c>
      <c r="Z142" s="12">
        <f t="shared" si="3"/>
        <v>0</v>
      </c>
      <c r="AA142" s="12"/>
      <c r="AB142" s="12">
        <v>190.03</v>
      </c>
      <c r="AC142" s="12">
        <v>0.11</v>
      </c>
      <c r="AD142" s="12">
        <v>4.21</v>
      </c>
      <c r="AE142" s="12">
        <v>3.32</v>
      </c>
      <c r="AF142" s="12">
        <v>1.24</v>
      </c>
      <c r="AG142" s="12">
        <v>0.08</v>
      </c>
      <c r="AH142" s="12">
        <v>0.03</v>
      </c>
      <c r="AI142" s="12" t="s">
        <v>47</v>
      </c>
      <c r="AJ142" s="12" t="s">
        <v>46</v>
      </c>
      <c r="AK142" s="12" t="s">
        <v>46</v>
      </c>
      <c r="AL142" s="12" t="s">
        <v>47</v>
      </c>
      <c r="AM142" s="12" t="s">
        <v>46</v>
      </c>
      <c r="AN142" s="12" t="s">
        <v>47</v>
      </c>
      <c r="AO142" s="12" t="s">
        <v>46</v>
      </c>
      <c r="AP142" s="12" t="str">
        <f t="shared" si="4"/>
        <v>#VALUE!</v>
      </c>
      <c r="AQ142" s="35" t="e">
        <v>#VALUE!</v>
      </c>
      <c r="AR142" s="15" t="str">
        <f t="shared" si="5"/>
        <v>#VALUE!</v>
      </c>
      <c r="AU142" s="15" t="str">
        <f>2.551996+('2021'!C142*0.000000012919)+('2021'!E142*0.000003)-('2021'!H142*0.000002)
-('2021'!U142*0.123062)+('2021'!AC142*0.831)-('2021'!AD142*0.008464)-('2021'!AF142*0.15884)
-('2021'!AL142*0.025383)-('2021'!AM142*0.427021)-('2021'!AN142*0.009878)
</f>
        <v>#VALUE!</v>
      </c>
      <c r="AV142" s="15" t="e">
        <v>#VALUE!</v>
      </c>
      <c r="AW142" s="14" t="str">
        <f t="shared" si="7"/>
        <v>#VALUE!</v>
      </c>
      <c r="AX142" s="14"/>
    </row>
    <row r="143">
      <c r="A143" s="8" t="s">
        <v>196</v>
      </c>
      <c r="B143" s="34">
        <f t="shared" si="1"/>
        <v>0</v>
      </c>
      <c r="C143" s="9">
        <v>588334.85</v>
      </c>
      <c r="D143" s="9">
        <v>216696.6</v>
      </c>
      <c r="E143" s="9">
        <v>284000.0</v>
      </c>
      <c r="F143" s="9">
        <v>371638.25</v>
      </c>
      <c r="G143" s="9">
        <v>422326.87</v>
      </c>
      <c r="H143" s="9">
        <v>413279.63</v>
      </c>
      <c r="I143" s="9">
        <v>38432.61</v>
      </c>
      <c r="J143" s="9">
        <v>7539.24</v>
      </c>
      <c r="K143" s="9">
        <v>3007.06</v>
      </c>
      <c r="L143" s="9">
        <v>14703.21</v>
      </c>
      <c r="M143" s="9">
        <v>25770.56</v>
      </c>
      <c r="N143" s="10">
        <f t="shared" si="135"/>
        <v>0</v>
      </c>
      <c r="O143" s="12">
        <v>0.01</v>
      </c>
      <c r="P143" s="9">
        <v>40085.0</v>
      </c>
      <c r="Q143" s="9">
        <v>-44246.33</v>
      </c>
      <c r="R143" s="9">
        <v>4290.22</v>
      </c>
      <c r="S143" s="12">
        <v>128.89</v>
      </c>
      <c r="T143" s="12">
        <v>0.8</v>
      </c>
      <c r="U143" s="12">
        <v>1.3</v>
      </c>
      <c r="V143" s="12">
        <v>26.18</v>
      </c>
      <c r="W143" s="12">
        <v>0.71</v>
      </c>
      <c r="X143" s="12">
        <v>3.49</v>
      </c>
      <c r="Y143" s="12">
        <v>6.11</v>
      </c>
      <c r="Z143" s="12">
        <f t="shared" si="3"/>
        <v>0</v>
      </c>
      <c r="AA143" s="12"/>
      <c r="AB143" s="12">
        <v>1.79</v>
      </c>
      <c r="AC143" s="12">
        <v>0.58</v>
      </c>
      <c r="AD143" s="12">
        <v>2.12</v>
      </c>
      <c r="AE143" s="12">
        <v>0.88</v>
      </c>
      <c r="AF143" s="12">
        <v>0.66</v>
      </c>
      <c r="AG143" s="12">
        <v>1.07</v>
      </c>
      <c r="AH143" s="12">
        <v>0.73</v>
      </c>
      <c r="AI143" s="12">
        <v>7.77</v>
      </c>
      <c r="AJ143" s="12">
        <v>46.97</v>
      </c>
      <c r="AK143" s="12">
        <v>3.65</v>
      </c>
      <c r="AL143" s="12">
        <v>100.1</v>
      </c>
      <c r="AM143" s="12">
        <v>4.09</v>
      </c>
      <c r="AN143" s="12">
        <v>89.25</v>
      </c>
      <c r="AO143" s="12">
        <v>57.82</v>
      </c>
      <c r="AP143" s="12">
        <f t="shared" si="4"/>
        <v>1.79404</v>
      </c>
      <c r="AQ143" s="35">
        <v>0.85742187843194</v>
      </c>
      <c r="AR143" s="15">
        <f t="shared" si="5"/>
        <v>1</v>
      </c>
      <c r="AS143" s="15">
        <f t="shared" ref="AS143:AS152" si="142">IF(AR143=N143,1,0)</f>
        <v>0</v>
      </c>
      <c r="AU143" s="15">
        <f>2.551996+('2021'!C143*0.000000012919)+('2021'!E143*0.000003)-('2021'!H143*0.000002)
-('2021'!U143*0.123062)+('2021'!AC143*0.831)-('2021'!AD143*0.008464)-('2021'!AF143*0.15884)
-('2021'!AL143*0.025383)-('2021'!AM143*0.427021)-('2021'!AN143*0.009878)
</f>
        <v>-2.384706932</v>
      </c>
      <c r="AV143" s="15">
        <v>0.0843463278939018</v>
      </c>
      <c r="AW143" s="14">
        <f t="shared" si="7"/>
        <v>0</v>
      </c>
      <c r="AX143" s="14" t="str">
        <f t="shared" ref="AX143:AX152" si="143">IF(AW143='temp result 2022'!B143,1,IF(Z143="-",1,0))</f>
        <v>#REF!</v>
      </c>
      <c r="AZ143" s="15" t="str">
        <f>IF(and(AW143=0,AX143=1),1,0)</f>
        <v>#REF!</v>
      </c>
      <c r="BA143" s="15" t="str">
        <f>IF(AND(AW143=0,AX143=0),1,0)</f>
        <v>#REF!</v>
      </c>
      <c r="BB143" s="15" t="str">
        <f>IF(AND(AW143=1,AX143=0),1,0)</f>
        <v>#REF!</v>
      </c>
      <c r="BC143" s="15" t="str">
        <f>IF(AND(AW143=1,AX143=1),1,0)</f>
        <v>#REF!</v>
      </c>
      <c r="BD143" s="15" t="str">
        <f>IF(AZ143+BA143+BB143+BC143&gt;1,1,0)</f>
        <v>#REF!</v>
      </c>
    </row>
    <row r="144">
      <c r="A144" s="8" t="s">
        <v>309</v>
      </c>
      <c r="B144" s="34">
        <f t="shared" si="1"/>
        <v>0</v>
      </c>
      <c r="C144" s="9">
        <v>1946372.61</v>
      </c>
      <c r="D144" s="9">
        <v>1043847.57</v>
      </c>
      <c r="E144" s="9">
        <v>134000.0</v>
      </c>
      <c r="F144" s="9">
        <v>756789.36</v>
      </c>
      <c r="G144" s="9">
        <v>1741883.62</v>
      </c>
      <c r="H144" s="9">
        <v>1519935.95</v>
      </c>
      <c r="I144" s="9">
        <v>288881.06</v>
      </c>
      <c r="J144" s="9">
        <v>221947.67</v>
      </c>
      <c r="K144" s="9">
        <v>144432.98</v>
      </c>
      <c r="L144" s="9">
        <v>149220.27</v>
      </c>
      <c r="M144" s="9">
        <v>85502.18</v>
      </c>
      <c r="N144" s="10">
        <f t="shared" si="135"/>
        <v>0</v>
      </c>
      <c r="O144" s="12">
        <v>0.54</v>
      </c>
      <c r="P144" s="9">
        <v>41538.09</v>
      </c>
      <c r="Q144" s="9">
        <v>24124.3</v>
      </c>
      <c r="R144" s="9">
        <v>-118542.69</v>
      </c>
      <c r="S144" s="9">
        <v>-52880.3</v>
      </c>
      <c r="T144" s="12">
        <v>19.66</v>
      </c>
      <c r="U144" s="12">
        <v>11.67</v>
      </c>
      <c r="V144" s="12">
        <v>29.26</v>
      </c>
      <c r="W144" s="12">
        <v>9.64</v>
      </c>
      <c r="X144" s="12">
        <v>11.34</v>
      </c>
      <c r="Y144" s="12">
        <v>11.76</v>
      </c>
      <c r="Z144" s="12">
        <f t="shared" si="3"/>
        <v>0</v>
      </c>
      <c r="AA144" s="12"/>
      <c r="AB144" s="12">
        <v>12.74</v>
      </c>
      <c r="AC144" s="12">
        <v>1.16</v>
      </c>
      <c r="AD144" s="12">
        <v>19.9</v>
      </c>
      <c r="AE144" s="12">
        <v>2.0</v>
      </c>
      <c r="AF144" s="12">
        <v>0.47</v>
      </c>
      <c r="AG144" s="12">
        <v>6.5</v>
      </c>
      <c r="AH144" s="12">
        <v>0.92</v>
      </c>
      <c r="AI144" s="12" t="s">
        <v>47</v>
      </c>
      <c r="AJ144" s="12" t="s">
        <v>46</v>
      </c>
      <c r="AK144" s="12">
        <v>6.54</v>
      </c>
      <c r="AL144" s="12">
        <v>55.83</v>
      </c>
      <c r="AM144" s="12">
        <v>6.92</v>
      </c>
      <c r="AN144" s="12">
        <v>52.76</v>
      </c>
      <c r="AO144" s="12">
        <v>3.07</v>
      </c>
      <c r="AP144" s="12">
        <f t="shared" si="4"/>
        <v>-0.73077</v>
      </c>
      <c r="AQ144" s="35">
        <v>0.32502577896666385</v>
      </c>
      <c r="AR144" s="15">
        <f t="shared" si="5"/>
        <v>0</v>
      </c>
      <c r="AS144" s="15">
        <f t="shared" si="142"/>
        <v>1</v>
      </c>
      <c r="AU144" s="15">
        <f>2.551996+('2021'!C144*0.000000012919)+('2021'!E144*0.000003)-('2021'!H144*0.000002)
-('2021'!U144*0.123062)+('2021'!AC144*0.831)-('2021'!AD144*0.008464)-('2021'!AF144*0.15884)
-('2021'!AL144*0.025383)-('2021'!AM144*0.427021)-('2021'!AN144*0.009878)
</f>
        <v>-5.669274142</v>
      </c>
      <c r="AV144" s="15">
        <v>0.0034385047347293483</v>
      </c>
      <c r="AW144" s="14">
        <f t="shared" si="7"/>
        <v>0</v>
      </c>
      <c r="AX144" s="14" t="str">
        <f t="shared" si="143"/>
        <v>#REF!</v>
      </c>
    </row>
    <row r="145">
      <c r="A145" s="8" t="s">
        <v>197</v>
      </c>
      <c r="B145" s="34">
        <f t="shared" si="1"/>
        <v>1</v>
      </c>
      <c r="C145" s="9">
        <v>851741.44</v>
      </c>
      <c r="D145" s="9">
        <v>234373.34</v>
      </c>
      <c r="E145" s="9">
        <v>2632981.72</v>
      </c>
      <c r="F145" s="9">
        <v>634492.71</v>
      </c>
      <c r="G145" s="9">
        <v>250409.69</v>
      </c>
      <c r="H145" s="9">
        <v>278347.57</v>
      </c>
      <c r="I145" s="9">
        <v>-20647.25</v>
      </c>
      <c r="J145" s="9">
        <v>-32651.37</v>
      </c>
      <c r="K145" s="9">
        <v>-50710.65</v>
      </c>
      <c r="L145" s="9">
        <v>-310613.1</v>
      </c>
      <c r="M145" s="9">
        <v>-801302.54</v>
      </c>
      <c r="N145" s="10">
        <f t="shared" si="135"/>
        <v>1</v>
      </c>
      <c r="O145" s="12" t="s">
        <v>46</v>
      </c>
      <c r="P145" s="9">
        <v>-212397.72</v>
      </c>
      <c r="Q145" s="9">
        <v>85154.18</v>
      </c>
      <c r="R145" s="9">
        <v>319694.08</v>
      </c>
      <c r="S145" s="9">
        <v>192450.54</v>
      </c>
      <c r="T145" s="12">
        <v>-12.67</v>
      </c>
      <c r="U145" s="12">
        <v>-4.27</v>
      </c>
      <c r="V145" s="12">
        <v>-29.9</v>
      </c>
      <c r="W145" s="12">
        <v>-20.21</v>
      </c>
      <c r="X145" s="12">
        <v>-67.14</v>
      </c>
      <c r="Y145" s="12">
        <v>-73.21</v>
      </c>
      <c r="Z145" s="12">
        <f t="shared" si="3"/>
        <v>1</v>
      </c>
      <c r="AA145" s="12"/>
      <c r="AB145" s="12">
        <v>-13.04</v>
      </c>
      <c r="AC145" s="12">
        <v>0.38</v>
      </c>
      <c r="AD145" s="12">
        <v>-2.41</v>
      </c>
      <c r="AE145" s="12">
        <v>2.98</v>
      </c>
      <c r="AF145" s="12">
        <v>2.35</v>
      </c>
      <c r="AG145" s="12">
        <v>0.72</v>
      </c>
      <c r="AH145" s="12">
        <v>0.33</v>
      </c>
      <c r="AI145" s="12">
        <v>1.8</v>
      </c>
      <c r="AJ145" s="12">
        <v>202.91</v>
      </c>
      <c r="AK145" s="12">
        <v>2.22</v>
      </c>
      <c r="AL145" s="12">
        <v>164.09</v>
      </c>
      <c r="AM145" s="12">
        <v>1.63</v>
      </c>
      <c r="AN145" s="12">
        <v>224.43</v>
      </c>
      <c r="AO145" s="12">
        <v>142.57</v>
      </c>
      <c r="AP145" s="12">
        <f t="shared" si="4"/>
        <v>12.28785</v>
      </c>
      <c r="AQ145" s="35">
        <v>0.9999953926357348</v>
      </c>
      <c r="AR145" s="15">
        <f t="shared" si="5"/>
        <v>1</v>
      </c>
      <c r="AS145" s="15">
        <f t="shared" si="142"/>
        <v>1</v>
      </c>
      <c r="AU145" s="15">
        <f>2.551996+('2021'!C145*0.000000012919)+('2021'!E145*0.000003)-('2021'!H145*0.000002)
-('2021'!U145*0.123062)+('2021'!AC145*0.831)-('2021'!AD145*0.008464)-('2021'!AF145*0.15884)
-('2021'!AL145*0.025383)-('2021'!AM145*0.427021)-('2021'!AN145*0.009878)
</f>
        <v>3.315568408</v>
      </c>
      <c r="AV145" s="15">
        <v>0.9649590540586095</v>
      </c>
      <c r="AW145" s="14">
        <f t="shared" si="7"/>
        <v>1</v>
      </c>
      <c r="AX145" s="14" t="str">
        <f t="shared" si="143"/>
        <v>#REF!</v>
      </c>
      <c r="AZ145" s="15" t="str">
        <f t="shared" ref="AZ145:AZ152" si="144">IF(and(AW145=0,AX145=1),1,0)</f>
        <v>#REF!</v>
      </c>
      <c r="BA145" s="15" t="str">
        <f t="shared" ref="BA145:BA152" si="145">IF(AND(AW145=0,AX145=0),1,0)</f>
        <v>#REF!</v>
      </c>
      <c r="BB145" s="15" t="str">
        <f t="shared" ref="BB145:BB152" si="146">IF(AND(AW145=1,AX145=0),1,0)</f>
        <v>#REF!</v>
      </c>
      <c r="BC145" s="15" t="str">
        <f t="shared" ref="BC145:BC152" si="147">IF(AND(AW145=1,AX145=1),1,0)</f>
        <v>#REF!</v>
      </c>
      <c r="BD145" s="15" t="str">
        <f t="shared" ref="BD145:BD152" si="148">IF(AZ145+BA145+BB145+BC145&gt;1,1,0)</f>
        <v>#REF!</v>
      </c>
    </row>
    <row r="146">
      <c r="A146" s="8" t="s">
        <v>199</v>
      </c>
      <c r="B146" s="34">
        <f t="shared" si="1"/>
        <v>0</v>
      </c>
      <c r="C146" s="9">
        <v>1217819.1</v>
      </c>
      <c r="D146" s="9">
        <v>503966.66</v>
      </c>
      <c r="E146" s="9">
        <v>163522.21</v>
      </c>
      <c r="F146" s="9">
        <v>693486.53</v>
      </c>
      <c r="G146" s="9">
        <v>1832707.96</v>
      </c>
      <c r="H146" s="9">
        <v>1618715.19</v>
      </c>
      <c r="I146" s="9">
        <v>253680.84</v>
      </c>
      <c r="J146" s="9">
        <v>213992.77</v>
      </c>
      <c r="K146" s="9">
        <v>146200.76</v>
      </c>
      <c r="L146" s="9">
        <v>67678.89</v>
      </c>
      <c r="M146" s="9">
        <v>171302.75</v>
      </c>
      <c r="N146" s="10">
        <f t="shared" si="135"/>
        <v>0</v>
      </c>
      <c r="O146" s="12">
        <v>0.45</v>
      </c>
      <c r="P146" s="9">
        <v>275418.16</v>
      </c>
      <c r="Q146" s="9">
        <v>-32002.44</v>
      </c>
      <c r="R146" s="9">
        <v>-204938.18</v>
      </c>
      <c r="S146" s="9">
        <v>38477.54</v>
      </c>
      <c r="T146" s="12">
        <v>21.74</v>
      </c>
      <c r="U146" s="12">
        <v>18.21</v>
      </c>
      <c r="V146" s="12">
        <v>40.88</v>
      </c>
      <c r="W146" s="12">
        <v>8.27</v>
      </c>
      <c r="X146" s="12">
        <v>5.43</v>
      </c>
      <c r="Y146" s="12">
        <v>10.4</v>
      </c>
      <c r="Z146" s="12">
        <f t="shared" si="3"/>
        <v>0</v>
      </c>
      <c r="AA146" s="12"/>
      <c r="AB146" s="12">
        <v>11.68</v>
      </c>
      <c r="AC146" s="12">
        <v>0.71</v>
      </c>
      <c r="AD146" s="12">
        <v>112.32</v>
      </c>
      <c r="AE146" s="12">
        <v>1.86</v>
      </c>
      <c r="AF146" s="12">
        <v>1.26</v>
      </c>
      <c r="AG146" s="12">
        <v>5.35</v>
      </c>
      <c r="AH146" s="12">
        <v>1.56</v>
      </c>
      <c r="AI146" s="12">
        <v>4.62</v>
      </c>
      <c r="AJ146" s="12">
        <v>79.01</v>
      </c>
      <c r="AK146" s="12">
        <v>6.13</v>
      </c>
      <c r="AL146" s="12">
        <v>59.59</v>
      </c>
      <c r="AM146" s="12">
        <v>3.73</v>
      </c>
      <c r="AN146" s="12">
        <v>97.95</v>
      </c>
      <c r="AO146" s="12">
        <v>40.65</v>
      </c>
      <c r="AP146" s="12">
        <f t="shared" si="4"/>
        <v>3.10334</v>
      </c>
      <c r="AQ146" s="35">
        <v>0.957030306734093</v>
      </c>
      <c r="AR146" s="15">
        <f t="shared" si="5"/>
        <v>1</v>
      </c>
      <c r="AS146" s="15">
        <f t="shared" si="142"/>
        <v>0</v>
      </c>
      <c r="AU146" s="15">
        <f>2.551996+('2021'!C146*0.000000012919)+('2021'!E146*0.000003)-('2021'!H146*0.000002)
-('2021'!U146*0.123062)+('2021'!AC146*0.831)-('2021'!AD146*0.008464)-('2021'!AF146*0.15884)
-('2021'!AL146*0.025383)-('2021'!AM146*0.427021)-('2021'!AN146*0.009878)
</f>
        <v>-7.053810045</v>
      </c>
      <c r="AV146" s="15">
        <v>8.633643358810527E-4</v>
      </c>
      <c r="AW146" s="14">
        <f t="shared" si="7"/>
        <v>0</v>
      </c>
      <c r="AX146" s="14" t="str">
        <f t="shared" si="143"/>
        <v>#REF!</v>
      </c>
      <c r="AZ146" s="15" t="str">
        <f t="shared" si="144"/>
        <v>#REF!</v>
      </c>
      <c r="BA146" s="15" t="str">
        <f t="shared" si="145"/>
        <v>#REF!</v>
      </c>
      <c r="BB146" s="15" t="str">
        <f t="shared" si="146"/>
        <v>#REF!</v>
      </c>
      <c r="BC146" s="15" t="str">
        <f t="shared" si="147"/>
        <v>#REF!</v>
      </c>
      <c r="BD146" s="15" t="str">
        <f t="shared" si="148"/>
        <v>#REF!</v>
      </c>
    </row>
    <row r="147">
      <c r="A147" s="8" t="s">
        <v>200</v>
      </c>
      <c r="B147" s="34">
        <f t="shared" si="1"/>
        <v>0</v>
      </c>
      <c r="C147" s="9">
        <v>1064608.72</v>
      </c>
      <c r="D147" s="9">
        <v>322178.68</v>
      </c>
      <c r="E147" s="9">
        <v>152000.0</v>
      </c>
      <c r="F147" s="9">
        <v>742430.05</v>
      </c>
      <c r="G147" s="9">
        <v>1346483.54</v>
      </c>
      <c r="H147" s="9">
        <v>1083619.08</v>
      </c>
      <c r="I147" s="9">
        <v>292324.93</v>
      </c>
      <c r="J147" s="9">
        <v>268514.02</v>
      </c>
      <c r="K147" s="9">
        <v>214239.36</v>
      </c>
      <c r="L147" s="9">
        <v>188380.57</v>
      </c>
      <c r="M147" s="9">
        <v>162090.66</v>
      </c>
      <c r="N147" s="10">
        <f t="shared" si="135"/>
        <v>0</v>
      </c>
      <c r="O147" s="12">
        <v>0.35</v>
      </c>
      <c r="P147" s="9">
        <v>223029.62</v>
      </c>
      <c r="Q147" s="9">
        <v>-88026.19</v>
      </c>
      <c r="R147" s="9">
        <v>-202070.46</v>
      </c>
      <c r="S147" s="9">
        <v>-67067.02</v>
      </c>
      <c r="T147" s="12">
        <v>29.25</v>
      </c>
      <c r="U147" s="12">
        <v>25.87</v>
      </c>
      <c r="V147" s="12">
        <v>38.02</v>
      </c>
      <c r="W147" s="12">
        <v>15.91</v>
      </c>
      <c r="X147" s="12">
        <v>14.29</v>
      </c>
      <c r="Y147" s="12">
        <v>10.59</v>
      </c>
      <c r="Z147" s="12">
        <f t="shared" si="3"/>
        <v>0</v>
      </c>
      <c r="AA147" s="12"/>
      <c r="AB147" s="12">
        <v>19.94</v>
      </c>
      <c r="AC147" s="12">
        <v>0.43</v>
      </c>
      <c r="AD147" s="12">
        <v>249.34</v>
      </c>
      <c r="AE147" s="12">
        <v>3.16</v>
      </c>
      <c r="AF147" s="12">
        <v>1.39</v>
      </c>
      <c r="AG147" s="12">
        <v>12.74</v>
      </c>
      <c r="AH147" s="12">
        <v>1.3</v>
      </c>
      <c r="AI147" s="12">
        <v>18.04</v>
      </c>
      <c r="AJ147" s="12">
        <v>20.23</v>
      </c>
      <c r="AK147" s="12">
        <v>5.33</v>
      </c>
      <c r="AL147" s="12">
        <v>68.51</v>
      </c>
      <c r="AM147" s="12">
        <v>3.69</v>
      </c>
      <c r="AN147" s="12">
        <v>98.98</v>
      </c>
      <c r="AO147" s="12">
        <v>-10.24</v>
      </c>
      <c r="AP147" s="12">
        <f t="shared" si="4"/>
        <v>3.70514</v>
      </c>
      <c r="AQ147" s="35">
        <v>0.975993703852515</v>
      </c>
      <c r="AR147" s="15">
        <f t="shared" si="5"/>
        <v>1</v>
      </c>
      <c r="AS147" s="15">
        <f t="shared" si="142"/>
        <v>0</v>
      </c>
      <c r="AU147" s="15">
        <f>2.551996+('2021'!C147*0.000000012919)+('2021'!E147*0.000003)-('2021'!H147*0.000002)
-('2021'!U147*0.123062)+('2021'!AC147*0.831)-('2021'!AD147*0.008464)-('2021'!AF147*0.15884)
-('2021'!AL147*0.025383)-('2021'!AM147*0.427021)-('2021'!AN147*0.009878)
</f>
        <v>-8.59539504</v>
      </c>
      <c r="AV147" s="15">
        <v>1.8492134630600392E-4</v>
      </c>
      <c r="AW147" s="14">
        <f t="shared" si="7"/>
        <v>0</v>
      </c>
      <c r="AX147" s="14" t="str">
        <f t="shared" si="143"/>
        <v>#REF!</v>
      </c>
      <c r="AZ147" s="15" t="str">
        <f t="shared" si="144"/>
        <v>#REF!</v>
      </c>
      <c r="BA147" s="15" t="str">
        <f t="shared" si="145"/>
        <v>#REF!</v>
      </c>
      <c r="BB147" s="15" t="str">
        <f t="shared" si="146"/>
        <v>#REF!</v>
      </c>
      <c r="BC147" s="15" t="str">
        <f t="shared" si="147"/>
        <v>#REF!</v>
      </c>
      <c r="BD147" s="15" t="str">
        <f t="shared" si="148"/>
        <v>#REF!</v>
      </c>
    </row>
    <row r="148">
      <c r="A148" s="8" t="s">
        <v>201</v>
      </c>
      <c r="B148" s="34">
        <f t="shared" si="1"/>
        <v>0</v>
      </c>
      <c r="C148" s="9">
        <v>2722319.1</v>
      </c>
      <c r="D148" s="9">
        <v>1374134.77</v>
      </c>
      <c r="E148" s="9">
        <v>400000.12</v>
      </c>
      <c r="F148" s="9">
        <v>926533.5</v>
      </c>
      <c r="G148" s="9">
        <v>2760015.89</v>
      </c>
      <c r="H148" s="9">
        <v>2543168.17</v>
      </c>
      <c r="I148" s="9">
        <v>315755.66</v>
      </c>
      <c r="J148" s="9">
        <v>218656.51</v>
      </c>
      <c r="K148" s="9">
        <v>63150.57</v>
      </c>
      <c r="L148" s="9">
        <v>32255.63</v>
      </c>
      <c r="M148" s="9">
        <v>27158.51</v>
      </c>
      <c r="N148" s="10">
        <f t="shared" si="135"/>
        <v>0</v>
      </c>
      <c r="O148" s="12">
        <v>0.08</v>
      </c>
      <c r="P148" s="9">
        <v>320155.46</v>
      </c>
      <c r="Q148" s="9">
        <v>-64643.55</v>
      </c>
      <c r="R148" s="9">
        <v>-202288.05</v>
      </c>
      <c r="S148" s="9">
        <v>53223.87</v>
      </c>
      <c r="T148" s="12">
        <v>6.94</v>
      </c>
      <c r="U148" s="12">
        <v>8.47</v>
      </c>
      <c r="V148" s="12">
        <v>13.02</v>
      </c>
      <c r="W148" s="12">
        <v>5.48</v>
      </c>
      <c r="X148" s="12">
        <v>2.39</v>
      </c>
      <c r="Y148" s="12">
        <v>2.38</v>
      </c>
      <c r="Z148" s="12">
        <f t="shared" si="3"/>
        <v>0</v>
      </c>
      <c r="AA148" s="12"/>
      <c r="AB148" s="12">
        <v>7.92</v>
      </c>
      <c r="AC148" s="12">
        <v>1.02</v>
      </c>
      <c r="AD148" s="12">
        <v>8.72</v>
      </c>
      <c r="AE148" s="12">
        <v>1.4</v>
      </c>
      <c r="AF148" s="12">
        <v>0.77</v>
      </c>
      <c r="AG148" s="12">
        <v>3.85</v>
      </c>
      <c r="AH148" s="12">
        <v>1.07</v>
      </c>
      <c r="AI148" s="12">
        <v>36.17</v>
      </c>
      <c r="AJ148" s="12">
        <v>10.09</v>
      </c>
      <c r="AK148" s="12">
        <v>8.2</v>
      </c>
      <c r="AL148" s="12">
        <v>44.5</v>
      </c>
      <c r="AM148" s="12">
        <v>5.8</v>
      </c>
      <c r="AN148" s="12">
        <v>62.96</v>
      </c>
      <c r="AO148" s="12">
        <v>-8.37</v>
      </c>
      <c r="AP148" s="12">
        <f t="shared" si="4"/>
        <v>-0.2648</v>
      </c>
      <c r="AQ148" s="35">
        <v>0.43418413011186235</v>
      </c>
      <c r="AR148" s="15">
        <f t="shared" si="5"/>
        <v>0</v>
      </c>
      <c r="AS148" s="15">
        <f t="shared" si="142"/>
        <v>1</v>
      </c>
      <c r="AU148" s="15">
        <f>2.551996+('2021'!C148*0.000000012919)+('2021'!E148*0.000003)-('2021'!H148*0.000002)
-('2021'!U148*0.123062)+('2021'!AC148*0.831)-('2021'!AD148*0.008464)-('2021'!AF148*0.15884)
-('2021'!AL148*0.025383)-('2021'!AM148*0.427021)-('2021'!AN148*0.009878)
</f>
        <v>-5.91818254</v>
      </c>
      <c r="AV148" s="15">
        <v>0.0026828677177698672</v>
      </c>
      <c r="AW148" s="14">
        <f t="shared" si="7"/>
        <v>0</v>
      </c>
      <c r="AX148" s="14" t="str">
        <f t="shared" si="143"/>
        <v>#REF!</v>
      </c>
      <c r="AZ148" s="15" t="str">
        <f t="shared" si="144"/>
        <v>#REF!</v>
      </c>
      <c r="BA148" s="15" t="str">
        <f t="shared" si="145"/>
        <v>#REF!</v>
      </c>
      <c r="BB148" s="15" t="str">
        <f t="shared" si="146"/>
        <v>#REF!</v>
      </c>
      <c r="BC148" s="15" t="str">
        <f t="shared" si="147"/>
        <v>#REF!</v>
      </c>
      <c r="BD148" s="15" t="str">
        <f t="shared" si="148"/>
        <v>#REF!</v>
      </c>
    </row>
    <row r="149">
      <c r="A149" s="8" t="s">
        <v>202</v>
      </c>
      <c r="B149" s="34">
        <f t="shared" si="1"/>
        <v>0</v>
      </c>
      <c r="C149" s="9">
        <v>2573117.0</v>
      </c>
      <c r="D149" s="9">
        <v>1625953.0</v>
      </c>
      <c r="E149" s="9">
        <v>411864.0</v>
      </c>
      <c r="F149" s="9">
        <v>916002.0</v>
      </c>
      <c r="G149" s="9">
        <v>2616936.0</v>
      </c>
      <c r="H149" s="9">
        <v>2552497.0</v>
      </c>
      <c r="I149" s="9">
        <v>214365.0</v>
      </c>
      <c r="J149" s="9">
        <v>88316.0</v>
      </c>
      <c r="K149" s="9">
        <v>3304.0</v>
      </c>
      <c r="L149" s="9">
        <v>-55437.0</v>
      </c>
      <c r="M149" s="9">
        <v>86487.0</v>
      </c>
      <c r="N149" s="10">
        <f t="shared" si="135"/>
        <v>0</v>
      </c>
      <c r="O149" s="12">
        <v>0.01</v>
      </c>
      <c r="P149" s="9">
        <v>-313904.0</v>
      </c>
      <c r="Q149" s="9">
        <v>302602.0</v>
      </c>
      <c r="R149" s="9">
        <v>55677.0</v>
      </c>
      <c r="S149" s="9">
        <v>44375.0</v>
      </c>
      <c r="T149" s="12">
        <v>0.35</v>
      </c>
      <c r="U149" s="12">
        <v>3.47</v>
      </c>
      <c r="V149" s="12">
        <v>11.93</v>
      </c>
      <c r="W149" s="12">
        <v>0.1</v>
      </c>
      <c r="X149" s="12">
        <v>-2.88</v>
      </c>
      <c r="Y149" s="12">
        <v>4.75</v>
      </c>
      <c r="Z149" s="12">
        <f t="shared" si="3"/>
        <v>0</v>
      </c>
      <c r="AA149" s="12"/>
      <c r="AB149" s="12">
        <v>3.37</v>
      </c>
      <c r="AC149" s="12">
        <v>1.72</v>
      </c>
      <c r="AD149" s="12">
        <v>1.74</v>
      </c>
      <c r="AE149" s="12">
        <v>1.04</v>
      </c>
      <c r="AF149" s="12">
        <v>0.3</v>
      </c>
      <c r="AG149" s="12">
        <v>4.98</v>
      </c>
      <c r="AH149" s="12">
        <v>1.03</v>
      </c>
      <c r="AI149" s="12">
        <v>3.36</v>
      </c>
      <c r="AJ149" s="12">
        <v>108.6</v>
      </c>
      <c r="AK149" s="12">
        <v>7.85</v>
      </c>
      <c r="AL149" s="12">
        <v>46.5</v>
      </c>
      <c r="AM149" s="12">
        <v>6.11</v>
      </c>
      <c r="AN149" s="12">
        <v>59.69</v>
      </c>
      <c r="AO149" s="12">
        <v>95.41</v>
      </c>
      <c r="AP149" s="12">
        <f t="shared" si="4"/>
        <v>-0.77622</v>
      </c>
      <c r="AQ149" s="35">
        <v>0.3151351338338501</v>
      </c>
      <c r="AR149" s="15">
        <f t="shared" si="5"/>
        <v>0</v>
      </c>
      <c r="AS149" s="15">
        <f t="shared" si="142"/>
        <v>1</v>
      </c>
      <c r="AU149" s="15">
        <f>2.551996+('2021'!C149*0.000000012919)+('2021'!E149*0.000003)-('2021'!H149*0.000002)
-('2021'!U149*0.123062)+('2021'!AC149*0.831)-('2021'!AD149*0.008464)-('2021'!AF149*0.15884)
-('2021'!AL149*0.025383)-('2021'!AM149*0.427021)-('2021'!AN149*0.009878)
</f>
        <v>-4.723274031</v>
      </c>
      <c r="AV149" s="15">
        <v>0.008807771513550278</v>
      </c>
      <c r="AW149" s="14">
        <f t="shared" si="7"/>
        <v>0</v>
      </c>
      <c r="AX149" s="14" t="str">
        <f t="shared" si="143"/>
        <v>#REF!</v>
      </c>
      <c r="AZ149" s="15" t="str">
        <f t="shared" si="144"/>
        <v>#REF!</v>
      </c>
      <c r="BA149" s="15" t="str">
        <f t="shared" si="145"/>
        <v>#REF!</v>
      </c>
      <c r="BB149" s="15" t="str">
        <f t="shared" si="146"/>
        <v>#REF!</v>
      </c>
      <c r="BC149" s="15" t="str">
        <f t="shared" si="147"/>
        <v>#REF!</v>
      </c>
      <c r="BD149" s="15" t="str">
        <f t="shared" si="148"/>
        <v>#REF!</v>
      </c>
    </row>
    <row r="150">
      <c r="A150" s="8" t="s">
        <v>203</v>
      </c>
      <c r="B150" s="34">
        <f t="shared" si="1"/>
        <v>0</v>
      </c>
      <c r="C150" s="9">
        <v>975947.58</v>
      </c>
      <c r="D150" s="9">
        <v>565015.0</v>
      </c>
      <c r="E150" s="9">
        <v>253212.0</v>
      </c>
      <c r="F150" s="9">
        <v>398731.36</v>
      </c>
      <c r="G150" s="9">
        <v>306958.81</v>
      </c>
      <c r="H150" s="9">
        <v>310426.54</v>
      </c>
      <c r="I150" s="9">
        <v>22703.56</v>
      </c>
      <c r="J150" s="9">
        <v>19532.29</v>
      </c>
      <c r="K150" s="9">
        <v>23006.5</v>
      </c>
      <c r="L150" s="9">
        <v>-16632.63</v>
      </c>
      <c r="M150" s="9">
        <v>-60733.04</v>
      </c>
      <c r="N150" s="10">
        <f t="shared" si="135"/>
        <v>0</v>
      </c>
      <c r="O150" s="12">
        <v>0.09</v>
      </c>
      <c r="P150" s="9">
        <v>-191794.06</v>
      </c>
      <c r="Q150" s="9">
        <v>-74668.69</v>
      </c>
      <c r="R150" s="9">
        <v>268539.85</v>
      </c>
      <c r="S150" s="9">
        <v>2077.1</v>
      </c>
      <c r="T150" s="12">
        <v>5.99</v>
      </c>
      <c r="U150" s="12">
        <v>2.4</v>
      </c>
      <c r="V150" s="12">
        <v>25.41</v>
      </c>
      <c r="W150" s="12">
        <v>6.34</v>
      </c>
      <c r="X150" s="12">
        <v>-6.23</v>
      </c>
      <c r="Y150" s="12">
        <v>-16.44</v>
      </c>
      <c r="Z150" s="12">
        <f t="shared" si="3"/>
        <v>0</v>
      </c>
      <c r="AA150" s="12"/>
      <c r="AB150" s="12">
        <v>6.36</v>
      </c>
      <c r="AC150" s="12">
        <v>1.37</v>
      </c>
      <c r="AD150" s="12">
        <v>1.76</v>
      </c>
      <c r="AE150" s="12">
        <v>1.66</v>
      </c>
      <c r="AF150" s="12">
        <v>0.21</v>
      </c>
      <c r="AG150" s="12">
        <v>45.76</v>
      </c>
      <c r="AH150" s="12">
        <v>0.38</v>
      </c>
      <c r="AI150" s="12">
        <v>0.38</v>
      </c>
      <c r="AJ150" s="12">
        <v>965.71</v>
      </c>
      <c r="AK150" s="12">
        <v>4.7</v>
      </c>
      <c r="AL150" s="12">
        <v>77.72</v>
      </c>
      <c r="AM150" s="12">
        <v>4.02</v>
      </c>
      <c r="AN150" s="12">
        <v>90.84</v>
      </c>
      <c r="AO150" s="12">
        <v>952.59</v>
      </c>
      <c r="AP150" s="12">
        <f t="shared" si="4"/>
        <v>-1.73903</v>
      </c>
      <c r="AQ150" s="35">
        <v>0.14943618447132428</v>
      </c>
      <c r="AR150" s="15">
        <f t="shared" si="5"/>
        <v>0</v>
      </c>
      <c r="AS150" s="15">
        <f t="shared" si="142"/>
        <v>1</v>
      </c>
      <c r="AU150" s="15">
        <f>2.551996+('2021'!C150*0.000000012919)+('2021'!E150*0.000003)-('2021'!H150*0.000002)
-('2021'!U150*0.123062)+('2021'!AC150*0.831)-('2021'!AD150*0.008464)-('2021'!AF150*0.15884)
-('2021'!AL150*0.025383)-('2021'!AM150*0.427021)-('2021'!AN150*0.009878)
</f>
        <v>-1.088453353</v>
      </c>
      <c r="AV150" s="15">
        <v>0.2519096339361688</v>
      </c>
      <c r="AW150" s="14">
        <f t="shared" si="7"/>
        <v>0</v>
      </c>
      <c r="AX150" s="14" t="str">
        <f t="shared" si="143"/>
        <v>#REF!</v>
      </c>
      <c r="AZ150" s="15" t="str">
        <f t="shared" si="144"/>
        <v>#REF!</v>
      </c>
      <c r="BA150" s="15" t="str">
        <f t="shared" si="145"/>
        <v>#REF!</v>
      </c>
      <c r="BB150" s="15" t="str">
        <f t="shared" si="146"/>
        <v>#REF!</v>
      </c>
      <c r="BC150" s="15" t="str">
        <f t="shared" si="147"/>
        <v>#REF!</v>
      </c>
      <c r="BD150" s="15" t="str">
        <f t="shared" si="148"/>
        <v>#REF!</v>
      </c>
    </row>
    <row r="151">
      <c r="A151" s="8" t="s">
        <v>204</v>
      </c>
      <c r="B151" s="34">
        <f t="shared" si="1"/>
        <v>0</v>
      </c>
      <c r="C151" s="9">
        <v>644239.8</v>
      </c>
      <c r="D151" s="9">
        <v>266113.39</v>
      </c>
      <c r="E151" s="9">
        <v>170000.0</v>
      </c>
      <c r="F151" s="9">
        <v>368708.9</v>
      </c>
      <c r="G151" s="9">
        <v>354147.63</v>
      </c>
      <c r="H151" s="9">
        <v>349744.05</v>
      </c>
      <c r="I151" s="9">
        <v>23796.61</v>
      </c>
      <c r="J151" s="9">
        <v>4403.58</v>
      </c>
      <c r="K151" s="12">
        <v>501.63</v>
      </c>
      <c r="L151" s="12">
        <v>-12189.8</v>
      </c>
      <c r="M151" s="12">
        <v>-15137.91</v>
      </c>
      <c r="N151" s="10">
        <f t="shared" si="135"/>
        <v>0</v>
      </c>
      <c r="O151" s="12" t="s">
        <v>46</v>
      </c>
      <c r="P151" s="9">
        <v>-8223.84</v>
      </c>
      <c r="Q151" s="9">
        <v>-3211.58</v>
      </c>
      <c r="R151" s="9">
        <v>-12299.1</v>
      </c>
      <c r="S151" s="9">
        <v>-23734.53</v>
      </c>
      <c r="T151" s="12">
        <v>0.14</v>
      </c>
      <c r="U151" s="12">
        <v>0.69</v>
      </c>
      <c r="V151" s="12">
        <v>37.54</v>
      </c>
      <c r="W151" s="12">
        <v>-0.22</v>
      </c>
      <c r="X151" s="12">
        <v>-3.34</v>
      </c>
      <c r="Y151" s="12">
        <v>-4.53</v>
      </c>
      <c r="Z151" s="12">
        <f t="shared" si="3"/>
        <v>1</v>
      </c>
      <c r="AA151" s="12"/>
      <c r="AB151" s="12">
        <v>1.24</v>
      </c>
      <c r="AC151" s="12">
        <v>0.7</v>
      </c>
      <c r="AD151" s="12">
        <v>0.77</v>
      </c>
      <c r="AE151" s="12">
        <v>2.58</v>
      </c>
      <c r="AF151" s="12">
        <v>0.9</v>
      </c>
      <c r="AG151" s="12">
        <v>4.15</v>
      </c>
      <c r="AH151" s="12">
        <v>0.55</v>
      </c>
      <c r="AI151" s="12">
        <v>0.91</v>
      </c>
      <c r="AJ151" s="12">
        <v>402.73</v>
      </c>
      <c r="AK151" s="12">
        <v>3.83</v>
      </c>
      <c r="AL151" s="12">
        <v>95.31</v>
      </c>
      <c r="AM151" s="12">
        <v>3.04</v>
      </c>
      <c r="AN151" s="12">
        <v>119.98</v>
      </c>
      <c r="AO151" s="12">
        <v>378.06</v>
      </c>
      <c r="AP151" s="12">
        <f t="shared" si="4"/>
        <v>2.37903</v>
      </c>
      <c r="AQ151" s="35">
        <v>0.9152141953213909</v>
      </c>
      <c r="AR151" s="15">
        <f t="shared" si="5"/>
        <v>1</v>
      </c>
      <c r="AS151" s="15">
        <f t="shared" si="142"/>
        <v>0</v>
      </c>
      <c r="AU151" s="15">
        <f>2.551996+('2021'!C151*0.000000012919)+('2021'!E151*0.000003)-('2021'!H151*0.000002)
-('2021'!U151*0.123062)+('2021'!AC151*0.831)-('2021'!AD151*0.008464)-('2021'!AF151*0.15884)
-('2021'!AL151*0.025383)-('2021'!AM151*0.427021)-('2021'!AN151*0.009878)
</f>
        <v>-2.184415236</v>
      </c>
      <c r="AV151" s="15">
        <v>0.10115876206561529</v>
      </c>
      <c r="AW151" s="14">
        <f t="shared" si="7"/>
        <v>0</v>
      </c>
      <c r="AX151" s="14" t="str">
        <f t="shared" si="143"/>
        <v>#REF!</v>
      </c>
      <c r="AZ151" s="15" t="str">
        <f t="shared" si="144"/>
        <v>#REF!</v>
      </c>
      <c r="BA151" s="15" t="str">
        <f t="shared" si="145"/>
        <v>#REF!</v>
      </c>
      <c r="BB151" s="15" t="str">
        <f t="shared" si="146"/>
        <v>#REF!</v>
      </c>
      <c r="BC151" s="15" t="str">
        <f t="shared" si="147"/>
        <v>#REF!</v>
      </c>
      <c r="BD151" s="15" t="str">
        <f t="shared" si="148"/>
        <v>#REF!</v>
      </c>
    </row>
    <row r="152">
      <c r="A152" s="8" t="s">
        <v>205</v>
      </c>
      <c r="B152" s="34">
        <f t="shared" si="1"/>
        <v>0</v>
      </c>
      <c r="C152" s="9">
        <v>832183.98</v>
      </c>
      <c r="D152" s="9">
        <v>229894.08</v>
      </c>
      <c r="E152" s="9">
        <v>230000.0</v>
      </c>
      <c r="F152" s="9">
        <v>602009.08</v>
      </c>
      <c r="G152" s="9">
        <v>724435.4</v>
      </c>
      <c r="H152" s="9">
        <v>684790.53</v>
      </c>
      <c r="I152" s="9">
        <v>57829.0</v>
      </c>
      <c r="J152" s="9">
        <v>39462.69</v>
      </c>
      <c r="K152" s="9">
        <v>31175.19</v>
      </c>
      <c r="L152" s="9">
        <v>45422.0</v>
      </c>
      <c r="M152" s="9">
        <v>79243.62</v>
      </c>
      <c r="N152" s="10">
        <f t="shared" si="135"/>
        <v>0</v>
      </c>
      <c r="O152" s="12">
        <v>0.07</v>
      </c>
      <c r="P152" s="9">
        <v>-130675.62</v>
      </c>
      <c r="Q152" s="9">
        <v>86538.2</v>
      </c>
      <c r="R152" s="9">
        <v>13349.35</v>
      </c>
      <c r="S152" s="9">
        <v>-30788.08</v>
      </c>
      <c r="T152" s="12">
        <v>5.13</v>
      </c>
      <c r="U152" s="12">
        <v>4.98</v>
      </c>
      <c r="V152" s="12">
        <v>11.68</v>
      </c>
      <c r="W152" s="12">
        <v>4.17</v>
      </c>
      <c r="X152" s="12">
        <v>5.05</v>
      </c>
      <c r="Y152" s="12">
        <v>8.0</v>
      </c>
      <c r="Z152" s="12">
        <f t="shared" si="3"/>
        <v>0</v>
      </c>
      <c r="AA152" s="12"/>
      <c r="AB152" s="12">
        <v>5.45</v>
      </c>
      <c r="AC152" s="12">
        <v>0.38</v>
      </c>
      <c r="AD152" s="12">
        <v>41.68</v>
      </c>
      <c r="AE152" s="12">
        <v>3.17</v>
      </c>
      <c r="AF152" s="12">
        <v>0.98</v>
      </c>
      <c r="AG152" s="12">
        <v>9.17</v>
      </c>
      <c r="AH152" s="12">
        <v>0.91</v>
      </c>
      <c r="AI152" s="12">
        <v>223.96</v>
      </c>
      <c r="AJ152" s="12">
        <v>1.63</v>
      </c>
      <c r="AK152" s="12">
        <v>4.42</v>
      </c>
      <c r="AL152" s="12">
        <v>82.52</v>
      </c>
      <c r="AM152" s="12">
        <v>5.95</v>
      </c>
      <c r="AN152" s="12">
        <v>61.32</v>
      </c>
      <c r="AO152" s="12">
        <v>22.82</v>
      </c>
      <c r="AP152" s="12">
        <f t="shared" si="4"/>
        <v>1.81882</v>
      </c>
      <c r="AQ152" s="35">
        <v>0.8604244761465819</v>
      </c>
      <c r="AR152" s="15">
        <f t="shared" si="5"/>
        <v>1</v>
      </c>
      <c r="AS152" s="15">
        <f t="shared" si="142"/>
        <v>0</v>
      </c>
      <c r="AU152" s="15">
        <f>2.551996+('2021'!C152*0.000000012919)+('2021'!E152*0.000003)-('2021'!H152*0.000002)
-('2021'!U152*0.123062)+('2021'!AC152*0.831)-('2021'!AD152*0.008464)-('2021'!AF152*0.15884)
-('2021'!AL152*0.025383)-('2021'!AM152*0.427021)-('2021'!AN152*0.009878)
</f>
        <v>-4.163444625</v>
      </c>
      <c r="AV152" s="15">
        <v>0.015315670003034753</v>
      </c>
      <c r="AW152" s="14">
        <f t="shared" si="7"/>
        <v>0</v>
      </c>
      <c r="AX152" s="14" t="str">
        <f t="shared" si="143"/>
        <v>#REF!</v>
      </c>
      <c r="AZ152" s="15" t="str">
        <f t="shared" si="144"/>
        <v>#REF!</v>
      </c>
      <c r="BA152" s="15" t="str">
        <f t="shared" si="145"/>
        <v>#REF!</v>
      </c>
      <c r="BB152" s="15" t="str">
        <f t="shared" si="146"/>
        <v>#REF!</v>
      </c>
      <c r="BC152" s="15" t="str">
        <f t="shared" si="147"/>
        <v>#REF!</v>
      </c>
      <c r="BD152" s="15" t="str">
        <f t="shared" si="148"/>
        <v>#REF!</v>
      </c>
    </row>
    <row r="153">
      <c r="A153" s="8" t="s">
        <v>206</v>
      </c>
      <c r="B153" s="34">
        <f t="shared" si="1"/>
        <v>0</v>
      </c>
      <c r="C153" s="9">
        <v>1478449.06</v>
      </c>
      <c r="D153" s="9">
        <v>884859.83</v>
      </c>
      <c r="E153" s="9">
        <v>362812.75</v>
      </c>
      <c r="F153" s="9">
        <v>593589.23</v>
      </c>
      <c r="G153" s="9">
        <v>76039.24</v>
      </c>
      <c r="H153" s="9">
        <v>210429.48</v>
      </c>
      <c r="I153" s="9">
        <v>-124919.72</v>
      </c>
      <c r="J153" s="9">
        <v>-134390.24</v>
      </c>
      <c r="K153" s="9">
        <v>-114069.52</v>
      </c>
      <c r="L153" s="9">
        <v>-48202.83</v>
      </c>
      <c r="M153" s="9">
        <v>234321.18</v>
      </c>
      <c r="N153" s="10">
        <f t="shared" si="135"/>
        <v>0</v>
      </c>
      <c r="O153" s="12">
        <v>-0.16</v>
      </c>
      <c r="P153" s="9">
        <v>-108954.3</v>
      </c>
      <c r="Q153" s="9">
        <v>-24315.93</v>
      </c>
      <c r="R153" s="9">
        <v>89268.15</v>
      </c>
      <c r="S153" s="9">
        <v>-44002.08</v>
      </c>
      <c r="T153" s="12">
        <v>-17.53</v>
      </c>
      <c r="U153" s="12">
        <v>-9.38</v>
      </c>
      <c r="V153" s="12">
        <v>-72.57</v>
      </c>
      <c r="W153" s="12">
        <v>-150.01</v>
      </c>
      <c r="X153" s="12">
        <v>-54.17</v>
      </c>
      <c r="Y153" s="12">
        <v>18.11</v>
      </c>
      <c r="Z153" s="12">
        <f t="shared" si="3"/>
        <v>0</v>
      </c>
      <c r="AA153" s="12"/>
      <c r="AB153" s="12">
        <v>-176.74</v>
      </c>
      <c r="AC153" s="12">
        <v>1.49</v>
      </c>
      <c r="AD153" s="12">
        <v>-17.95</v>
      </c>
      <c r="AE153" s="12">
        <v>1.27</v>
      </c>
      <c r="AF153" s="12">
        <v>0.11</v>
      </c>
      <c r="AG153" s="12">
        <v>1.13</v>
      </c>
      <c r="AH153" s="12">
        <v>0.05</v>
      </c>
      <c r="AI153" s="12">
        <v>0.17</v>
      </c>
      <c r="AJ153" s="9">
        <v>2099.15</v>
      </c>
      <c r="AK153" s="12" t="s">
        <v>47</v>
      </c>
      <c r="AL153" s="12" t="s">
        <v>46</v>
      </c>
      <c r="AM153" s="12">
        <v>24.95</v>
      </c>
      <c r="AN153" s="12">
        <v>14.63</v>
      </c>
      <c r="AO153" s="9">
        <v>2084.53</v>
      </c>
      <c r="AP153" s="12" t="str">
        <f t="shared" si="4"/>
        <v>#VALUE!</v>
      </c>
      <c r="AQ153" s="35" t="e">
        <v>#VALUE!</v>
      </c>
      <c r="AR153" s="15" t="str">
        <f t="shared" si="5"/>
        <v>#VALUE!</v>
      </c>
      <c r="AU153" s="15" t="str">
        <f>2.551996+('2021'!C153*0.000000012919)+('2021'!E153*0.000003)-('2021'!H153*0.000002)
-('2021'!U153*0.123062)+('2021'!AC153*0.831)-('2021'!AD153*0.008464)-('2021'!AF153*0.15884)
-('2021'!AL153*0.025383)-('2021'!AM153*0.427021)-('2021'!AN153*0.009878)
</f>
        <v>#VALUE!</v>
      </c>
      <c r="AV153" s="15" t="e">
        <v>#VALUE!</v>
      </c>
      <c r="AW153" s="14" t="str">
        <f t="shared" si="7"/>
        <v>#VALUE!</v>
      </c>
      <c r="AX153" s="14"/>
    </row>
    <row r="154">
      <c r="A154" s="8" t="s">
        <v>207</v>
      </c>
      <c r="B154" s="34" t="str">
        <f t="shared" si="1"/>
        <v/>
      </c>
      <c r="C154" s="9">
        <v>841226.98</v>
      </c>
      <c r="D154" s="9">
        <v>334904.79</v>
      </c>
      <c r="E154" s="9">
        <v>153999.99</v>
      </c>
      <c r="F154" s="9">
        <v>447239.39</v>
      </c>
      <c r="G154" s="9">
        <v>675446.82</v>
      </c>
      <c r="H154" s="9">
        <v>620326.75</v>
      </c>
      <c r="I154" s="9">
        <v>68186.78</v>
      </c>
      <c r="J154" s="9">
        <v>50209.43</v>
      </c>
      <c r="K154" s="9">
        <v>30499.92</v>
      </c>
      <c r="L154" s="9">
        <v>41072.69</v>
      </c>
      <c r="M154" s="9" t="e">
        <v>#N/A</v>
      </c>
      <c r="N154" s="10"/>
      <c r="O154" s="12">
        <v>0.1</v>
      </c>
      <c r="P154" s="9">
        <v>42805.03</v>
      </c>
      <c r="Q154" s="9">
        <v>-92206.09</v>
      </c>
      <c r="R154" s="9">
        <v>34250.54</v>
      </c>
      <c r="S154" s="9">
        <v>-15150.52</v>
      </c>
      <c r="T154" s="12">
        <v>6.82</v>
      </c>
      <c r="U154" s="12">
        <v>6.37</v>
      </c>
      <c r="V154" s="12">
        <v>37.95</v>
      </c>
      <c r="W154" s="12">
        <v>4.4</v>
      </c>
      <c r="X154" s="12">
        <v>6.48</v>
      </c>
      <c r="Y154" s="12" t="e">
        <v>#N/A</v>
      </c>
      <c r="Z154" s="12" t="str">
        <f t="shared" si="3"/>
        <v>#N/A</v>
      </c>
      <c r="AA154" s="12"/>
      <c r="AB154" s="12">
        <v>7.43</v>
      </c>
      <c r="AC154" s="12">
        <v>0.66</v>
      </c>
      <c r="AD154" s="12">
        <v>9.99</v>
      </c>
      <c r="AE154" s="12">
        <v>1.99</v>
      </c>
      <c r="AF154" s="12">
        <v>1.28</v>
      </c>
      <c r="AG154" s="12">
        <v>3.39</v>
      </c>
      <c r="AH154" s="12">
        <v>0.86</v>
      </c>
      <c r="AI154" s="12">
        <v>2.55</v>
      </c>
      <c r="AJ154" s="12">
        <v>143.1</v>
      </c>
      <c r="AK154" s="12">
        <v>3.31</v>
      </c>
      <c r="AL154" s="12">
        <v>110.14</v>
      </c>
      <c r="AM154" s="12">
        <v>7.73</v>
      </c>
      <c r="AN154" s="12">
        <v>47.22</v>
      </c>
      <c r="AO154" s="12">
        <v>206.02</v>
      </c>
      <c r="AP154" s="12">
        <f t="shared" si="4"/>
        <v>2.01958</v>
      </c>
      <c r="AQ154" s="35">
        <v>0.8828375732441351</v>
      </c>
      <c r="AR154" s="15">
        <f t="shared" si="5"/>
        <v>1</v>
      </c>
      <c r="AS154" s="15">
        <f t="shared" ref="AS154:AS159" si="149">IF(AR154=N154,1,0)</f>
        <v>0</v>
      </c>
      <c r="AU154" s="15">
        <f>2.551996+('2021'!C154*0.000000012919)+('2021'!E154*0.000003)-('2021'!H154*0.000002)
-('2021'!U154*0.123062)+('2021'!AC154*0.831)-('2021'!AD154*0.008464)-('2021'!AF154*0.15884)
-('2021'!AL154*0.025383)-('2021'!AM154*0.427021)-('2021'!AN154*0.009878)
</f>
        <v>-5.302100329</v>
      </c>
      <c r="AV154" s="15">
        <v>0.004956432332659192</v>
      </c>
      <c r="AW154" s="14">
        <f t="shared" si="7"/>
        <v>0</v>
      </c>
      <c r="AX154" s="14"/>
    </row>
    <row r="155">
      <c r="A155" s="8" t="s">
        <v>208</v>
      </c>
      <c r="B155" s="34">
        <f t="shared" si="1"/>
        <v>1</v>
      </c>
      <c r="C155" s="9">
        <v>709117.09</v>
      </c>
      <c r="D155" s="9">
        <v>380594.64</v>
      </c>
      <c r="E155" s="9">
        <v>458773.72</v>
      </c>
      <c r="F155" s="9">
        <v>328522.45</v>
      </c>
      <c r="G155" s="9">
        <v>303737.83</v>
      </c>
      <c r="H155" s="9">
        <v>333966.78</v>
      </c>
      <c r="I155" s="9">
        <v>-4086.49</v>
      </c>
      <c r="J155" s="9">
        <v>-30228.95</v>
      </c>
      <c r="K155" s="9">
        <v>-41022.28</v>
      </c>
      <c r="L155" s="9">
        <v>-53849.43</v>
      </c>
      <c r="M155" s="9">
        <v>-59172.16</v>
      </c>
      <c r="N155" s="10">
        <f t="shared" ref="N155:N163" si="150">IF(AND(K155&lt;0,L155&lt;0,M155&lt;0),1,0)</f>
        <v>1</v>
      </c>
      <c r="O155" s="12">
        <v>-0.09</v>
      </c>
      <c r="P155" s="9">
        <v>-31610.89</v>
      </c>
      <c r="Q155" s="9">
        <v>3335.36</v>
      </c>
      <c r="R155" s="9">
        <v>15760.73</v>
      </c>
      <c r="S155" s="9">
        <v>-12514.8</v>
      </c>
      <c r="T155" s="12">
        <v>-11.74</v>
      </c>
      <c r="U155" s="12">
        <v>-4.21</v>
      </c>
      <c r="V155" s="12">
        <v>10.29</v>
      </c>
      <c r="W155" s="12">
        <v>-13.51</v>
      </c>
      <c r="X155" s="12">
        <v>-17.3</v>
      </c>
      <c r="Y155" s="12">
        <v>-10.87</v>
      </c>
      <c r="Z155" s="12">
        <f t="shared" si="3"/>
        <v>1</v>
      </c>
      <c r="AA155" s="12"/>
      <c r="AB155" s="12">
        <v>-9.95</v>
      </c>
      <c r="AC155" s="12">
        <v>1.16</v>
      </c>
      <c r="AD155" s="12">
        <v>-2.8</v>
      </c>
      <c r="AE155" s="12">
        <v>0.42</v>
      </c>
      <c r="AF155" s="12">
        <v>0.12</v>
      </c>
      <c r="AG155" s="12">
        <v>0.83</v>
      </c>
      <c r="AH155" s="12">
        <v>0.42</v>
      </c>
      <c r="AI155" s="12">
        <v>2.97</v>
      </c>
      <c r="AJ155" s="12">
        <v>122.8</v>
      </c>
      <c r="AK155" s="12">
        <v>7.59</v>
      </c>
      <c r="AL155" s="12">
        <v>48.1</v>
      </c>
      <c r="AM155" s="12">
        <v>3.29</v>
      </c>
      <c r="AN155" s="12">
        <v>111.02</v>
      </c>
      <c r="AO155" s="12">
        <v>59.88</v>
      </c>
      <c r="AP155" s="12">
        <f t="shared" si="4"/>
        <v>3.45582</v>
      </c>
      <c r="AQ155" s="35">
        <v>0.9694042322892297</v>
      </c>
      <c r="AR155" s="15">
        <f t="shared" si="5"/>
        <v>1</v>
      </c>
      <c r="AS155" s="15">
        <f t="shared" si="149"/>
        <v>1</v>
      </c>
      <c r="AU155" s="15">
        <f>2.551996+('2021'!C155*0.000000012919)+('2021'!E155*0.000003)-('2021'!H155*0.000002)
-('2021'!U155*0.123062)+('2021'!AC155*0.831)-('2021'!AD155*0.008464)-('2021'!AF155*0.15884)
-('2021'!AL155*0.025383)-('2021'!AM155*0.427021)-('2021'!AN155*0.009878)
</f>
        <v>1.033757154</v>
      </c>
      <c r="AV155" s="15">
        <v>0.737643649791929</v>
      </c>
      <c r="AW155" s="14">
        <f t="shared" si="7"/>
        <v>1</v>
      </c>
      <c r="AX155" s="14" t="str">
        <f t="shared" ref="AX155:AX159" si="151">IF(AW155='temp result 2022'!B155,1,IF(Z155="-",1,0))</f>
        <v>#REF!</v>
      </c>
      <c r="AZ155" s="15" t="str">
        <f t="shared" ref="AZ155:AZ159" si="152">IF(and(AW155=0,AX155=1),1,0)</f>
        <v>#REF!</v>
      </c>
      <c r="BA155" s="15" t="str">
        <f t="shared" ref="BA155:BA159" si="153">IF(AND(AW155=0,AX155=0),1,0)</f>
        <v>#REF!</v>
      </c>
      <c r="BB155" s="15" t="str">
        <f t="shared" ref="BB155:BB159" si="154">IF(AND(AW155=1,AX155=0),1,0)</f>
        <v>#REF!</v>
      </c>
      <c r="BC155" s="15" t="str">
        <f t="shared" ref="BC155:BC159" si="155">IF(AND(AW155=1,AX155=1),1,0)</f>
        <v>#REF!</v>
      </c>
      <c r="BD155" s="15" t="str">
        <f t="shared" ref="BD155:BD159" si="156">IF(AZ155+BA155+BB155+BC155&gt;1,1,0)</f>
        <v>#REF!</v>
      </c>
    </row>
    <row r="156">
      <c r="A156" s="8" t="s">
        <v>209</v>
      </c>
      <c r="B156" s="34">
        <f t="shared" si="1"/>
        <v>0</v>
      </c>
      <c r="C156" s="9">
        <v>626705.7</v>
      </c>
      <c r="D156" s="9">
        <v>397948.57</v>
      </c>
      <c r="E156" s="9">
        <v>167860.22</v>
      </c>
      <c r="F156" s="9">
        <v>195873.16</v>
      </c>
      <c r="G156" s="9">
        <v>486559.28</v>
      </c>
      <c r="H156" s="9">
        <v>478107.56</v>
      </c>
      <c r="I156" s="9">
        <v>29444.82</v>
      </c>
      <c r="J156" s="9">
        <v>8451.72</v>
      </c>
      <c r="K156" s="12">
        <v>552.8</v>
      </c>
      <c r="L156" s="12">
        <v>14389.97</v>
      </c>
      <c r="M156" s="12">
        <v>-8383.41</v>
      </c>
      <c r="N156" s="10">
        <f t="shared" si="150"/>
        <v>0</v>
      </c>
      <c r="O156" s="12" t="s">
        <v>46</v>
      </c>
      <c r="P156" s="9">
        <v>32753.31</v>
      </c>
      <c r="Q156" s="9">
        <v>-130524.36</v>
      </c>
      <c r="R156" s="9">
        <v>99397.14</v>
      </c>
      <c r="S156" s="9">
        <v>1626.09</v>
      </c>
      <c r="T156" s="12">
        <v>0.28</v>
      </c>
      <c r="U156" s="12">
        <v>1.55</v>
      </c>
      <c r="V156" s="12">
        <v>31.53</v>
      </c>
      <c r="W156" s="12">
        <v>-0.49</v>
      </c>
      <c r="X156" s="12">
        <v>3.13</v>
      </c>
      <c r="Y156" s="12">
        <v>-2.18</v>
      </c>
      <c r="Z156" s="12">
        <f t="shared" si="3"/>
        <v>0</v>
      </c>
      <c r="AA156" s="12"/>
      <c r="AB156" s="12">
        <v>1.74</v>
      </c>
      <c r="AC156" s="12">
        <v>1.74</v>
      </c>
      <c r="AD156" s="12">
        <v>0.74</v>
      </c>
      <c r="AE156" s="12">
        <v>1.34</v>
      </c>
      <c r="AF156" s="12">
        <v>0.8</v>
      </c>
      <c r="AG156" s="12">
        <v>2.11</v>
      </c>
      <c r="AH156" s="12">
        <v>0.89</v>
      </c>
      <c r="AI156" s="12">
        <v>3.55</v>
      </c>
      <c r="AJ156" s="12">
        <v>102.76</v>
      </c>
      <c r="AK156" s="12">
        <v>3.61</v>
      </c>
      <c r="AL156" s="12">
        <v>101.12</v>
      </c>
      <c r="AM156" s="12">
        <v>4.12</v>
      </c>
      <c r="AN156" s="12">
        <v>88.5</v>
      </c>
      <c r="AO156" s="12">
        <v>115.38</v>
      </c>
      <c r="AP156" s="12">
        <f t="shared" si="4"/>
        <v>0.74226</v>
      </c>
      <c r="AQ156" s="35">
        <v>0.6774898581973583</v>
      </c>
      <c r="AR156" s="15">
        <f t="shared" si="5"/>
        <v>1</v>
      </c>
      <c r="AS156" s="15">
        <f t="shared" si="149"/>
        <v>0</v>
      </c>
      <c r="AU156" s="15">
        <f>2.551996+('2021'!C156*0.000000012919)+('2021'!E156*0.000003)-('2021'!H156*0.000002)
-('2021'!U156*0.123062)+('2021'!AC156*0.831)-('2021'!AD156*0.008464)-('2021'!AF156*0.15884)
-('2021'!AL156*0.025383)-('2021'!AM156*0.427021)-('2021'!AN156*0.009878)
</f>
        <v>-1.970941989</v>
      </c>
      <c r="AV156" s="15">
        <v>0.12228774390643729</v>
      </c>
      <c r="AW156" s="14">
        <f t="shared" si="7"/>
        <v>0</v>
      </c>
      <c r="AX156" s="14" t="str">
        <f t="shared" si="151"/>
        <v>#REF!</v>
      </c>
      <c r="AZ156" s="15" t="str">
        <f t="shared" si="152"/>
        <v>#REF!</v>
      </c>
      <c r="BA156" s="15" t="str">
        <f t="shared" si="153"/>
        <v>#REF!</v>
      </c>
      <c r="BB156" s="15" t="str">
        <f t="shared" si="154"/>
        <v>#REF!</v>
      </c>
      <c r="BC156" s="15" t="str">
        <f t="shared" si="155"/>
        <v>#REF!</v>
      </c>
      <c r="BD156" s="15" t="str">
        <f t="shared" si="156"/>
        <v>#REF!</v>
      </c>
    </row>
    <row r="157">
      <c r="A157" s="8" t="s">
        <v>210</v>
      </c>
      <c r="B157" s="34">
        <f t="shared" si="1"/>
        <v>0</v>
      </c>
      <c r="C157" s="9">
        <v>1824311.34</v>
      </c>
      <c r="D157" s="9">
        <v>764546.21</v>
      </c>
      <c r="E157" s="9">
        <v>398664.06</v>
      </c>
      <c r="F157" s="9">
        <v>1059765.13</v>
      </c>
      <c r="G157" s="9">
        <v>1485612.29</v>
      </c>
      <c r="H157" s="9">
        <v>1341304.55</v>
      </c>
      <c r="I157" s="9">
        <v>209309.55</v>
      </c>
      <c r="J157" s="9">
        <v>151110.28</v>
      </c>
      <c r="K157" s="9">
        <v>112681.61</v>
      </c>
      <c r="L157" s="9">
        <v>105519.52</v>
      </c>
      <c r="M157" s="9">
        <v>101280.87</v>
      </c>
      <c r="N157" s="10">
        <f t="shared" si="150"/>
        <v>0</v>
      </c>
      <c r="O157" s="12">
        <v>0.28</v>
      </c>
      <c r="P157" s="9">
        <v>-271166.46</v>
      </c>
      <c r="Q157" s="9">
        <v>-18757.98</v>
      </c>
      <c r="R157" s="9">
        <v>300667.58</v>
      </c>
      <c r="S157" s="9">
        <v>10743.13</v>
      </c>
      <c r="T157" s="12">
        <v>10.8</v>
      </c>
      <c r="U157" s="12">
        <v>9.42</v>
      </c>
      <c r="V157" s="12">
        <v>19.14</v>
      </c>
      <c r="W157" s="12">
        <v>7.58</v>
      </c>
      <c r="X157" s="12">
        <v>7.18</v>
      </c>
      <c r="Y157" s="12">
        <v>6.85</v>
      </c>
      <c r="Z157" s="12">
        <f t="shared" si="3"/>
        <v>0</v>
      </c>
      <c r="AA157" s="12"/>
      <c r="AB157" s="12">
        <v>10.17</v>
      </c>
      <c r="AC157" s="12">
        <v>0.72</v>
      </c>
      <c r="AD157" s="12">
        <v>15.99</v>
      </c>
      <c r="AE157" s="12">
        <v>1.98</v>
      </c>
      <c r="AF157" s="12">
        <v>0.54</v>
      </c>
      <c r="AG157" s="12">
        <v>2.15</v>
      </c>
      <c r="AH157" s="12">
        <v>0.93</v>
      </c>
      <c r="AI157" s="12">
        <v>2.28</v>
      </c>
      <c r="AJ157" s="12">
        <v>160.31</v>
      </c>
      <c r="AK157" s="12">
        <v>7.56</v>
      </c>
      <c r="AL157" s="12">
        <v>48.29</v>
      </c>
      <c r="AM157" s="12">
        <v>18.81</v>
      </c>
      <c r="AN157" s="12">
        <v>19.4</v>
      </c>
      <c r="AO157" s="12">
        <v>189.2</v>
      </c>
      <c r="AP157" s="12">
        <f t="shared" si="4"/>
        <v>-0.42313</v>
      </c>
      <c r="AQ157" s="35">
        <v>0.3957680117556348</v>
      </c>
      <c r="AR157" s="15">
        <f t="shared" si="5"/>
        <v>0</v>
      </c>
      <c r="AS157" s="15">
        <f t="shared" si="149"/>
        <v>1</v>
      </c>
      <c r="AU157" s="15">
        <f>2.551996+('2021'!C157*0.000000012919)+('2021'!E157*0.000003)-('2021'!H157*0.000002)
-('2021'!U157*0.123062)+('2021'!AC157*0.831)-('2021'!AD157*0.008464)-('2021'!AF157*0.15884)
-('2021'!AL157*0.025383)-('2021'!AM157*0.427021)-('2021'!AN157*0.009878)
</f>
        <v>-9.142732922</v>
      </c>
      <c r="AV157" s="15">
        <v>1.0698307531954726E-4</v>
      </c>
      <c r="AW157" s="14">
        <f t="shared" si="7"/>
        <v>0</v>
      </c>
      <c r="AX157" s="14" t="str">
        <f t="shared" si="151"/>
        <v>#REF!</v>
      </c>
      <c r="AZ157" s="15" t="str">
        <f t="shared" si="152"/>
        <v>#REF!</v>
      </c>
      <c r="BA157" s="15" t="str">
        <f t="shared" si="153"/>
        <v>#REF!</v>
      </c>
      <c r="BB157" s="15" t="str">
        <f t="shared" si="154"/>
        <v>#REF!</v>
      </c>
      <c r="BC157" s="15" t="str">
        <f t="shared" si="155"/>
        <v>#REF!</v>
      </c>
      <c r="BD157" s="15" t="str">
        <f t="shared" si="156"/>
        <v>#REF!</v>
      </c>
    </row>
    <row r="158">
      <c r="A158" s="8" t="s">
        <v>211</v>
      </c>
      <c r="B158" s="34">
        <f t="shared" si="1"/>
        <v>0</v>
      </c>
      <c r="C158" s="9">
        <v>3220219.0</v>
      </c>
      <c r="D158" s="9">
        <v>673553.0</v>
      </c>
      <c r="E158" s="9">
        <v>199500.0</v>
      </c>
      <c r="F158" s="9">
        <v>2546666.0</v>
      </c>
      <c r="G158" s="9">
        <v>3028302.0</v>
      </c>
      <c r="H158" s="9">
        <v>2863670.06</v>
      </c>
      <c r="I158" s="9">
        <v>450357.94</v>
      </c>
      <c r="J158" s="9">
        <v>164631.94</v>
      </c>
      <c r="K158" s="9">
        <v>137823.17</v>
      </c>
      <c r="L158" s="9">
        <v>68037.51</v>
      </c>
      <c r="M158" s="9">
        <v>279287.46</v>
      </c>
      <c r="N158" s="10">
        <f t="shared" si="150"/>
        <v>0</v>
      </c>
      <c r="O158" s="12">
        <v>3.45</v>
      </c>
      <c r="P158" s="9">
        <v>406358.9</v>
      </c>
      <c r="Q158" s="9">
        <v>-193768.67</v>
      </c>
      <c r="R158" s="9">
        <v>-133689.59</v>
      </c>
      <c r="S158" s="9">
        <v>78900.65</v>
      </c>
      <c r="T158" s="12">
        <v>5.54</v>
      </c>
      <c r="U158" s="12">
        <v>5.16</v>
      </c>
      <c r="V158" s="12">
        <v>15.32</v>
      </c>
      <c r="W158" s="12">
        <v>4.55</v>
      </c>
      <c r="X158" s="12">
        <v>2.84</v>
      </c>
      <c r="Y158" s="12">
        <v>9.07</v>
      </c>
      <c r="Z158" s="12">
        <f t="shared" si="3"/>
        <v>0</v>
      </c>
      <c r="AA158" s="12"/>
      <c r="AB158" s="12">
        <v>5.44</v>
      </c>
      <c r="AC158" s="12">
        <v>0.26</v>
      </c>
      <c r="AD158" s="12">
        <v>41.26</v>
      </c>
      <c r="AE158" s="12">
        <v>2.22</v>
      </c>
      <c r="AF158" s="12">
        <v>1.7</v>
      </c>
      <c r="AG158" s="12">
        <v>1.68</v>
      </c>
      <c r="AH158" s="12">
        <v>0.95</v>
      </c>
      <c r="AI158" s="12">
        <v>10.29</v>
      </c>
      <c r="AJ158" s="12">
        <v>35.46</v>
      </c>
      <c r="AK158" s="12">
        <v>5.68</v>
      </c>
      <c r="AL158" s="12">
        <v>64.23</v>
      </c>
      <c r="AM158" s="12">
        <v>5.62</v>
      </c>
      <c r="AN158" s="12">
        <v>65.0</v>
      </c>
      <c r="AO158" s="12">
        <v>34.69</v>
      </c>
      <c r="AP158" s="12">
        <f t="shared" si="4"/>
        <v>1.13553</v>
      </c>
      <c r="AQ158" s="35">
        <v>0.7568579966008024</v>
      </c>
      <c r="AR158" s="15">
        <f t="shared" si="5"/>
        <v>1</v>
      </c>
      <c r="AS158" s="15">
        <f t="shared" si="149"/>
        <v>0</v>
      </c>
      <c r="AU158" s="15">
        <f>2.551996+('2021'!C158*0.000000012919)+('2021'!E158*0.000003)-('2021'!H158*0.000002)
-('2021'!U158*0.123062)+('2021'!AC158*0.831)-('2021'!AD158*0.008464)-('2021'!AF158*0.15884)
-('2021'!AL158*0.025383)-('2021'!AM158*0.427021)-('2021'!AN158*0.009878)
</f>
        <v>-8.245712781</v>
      </c>
      <c r="AV158" s="15">
        <v>2.623122087055128E-4</v>
      </c>
      <c r="AW158" s="14">
        <f t="shared" si="7"/>
        <v>0</v>
      </c>
      <c r="AX158" s="14" t="str">
        <f t="shared" si="151"/>
        <v>#REF!</v>
      </c>
      <c r="AZ158" s="15" t="str">
        <f t="shared" si="152"/>
        <v>#REF!</v>
      </c>
      <c r="BA158" s="15" t="str">
        <f t="shared" si="153"/>
        <v>#REF!</v>
      </c>
      <c r="BB158" s="15" t="str">
        <f t="shared" si="154"/>
        <v>#REF!</v>
      </c>
      <c r="BC158" s="15" t="str">
        <f t="shared" si="155"/>
        <v>#REF!</v>
      </c>
      <c r="BD158" s="15" t="str">
        <f t="shared" si="156"/>
        <v>#REF!</v>
      </c>
    </row>
    <row r="159">
      <c r="A159" s="8" t="s">
        <v>212</v>
      </c>
      <c r="B159" s="34">
        <f t="shared" si="1"/>
        <v>0</v>
      </c>
      <c r="C159" s="9">
        <v>1171182.66</v>
      </c>
      <c r="D159" s="9">
        <v>689427.46</v>
      </c>
      <c r="E159" s="9">
        <v>120470.62</v>
      </c>
      <c r="F159" s="9">
        <v>493788.36</v>
      </c>
      <c r="G159" s="9">
        <v>325807.65</v>
      </c>
      <c r="H159" s="9">
        <v>306915.29</v>
      </c>
      <c r="I159" s="9">
        <v>47071.69</v>
      </c>
      <c r="J159" s="9">
        <v>18892.36</v>
      </c>
      <c r="K159" s="9">
        <v>-26902.68</v>
      </c>
      <c r="L159" s="9">
        <v>19326.35</v>
      </c>
      <c r="M159" s="9">
        <v>21763.28</v>
      </c>
      <c r="N159" s="10">
        <f t="shared" si="150"/>
        <v>0</v>
      </c>
      <c r="O159" s="12">
        <v>-0.04</v>
      </c>
      <c r="P159" s="9">
        <v>42376.75</v>
      </c>
      <c r="Q159" s="9">
        <v>-60993.99</v>
      </c>
      <c r="R159" s="9">
        <v>21663.3</v>
      </c>
      <c r="S159" s="9">
        <v>3046.06</v>
      </c>
      <c r="T159" s="12">
        <v>-5.55</v>
      </c>
      <c r="U159" s="12">
        <v>1.65</v>
      </c>
      <c r="V159" s="12">
        <v>28.95</v>
      </c>
      <c r="W159" s="12">
        <v>-8.33</v>
      </c>
      <c r="X159" s="12">
        <v>5.35</v>
      </c>
      <c r="Y159" s="12">
        <v>5.76</v>
      </c>
      <c r="Z159" s="12">
        <f t="shared" si="3"/>
        <v>0</v>
      </c>
      <c r="AA159" s="12"/>
      <c r="AB159" s="12">
        <v>5.8</v>
      </c>
      <c r="AC159" s="12">
        <v>1.43</v>
      </c>
      <c r="AD159" s="12">
        <v>0.47</v>
      </c>
      <c r="AE159" s="12">
        <v>0.39</v>
      </c>
      <c r="AF159" s="12">
        <v>0.13</v>
      </c>
      <c r="AG159" s="12">
        <v>0.54</v>
      </c>
      <c r="AH159" s="12">
        <v>0.29</v>
      </c>
      <c r="AI159" s="12">
        <v>44.84</v>
      </c>
      <c r="AJ159" s="12">
        <v>8.14</v>
      </c>
      <c r="AK159" s="12">
        <v>3.93</v>
      </c>
      <c r="AL159" s="12">
        <v>92.76</v>
      </c>
      <c r="AM159" s="12">
        <v>52.92</v>
      </c>
      <c r="AN159" s="12">
        <v>6.9</v>
      </c>
      <c r="AO159" s="12">
        <v>94.0</v>
      </c>
      <c r="AP159" s="12">
        <f t="shared" si="4"/>
        <v>3.21653</v>
      </c>
      <c r="AQ159" s="35">
        <v>0.9614516136708471</v>
      </c>
      <c r="AR159" s="15">
        <f t="shared" si="5"/>
        <v>1</v>
      </c>
      <c r="AS159" s="15">
        <f t="shared" si="149"/>
        <v>0</v>
      </c>
      <c r="AU159" s="15">
        <f>2.551996+('2021'!C159*0.000000012919)+('2021'!E159*0.000003)-('2021'!H159*0.000002)
-('2021'!U159*0.123062)+('2021'!AC159*0.831)-('2021'!AD159*0.008464)-('2021'!AF159*0.15884)
-('2021'!AL159*0.025383)-('2021'!AM159*0.427021)-('2021'!AN159*0.009878)
</f>
        <v>-21.74527839</v>
      </c>
      <c r="AV159" s="15">
        <v>3.598699529399811E-10</v>
      </c>
      <c r="AW159" s="14">
        <f t="shared" si="7"/>
        <v>0</v>
      </c>
      <c r="AX159" s="14" t="str">
        <f t="shared" si="151"/>
        <v>#REF!</v>
      </c>
      <c r="AZ159" s="15" t="str">
        <f t="shared" si="152"/>
        <v>#REF!</v>
      </c>
      <c r="BA159" s="15" t="str">
        <f t="shared" si="153"/>
        <v>#REF!</v>
      </c>
      <c r="BB159" s="15" t="str">
        <f t="shared" si="154"/>
        <v>#REF!</v>
      </c>
      <c r="BC159" s="15" t="str">
        <f t="shared" si="155"/>
        <v>#REF!</v>
      </c>
      <c r="BD159" s="15" t="str">
        <f t="shared" si="156"/>
        <v>#REF!</v>
      </c>
    </row>
    <row r="160">
      <c r="A160" s="8" t="s">
        <v>310</v>
      </c>
      <c r="B160" s="34">
        <f t="shared" si="1"/>
        <v>0</v>
      </c>
      <c r="C160" s="9">
        <v>2791231.0</v>
      </c>
      <c r="D160" s="9">
        <v>472505.0</v>
      </c>
      <c r="E160" s="9">
        <v>180000.0</v>
      </c>
      <c r="F160" s="9">
        <v>2318726.0</v>
      </c>
      <c r="G160" s="9">
        <v>2433536.89</v>
      </c>
      <c r="H160" s="9">
        <v>1897831.7</v>
      </c>
      <c r="I160" s="9">
        <v>622461.54</v>
      </c>
      <c r="J160" s="9">
        <v>535705.19</v>
      </c>
      <c r="K160" s="9">
        <v>433841.82</v>
      </c>
      <c r="L160" s="9">
        <v>210836.0</v>
      </c>
      <c r="M160" s="9">
        <v>318311.0</v>
      </c>
      <c r="N160" s="10">
        <f t="shared" si="150"/>
        <v>0</v>
      </c>
      <c r="O160" s="12">
        <v>2.41</v>
      </c>
      <c r="P160" s="9">
        <v>335154.99</v>
      </c>
      <c r="Q160" s="9">
        <v>-20473.2</v>
      </c>
      <c r="R160" s="9">
        <v>-90000.0</v>
      </c>
      <c r="S160" s="9">
        <v>224681.79</v>
      </c>
      <c r="T160" s="12">
        <v>20.25</v>
      </c>
      <c r="U160" s="12">
        <v>20.97</v>
      </c>
      <c r="V160" s="12">
        <v>30.4</v>
      </c>
      <c r="W160" s="12">
        <v>17.83</v>
      </c>
      <c r="X160" s="12">
        <v>11.16</v>
      </c>
      <c r="Y160" s="12">
        <v>14.34</v>
      </c>
      <c r="Z160" s="12">
        <f t="shared" si="3"/>
        <v>0</v>
      </c>
      <c r="AA160" s="12"/>
      <c r="AB160" s="12">
        <v>22.01</v>
      </c>
      <c r="AC160" s="12">
        <v>0.2</v>
      </c>
      <c r="AD160" s="12" t="s">
        <v>47</v>
      </c>
      <c r="AE160" s="12">
        <v>4.15</v>
      </c>
      <c r="AF160" s="12">
        <v>2.35</v>
      </c>
      <c r="AG160" s="12">
        <v>2.06</v>
      </c>
      <c r="AH160" s="12">
        <v>0.95</v>
      </c>
      <c r="AI160" s="12">
        <v>44.19</v>
      </c>
      <c r="AJ160" s="12">
        <v>8.26</v>
      </c>
      <c r="AK160" s="12">
        <v>8.69</v>
      </c>
      <c r="AL160" s="12">
        <v>41.99</v>
      </c>
      <c r="AM160" s="12">
        <v>10.16</v>
      </c>
      <c r="AN160" s="12">
        <v>35.92</v>
      </c>
      <c r="AO160" s="12">
        <v>14.33</v>
      </c>
      <c r="AP160" s="12" t="str">
        <f t="shared" si="4"/>
        <v>#VALUE!</v>
      </c>
      <c r="AQ160" s="35" t="e">
        <v>#VALUE!</v>
      </c>
      <c r="AR160" s="15" t="str">
        <f t="shared" si="5"/>
        <v>#VALUE!</v>
      </c>
      <c r="AU160" s="15" t="str">
        <f>2.551996+('2021'!C160*0.000000012919)+('2021'!E160*0.000003)-('2021'!H160*0.000002)
-('2021'!U160*0.123062)+('2021'!AC160*0.831)-('2021'!AD160*0.008464)-('2021'!AF160*0.15884)
-('2021'!AL160*0.025383)-('2021'!AM160*0.427021)-('2021'!AN160*0.009878)
</f>
        <v>#VALUE!</v>
      </c>
      <c r="AV160" s="15" t="e">
        <v>#VALUE!</v>
      </c>
      <c r="AW160" s="14" t="str">
        <f t="shared" si="7"/>
        <v>#VALUE!</v>
      </c>
      <c r="AX160" s="14"/>
    </row>
    <row r="161">
      <c r="A161" s="8" t="s">
        <v>214</v>
      </c>
      <c r="B161" s="34">
        <f t="shared" si="1"/>
        <v>0</v>
      </c>
      <c r="C161" s="9">
        <v>1189307.08</v>
      </c>
      <c r="D161" s="9">
        <v>279762.51</v>
      </c>
      <c r="E161" s="9">
        <v>200000.0</v>
      </c>
      <c r="F161" s="9">
        <v>909544.58</v>
      </c>
      <c r="G161" s="9">
        <v>2638325.28</v>
      </c>
      <c r="H161" s="9">
        <v>2399623.32</v>
      </c>
      <c r="I161" s="9">
        <v>286040.91</v>
      </c>
      <c r="J161" s="9">
        <v>238701.95</v>
      </c>
      <c r="K161" s="9">
        <v>192097.37</v>
      </c>
      <c r="L161" s="9">
        <v>133863.27</v>
      </c>
      <c r="M161" s="9">
        <v>88600.68</v>
      </c>
      <c r="N161" s="10">
        <f t="shared" si="150"/>
        <v>0</v>
      </c>
      <c r="O161" s="12">
        <v>0.24</v>
      </c>
      <c r="P161" s="9">
        <v>231136.68</v>
      </c>
      <c r="Q161" s="9">
        <v>-114740.56</v>
      </c>
      <c r="R161" s="9">
        <v>-76514.28</v>
      </c>
      <c r="S161" s="9">
        <v>39881.84</v>
      </c>
      <c r="T161" s="12">
        <v>22.6</v>
      </c>
      <c r="U161" s="12">
        <v>21.49</v>
      </c>
      <c r="V161" s="12">
        <v>17.14</v>
      </c>
      <c r="W161" s="12">
        <v>7.28</v>
      </c>
      <c r="X161" s="12">
        <v>6.06</v>
      </c>
      <c r="Y161" s="12">
        <v>4.51</v>
      </c>
      <c r="Z161" s="12">
        <f t="shared" si="3"/>
        <v>0</v>
      </c>
      <c r="AA161" s="12"/>
      <c r="AB161" s="12">
        <v>9.05</v>
      </c>
      <c r="AC161" s="12">
        <v>0.31</v>
      </c>
      <c r="AD161" s="12">
        <v>111.14</v>
      </c>
      <c r="AE161" s="12">
        <v>2.25</v>
      </c>
      <c r="AF161" s="12">
        <v>0.79</v>
      </c>
      <c r="AG161" s="12">
        <v>4.05</v>
      </c>
      <c r="AH161" s="12">
        <v>2.38</v>
      </c>
      <c r="AI161" s="12">
        <v>7.82</v>
      </c>
      <c r="AJ161" s="12">
        <v>46.67</v>
      </c>
      <c r="AK161" s="12">
        <v>143.89</v>
      </c>
      <c r="AL161" s="12">
        <v>2.54</v>
      </c>
      <c r="AM161" s="12">
        <v>13.03</v>
      </c>
      <c r="AN161" s="12">
        <v>28.01</v>
      </c>
      <c r="AO161" s="12">
        <v>21.2</v>
      </c>
      <c r="AP161" s="12">
        <f t="shared" si="4"/>
        <v>2.99533</v>
      </c>
      <c r="AQ161" s="35">
        <v>0.952362705361996</v>
      </c>
      <c r="AR161" s="15">
        <f t="shared" si="5"/>
        <v>1</v>
      </c>
      <c r="AS161" s="15">
        <f t="shared" ref="AS161:AS174" si="157">IF(AR161=N161,1,0)</f>
        <v>0</v>
      </c>
      <c r="AU161" s="15">
        <f>2.551996+('2021'!C161*0.000000012919)+('2021'!E161*0.000003)-('2021'!H161*0.000002)
-('2021'!U161*0.123062)+('2021'!AC161*0.831)-('2021'!AD161*0.008464)-('2021'!AF161*0.15884)
-('2021'!AL161*0.025383)-('2021'!AM161*0.427021)-('2021'!AN161*0.009878)
</f>
        <v>-10.99029015</v>
      </c>
      <c r="AV161" s="15">
        <v>1.6864377239291718E-5</v>
      </c>
      <c r="AW161" s="14">
        <f t="shared" si="7"/>
        <v>0</v>
      </c>
      <c r="AX161" s="14" t="str">
        <f t="shared" ref="AX161:AX163" si="158">IF(AW161='temp result 2022'!B161,1,IF(Z161="-",1,0))</f>
        <v>#REF!</v>
      </c>
      <c r="AZ161" s="15" t="str">
        <f t="shared" ref="AZ161:AZ163" si="159">IF(and(AW161=0,AX161=1),1,0)</f>
        <v>#REF!</v>
      </c>
      <c r="BA161" s="15" t="str">
        <f t="shared" ref="BA161:BA163" si="160">IF(AND(AW161=0,AX161=0),1,0)</f>
        <v>#REF!</v>
      </c>
      <c r="BB161" s="15" t="str">
        <f t="shared" ref="BB161:BB163" si="161">IF(AND(AW161=1,AX161=0),1,0)</f>
        <v>#REF!</v>
      </c>
      <c r="BC161" s="15" t="str">
        <f t="shared" ref="BC161:BC163" si="162">IF(AND(AW161=1,AX161=1),1,0)</f>
        <v>#REF!</v>
      </c>
      <c r="BD161" s="15" t="str">
        <f t="shared" ref="BD161:BD163" si="163">IF(AZ161+BA161+BB161+BC161&gt;1,1,0)</f>
        <v>#REF!</v>
      </c>
    </row>
    <row r="162">
      <c r="A162" s="8" t="s">
        <v>215</v>
      </c>
      <c r="B162" s="34">
        <f t="shared" si="1"/>
        <v>0</v>
      </c>
      <c r="C162" s="9">
        <v>9526684.97</v>
      </c>
      <c r="D162" s="9">
        <v>5778128.94</v>
      </c>
      <c r="E162" s="9">
        <v>401200.0</v>
      </c>
      <c r="F162" s="9">
        <v>2885805.92</v>
      </c>
      <c r="G162" s="9">
        <v>2477879.37</v>
      </c>
      <c r="H162" s="9">
        <v>2019255.12</v>
      </c>
      <c r="I162" s="9">
        <v>813021.64</v>
      </c>
      <c r="J162" s="9">
        <v>460097.58</v>
      </c>
      <c r="K162" s="9">
        <v>135404.64</v>
      </c>
      <c r="L162" s="9">
        <v>250953.26</v>
      </c>
      <c r="M162" s="9">
        <v>359510.82</v>
      </c>
      <c r="N162" s="10">
        <f t="shared" si="150"/>
        <v>0</v>
      </c>
      <c r="O162" s="12">
        <v>0.34</v>
      </c>
      <c r="P162" s="9">
        <v>127928.16</v>
      </c>
      <c r="Q162" s="9">
        <v>-745668.87</v>
      </c>
      <c r="R162" s="9">
        <v>1066738.96</v>
      </c>
      <c r="S162" s="9">
        <v>448998.25</v>
      </c>
      <c r="T162" s="12">
        <v>4.63</v>
      </c>
      <c r="U162" s="12">
        <v>5.05</v>
      </c>
      <c r="V162" s="12">
        <v>23.64</v>
      </c>
      <c r="W162" s="12">
        <v>11.59</v>
      </c>
      <c r="X162" s="12">
        <v>23.78</v>
      </c>
      <c r="Y162" s="12">
        <v>34.74</v>
      </c>
      <c r="Z162" s="12">
        <f t="shared" si="3"/>
        <v>0</v>
      </c>
      <c r="AA162" s="12"/>
      <c r="AB162" s="12">
        <v>18.57</v>
      </c>
      <c r="AC162" s="12">
        <v>1.54</v>
      </c>
      <c r="AD162" s="12">
        <v>2.84</v>
      </c>
      <c r="AE162" s="12">
        <v>1.21</v>
      </c>
      <c r="AF162" s="12">
        <v>0.81</v>
      </c>
      <c r="AG162" s="12">
        <v>0.34</v>
      </c>
      <c r="AH162" s="12">
        <v>0.27</v>
      </c>
      <c r="AI162" s="12">
        <v>33.99</v>
      </c>
      <c r="AJ162" s="12">
        <v>10.74</v>
      </c>
      <c r="AK162" s="12">
        <v>4.95</v>
      </c>
      <c r="AL162" s="12">
        <v>73.67</v>
      </c>
      <c r="AM162" s="12">
        <v>5.53</v>
      </c>
      <c r="AN162" s="12">
        <v>66.0</v>
      </c>
      <c r="AO162" s="12">
        <v>18.41</v>
      </c>
      <c r="AP162" s="12">
        <f t="shared" si="4"/>
        <v>-3.73099</v>
      </c>
      <c r="AQ162" s="35">
        <v>0.023408025503406746</v>
      </c>
      <c r="AR162" s="15">
        <f t="shared" si="5"/>
        <v>0</v>
      </c>
      <c r="AS162" s="15">
        <f t="shared" si="157"/>
        <v>1</v>
      </c>
      <c r="AU162" s="15">
        <f>2.551996+('2021'!C162*0.000000012919)+('2021'!E162*0.000003)-('2021'!H162*0.000002)
-('2021'!U162*0.123062)+('2021'!AC162*0.831)-('2021'!AD162*0.008464)-('2021'!AF162*0.15884)
-('2021'!AL162*0.025383)-('2021'!AM162*0.427021)-('2021'!AN162*0.009878)
</f>
        <v>-4.537599997</v>
      </c>
      <c r="AV162" s="15">
        <v>0.01058579553369111</v>
      </c>
      <c r="AW162" s="14">
        <f t="shared" si="7"/>
        <v>0</v>
      </c>
      <c r="AX162" s="14" t="str">
        <f t="shared" si="158"/>
        <v>#REF!</v>
      </c>
      <c r="AZ162" s="15" t="str">
        <f t="shared" si="159"/>
        <v>#REF!</v>
      </c>
      <c r="BA162" s="15" t="str">
        <f t="shared" si="160"/>
        <v>#REF!</v>
      </c>
      <c r="BB162" s="15" t="str">
        <f t="shared" si="161"/>
        <v>#REF!</v>
      </c>
      <c r="BC162" s="15" t="str">
        <f t="shared" si="162"/>
        <v>#REF!</v>
      </c>
      <c r="BD162" s="15" t="str">
        <f t="shared" si="163"/>
        <v>#REF!</v>
      </c>
    </row>
    <row r="163">
      <c r="A163" s="8" t="s">
        <v>216</v>
      </c>
      <c r="B163" s="34">
        <f t="shared" si="1"/>
        <v>0</v>
      </c>
      <c r="C163" s="9">
        <v>380988.52</v>
      </c>
      <c r="D163" s="9">
        <v>60066.03</v>
      </c>
      <c r="E163" s="9">
        <v>135000.0</v>
      </c>
      <c r="F163" s="9">
        <v>320922.5</v>
      </c>
      <c r="G163" s="9">
        <v>511072.52</v>
      </c>
      <c r="H163" s="9">
        <v>469542.5</v>
      </c>
      <c r="I163" s="9">
        <v>53882.7</v>
      </c>
      <c r="J163" s="9">
        <v>41530.02</v>
      </c>
      <c r="K163" s="9">
        <v>33909.92</v>
      </c>
      <c r="L163" s="9">
        <v>34592.49</v>
      </c>
      <c r="M163" s="9">
        <v>33306.7</v>
      </c>
      <c r="N163" s="10">
        <f t="shared" si="150"/>
        <v>0</v>
      </c>
      <c r="O163" s="12">
        <v>0.13</v>
      </c>
      <c r="P163" s="9">
        <v>25743.88</v>
      </c>
      <c r="Q163" s="9">
        <v>-8832.34</v>
      </c>
      <c r="R163" s="9">
        <v>-27746.44</v>
      </c>
      <c r="S163" s="9">
        <v>-10834.9</v>
      </c>
      <c r="T163" s="12">
        <v>10.72</v>
      </c>
      <c r="U163" s="12">
        <v>11.01</v>
      </c>
      <c r="V163" s="12">
        <v>18.61</v>
      </c>
      <c r="W163" s="12">
        <v>6.64</v>
      </c>
      <c r="X163" s="12">
        <v>7.3</v>
      </c>
      <c r="Y163" s="12">
        <v>6.51</v>
      </c>
      <c r="Z163" s="12">
        <f t="shared" si="3"/>
        <v>0</v>
      </c>
      <c r="AA163" s="12"/>
      <c r="AB163" s="12">
        <v>8.13</v>
      </c>
      <c r="AC163" s="12">
        <v>0.19</v>
      </c>
      <c r="AD163" s="12">
        <v>823.03</v>
      </c>
      <c r="AE163" s="12">
        <v>3.96</v>
      </c>
      <c r="AF163" s="12">
        <v>2.76</v>
      </c>
      <c r="AG163" s="12">
        <v>2.58</v>
      </c>
      <c r="AH163" s="12">
        <v>1.35</v>
      </c>
      <c r="AI163" s="12">
        <v>8.56</v>
      </c>
      <c r="AJ163" s="12">
        <v>42.62</v>
      </c>
      <c r="AK163" s="12">
        <v>8.27</v>
      </c>
      <c r="AL163" s="12">
        <v>44.12</v>
      </c>
      <c r="AM163" s="12">
        <v>10.19</v>
      </c>
      <c r="AN163" s="12">
        <v>35.82</v>
      </c>
      <c r="AO163" s="12">
        <v>50.93</v>
      </c>
      <c r="AP163" s="12">
        <f t="shared" si="4"/>
        <v>3.41809</v>
      </c>
      <c r="AQ163" s="35">
        <v>0.9682651340537343</v>
      </c>
      <c r="AR163" s="15">
        <f t="shared" si="5"/>
        <v>1</v>
      </c>
      <c r="AS163" s="15">
        <f t="shared" si="157"/>
        <v>0</v>
      </c>
      <c r="AU163" s="15">
        <f>2.551996+('2021'!C163*0.000000012919)+('2021'!E163*0.000003)-('2021'!H163*0.000002)
-('2021'!U163*0.123062)+('2021'!AC163*0.831)-('2021'!AD163*0.008464)-('2021'!AF163*0.15884)
-('2021'!AL163*0.025383)-('2021'!AM163*0.427021)-('2021'!AN163*0.009878)
</f>
        <v>-12.40378586</v>
      </c>
      <c r="AV163" s="15">
        <v>4.103008953480921E-6</v>
      </c>
      <c r="AW163" s="14">
        <f t="shared" si="7"/>
        <v>0</v>
      </c>
      <c r="AX163" s="14" t="str">
        <f t="shared" si="158"/>
        <v>#REF!</v>
      </c>
      <c r="AZ163" s="15" t="str">
        <f t="shared" si="159"/>
        <v>#REF!</v>
      </c>
      <c r="BA163" s="15" t="str">
        <f t="shared" si="160"/>
        <v>#REF!</v>
      </c>
      <c r="BB163" s="15" t="str">
        <f t="shared" si="161"/>
        <v>#REF!</v>
      </c>
      <c r="BC163" s="15" t="str">
        <f t="shared" si="162"/>
        <v>#REF!</v>
      </c>
      <c r="BD163" s="15" t="str">
        <f t="shared" si="163"/>
        <v>#REF!</v>
      </c>
    </row>
    <row r="164">
      <c r="A164" s="8" t="s">
        <v>217</v>
      </c>
      <c r="B164" s="34" t="str">
        <f t="shared" si="1"/>
        <v/>
      </c>
      <c r="C164" s="9">
        <v>774214.33</v>
      </c>
      <c r="D164" s="9">
        <v>367031.34</v>
      </c>
      <c r="E164" s="9">
        <v>167999.94</v>
      </c>
      <c r="F164" s="9">
        <v>405123.51</v>
      </c>
      <c r="G164" s="9">
        <v>589248.88</v>
      </c>
      <c r="H164" s="9">
        <v>543834.19</v>
      </c>
      <c r="I164" s="9">
        <v>57560.44</v>
      </c>
      <c r="J164" s="9">
        <v>45414.68</v>
      </c>
      <c r="K164" s="9">
        <v>38740.7</v>
      </c>
      <c r="L164" s="9">
        <v>53917.44</v>
      </c>
      <c r="M164" s="9" t="e">
        <v>#N/A</v>
      </c>
      <c r="N164" s="10"/>
      <c r="O164" s="12">
        <v>0.12</v>
      </c>
      <c r="P164" s="9">
        <v>45262.26</v>
      </c>
      <c r="Q164" s="9">
        <v>-3368.81</v>
      </c>
      <c r="R164" s="9">
        <v>-14242.4</v>
      </c>
      <c r="S164" s="9">
        <v>27651.05</v>
      </c>
      <c r="T164" s="12">
        <v>9.91</v>
      </c>
      <c r="U164" s="12">
        <v>6.54</v>
      </c>
      <c r="V164" s="12">
        <v>31.14</v>
      </c>
      <c r="W164" s="12">
        <v>6.27</v>
      </c>
      <c r="X164" s="12">
        <v>7.3</v>
      </c>
      <c r="Y164" s="12" t="e">
        <v>#N/A</v>
      </c>
      <c r="Z164" s="12" t="str">
        <f t="shared" si="3"/>
        <v>#N/A</v>
      </c>
      <c r="AA164" s="12"/>
      <c r="AB164" s="12">
        <v>7.71</v>
      </c>
      <c r="AC164" s="12">
        <v>0.9</v>
      </c>
      <c r="AD164" s="12">
        <v>99.97</v>
      </c>
      <c r="AE164" s="12">
        <v>1.82</v>
      </c>
      <c r="AF164" s="12">
        <v>1.1</v>
      </c>
      <c r="AG164" s="12">
        <v>3.83</v>
      </c>
      <c r="AH164" s="12">
        <v>0.85</v>
      </c>
      <c r="AI164" s="12">
        <v>4.61</v>
      </c>
      <c r="AJ164" s="12">
        <v>79.12</v>
      </c>
      <c r="AK164" s="12">
        <v>3.88</v>
      </c>
      <c r="AL164" s="12">
        <v>93.96</v>
      </c>
      <c r="AM164" s="12">
        <v>2.28</v>
      </c>
      <c r="AN164" s="12">
        <v>160.15</v>
      </c>
      <c r="AO164" s="12">
        <v>12.93</v>
      </c>
      <c r="AP164" s="12">
        <f t="shared" si="4"/>
        <v>1.52624</v>
      </c>
      <c r="AQ164" s="35">
        <v>0.8214555151157471</v>
      </c>
      <c r="AR164" s="15">
        <f t="shared" si="5"/>
        <v>1</v>
      </c>
      <c r="AS164" s="15">
        <f t="shared" si="157"/>
        <v>0</v>
      </c>
      <c r="AU164" s="15">
        <f>2.551996+('2021'!C164*0.000000012919)+('2021'!E164*0.000003)-('2021'!H164*0.000002)
-('2021'!U164*0.123062)+('2021'!AC164*0.831)-('2021'!AD164*0.008464)-('2021'!AF164*0.15884)
-('2021'!AL164*0.025383)-('2021'!AM164*0.427021)-('2021'!AN164*0.009878)
</f>
        <v>-4.040022305</v>
      </c>
      <c r="AV164" s="15">
        <v>0.017292777519310378</v>
      </c>
      <c r="AW164" s="14">
        <f t="shared" si="7"/>
        <v>0</v>
      </c>
      <c r="AX164" s="14"/>
    </row>
    <row r="165">
      <c r="A165" s="8" t="s">
        <v>218</v>
      </c>
      <c r="B165" s="34" t="str">
        <f t="shared" si="1"/>
        <v/>
      </c>
      <c r="C165" s="9">
        <v>547358.39</v>
      </c>
      <c r="D165" s="9">
        <v>88146.27</v>
      </c>
      <c r="E165" s="9">
        <v>115000.0</v>
      </c>
      <c r="F165" s="9">
        <v>457884.97</v>
      </c>
      <c r="G165" s="9">
        <v>256366.03</v>
      </c>
      <c r="H165" s="9">
        <v>134732.36</v>
      </c>
      <c r="I165" s="9">
        <v>128527.33</v>
      </c>
      <c r="J165" s="9">
        <v>121633.67</v>
      </c>
      <c r="K165" s="9">
        <v>97482.99</v>
      </c>
      <c r="L165" s="9" t="e">
        <v>#N/A</v>
      </c>
      <c r="M165" s="9" t="e">
        <v>#N/A</v>
      </c>
      <c r="N165" s="10"/>
      <c r="O165" s="12">
        <v>0.44</v>
      </c>
      <c r="P165" s="9">
        <v>40703.27</v>
      </c>
      <c r="Q165" s="9">
        <v>-246971.4</v>
      </c>
      <c r="R165" s="9">
        <v>252926.1</v>
      </c>
      <c r="S165" s="9">
        <v>46657.97</v>
      </c>
      <c r="T165" s="12">
        <v>34.85</v>
      </c>
      <c r="U165" s="12">
        <v>31.99</v>
      </c>
      <c r="V165" s="12">
        <v>74.93</v>
      </c>
      <c r="W165" s="12">
        <v>38.02</v>
      </c>
      <c r="X165" s="12" t="e">
        <v>#N/A</v>
      </c>
      <c r="Y165" s="12" t="e">
        <v>#N/A</v>
      </c>
      <c r="Z165" s="12" t="str">
        <f t="shared" si="3"/>
        <v>#N/A</v>
      </c>
      <c r="AA165" s="12"/>
      <c r="AB165" s="12">
        <v>47.45</v>
      </c>
      <c r="AC165" s="12">
        <v>0.19</v>
      </c>
      <c r="AD165" s="12">
        <v>165.04</v>
      </c>
      <c r="AE165" s="12">
        <v>9.31</v>
      </c>
      <c r="AF165" s="12">
        <v>5.98</v>
      </c>
      <c r="AG165" s="12">
        <v>24.13</v>
      </c>
      <c r="AH165" s="12">
        <v>0.67</v>
      </c>
      <c r="AI165" s="12" t="s">
        <v>47</v>
      </c>
      <c r="AJ165" s="12" t="s">
        <v>46</v>
      </c>
      <c r="AK165" s="12">
        <v>8.84</v>
      </c>
      <c r="AL165" s="12">
        <v>41.27</v>
      </c>
      <c r="AM165" s="12">
        <v>1.19</v>
      </c>
      <c r="AN165" s="12">
        <v>306.12</v>
      </c>
      <c r="AO165" s="12">
        <v>-264.85</v>
      </c>
      <c r="AP165" s="12">
        <f t="shared" si="4"/>
        <v>-0.49422</v>
      </c>
      <c r="AQ165" s="35">
        <v>0.3788999485889276</v>
      </c>
      <c r="AR165" s="15">
        <f t="shared" si="5"/>
        <v>0</v>
      </c>
      <c r="AS165" s="15">
        <f t="shared" si="157"/>
        <v>1</v>
      </c>
      <c r="AU165" s="15">
        <f>2.551996+('2021'!C165*0.000000012919)+('2021'!E165*0.000003)-('2021'!H165*0.000002)
-('2021'!U165*0.123062)+('2021'!AC165*0.831)-('2021'!AD165*0.008464)-('2021'!AF165*0.15884)
-('2021'!AL165*0.025383)-('2021'!AM165*0.427021)-('2021'!AN165*0.009878)
</f>
        <v>-8.070587297</v>
      </c>
      <c r="AV165" s="15">
        <v>3.125019503307694E-4</v>
      </c>
      <c r="AW165" s="14">
        <f t="shared" si="7"/>
        <v>0</v>
      </c>
      <c r="AX165" s="14"/>
    </row>
    <row r="166">
      <c r="A166" s="8" t="s">
        <v>219</v>
      </c>
      <c r="B166" s="34">
        <f t="shared" si="1"/>
        <v>0</v>
      </c>
      <c r="C166" s="9">
        <v>2811229.78</v>
      </c>
      <c r="D166" s="9">
        <v>1692539.69</v>
      </c>
      <c r="E166" s="9">
        <v>308008.27</v>
      </c>
      <c r="F166" s="9">
        <v>1145119.32</v>
      </c>
      <c r="G166" s="9">
        <v>2044428.06</v>
      </c>
      <c r="H166" s="9">
        <v>1902626.24</v>
      </c>
      <c r="I166" s="9">
        <v>227902.33</v>
      </c>
      <c r="J166" s="9">
        <v>145215.47</v>
      </c>
      <c r="K166" s="9">
        <v>72626.06</v>
      </c>
      <c r="L166" s="9">
        <v>11917.08</v>
      </c>
      <c r="M166" s="9">
        <v>75369.87</v>
      </c>
      <c r="N166" s="10">
        <f>IF(AND(K166&lt;0,L166&lt;0,M166&lt;0),1,0)</f>
        <v>0</v>
      </c>
      <c r="O166" s="12">
        <v>0.24</v>
      </c>
      <c r="P166" s="9">
        <v>489228.98</v>
      </c>
      <c r="Q166" s="9">
        <v>-23394.72</v>
      </c>
      <c r="R166" s="9">
        <v>-494301.19</v>
      </c>
      <c r="S166" s="9">
        <v>-28466.93</v>
      </c>
      <c r="T166" s="12">
        <v>6.52</v>
      </c>
      <c r="U166" s="12">
        <v>4.72</v>
      </c>
      <c r="V166" s="12">
        <v>23.15</v>
      </c>
      <c r="W166" s="12">
        <v>3.4</v>
      </c>
      <c r="X166" s="12">
        <v>0.33</v>
      </c>
      <c r="Y166" s="12">
        <v>2.84</v>
      </c>
      <c r="Z166" s="12">
        <f t="shared" si="3"/>
        <v>0</v>
      </c>
      <c r="AA166" s="12"/>
      <c r="AB166" s="12">
        <v>7.1</v>
      </c>
      <c r="AC166" s="12">
        <v>1.51</v>
      </c>
      <c r="AD166" s="12">
        <v>3.03</v>
      </c>
      <c r="AE166" s="12">
        <v>1.48</v>
      </c>
      <c r="AF166" s="12">
        <v>0.84</v>
      </c>
      <c r="AG166" s="12">
        <v>2.6</v>
      </c>
      <c r="AH166" s="12">
        <v>0.66</v>
      </c>
      <c r="AI166" s="12">
        <v>2.02</v>
      </c>
      <c r="AJ166" s="12">
        <v>180.33</v>
      </c>
      <c r="AK166" s="12">
        <v>2.35</v>
      </c>
      <c r="AL166" s="12">
        <v>155.63</v>
      </c>
      <c r="AM166" s="12">
        <v>4.29</v>
      </c>
      <c r="AN166" s="12">
        <v>85.05</v>
      </c>
      <c r="AO166" s="12">
        <v>250.91</v>
      </c>
      <c r="AP166" s="12">
        <f t="shared" si="4"/>
        <v>2.09536</v>
      </c>
      <c r="AQ166" s="35">
        <v>0.8904513767102462</v>
      </c>
      <c r="AR166" s="15">
        <f t="shared" si="5"/>
        <v>1</v>
      </c>
      <c r="AS166" s="15">
        <f t="shared" si="157"/>
        <v>0</v>
      </c>
      <c r="AU166" s="15">
        <f>2.551996+('2021'!C166*0.000000012919)+('2021'!E166*0.000003)-('2021'!H166*0.000002)
-('2021'!U166*0.123062)+('2021'!AC166*0.831)-('2021'!AD166*0.008464)-('2021'!AF166*0.15884)
-('2021'!AL166*0.025383)-('2021'!AM166*0.427021)-('2021'!AN166*0.009878)
</f>
        <v>-6.400427832</v>
      </c>
      <c r="AV166" s="15">
        <v>0.0016580927194782046</v>
      </c>
      <c r="AW166" s="14">
        <f t="shared" si="7"/>
        <v>0</v>
      </c>
      <c r="AX166" s="14" t="str">
        <f>IF(AW166='temp result 2022'!B166,1,IF(Z166="-",1,0))</f>
        <v>#REF!</v>
      </c>
      <c r="AZ166" s="15" t="str">
        <f>IF(and(AW166=0,AX166=1),1,0)</f>
        <v>#REF!</v>
      </c>
      <c r="BA166" s="15" t="str">
        <f>IF(AND(AW166=0,AX166=0),1,0)</f>
        <v>#REF!</v>
      </c>
      <c r="BB166" s="15" t="str">
        <f>IF(AND(AW166=1,AX166=0),1,0)</f>
        <v>#REF!</v>
      </c>
      <c r="BC166" s="15" t="str">
        <f>IF(AND(AW166=1,AX166=1),1,0)</f>
        <v>#REF!</v>
      </c>
      <c r="BD166" s="15" t="str">
        <f>IF(AZ166+BA166+BB166+BC166&gt;1,1,0)</f>
        <v>#REF!</v>
      </c>
    </row>
    <row r="167">
      <c r="A167" s="8" t="s">
        <v>311</v>
      </c>
      <c r="B167" s="34" t="str">
        <f t="shared" si="1"/>
        <v/>
      </c>
      <c r="C167" s="9">
        <v>366892.35</v>
      </c>
      <c r="D167" s="9">
        <v>67191.48</v>
      </c>
      <c r="E167" s="9">
        <v>105000.0</v>
      </c>
      <c r="F167" s="9">
        <v>299700.88</v>
      </c>
      <c r="G167" s="9">
        <v>178571.83</v>
      </c>
      <c r="H167" s="9">
        <v>146267.11</v>
      </c>
      <c r="I167" s="9">
        <v>43572.32</v>
      </c>
      <c r="J167" s="9">
        <v>32304.72</v>
      </c>
      <c r="K167" s="9">
        <v>24152.4</v>
      </c>
      <c r="L167" s="9" t="e">
        <v>#N/A</v>
      </c>
      <c r="M167" s="9" t="e">
        <v>#N/A</v>
      </c>
      <c r="N167" s="10"/>
      <c r="O167" s="12">
        <v>0.15</v>
      </c>
      <c r="P167" s="9">
        <v>32577.9</v>
      </c>
      <c r="Q167" s="9">
        <v>-2606.18</v>
      </c>
      <c r="R167" s="9">
        <v>77203.62</v>
      </c>
      <c r="S167" s="9">
        <v>107175.34</v>
      </c>
      <c r="T167" s="12">
        <v>10.21</v>
      </c>
      <c r="U167" s="12">
        <v>10.17</v>
      </c>
      <c r="V167" s="12">
        <v>39.42</v>
      </c>
      <c r="W167" s="12">
        <v>13.53</v>
      </c>
      <c r="X167" s="12" t="e">
        <v>#N/A</v>
      </c>
      <c r="Y167" s="12" t="e">
        <v>#N/A</v>
      </c>
      <c r="Z167" s="12" t="str">
        <f t="shared" si="3"/>
        <v>#N/A</v>
      </c>
      <c r="AA167" s="12"/>
      <c r="AB167" s="12">
        <v>18.09</v>
      </c>
      <c r="AC167" s="12">
        <v>0.22</v>
      </c>
      <c r="AD167" s="12">
        <v>17.14</v>
      </c>
      <c r="AE167" s="12">
        <v>4.09</v>
      </c>
      <c r="AF167" s="12">
        <v>3.73</v>
      </c>
      <c r="AG167" s="12">
        <v>1.2</v>
      </c>
      <c r="AH167" s="12">
        <v>0.56</v>
      </c>
      <c r="AI167" s="12">
        <v>8.47</v>
      </c>
      <c r="AJ167" s="12">
        <v>43.08</v>
      </c>
      <c r="AK167" s="12">
        <v>4.1</v>
      </c>
      <c r="AL167" s="12">
        <v>89.03</v>
      </c>
      <c r="AM167" s="12">
        <v>3.18</v>
      </c>
      <c r="AN167" s="12">
        <v>114.77</v>
      </c>
      <c r="AO167" s="12">
        <v>17.34</v>
      </c>
      <c r="AP167" s="12">
        <f t="shared" si="4"/>
        <v>0.71989</v>
      </c>
      <c r="AQ167" s="35">
        <v>0.6725827938579219</v>
      </c>
      <c r="AR167" s="15">
        <f t="shared" si="5"/>
        <v>1</v>
      </c>
      <c r="AS167" s="15">
        <f t="shared" si="157"/>
        <v>0</v>
      </c>
      <c r="AU167" s="15">
        <f>2.551996+('2021'!C167*0.000000012919)+('2021'!E167*0.000003)-('2021'!H167*0.000002)
-('2021'!U167*0.123062)+('2021'!AC167*0.831)-('2021'!AD167*0.008464)-('2021'!AF167*0.15884)
-('2021'!AL167*0.025383)-('2021'!AM167*0.427021)-('2021'!AN167*0.009878)
</f>
        <v>-3.978538368</v>
      </c>
      <c r="AV167" s="15">
        <v>0.018369228012443988</v>
      </c>
      <c r="AW167" s="14">
        <f t="shared" si="7"/>
        <v>0</v>
      </c>
      <c r="AX167" s="14"/>
    </row>
    <row r="168">
      <c r="A168" s="8" t="s">
        <v>221</v>
      </c>
      <c r="B168" s="34">
        <f t="shared" si="1"/>
        <v>0</v>
      </c>
      <c r="C168" s="9">
        <v>501769.61</v>
      </c>
      <c r="D168" s="9">
        <v>165153.84</v>
      </c>
      <c r="E168" s="9">
        <v>365549.29</v>
      </c>
      <c r="F168" s="9">
        <v>336615.66</v>
      </c>
      <c r="G168" s="9">
        <v>116571.12</v>
      </c>
      <c r="H168" s="9">
        <v>118045.56</v>
      </c>
      <c r="I168" s="9">
        <v>13007.46</v>
      </c>
      <c r="J168" s="9">
        <v>-1474.44</v>
      </c>
      <c r="K168" s="9">
        <v>43118.52</v>
      </c>
      <c r="L168" s="9">
        <v>-26441.5</v>
      </c>
      <c r="M168" s="9">
        <v>-98950.04</v>
      </c>
      <c r="N168" s="10">
        <f t="shared" ref="N168:N177" si="164">IF(AND(K168&lt;0,L168&lt;0,M168&lt;0),1,0)</f>
        <v>0</v>
      </c>
      <c r="O168" s="12">
        <v>0.12</v>
      </c>
      <c r="P168" s="9">
        <v>-29848.75</v>
      </c>
      <c r="Q168" s="9">
        <v>129015.75</v>
      </c>
      <c r="R168" s="9">
        <v>-15738.53</v>
      </c>
      <c r="S168" s="9">
        <v>83428.47</v>
      </c>
      <c r="T168" s="12">
        <v>14.22</v>
      </c>
      <c r="U168" s="12">
        <v>-0.33</v>
      </c>
      <c r="V168" s="12">
        <v>40.13</v>
      </c>
      <c r="W168" s="12">
        <v>36.99</v>
      </c>
      <c r="X168" s="12">
        <v>-32.74</v>
      </c>
      <c r="Y168" s="12">
        <v>-92.25</v>
      </c>
      <c r="Z168" s="12">
        <f t="shared" si="3"/>
        <v>0</v>
      </c>
      <c r="AA168" s="12"/>
      <c r="AB168" s="12">
        <v>-1.26</v>
      </c>
      <c r="AC168" s="12">
        <v>0.49</v>
      </c>
      <c r="AD168" s="12">
        <v>-2.43</v>
      </c>
      <c r="AE168" s="12">
        <v>5.13</v>
      </c>
      <c r="AF168" s="12">
        <v>4.46</v>
      </c>
      <c r="AG168" s="12">
        <v>1.5</v>
      </c>
      <c r="AH168" s="12">
        <v>0.26</v>
      </c>
      <c r="AI168" s="12">
        <v>3.34</v>
      </c>
      <c r="AJ168" s="12">
        <v>109.26</v>
      </c>
      <c r="AK168" s="12">
        <v>2.12</v>
      </c>
      <c r="AL168" s="12">
        <v>172.31</v>
      </c>
      <c r="AM168" s="12">
        <v>1.33</v>
      </c>
      <c r="AN168" s="12">
        <v>274.34</v>
      </c>
      <c r="AO168" s="12">
        <v>7.24</v>
      </c>
      <c r="AP168" s="12">
        <f t="shared" si="4"/>
        <v>-8.32142</v>
      </c>
      <c r="AQ168" s="35">
        <v>2.4319104730379857E-4</v>
      </c>
      <c r="AR168" s="15">
        <f t="shared" si="5"/>
        <v>0</v>
      </c>
      <c r="AS168" s="15">
        <f t="shared" si="157"/>
        <v>1</v>
      </c>
      <c r="AU168" s="15">
        <f>2.551996+('2021'!C168*0.000000012919)+('2021'!E168*0.000003)-('2021'!H168*0.000002)
-('2021'!U168*0.123062)+('2021'!AC168*0.831)-('2021'!AD168*0.008464)-('2021'!AF168*0.15884)
-('2021'!AL168*0.025383)-('2021'!AM168*0.427021)-('2021'!AN168*0.009878)
</f>
        <v>-4.472636488</v>
      </c>
      <c r="AV168" s="15">
        <v>0.011288294453633173</v>
      </c>
      <c r="AW168" s="14">
        <f t="shared" si="7"/>
        <v>0</v>
      </c>
      <c r="AX168" s="14" t="str">
        <f t="shared" ref="AX168:AX174" si="165">IF(AW168='temp result 2022'!B168,1,IF(Z168="-",1,0))</f>
        <v>#REF!</v>
      </c>
      <c r="AZ168" s="15" t="str">
        <f t="shared" ref="AZ168:AZ174" si="166">IF(and(AW168=0,AX168=1),1,0)</f>
        <v>#REF!</v>
      </c>
      <c r="BA168" s="15" t="str">
        <f t="shared" ref="BA168:BA174" si="167">IF(AND(AW168=0,AX168=0),1,0)</f>
        <v>#REF!</v>
      </c>
      <c r="BB168" s="15" t="str">
        <f t="shared" ref="BB168:BB174" si="168">IF(AND(AW168=1,AX168=0),1,0)</f>
        <v>#REF!</v>
      </c>
      <c r="BC168" s="15" t="str">
        <f t="shared" ref="BC168:BC174" si="169">IF(AND(AW168=1,AX168=1),1,0)</f>
        <v>#REF!</v>
      </c>
      <c r="BD168" s="15" t="str">
        <f t="shared" ref="BD168:BD174" si="170">IF(AZ168+BA168+BB168+BC168&gt;1,1,0)</f>
        <v>#REF!</v>
      </c>
    </row>
    <row r="169">
      <c r="A169" s="8" t="s">
        <v>222</v>
      </c>
      <c r="B169" s="34">
        <f t="shared" si="1"/>
        <v>0</v>
      </c>
      <c r="C169" s="9">
        <v>1379776.18</v>
      </c>
      <c r="D169" s="9">
        <v>795081.54</v>
      </c>
      <c r="E169" s="9">
        <v>447707.46</v>
      </c>
      <c r="F169" s="9">
        <v>543909.9</v>
      </c>
      <c r="G169" s="9">
        <v>2756070.9</v>
      </c>
      <c r="H169" s="9">
        <v>3067018.22</v>
      </c>
      <c r="I169" s="9">
        <v>-160387.78</v>
      </c>
      <c r="J169" s="9">
        <v>-307503.39</v>
      </c>
      <c r="K169" s="9">
        <v>-259815.62</v>
      </c>
      <c r="L169" s="9">
        <v>28336.02</v>
      </c>
      <c r="M169" s="9">
        <v>13379.22</v>
      </c>
      <c r="N169" s="10">
        <f t="shared" si="164"/>
        <v>0</v>
      </c>
      <c r="O169" s="12">
        <v>-0.3</v>
      </c>
      <c r="P169" s="9">
        <v>-336568.2</v>
      </c>
      <c r="Q169" s="9">
        <v>-73480.08</v>
      </c>
      <c r="R169" s="9">
        <v>299774.49</v>
      </c>
      <c r="S169" s="9">
        <v>-110273.79</v>
      </c>
      <c r="T169" s="12">
        <v>-41.82</v>
      </c>
      <c r="U169" s="12">
        <v>-23.1</v>
      </c>
      <c r="V169" s="12">
        <v>37.73</v>
      </c>
      <c r="W169" s="12">
        <v>-9.64</v>
      </c>
      <c r="X169" s="12">
        <v>0.79</v>
      </c>
      <c r="Y169" s="12">
        <v>0.67</v>
      </c>
      <c r="Z169" s="12">
        <f t="shared" si="3"/>
        <v>0</v>
      </c>
      <c r="AA169" s="12"/>
      <c r="AB169" s="12">
        <v>-11.16</v>
      </c>
      <c r="AC169" s="12">
        <v>1.36</v>
      </c>
      <c r="AD169" s="12">
        <v>-48.08</v>
      </c>
      <c r="AE169" s="12">
        <v>0.82</v>
      </c>
      <c r="AF169" s="12">
        <v>0.38</v>
      </c>
      <c r="AG169" s="12">
        <v>5.58</v>
      </c>
      <c r="AH169" s="12">
        <v>2.07</v>
      </c>
      <c r="AI169" s="12">
        <v>8.35</v>
      </c>
      <c r="AJ169" s="12">
        <v>43.69</v>
      </c>
      <c r="AK169" s="12">
        <v>14.75</v>
      </c>
      <c r="AL169" s="12">
        <v>24.74</v>
      </c>
      <c r="AM169" s="12">
        <v>5.54</v>
      </c>
      <c r="AN169" s="12">
        <v>65.91</v>
      </c>
      <c r="AO169" s="12">
        <v>2.52</v>
      </c>
      <c r="AP169" s="12">
        <f t="shared" si="4"/>
        <v>-5.15462</v>
      </c>
      <c r="AQ169" s="35">
        <v>0.00573954078053691</v>
      </c>
      <c r="AR169" s="15">
        <f t="shared" si="5"/>
        <v>0</v>
      </c>
      <c r="AS169" s="15">
        <f t="shared" si="157"/>
        <v>1</v>
      </c>
      <c r="AU169" s="15">
        <f>2.551996+('2021'!C169*0.000000012919)+('2021'!E169*0.000003)-('2021'!H169*0.000002)
-('2021'!U169*0.123062)+('2021'!AC169*0.831)-('2021'!AD169*0.008464)-('2021'!AF169*0.15884)
-('2021'!AL169*0.025383)-('2021'!AM169*0.427021)-('2021'!AN169*0.009878)
</f>
        <v>-1.546341352</v>
      </c>
      <c r="AV169" s="15">
        <v>0.17561531898219923</v>
      </c>
      <c r="AW169" s="14">
        <f t="shared" si="7"/>
        <v>0</v>
      </c>
      <c r="AX169" s="14" t="str">
        <f t="shared" si="165"/>
        <v>#REF!</v>
      </c>
      <c r="AZ169" s="15" t="str">
        <f t="shared" si="166"/>
        <v>#REF!</v>
      </c>
      <c r="BA169" s="15" t="str">
        <f t="shared" si="167"/>
        <v>#REF!</v>
      </c>
      <c r="BB169" s="15" t="str">
        <f t="shared" si="168"/>
        <v>#REF!</v>
      </c>
      <c r="BC169" s="15" t="str">
        <f t="shared" si="169"/>
        <v>#REF!</v>
      </c>
      <c r="BD169" s="15" t="str">
        <f t="shared" si="170"/>
        <v>#REF!</v>
      </c>
    </row>
    <row r="170">
      <c r="A170" s="8" t="s">
        <v>223</v>
      </c>
      <c r="B170" s="34">
        <f t="shared" si="1"/>
        <v>0</v>
      </c>
      <c r="C170" s="9">
        <v>744013.4</v>
      </c>
      <c r="D170" s="9">
        <v>112319.84</v>
      </c>
      <c r="E170" s="9">
        <v>200007.52</v>
      </c>
      <c r="F170" s="9">
        <v>630559.56</v>
      </c>
      <c r="G170" s="9">
        <v>303756.86</v>
      </c>
      <c r="H170" s="9">
        <v>279653.09</v>
      </c>
      <c r="I170" s="9">
        <v>39157.49</v>
      </c>
      <c r="J170" s="9">
        <v>24103.76</v>
      </c>
      <c r="K170" s="9">
        <v>22032.16</v>
      </c>
      <c r="L170" s="9">
        <v>-3703.14</v>
      </c>
      <c r="M170" s="9">
        <v>7701.34</v>
      </c>
      <c r="N170" s="10">
        <f t="shared" si="164"/>
        <v>0</v>
      </c>
      <c r="O170" s="12">
        <v>0.03</v>
      </c>
      <c r="P170" s="9">
        <v>32316.67</v>
      </c>
      <c r="Q170" s="9">
        <v>-47820.64</v>
      </c>
      <c r="R170" s="9">
        <v>-2407.64</v>
      </c>
      <c r="S170" s="9">
        <v>-17911.61</v>
      </c>
      <c r="T170" s="12">
        <v>3.56</v>
      </c>
      <c r="U170" s="12">
        <v>3.32</v>
      </c>
      <c r="V170" s="12">
        <v>34.88</v>
      </c>
      <c r="W170" s="12">
        <v>7.44</v>
      </c>
      <c r="X170" s="12">
        <v>-1.52</v>
      </c>
      <c r="Y170" s="12">
        <v>1.01</v>
      </c>
      <c r="Z170" s="12">
        <f t="shared" si="3"/>
        <v>0</v>
      </c>
      <c r="AA170" s="12"/>
      <c r="AB170" s="12">
        <v>7.94</v>
      </c>
      <c r="AC170" s="12">
        <v>0.18</v>
      </c>
      <c r="AD170" s="12">
        <v>18.2</v>
      </c>
      <c r="AE170" s="12">
        <v>2.95</v>
      </c>
      <c r="AF170" s="12">
        <v>2.19</v>
      </c>
      <c r="AG170" s="12">
        <v>0.78</v>
      </c>
      <c r="AH170" s="12">
        <v>0.42</v>
      </c>
      <c r="AI170" s="12">
        <v>4.28</v>
      </c>
      <c r="AJ170" s="12">
        <v>85.35</v>
      </c>
      <c r="AK170" s="12">
        <v>5.72</v>
      </c>
      <c r="AL170" s="12">
        <v>63.82</v>
      </c>
      <c r="AM170" s="12">
        <v>4.17</v>
      </c>
      <c r="AN170" s="12">
        <v>87.62</v>
      </c>
      <c r="AO170" s="12">
        <v>61.55</v>
      </c>
      <c r="AP170" s="12">
        <f t="shared" si="4"/>
        <v>-0.13128</v>
      </c>
      <c r="AQ170" s="35">
        <v>0.4672270550938758</v>
      </c>
      <c r="AR170" s="15">
        <f t="shared" si="5"/>
        <v>0</v>
      </c>
      <c r="AS170" s="15">
        <f t="shared" si="157"/>
        <v>1</v>
      </c>
      <c r="AU170" s="15">
        <f>2.551996+('2021'!C170*0.000000012919)+('2021'!E170*0.000003)-('2021'!H170*0.000002)
-('2021'!U170*0.123062)+('2021'!AC170*0.831)-('2021'!AD170*0.008464)-('2021'!AF170*0.15884)
-('2021'!AL170*0.025383)-('2021'!AM170*0.427021)-('2021'!AN170*0.009878)
</f>
        <v>-2.424696941</v>
      </c>
      <c r="AV170" s="15">
        <v>0.08130871453207905</v>
      </c>
      <c r="AW170" s="14">
        <f t="shared" si="7"/>
        <v>0</v>
      </c>
      <c r="AX170" s="14" t="str">
        <f t="shared" si="165"/>
        <v>#REF!</v>
      </c>
      <c r="AZ170" s="15" t="str">
        <f t="shared" si="166"/>
        <v>#REF!</v>
      </c>
      <c r="BA170" s="15" t="str">
        <f t="shared" si="167"/>
        <v>#REF!</v>
      </c>
      <c r="BB170" s="15" t="str">
        <f t="shared" si="168"/>
        <v>#REF!</v>
      </c>
      <c r="BC170" s="15" t="str">
        <f t="shared" si="169"/>
        <v>#REF!</v>
      </c>
      <c r="BD170" s="15" t="str">
        <f t="shared" si="170"/>
        <v>#REF!</v>
      </c>
    </row>
    <row r="171">
      <c r="A171" s="8" t="s">
        <v>225</v>
      </c>
      <c r="B171" s="34">
        <f t="shared" si="1"/>
        <v>0</v>
      </c>
      <c r="C171" s="9">
        <v>977579.98</v>
      </c>
      <c r="D171" s="9">
        <v>478093.29</v>
      </c>
      <c r="E171" s="9">
        <v>227999.99</v>
      </c>
      <c r="F171" s="9">
        <v>499486.68</v>
      </c>
      <c r="G171" s="9">
        <v>1167466.49</v>
      </c>
      <c r="H171" s="9">
        <v>1129005.1</v>
      </c>
      <c r="I171" s="9">
        <v>83578.64</v>
      </c>
      <c r="J171" s="9">
        <v>62494.67</v>
      </c>
      <c r="K171" s="9">
        <v>54695.74</v>
      </c>
      <c r="L171" s="9">
        <v>120016.58</v>
      </c>
      <c r="M171" s="9">
        <v>106678.18</v>
      </c>
      <c r="N171" s="10">
        <f t="shared" si="164"/>
        <v>0</v>
      </c>
      <c r="O171" s="12">
        <v>0.24</v>
      </c>
      <c r="P171" s="9">
        <v>-38966.25</v>
      </c>
      <c r="Q171" s="9">
        <v>-21455.21</v>
      </c>
      <c r="R171" s="9">
        <v>93183.33</v>
      </c>
      <c r="S171" s="9">
        <v>32761.87</v>
      </c>
      <c r="T171" s="12">
        <v>11.23</v>
      </c>
      <c r="U171" s="12">
        <v>6.89</v>
      </c>
      <c r="V171" s="12">
        <v>21.74</v>
      </c>
      <c r="W171" s="12">
        <v>4.68</v>
      </c>
      <c r="X171" s="12">
        <v>11.64</v>
      </c>
      <c r="Y171" s="12">
        <v>11.64</v>
      </c>
      <c r="Z171" s="12">
        <f t="shared" si="3"/>
        <v>0</v>
      </c>
      <c r="AA171" s="12"/>
      <c r="AB171" s="12">
        <v>5.35</v>
      </c>
      <c r="AC171" s="12">
        <v>0.96</v>
      </c>
      <c r="AD171" s="12">
        <v>20.4</v>
      </c>
      <c r="AE171" s="12">
        <v>1.66</v>
      </c>
      <c r="AF171" s="12">
        <v>0.97</v>
      </c>
      <c r="AG171" s="12">
        <v>4.43</v>
      </c>
      <c r="AH171" s="12">
        <v>1.29</v>
      </c>
      <c r="AI171" s="12">
        <v>3.91</v>
      </c>
      <c r="AJ171" s="12">
        <v>93.24</v>
      </c>
      <c r="AK171" s="12">
        <v>3.44</v>
      </c>
      <c r="AL171" s="12">
        <v>105.99</v>
      </c>
      <c r="AM171" s="12">
        <v>4.93</v>
      </c>
      <c r="AN171" s="12">
        <v>73.97</v>
      </c>
      <c r="AO171" s="12">
        <v>125.26</v>
      </c>
      <c r="AP171" s="12">
        <f t="shared" si="4"/>
        <v>1.63323</v>
      </c>
      <c r="AQ171" s="35">
        <v>0.836611636075258</v>
      </c>
      <c r="AR171" s="15">
        <f t="shared" si="5"/>
        <v>1</v>
      </c>
      <c r="AS171" s="15">
        <f t="shared" si="157"/>
        <v>0</v>
      </c>
      <c r="AU171" s="15">
        <f>2.551996+('2021'!C171*0.000000012919)+('2021'!E171*0.000003)-('2021'!H171*0.000002)
-('2021'!U171*0.123062)+('2021'!AC171*0.831)-('2021'!AD171*0.008464)-('2021'!AF171*0.15884)
-('2021'!AL171*0.025383)-('2021'!AM171*0.427021)-('2021'!AN171*0.009878)
</f>
        <v>-4.912495814</v>
      </c>
      <c r="AV171" s="15">
        <v>0.0073004227939318005</v>
      </c>
      <c r="AW171" s="14">
        <f t="shared" si="7"/>
        <v>0</v>
      </c>
      <c r="AX171" s="14" t="str">
        <f t="shared" si="165"/>
        <v>#REF!</v>
      </c>
      <c r="AZ171" s="15" t="str">
        <f t="shared" si="166"/>
        <v>#REF!</v>
      </c>
      <c r="BA171" s="15" t="str">
        <f t="shared" si="167"/>
        <v>#REF!</v>
      </c>
      <c r="BB171" s="15" t="str">
        <f t="shared" si="168"/>
        <v>#REF!</v>
      </c>
      <c r="BC171" s="15" t="str">
        <f t="shared" si="169"/>
        <v>#REF!</v>
      </c>
      <c r="BD171" s="15" t="str">
        <f t="shared" si="170"/>
        <v>#REF!</v>
      </c>
    </row>
    <row r="172">
      <c r="A172" s="8" t="s">
        <v>226</v>
      </c>
      <c r="B172" s="34">
        <f t="shared" si="1"/>
        <v>0</v>
      </c>
      <c r="C172" s="9">
        <v>1401526.67</v>
      </c>
      <c r="D172" s="9">
        <v>105339.57</v>
      </c>
      <c r="E172" s="9">
        <v>142627.65</v>
      </c>
      <c r="F172" s="9">
        <v>1296187.1</v>
      </c>
      <c r="G172" s="9">
        <v>468872.29</v>
      </c>
      <c r="H172" s="9">
        <v>462688.74</v>
      </c>
      <c r="I172" s="9">
        <v>55878.27</v>
      </c>
      <c r="J172" s="9">
        <v>13492.12</v>
      </c>
      <c r="K172" s="9">
        <v>13665.87</v>
      </c>
      <c r="L172" s="9">
        <v>35875.0</v>
      </c>
      <c r="M172" s="9">
        <v>-151882.0</v>
      </c>
      <c r="N172" s="10">
        <f t="shared" si="164"/>
        <v>0</v>
      </c>
      <c r="O172" s="12">
        <v>0.02</v>
      </c>
      <c r="P172" s="9">
        <v>104489.76</v>
      </c>
      <c r="Q172" s="9">
        <v>-1333.21</v>
      </c>
      <c r="R172" s="9">
        <v>-57747.81</v>
      </c>
      <c r="S172" s="9">
        <v>45408.74</v>
      </c>
      <c r="T172" s="12">
        <v>1.05</v>
      </c>
      <c r="U172" s="12">
        <v>0.94</v>
      </c>
      <c r="V172" s="12">
        <v>19.79</v>
      </c>
      <c r="W172" s="12">
        <v>2.91</v>
      </c>
      <c r="X172" s="12">
        <v>4.49</v>
      </c>
      <c r="Y172" s="12">
        <v>-16.97</v>
      </c>
      <c r="Z172" s="12">
        <f t="shared" si="3"/>
        <v>0</v>
      </c>
      <c r="AA172" s="12"/>
      <c r="AB172" s="12">
        <v>2.88</v>
      </c>
      <c r="AC172" s="12">
        <v>0.08</v>
      </c>
      <c r="AD172" s="12">
        <v>154.02</v>
      </c>
      <c r="AE172" s="12">
        <v>16.09</v>
      </c>
      <c r="AF172" s="12">
        <v>11.7</v>
      </c>
      <c r="AG172" s="12">
        <v>0.9</v>
      </c>
      <c r="AH172" s="12">
        <v>0.33</v>
      </c>
      <c r="AI172" s="12">
        <v>3.13</v>
      </c>
      <c r="AJ172" s="12">
        <v>116.54</v>
      </c>
      <c r="AK172" s="12">
        <v>5.81</v>
      </c>
      <c r="AL172" s="12">
        <v>62.79</v>
      </c>
      <c r="AM172" s="12">
        <v>7.3</v>
      </c>
      <c r="AN172" s="12">
        <v>50.03</v>
      </c>
      <c r="AO172" s="12">
        <v>129.3</v>
      </c>
      <c r="AP172" s="12">
        <f t="shared" si="4"/>
        <v>4.72895</v>
      </c>
      <c r="AQ172" s="35">
        <v>0.9912416428969953</v>
      </c>
      <c r="AR172" s="15">
        <f t="shared" si="5"/>
        <v>1</v>
      </c>
      <c r="AS172" s="15">
        <f t="shared" si="157"/>
        <v>0</v>
      </c>
      <c r="AU172" s="15">
        <f>2.551996+('2021'!C172*0.000000012919)+('2021'!E172*0.000003)-('2021'!H172*0.000002)
-('2021'!U172*0.123062)+('2021'!AC172*0.831)-('2021'!AD172*0.008464)-('2021'!AF172*0.15884)
-('2021'!AL172*0.025383)-('2021'!AM172*0.427021)-('2021'!AN172*0.009878)
</f>
        <v>-6.343891977</v>
      </c>
      <c r="AV172" s="15">
        <v>0.0017543657499875384</v>
      </c>
      <c r="AW172" s="14">
        <f t="shared" si="7"/>
        <v>0</v>
      </c>
      <c r="AX172" s="14" t="str">
        <f t="shared" si="165"/>
        <v>#REF!</v>
      </c>
      <c r="AZ172" s="15" t="str">
        <f t="shared" si="166"/>
        <v>#REF!</v>
      </c>
      <c r="BA172" s="15" t="str">
        <f t="shared" si="167"/>
        <v>#REF!</v>
      </c>
      <c r="BB172" s="15" t="str">
        <f t="shared" si="168"/>
        <v>#REF!</v>
      </c>
      <c r="BC172" s="15" t="str">
        <f t="shared" si="169"/>
        <v>#REF!</v>
      </c>
      <c r="BD172" s="15" t="str">
        <f t="shared" si="170"/>
        <v>#REF!</v>
      </c>
    </row>
    <row r="173">
      <c r="A173" s="8" t="s">
        <v>227</v>
      </c>
      <c r="B173" s="34">
        <f t="shared" si="1"/>
        <v>0</v>
      </c>
      <c r="C173" s="9">
        <v>2311058.73</v>
      </c>
      <c r="D173" s="9">
        <v>1100322.29</v>
      </c>
      <c r="E173" s="9">
        <v>290513.06</v>
      </c>
      <c r="F173" s="9">
        <v>1031233.17</v>
      </c>
      <c r="G173" s="9">
        <v>3040418.22</v>
      </c>
      <c r="H173" s="9">
        <v>2890138.08</v>
      </c>
      <c r="I173" s="9">
        <v>192417.81</v>
      </c>
      <c r="J173" s="9">
        <v>153089.55</v>
      </c>
      <c r="K173" s="9">
        <v>116201.24</v>
      </c>
      <c r="L173" s="9">
        <v>97111.49</v>
      </c>
      <c r="M173" s="9">
        <v>70181.34</v>
      </c>
      <c r="N173" s="10">
        <f t="shared" si="164"/>
        <v>0</v>
      </c>
      <c r="O173" s="12">
        <v>0.1</v>
      </c>
      <c r="P173" s="9">
        <v>-234775.44</v>
      </c>
      <c r="Q173" s="9">
        <v>44245.26</v>
      </c>
      <c r="R173" s="9">
        <v>35792.43</v>
      </c>
      <c r="S173" s="9">
        <v>-154737.75</v>
      </c>
      <c r="T173" s="12">
        <v>11.32</v>
      </c>
      <c r="U173" s="12">
        <v>7.06</v>
      </c>
      <c r="V173" s="12">
        <v>14.23</v>
      </c>
      <c r="W173" s="12">
        <v>3.5</v>
      </c>
      <c r="X173" s="12">
        <v>3.99</v>
      </c>
      <c r="Y173" s="12">
        <v>4.21</v>
      </c>
      <c r="Z173" s="12">
        <f t="shared" si="3"/>
        <v>0</v>
      </c>
      <c r="AA173" s="12"/>
      <c r="AB173" s="12">
        <v>5.04</v>
      </c>
      <c r="AC173" s="12">
        <v>0.91</v>
      </c>
      <c r="AD173" s="12">
        <v>14.87</v>
      </c>
      <c r="AE173" s="12">
        <v>1.84</v>
      </c>
      <c r="AF173" s="12">
        <v>1.22</v>
      </c>
      <c r="AG173" s="12">
        <v>12.65</v>
      </c>
      <c r="AH173" s="12">
        <v>1.4</v>
      </c>
      <c r="AI173" s="12">
        <v>5.83</v>
      </c>
      <c r="AJ173" s="12">
        <v>62.56</v>
      </c>
      <c r="AK173" s="12">
        <v>4.09</v>
      </c>
      <c r="AL173" s="12">
        <v>89.26</v>
      </c>
      <c r="AM173" s="12">
        <v>8.93</v>
      </c>
      <c r="AN173" s="12">
        <v>40.85</v>
      </c>
      <c r="AO173" s="12">
        <v>110.96</v>
      </c>
      <c r="AP173" s="12">
        <f t="shared" si="4"/>
        <v>1.52187</v>
      </c>
      <c r="AQ173" s="35">
        <v>0.8208136825587025</v>
      </c>
      <c r="AR173" s="15">
        <f t="shared" si="5"/>
        <v>1</v>
      </c>
      <c r="AS173" s="15">
        <f t="shared" si="157"/>
        <v>0</v>
      </c>
      <c r="AU173" s="15">
        <f>2.551996+('2021'!C173*0.000000012919)+('2021'!E173*0.000003)-('2021'!H173*0.000002)
-('2021'!U173*0.123062)+('2021'!AC173*0.831)-('2021'!AD173*0.008464)-('2021'!AF173*0.15884)
-('2021'!AL173*0.025383)-('2021'!AM173*0.427021)-('2021'!AN173*0.009878)
</f>
        <v>-9.241637022</v>
      </c>
      <c r="AV173" s="15">
        <v>9.690940970796264E-5</v>
      </c>
      <c r="AW173" s="14">
        <f t="shared" si="7"/>
        <v>0</v>
      </c>
      <c r="AX173" s="14" t="str">
        <f t="shared" si="165"/>
        <v>#REF!</v>
      </c>
      <c r="AZ173" s="15" t="str">
        <f t="shared" si="166"/>
        <v>#REF!</v>
      </c>
      <c r="BA173" s="15" t="str">
        <f t="shared" si="167"/>
        <v>#REF!</v>
      </c>
      <c r="BB173" s="15" t="str">
        <f t="shared" si="168"/>
        <v>#REF!</v>
      </c>
      <c r="BC173" s="15" t="str">
        <f t="shared" si="169"/>
        <v>#REF!</v>
      </c>
      <c r="BD173" s="15" t="str">
        <f t="shared" si="170"/>
        <v>#REF!</v>
      </c>
    </row>
    <row r="174">
      <c r="A174" s="8" t="s">
        <v>228</v>
      </c>
      <c r="B174" s="34">
        <f t="shared" si="1"/>
        <v>1</v>
      </c>
      <c r="C174" s="9">
        <v>655015.52</v>
      </c>
      <c r="D174" s="9">
        <v>481126.17</v>
      </c>
      <c r="E174" s="9">
        <v>572599.8</v>
      </c>
      <c r="F174" s="9">
        <v>173889.36</v>
      </c>
      <c r="G174" s="9">
        <v>198519.07</v>
      </c>
      <c r="H174" s="9">
        <v>232197.48</v>
      </c>
      <c r="I174" s="9">
        <v>-3084.0</v>
      </c>
      <c r="J174" s="9">
        <v>-33678.41</v>
      </c>
      <c r="K174" s="9">
        <v>-51557.82</v>
      </c>
      <c r="L174" s="9">
        <v>-56652.12</v>
      </c>
      <c r="M174" s="9">
        <v>-41776.31</v>
      </c>
      <c r="N174" s="10">
        <f t="shared" si="164"/>
        <v>1</v>
      </c>
      <c r="O174" s="12">
        <v>-0.05</v>
      </c>
      <c r="P174" s="9">
        <v>-23927.35</v>
      </c>
      <c r="Q174" s="9">
        <v>-31047.1</v>
      </c>
      <c r="R174" s="9">
        <v>-169791.2</v>
      </c>
      <c r="S174" s="9">
        <v>-224765.64</v>
      </c>
      <c r="T174" s="12">
        <v>-25.81</v>
      </c>
      <c r="U174" s="12">
        <v>-4.52</v>
      </c>
      <c r="V174" s="12">
        <v>8.38</v>
      </c>
      <c r="W174" s="12">
        <v>-25.97</v>
      </c>
      <c r="X174" s="12">
        <v>-46.53</v>
      </c>
      <c r="Y174" s="12">
        <v>-32.88</v>
      </c>
      <c r="Z174" s="12">
        <f t="shared" si="3"/>
        <v>1</v>
      </c>
      <c r="AA174" s="12"/>
      <c r="AB174" s="12">
        <v>-16.96</v>
      </c>
      <c r="AC174" s="12">
        <v>2.77</v>
      </c>
      <c r="AD174" s="12">
        <v>-1.88</v>
      </c>
      <c r="AE174" s="12">
        <v>0.21</v>
      </c>
      <c r="AF174" s="12">
        <v>0.17</v>
      </c>
      <c r="AG174" s="12">
        <v>0.53</v>
      </c>
      <c r="AH174" s="12">
        <v>0.27</v>
      </c>
      <c r="AI174" s="12">
        <v>19.89</v>
      </c>
      <c r="AJ174" s="12">
        <v>18.35</v>
      </c>
      <c r="AK174" s="12">
        <v>4.63</v>
      </c>
      <c r="AL174" s="12">
        <v>78.75</v>
      </c>
      <c r="AM174" s="12">
        <v>4.27</v>
      </c>
      <c r="AN174" s="12">
        <v>85.43</v>
      </c>
      <c r="AO174" s="12">
        <v>11.67</v>
      </c>
      <c r="AP174" s="12">
        <f t="shared" si="4"/>
        <v>6.5336</v>
      </c>
      <c r="AQ174" s="35">
        <v>0.9985483474867758</v>
      </c>
      <c r="AR174" s="15">
        <f t="shared" si="5"/>
        <v>1</v>
      </c>
      <c r="AS174" s="15">
        <f t="shared" si="157"/>
        <v>1</v>
      </c>
      <c r="AU174" s="15">
        <f>2.551996+('2021'!C174*0.000000012919)+('2021'!E174*0.000003)-('2021'!H174*0.000002)
-('2021'!U174*0.123062)+('2021'!AC174*0.831)-('2021'!AD174*0.008464)-('2021'!AF174*0.15884)
-('2021'!AL174*0.025383)-('2021'!AM174*0.427021)-('2021'!AN174*0.009878)
</f>
        <v>1.994713886</v>
      </c>
      <c r="AV174" s="15">
        <v>0.8802409517118504</v>
      </c>
      <c r="AW174" s="14">
        <f t="shared" si="7"/>
        <v>1</v>
      </c>
      <c r="AX174" s="14" t="str">
        <f t="shared" si="165"/>
        <v>#REF!</v>
      </c>
      <c r="AZ174" s="15" t="str">
        <f t="shared" si="166"/>
        <v>#REF!</v>
      </c>
      <c r="BA174" s="15" t="str">
        <f t="shared" si="167"/>
        <v>#REF!</v>
      </c>
      <c r="BB174" s="15" t="str">
        <f t="shared" si="168"/>
        <v>#REF!</v>
      </c>
      <c r="BC174" s="15" t="str">
        <f t="shared" si="169"/>
        <v>#REF!</v>
      </c>
      <c r="BD174" s="15" t="str">
        <f t="shared" si="170"/>
        <v>#REF!</v>
      </c>
    </row>
    <row r="175">
      <c r="A175" s="8" t="s">
        <v>229</v>
      </c>
      <c r="B175" s="34">
        <f t="shared" si="1"/>
        <v>0</v>
      </c>
      <c r="C175" s="9">
        <v>1092832.79</v>
      </c>
      <c r="D175" s="9">
        <v>330131.18</v>
      </c>
      <c r="E175" s="9">
        <v>335350.4</v>
      </c>
      <c r="F175" s="9">
        <v>759169.21</v>
      </c>
      <c r="G175" s="9">
        <v>159095.42</v>
      </c>
      <c r="H175" s="9">
        <v>139254.9</v>
      </c>
      <c r="I175" s="9">
        <v>41865.25</v>
      </c>
      <c r="J175" s="9">
        <v>19840.52</v>
      </c>
      <c r="K175" s="9">
        <v>20986.89</v>
      </c>
      <c r="L175" s="9">
        <v>-106086.0</v>
      </c>
      <c r="M175" s="9">
        <v>-17198.42</v>
      </c>
      <c r="N175" s="10">
        <f t="shared" si="164"/>
        <v>0</v>
      </c>
      <c r="O175" s="12">
        <v>0.02</v>
      </c>
      <c r="P175" s="9">
        <v>-27173.11</v>
      </c>
      <c r="Q175" s="9">
        <v>74798.05</v>
      </c>
      <c r="R175" s="9">
        <v>32598.41</v>
      </c>
      <c r="S175" s="9">
        <v>80223.36</v>
      </c>
      <c r="T175" s="12">
        <v>3.92</v>
      </c>
      <c r="U175" s="12">
        <v>2.37</v>
      </c>
      <c r="V175" s="12">
        <v>49.92</v>
      </c>
      <c r="W175" s="12">
        <v>12.3</v>
      </c>
      <c r="X175" s="12">
        <v>-305.7</v>
      </c>
      <c r="Y175" s="12">
        <v>-7.39</v>
      </c>
      <c r="Z175" s="12">
        <f t="shared" si="3"/>
        <v>0</v>
      </c>
      <c r="AA175" s="12"/>
      <c r="AB175" s="12">
        <v>12.47</v>
      </c>
      <c r="AC175" s="12">
        <v>0.43</v>
      </c>
      <c r="AD175" s="12" t="s">
        <v>47</v>
      </c>
      <c r="AE175" s="12">
        <v>1.02</v>
      </c>
      <c r="AF175" s="12">
        <v>0.91</v>
      </c>
      <c r="AG175" s="12">
        <v>0.34</v>
      </c>
      <c r="AH175" s="12">
        <v>0.19</v>
      </c>
      <c r="AI175" s="12">
        <v>4.08</v>
      </c>
      <c r="AJ175" s="12">
        <v>89.36</v>
      </c>
      <c r="AK175" s="12">
        <v>2.4</v>
      </c>
      <c r="AL175" s="12">
        <v>151.81</v>
      </c>
      <c r="AM175" s="12">
        <v>0.73</v>
      </c>
      <c r="AN175" s="12">
        <v>500.58</v>
      </c>
      <c r="AO175" s="12">
        <v>-259.42</v>
      </c>
      <c r="AP175" s="12" t="str">
        <f t="shared" si="4"/>
        <v>#VALUE!</v>
      </c>
      <c r="AQ175" s="35" t="e">
        <v>#VALUE!</v>
      </c>
      <c r="AR175" s="15" t="str">
        <f t="shared" si="5"/>
        <v>#VALUE!</v>
      </c>
      <c r="AU175" s="15" t="str">
        <f>2.551996+('2021'!C175*0.000000012919)+('2021'!E175*0.000003)-('2021'!H175*0.000002)
-('2021'!U175*0.123062)+('2021'!AC175*0.831)-('2021'!AD175*0.008464)-('2021'!AF175*0.15884)
-('2021'!AL175*0.025383)-('2021'!AM175*0.427021)-('2021'!AN175*0.009878)
</f>
        <v>#VALUE!</v>
      </c>
      <c r="AV175" s="15" t="e">
        <v>#VALUE!</v>
      </c>
      <c r="AW175" s="14" t="str">
        <f t="shared" si="7"/>
        <v>#VALUE!</v>
      </c>
      <c r="AX175" s="14"/>
    </row>
    <row r="176">
      <c r="A176" s="8" t="s">
        <v>230</v>
      </c>
      <c r="B176" s="34">
        <f t="shared" si="1"/>
        <v>0</v>
      </c>
      <c r="C176" s="9">
        <v>1285326.06</v>
      </c>
      <c r="D176" s="9">
        <v>672382.68</v>
      </c>
      <c r="E176" s="9">
        <v>153502.6</v>
      </c>
      <c r="F176" s="9">
        <v>561107.39</v>
      </c>
      <c r="G176" s="9">
        <v>1877613.39</v>
      </c>
      <c r="H176" s="9">
        <v>1700172.63</v>
      </c>
      <c r="I176" s="9">
        <v>221242.9</v>
      </c>
      <c r="J176" s="9">
        <v>193662.72</v>
      </c>
      <c r="K176" s="9">
        <v>126540.44</v>
      </c>
      <c r="L176" s="9">
        <v>89722.09</v>
      </c>
      <c r="M176" s="9">
        <v>66778.2</v>
      </c>
      <c r="N176" s="10">
        <f t="shared" si="164"/>
        <v>0</v>
      </c>
      <c r="O176" s="12">
        <v>0.42</v>
      </c>
      <c r="P176" s="9">
        <v>223804.52</v>
      </c>
      <c r="Q176" s="9">
        <v>-66522.91</v>
      </c>
      <c r="R176" s="9">
        <v>-272386.03</v>
      </c>
      <c r="S176" s="9">
        <v>-115104.42</v>
      </c>
      <c r="T176" s="12">
        <v>25.01</v>
      </c>
      <c r="U176" s="12">
        <v>14.1</v>
      </c>
      <c r="V176" s="12">
        <v>21.66</v>
      </c>
      <c r="W176" s="12">
        <v>7.87</v>
      </c>
      <c r="X176" s="12">
        <v>4.62</v>
      </c>
      <c r="Y176" s="12">
        <v>4.57</v>
      </c>
      <c r="Z176" s="12">
        <f t="shared" si="3"/>
        <v>0</v>
      </c>
      <c r="AA176" s="12"/>
      <c r="AB176" s="12">
        <v>10.31</v>
      </c>
      <c r="AC176" s="12">
        <v>1.1</v>
      </c>
      <c r="AD176" s="12">
        <v>25.1</v>
      </c>
      <c r="AE176" s="12">
        <v>1.41</v>
      </c>
      <c r="AF176" s="12">
        <v>1.25</v>
      </c>
      <c r="AG176" s="12">
        <v>47.65</v>
      </c>
      <c r="AH176" s="12">
        <v>1.37</v>
      </c>
      <c r="AI176" s="12">
        <v>115.21</v>
      </c>
      <c r="AJ176" s="12">
        <v>3.17</v>
      </c>
      <c r="AK176" s="12">
        <v>2.96</v>
      </c>
      <c r="AL176" s="12">
        <v>123.46</v>
      </c>
      <c r="AM176" s="12">
        <v>3.0</v>
      </c>
      <c r="AN176" s="12">
        <v>121.56</v>
      </c>
      <c r="AO176" s="12">
        <v>5.07</v>
      </c>
      <c r="AP176" s="12">
        <f t="shared" si="4"/>
        <v>3.16372</v>
      </c>
      <c r="AQ176" s="35">
        <v>0.9594459371533159</v>
      </c>
      <c r="AR176" s="15">
        <f t="shared" si="5"/>
        <v>1</v>
      </c>
      <c r="AS176" s="15">
        <f t="shared" ref="AS176:AS183" si="171">IF(AR176=N176,1,0)</f>
        <v>0</v>
      </c>
      <c r="AU176" s="15">
        <f>2.551996+('2021'!C176*0.000000012919)+('2021'!E176*0.000003)-('2021'!H176*0.000002)
-('2021'!U176*0.123062)+('2021'!AC176*0.831)-('2021'!AD176*0.008464)-('2021'!AF176*0.15884)
-('2021'!AL176*0.025383)-('2021'!AM176*0.427021)-('2021'!AN176*0.009878)
</f>
        <v>-7.218924793</v>
      </c>
      <c r="AV176" s="15">
        <v>7.320533866361121E-4</v>
      </c>
      <c r="AW176" s="14">
        <f t="shared" si="7"/>
        <v>0</v>
      </c>
      <c r="AX176" s="14" t="str">
        <f t="shared" ref="AX176:AX177" si="172">IF(AW176='temp result 2022'!B176,1,IF(Z176="-",1,0))</f>
        <v>#REF!</v>
      </c>
      <c r="AZ176" s="15" t="str">
        <f t="shared" ref="AZ176:AZ177" si="173">IF(and(AW176=0,AX176=1),1,0)</f>
        <v>#REF!</v>
      </c>
      <c r="BA176" s="15" t="str">
        <f t="shared" ref="BA176:BA177" si="174">IF(AND(AW176=0,AX176=0),1,0)</f>
        <v>#REF!</v>
      </c>
      <c r="BB176" s="15" t="str">
        <f t="shared" ref="BB176:BB177" si="175">IF(AND(AW176=1,AX176=0),1,0)</f>
        <v>#REF!</v>
      </c>
      <c r="BC176" s="15" t="str">
        <f t="shared" ref="BC176:BC177" si="176">IF(AND(AW176=1,AX176=1),1,0)</f>
        <v>#REF!</v>
      </c>
      <c r="BD176" s="15" t="str">
        <f t="shared" ref="BD176:BD177" si="177">IF(AZ176+BA176+BB176+BC176&gt;1,1,0)</f>
        <v>#REF!</v>
      </c>
    </row>
    <row r="177">
      <c r="A177" s="8" t="s">
        <v>231</v>
      </c>
      <c r="B177" s="34">
        <f t="shared" si="1"/>
        <v>0</v>
      </c>
      <c r="C177" s="9">
        <v>1951962.62</v>
      </c>
      <c r="D177" s="9">
        <v>1057112.7</v>
      </c>
      <c r="E177" s="9">
        <v>483346.35</v>
      </c>
      <c r="F177" s="9">
        <v>894849.92</v>
      </c>
      <c r="G177" s="9">
        <v>669512.02</v>
      </c>
      <c r="H177" s="9">
        <v>603176.94</v>
      </c>
      <c r="I177" s="9">
        <v>180350.6</v>
      </c>
      <c r="J177" s="9">
        <v>66335.09</v>
      </c>
      <c r="K177" s="9">
        <v>23110.02</v>
      </c>
      <c r="L177" s="9">
        <v>84400.95</v>
      </c>
      <c r="M177" s="9">
        <v>80759.01</v>
      </c>
      <c r="N177" s="10">
        <f t="shared" si="164"/>
        <v>0</v>
      </c>
      <c r="O177" s="12">
        <v>0.03</v>
      </c>
      <c r="P177" s="9">
        <v>160558.08</v>
      </c>
      <c r="Q177" s="9">
        <v>-265794.07</v>
      </c>
      <c r="R177" s="9">
        <v>110997.84</v>
      </c>
      <c r="S177" s="9">
        <v>5761.84</v>
      </c>
      <c r="T177" s="12">
        <v>2.67</v>
      </c>
      <c r="U177" s="12">
        <v>3.57</v>
      </c>
      <c r="V177" s="12">
        <v>16.87</v>
      </c>
      <c r="W177" s="12">
        <v>3.45</v>
      </c>
      <c r="X177" s="12">
        <v>13.0</v>
      </c>
      <c r="Y177" s="12">
        <v>11.33</v>
      </c>
      <c r="Z177" s="12">
        <f t="shared" si="3"/>
        <v>0</v>
      </c>
      <c r="AA177" s="12"/>
      <c r="AB177" s="12">
        <v>9.91</v>
      </c>
      <c r="AC177" s="12">
        <v>1.18</v>
      </c>
      <c r="AD177" s="12">
        <v>1.79</v>
      </c>
      <c r="AE177" s="12">
        <v>1.92</v>
      </c>
      <c r="AF177" s="12">
        <v>1.32</v>
      </c>
      <c r="AG177" s="12">
        <v>0.45</v>
      </c>
      <c r="AH177" s="12">
        <v>0.36</v>
      </c>
      <c r="AI177" s="12">
        <v>29.15</v>
      </c>
      <c r="AJ177" s="12">
        <v>12.52</v>
      </c>
      <c r="AK177" s="12">
        <v>8.73</v>
      </c>
      <c r="AL177" s="12">
        <v>41.79</v>
      </c>
      <c r="AM177" s="12">
        <v>13.45</v>
      </c>
      <c r="AN177" s="12">
        <v>27.13</v>
      </c>
      <c r="AO177" s="12">
        <v>27.19</v>
      </c>
      <c r="AP177" s="12">
        <f t="shared" si="4"/>
        <v>-1.41829</v>
      </c>
      <c r="AQ177" s="35">
        <v>0.19492979762046642</v>
      </c>
      <c r="AR177" s="15">
        <f t="shared" si="5"/>
        <v>0</v>
      </c>
      <c r="AS177" s="15">
        <f t="shared" si="171"/>
        <v>1</v>
      </c>
      <c r="AU177" s="15">
        <f>2.551996+('2021'!C177*0.000000012919)+('2021'!E177*0.000003)-('2021'!H177*0.000002)
-('2021'!U177*0.123062)+('2021'!AC177*0.831)-('2021'!AD177*0.008464)-('2021'!AF177*0.15884)
-('2021'!AL177*0.025383)-('2021'!AM177*0.427021)-('2021'!AN177*0.009878)
</f>
        <v>-3.934850285</v>
      </c>
      <c r="AV177" s="15">
        <v>0.01917380430645581</v>
      </c>
      <c r="AW177" s="14">
        <f t="shared" si="7"/>
        <v>0</v>
      </c>
      <c r="AX177" s="14" t="str">
        <f t="shared" si="172"/>
        <v>#REF!</v>
      </c>
      <c r="AZ177" s="15" t="str">
        <f t="shared" si="173"/>
        <v>#REF!</v>
      </c>
      <c r="BA177" s="15" t="str">
        <f t="shared" si="174"/>
        <v>#REF!</v>
      </c>
      <c r="BB177" s="15" t="str">
        <f t="shared" si="175"/>
        <v>#REF!</v>
      </c>
      <c r="BC177" s="15" t="str">
        <f t="shared" si="176"/>
        <v>#REF!</v>
      </c>
      <c r="BD177" s="15" t="str">
        <f t="shared" si="177"/>
        <v>#REF!</v>
      </c>
    </row>
    <row r="178">
      <c r="A178" s="8" t="s">
        <v>233</v>
      </c>
      <c r="B178" s="34" t="str">
        <f t="shared" si="1"/>
        <v/>
      </c>
      <c r="C178" s="9">
        <v>755461.32</v>
      </c>
      <c r="D178" s="9">
        <v>183468.09</v>
      </c>
      <c r="E178" s="9">
        <v>200000.0</v>
      </c>
      <c r="F178" s="9">
        <v>571993.23</v>
      </c>
      <c r="G178" s="9">
        <v>558710.77</v>
      </c>
      <c r="H178" s="9">
        <v>481609.26</v>
      </c>
      <c r="I178" s="9">
        <v>110736.56</v>
      </c>
      <c r="J178" s="9">
        <v>77101.51</v>
      </c>
      <c r="K178" s="9">
        <v>65206.21</v>
      </c>
      <c r="L178" s="9" t="e">
        <v>#N/A</v>
      </c>
      <c r="M178" s="9" t="e">
        <v>#N/A</v>
      </c>
      <c r="N178" s="10"/>
      <c r="O178" s="12">
        <v>0.18</v>
      </c>
      <c r="P178" s="9">
        <v>90869.08</v>
      </c>
      <c r="Q178" s="9">
        <v>-136585.89</v>
      </c>
      <c r="R178" s="9">
        <v>163833.22</v>
      </c>
      <c r="S178" s="9">
        <v>118116.41</v>
      </c>
      <c r="T178" s="12">
        <v>17.14</v>
      </c>
      <c r="U178" s="12">
        <v>12.36</v>
      </c>
      <c r="V178" s="12">
        <v>45.17</v>
      </c>
      <c r="W178" s="12">
        <v>11.67</v>
      </c>
      <c r="X178" s="12" t="e">
        <v>#N/A</v>
      </c>
      <c r="Y178" s="12" t="e">
        <v>#N/A</v>
      </c>
      <c r="Z178" s="12" t="str">
        <f t="shared" si="3"/>
        <v>#N/A</v>
      </c>
      <c r="AA178" s="12"/>
      <c r="AB178" s="12">
        <v>13.8</v>
      </c>
      <c r="AC178" s="12">
        <v>0.32</v>
      </c>
      <c r="AD178" s="12">
        <v>15.62</v>
      </c>
      <c r="AE178" s="12">
        <v>3.23</v>
      </c>
      <c r="AF178" s="12">
        <v>2.33</v>
      </c>
      <c r="AG178" s="12">
        <v>2.63</v>
      </c>
      <c r="AH178" s="12">
        <v>0.9</v>
      </c>
      <c r="AI178" s="12">
        <v>4.2</v>
      </c>
      <c r="AJ178" s="12">
        <v>86.87</v>
      </c>
      <c r="AK178" s="12">
        <v>3.08</v>
      </c>
      <c r="AL178" s="12">
        <v>118.5</v>
      </c>
      <c r="AM178" s="12">
        <v>3.84</v>
      </c>
      <c r="AN178" s="12">
        <v>95.1</v>
      </c>
      <c r="AO178" s="12">
        <v>110.27</v>
      </c>
      <c r="AP178" s="12">
        <f t="shared" si="4"/>
        <v>2.43158</v>
      </c>
      <c r="AQ178" s="35">
        <v>0.9192039540441318</v>
      </c>
      <c r="AR178" s="15">
        <f t="shared" si="5"/>
        <v>1</v>
      </c>
      <c r="AS178" s="15">
        <f t="shared" si="171"/>
        <v>0</v>
      </c>
      <c r="AU178" s="15">
        <f>2.551996+('2021'!C178*0.000000012919)+('2021'!E178*0.000003)-('2021'!H178*0.000002)
-('2021'!U178*0.123062)+('2021'!AC178*0.831)-('2021'!AD178*0.008464)-('2021'!AF178*0.15884)
-('2021'!AL178*0.025383)-('2021'!AM178*0.427021)-('2021'!AN178*0.009878)
</f>
        <v>-5.145937855</v>
      </c>
      <c r="AV178" s="15">
        <v>0.00578929950869677</v>
      </c>
      <c r="AW178" s="14">
        <f t="shared" si="7"/>
        <v>0</v>
      </c>
      <c r="AX178" s="14"/>
    </row>
    <row r="179">
      <c r="A179" s="8" t="s">
        <v>234</v>
      </c>
      <c r="B179" s="34">
        <f t="shared" si="1"/>
        <v>0</v>
      </c>
      <c r="C179" s="9">
        <v>1280265.44</v>
      </c>
      <c r="D179" s="9">
        <v>597895.41</v>
      </c>
      <c r="E179" s="9">
        <v>149993.67</v>
      </c>
      <c r="F179" s="9">
        <v>682370.02</v>
      </c>
      <c r="G179" s="9">
        <v>1809191.02</v>
      </c>
      <c r="H179" s="9">
        <v>1665312.15</v>
      </c>
      <c r="I179" s="9">
        <v>185678.98</v>
      </c>
      <c r="J179" s="9">
        <v>147047.61</v>
      </c>
      <c r="K179" s="9">
        <v>108676.21</v>
      </c>
      <c r="L179" s="9">
        <v>84525.61</v>
      </c>
      <c r="M179" s="9">
        <v>84317.75</v>
      </c>
      <c r="N179" s="10">
        <f t="shared" ref="N179:N180" si="178">IF(AND(K179&lt;0,L179&lt;0,M179&lt;0),1,0)</f>
        <v>0</v>
      </c>
      <c r="O179" s="12">
        <v>0.18</v>
      </c>
      <c r="P179" s="9">
        <v>5197.54</v>
      </c>
      <c r="Q179" s="9">
        <v>-15786.06</v>
      </c>
      <c r="R179" s="9">
        <v>4697.84</v>
      </c>
      <c r="S179" s="9">
        <v>-5890.68</v>
      </c>
      <c r="T179" s="12">
        <v>16.7</v>
      </c>
      <c r="U179" s="12">
        <v>11.95</v>
      </c>
      <c r="V179" s="12">
        <v>22.21</v>
      </c>
      <c r="W179" s="12">
        <v>6.01</v>
      </c>
      <c r="X179" s="12">
        <v>4.98</v>
      </c>
      <c r="Y179" s="12">
        <v>5.12</v>
      </c>
      <c r="Z179" s="12">
        <f t="shared" si="3"/>
        <v>0</v>
      </c>
      <c r="AA179" s="12"/>
      <c r="AB179" s="12">
        <v>8.13</v>
      </c>
      <c r="AC179" s="12">
        <v>0.88</v>
      </c>
      <c r="AD179" s="12">
        <v>23.18</v>
      </c>
      <c r="AE179" s="12">
        <v>1.42</v>
      </c>
      <c r="AF179" s="12">
        <v>0.68</v>
      </c>
      <c r="AG179" s="12">
        <v>5.23</v>
      </c>
      <c r="AH179" s="12">
        <v>1.47</v>
      </c>
      <c r="AI179" s="12">
        <v>4.06</v>
      </c>
      <c r="AJ179" s="12">
        <v>90.0</v>
      </c>
      <c r="AK179" s="12">
        <v>5.34</v>
      </c>
      <c r="AL179" s="12">
        <v>68.29</v>
      </c>
      <c r="AM179" s="12">
        <v>5.43</v>
      </c>
      <c r="AN179" s="12">
        <v>67.22</v>
      </c>
      <c r="AO179" s="12">
        <v>91.07</v>
      </c>
      <c r="AP179" s="12">
        <f t="shared" si="4"/>
        <v>1.55173</v>
      </c>
      <c r="AQ179" s="35">
        <v>0.825163457148565</v>
      </c>
      <c r="AR179" s="15">
        <f t="shared" si="5"/>
        <v>1</v>
      </c>
      <c r="AS179" s="15">
        <f t="shared" si="171"/>
        <v>0</v>
      </c>
      <c r="AU179" s="15">
        <f>2.551996+('2021'!C179*0.000000012919)+('2021'!E179*0.000003)-('2021'!H179*0.000002)
-('2021'!U179*0.123062)+('2021'!AC179*0.831)-('2021'!AD179*0.008464)-('2021'!AF179*0.15884)
-('2021'!AL179*0.025383)-('2021'!AM179*0.427021)-('2021'!AN179*0.009878)
</f>
        <v>-6.071753421</v>
      </c>
      <c r="AV179" s="15">
        <v>0.0023018137318245187</v>
      </c>
      <c r="AW179" s="14">
        <f t="shared" si="7"/>
        <v>0</v>
      </c>
      <c r="AX179" s="14" t="str">
        <f t="shared" ref="AX179:AX180" si="179">IF(AW179='temp result 2022'!B179,1,IF(Z179="-",1,0))</f>
        <v>#REF!</v>
      </c>
      <c r="AZ179" s="15" t="str">
        <f t="shared" ref="AZ179:AZ180" si="180">IF(and(AW179=0,AX179=1),1,0)</f>
        <v>#REF!</v>
      </c>
      <c r="BA179" s="15" t="str">
        <f t="shared" ref="BA179:BA180" si="181">IF(AND(AW179=0,AX179=0),1,0)</f>
        <v>#REF!</v>
      </c>
      <c r="BB179" s="15" t="str">
        <f t="shared" ref="BB179:BB180" si="182">IF(AND(AW179=1,AX179=0),1,0)</f>
        <v>#REF!</v>
      </c>
      <c r="BC179" s="15" t="str">
        <f t="shared" ref="BC179:BC180" si="183">IF(AND(AW179=1,AX179=1),1,0)</f>
        <v>#REF!</v>
      </c>
      <c r="BD179" s="15" t="str">
        <f t="shared" ref="BD179:BD180" si="184">IF(AZ179+BA179+BB179+BC179&gt;1,1,0)</f>
        <v>#REF!</v>
      </c>
    </row>
    <row r="180">
      <c r="A180" s="8" t="s">
        <v>235</v>
      </c>
      <c r="B180" s="34">
        <f t="shared" si="1"/>
        <v>0</v>
      </c>
      <c r="C180" s="9">
        <v>1371515.36</v>
      </c>
      <c r="D180" s="9">
        <v>237141.15</v>
      </c>
      <c r="E180" s="9">
        <v>212382.19</v>
      </c>
      <c r="F180" s="9">
        <v>1134374.21</v>
      </c>
      <c r="G180" s="9">
        <v>1537514.98</v>
      </c>
      <c r="H180" s="9">
        <v>1054578.77</v>
      </c>
      <c r="I180" s="9">
        <v>539962.9</v>
      </c>
      <c r="J180" s="9">
        <v>482936.21</v>
      </c>
      <c r="K180" s="9">
        <v>462294.58</v>
      </c>
      <c r="L180" s="9">
        <v>318481.67</v>
      </c>
      <c r="M180" s="9">
        <v>121989.02</v>
      </c>
      <c r="N180" s="10">
        <f t="shared" si="178"/>
        <v>0</v>
      </c>
      <c r="O180" s="12">
        <v>1.09</v>
      </c>
      <c r="P180" s="9">
        <v>469536.03</v>
      </c>
      <c r="Q180" s="9">
        <v>-102505.13</v>
      </c>
      <c r="R180" s="9">
        <v>-367779.75</v>
      </c>
      <c r="S180" s="12">
        <v>-748.85</v>
      </c>
      <c r="T180" s="12">
        <v>42.78</v>
      </c>
      <c r="U180" s="12">
        <v>36.92</v>
      </c>
      <c r="V180" s="12">
        <v>44.83</v>
      </c>
      <c r="W180" s="12">
        <v>30.07</v>
      </c>
      <c r="X180" s="12">
        <v>24.98</v>
      </c>
      <c r="Y180" s="12">
        <v>12.24</v>
      </c>
      <c r="Z180" s="12">
        <f t="shared" si="3"/>
        <v>0</v>
      </c>
      <c r="AA180" s="12"/>
      <c r="AB180" s="12">
        <v>31.41</v>
      </c>
      <c r="AC180" s="12">
        <v>0.21</v>
      </c>
      <c r="AD180" s="12">
        <v>309.6</v>
      </c>
      <c r="AE180" s="12">
        <v>3.73</v>
      </c>
      <c r="AF180" s="12">
        <v>1.16</v>
      </c>
      <c r="AG180" s="12">
        <v>2.83</v>
      </c>
      <c r="AH180" s="12">
        <v>1.18</v>
      </c>
      <c r="AI180" s="12">
        <v>7.17</v>
      </c>
      <c r="AJ180" s="12">
        <v>50.88</v>
      </c>
      <c r="AK180" s="12">
        <v>14.8</v>
      </c>
      <c r="AL180" s="12">
        <v>24.66</v>
      </c>
      <c r="AM180" s="12">
        <v>6.96</v>
      </c>
      <c r="AN180" s="12">
        <v>52.43</v>
      </c>
      <c r="AO180" s="12">
        <v>23.11</v>
      </c>
      <c r="AP180" s="12">
        <f t="shared" si="4"/>
        <v>0.36971</v>
      </c>
      <c r="AQ180" s="35">
        <v>0.5913889023506095</v>
      </c>
      <c r="AR180" s="15">
        <f t="shared" si="5"/>
        <v>1</v>
      </c>
      <c r="AS180" s="15">
        <f t="shared" si="171"/>
        <v>0</v>
      </c>
      <c r="AU180" s="15">
        <f>2.551996+('2021'!C180*0.000000012919)+('2021'!E180*0.000003)-('2021'!H180*0.000002)
-('2021'!U180*0.123062)+('2021'!AC180*0.831)-('2021'!AD180*0.008464)-('2021'!AF180*0.15884)
-('2021'!AL180*0.025383)-('2021'!AM180*0.427021)-('2021'!AN180*0.009878)
</f>
        <v>-10.19185868</v>
      </c>
      <c r="AV180" s="15">
        <v>3.747276496188004E-5</v>
      </c>
      <c r="AW180" s="14">
        <f t="shared" si="7"/>
        <v>0</v>
      </c>
      <c r="AX180" s="14" t="str">
        <f t="shared" si="179"/>
        <v>#REF!</v>
      </c>
      <c r="AZ180" s="15" t="str">
        <f t="shared" si="180"/>
        <v>#REF!</v>
      </c>
      <c r="BA180" s="15" t="str">
        <f t="shared" si="181"/>
        <v>#REF!</v>
      </c>
      <c r="BB180" s="15" t="str">
        <f t="shared" si="182"/>
        <v>#REF!</v>
      </c>
      <c r="BC180" s="15" t="str">
        <f t="shared" si="183"/>
        <v>#REF!</v>
      </c>
      <c r="BD180" s="15" t="str">
        <f t="shared" si="184"/>
        <v>#REF!</v>
      </c>
    </row>
    <row r="181">
      <c r="A181" s="8" t="s">
        <v>312</v>
      </c>
      <c r="B181" s="34" t="str">
        <f t="shared" si="1"/>
        <v/>
      </c>
      <c r="C181" s="9">
        <v>454366.35</v>
      </c>
      <c r="D181" s="9">
        <v>42300.9</v>
      </c>
      <c r="E181" s="9">
        <v>90000.0</v>
      </c>
      <c r="F181" s="9">
        <v>412065.45</v>
      </c>
      <c r="G181" s="9">
        <v>287698.38</v>
      </c>
      <c r="H181" s="9">
        <v>173530.76</v>
      </c>
      <c r="I181" s="9">
        <v>135511.5</v>
      </c>
      <c r="J181" s="9">
        <v>114967.4</v>
      </c>
      <c r="K181" s="9">
        <v>112048.75</v>
      </c>
      <c r="L181" s="9">
        <v>56569.57</v>
      </c>
      <c r="M181" s="9" t="e">
        <v>#N/A</v>
      </c>
      <c r="N181" s="10"/>
      <c r="O181" s="12">
        <v>0.62</v>
      </c>
      <c r="P181" s="9">
        <v>118464.19</v>
      </c>
      <c r="Q181" s="9">
        <v>19024.81</v>
      </c>
      <c r="R181" s="9">
        <v>-67262.19</v>
      </c>
      <c r="S181" s="9">
        <v>70226.81</v>
      </c>
      <c r="T181" s="12">
        <v>28.95</v>
      </c>
      <c r="U181" s="12">
        <v>27.06</v>
      </c>
      <c r="V181" s="12">
        <v>45.23</v>
      </c>
      <c r="W181" s="12">
        <v>38.95</v>
      </c>
      <c r="X181" s="12">
        <v>24.8</v>
      </c>
      <c r="Y181" s="12" t="e">
        <v>#N/A</v>
      </c>
      <c r="Z181" s="12" t="str">
        <f t="shared" si="3"/>
        <v>#N/A</v>
      </c>
      <c r="AA181" s="12"/>
      <c r="AB181" s="12">
        <v>39.96</v>
      </c>
      <c r="AC181" s="12">
        <v>0.1</v>
      </c>
      <c r="AD181" s="12">
        <v>311.65</v>
      </c>
      <c r="AE181" s="12">
        <v>10.29</v>
      </c>
      <c r="AF181" s="12">
        <v>7.58</v>
      </c>
      <c r="AG181" s="12">
        <v>4.47</v>
      </c>
      <c r="AH181" s="12">
        <v>0.68</v>
      </c>
      <c r="AI181" s="12" t="s">
        <v>47</v>
      </c>
      <c r="AJ181" s="12" t="s">
        <v>46</v>
      </c>
      <c r="AK181" s="12">
        <v>18.52</v>
      </c>
      <c r="AL181" s="12">
        <v>19.71</v>
      </c>
      <c r="AM181" s="12">
        <v>11.37</v>
      </c>
      <c r="AN181" s="12">
        <v>32.11</v>
      </c>
      <c r="AO181" s="12">
        <v>-12.4</v>
      </c>
      <c r="AP181" s="12">
        <f t="shared" si="4"/>
        <v>-4.47829</v>
      </c>
      <c r="AQ181" s="35">
        <v>0.011225370375032384</v>
      </c>
      <c r="AR181" s="15">
        <f t="shared" si="5"/>
        <v>0</v>
      </c>
      <c r="AS181" s="15">
        <f t="shared" si="171"/>
        <v>1</v>
      </c>
      <c r="AU181" s="15">
        <f>2.551996+('2021'!C181*0.000000012919)+('2021'!E181*0.000003)-('2021'!H181*0.000002)
-('2021'!U181*0.123062)+('2021'!AC181*0.831)-('2021'!AD181*0.008464)-('2021'!AF181*0.15884)
-('2021'!AL181*0.025383)-('2021'!AM181*0.427021)-('2021'!AN181*0.009878)
</f>
        <v>-10.28067636</v>
      </c>
      <c r="AV181" s="15">
        <v>3.4288153246018896E-5</v>
      </c>
      <c r="AW181" s="14">
        <f t="shared" si="7"/>
        <v>0</v>
      </c>
      <c r="AX181" s="14"/>
    </row>
    <row r="182">
      <c r="A182" s="8" t="s">
        <v>238</v>
      </c>
      <c r="B182" s="34">
        <f t="shared" si="1"/>
        <v>0</v>
      </c>
      <c r="C182" s="9">
        <v>1469467.02</v>
      </c>
      <c r="D182" s="9">
        <v>529104.02</v>
      </c>
      <c r="E182" s="9">
        <v>107625.0</v>
      </c>
      <c r="F182" s="9">
        <v>940363.01</v>
      </c>
      <c r="G182" s="9">
        <v>2261671.09</v>
      </c>
      <c r="H182" s="9">
        <v>2139166.7</v>
      </c>
      <c r="I182" s="9">
        <v>171707.17</v>
      </c>
      <c r="J182" s="9">
        <v>122504.39</v>
      </c>
      <c r="K182" s="9">
        <v>97682.14</v>
      </c>
      <c r="L182" s="9">
        <v>158177.31</v>
      </c>
      <c r="M182" s="9">
        <v>138919.74</v>
      </c>
      <c r="N182" s="10">
        <f>IF(AND(K182&lt;0,L182&lt;0,M182&lt;0),1,0)</f>
        <v>0</v>
      </c>
      <c r="O182" s="12">
        <v>0.91</v>
      </c>
      <c r="P182" s="9">
        <v>91699.61</v>
      </c>
      <c r="Q182" s="9">
        <v>-40965.14</v>
      </c>
      <c r="R182" s="9">
        <v>-51584.73</v>
      </c>
      <c r="S182" s="12">
        <v>-850.27</v>
      </c>
      <c r="T182" s="12">
        <v>10.7</v>
      </c>
      <c r="U182" s="12">
        <v>8.5</v>
      </c>
      <c r="V182" s="12">
        <v>22.83</v>
      </c>
      <c r="W182" s="12">
        <v>4.32</v>
      </c>
      <c r="X182" s="12">
        <v>7.62</v>
      </c>
      <c r="Y182" s="12">
        <v>6.15</v>
      </c>
      <c r="Z182" s="12">
        <f t="shared" si="3"/>
        <v>0</v>
      </c>
      <c r="AA182" s="12"/>
      <c r="AB182" s="12">
        <v>5.42</v>
      </c>
      <c r="AC182" s="12">
        <v>0.56</v>
      </c>
      <c r="AD182" s="12">
        <v>153.09</v>
      </c>
      <c r="AE182" s="12">
        <v>2.45</v>
      </c>
      <c r="AF182" s="12">
        <v>1.74</v>
      </c>
      <c r="AG182" s="12">
        <v>5.63</v>
      </c>
      <c r="AH182" s="12">
        <v>1.57</v>
      </c>
      <c r="AI182" s="12">
        <v>6.43</v>
      </c>
      <c r="AJ182" s="12">
        <v>56.75</v>
      </c>
      <c r="AK182" s="12">
        <v>6.22</v>
      </c>
      <c r="AL182" s="12">
        <v>58.71</v>
      </c>
      <c r="AM182" s="12">
        <v>4.49</v>
      </c>
      <c r="AN182" s="12">
        <v>81.29</v>
      </c>
      <c r="AO182" s="12">
        <v>34.16</v>
      </c>
      <c r="AP182" s="12">
        <f t="shared" si="4"/>
        <v>2.04669</v>
      </c>
      <c r="AQ182" s="35">
        <v>0.8856127341335335</v>
      </c>
      <c r="AR182" s="15">
        <f t="shared" si="5"/>
        <v>1</v>
      </c>
      <c r="AS182" s="15">
        <f t="shared" si="171"/>
        <v>0</v>
      </c>
      <c r="AU182" s="15">
        <f>2.551996+('2021'!C182*0.000000012919)+('2021'!E182*0.000003)-('2021'!H182*0.000002)
-('2021'!U182*0.123062)+('2021'!AC182*0.831)-('2021'!AD182*0.008464)-('2021'!AF182*0.15884)
-('2021'!AL182*0.025383)-('2021'!AM182*0.427021)-('2021'!AN182*0.009878)
</f>
        <v>-7.747823556</v>
      </c>
      <c r="AV182" s="15">
        <v>4.3149478059501667E-4</v>
      </c>
      <c r="AW182" s="14">
        <f t="shared" si="7"/>
        <v>0</v>
      </c>
      <c r="AX182" s="14" t="str">
        <f>IF(AW182='temp result 2022'!B182,1,IF(Z182="-",1,0))</f>
        <v>#REF!</v>
      </c>
      <c r="AZ182" s="15" t="str">
        <f>IF(and(AW182=0,AX182=1),1,0)</f>
        <v>#REF!</v>
      </c>
      <c r="BA182" s="15" t="str">
        <f>IF(AND(AW182=0,AX182=0),1,0)</f>
        <v>#REF!</v>
      </c>
      <c r="BB182" s="15" t="str">
        <f>IF(AND(AW182=1,AX182=0),1,0)</f>
        <v>#REF!</v>
      </c>
      <c r="BC182" s="15" t="str">
        <f>IF(AND(AW182=1,AX182=1),1,0)</f>
        <v>#REF!</v>
      </c>
      <c r="BD182" s="15" t="str">
        <f>IF(AZ182+BA182+BB182+BC182&gt;1,1,0)</f>
        <v>#REF!</v>
      </c>
    </row>
    <row r="183">
      <c r="A183" s="8" t="s">
        <v>239</v>
      </c>
      <c r="B183" s="34" t="str">
        <f t="shared" si="1"/>
        <v/>
      </c>
      <c r="C183" s="9">
        <v>1809997.54</v>
      </c>
      <c r="D183" s="9">
        <v>814478.22</v>
      </c>
      <c r="E183" s="9">
        <v>306472.93</v>
      </c>
      <c r="F183" s="9">
        <v>995519.32</v>
      </c>
      <c r="G183" s="9">
        <v>1210044.84</v>
      </c>
      <c r="H183" s="9">
        <v>939104.33</v>
      </c>
      <c r="I183" s="9">
        <v>292372.68</v>
      </c>
      <c r="J183" s="9">
        <v>259794.02</v>
      </c>
      <c r="K183" s="9">
        <v>204227.96</v>
      </c>
      <c r="L183" s="9" t="e">
        <v>#N/A</v>
      </c>
      <c r="M183" s="9" t="e">
        <v>#N/A</v>
      </c>
      <c r="N183" s="10"/>
      <c r="O183" s="12">
        <v>0.39</v>
      </c>
      <c r="P183" s="9">
        <v>-55385.0</v>
      </c>
      <c r="Q183" s="9">
        <v>-152003.0</v>
      </c>
      <c r="R183" s="9">
        <v>208645.44</v>
      </c>
      <c r="S183" s="9">
        <v>1257.44</v>
      </c>
      <c r="T183" s="12">
        <v>22.5</v>
      </c>
      <c r="U183" s="12">
        <v>16.27</v>
      </c>
      <c r="V183" s="12">
        <v>25.04</v>
      </c>
      <c r="W183" s="12">
        <v>16.88</v>
      </c>
      <c r="X183" s="12" t="e">
        <v>#N/A</v>
      </c>
      <c r="Y183" s="12" t="e">
        <v>#N/A</v>
      </c>
      <c r="Z183" s="12" t="str">
        <f t="shared" si="3"/>
        <v>#N/A</v>
      </c>
      <c r="AA183" s="12"/>
      <c r="AB183" s="12">
        <v>21.47</v>
      </c>
      <c r="AC183" s="12">
        <v>0.82</v>
      </c>
      <c r="AD183" s="12">
        <v>12.89</v>
      </c>
      <c r="AE183" s="12">
        <v>1.62</v>
      </c>
      <c r="AF183" s="12">
        <v>0.63</v>
      </c>
      <c r="AG183" s="12">
        <v>1.68</v>
      </c>
      <c r="AH183" s="12">
        <v>0.76</v>
      </c>
      <c r="AI183" s="12">
        <v>1.87</v>
      </c>
      <c r="AJ183" s="12">
        <v>194.83</v>
      </c>
      <c r="AK183" s="12">
        <v>6.66</v>
      </c>
      <c r="AL183" s="12">
        <v>54.81</v>
      </c>
      <c r="AM183" s="12">
        <v>15.37</v>
      </c>
      <c r="AN183" s="12">
        <v>23.75</v>
      </c>
      <c r="AO183" s="12">
        <v>225.89</v>
      </c>
      <c r="AP183" s="12">
        <f t="shared" si="4"/>
        <v>-2.09535</v>
      </c>
      <c r="AQ183" s="35">
        <v>0.10954959877078704</v>
      </c>
      <c r="AR183" s="15">
        <f t="shared" si="5"/>
        <v>0</v>
      </c>
      <c r="AS183" s="15">
        <f t="shared" si="171"/>
        <v>1</v>
      </c>
      <c r="AU183" s="15">
        <f>2.551996+('2021'!C183*0.000000012919)+('2021'!E183*0.000003)-('2021'!H183*0.000002)
-('2021'!U183*0.123062)+('2021'!AC183*0.831)-('2021'!AD183*0.008464)-('2021'!AF183*0.15884)
-('2021'!AL183*0.025383)-('2021'!AM183*0.427021)-('2021'!AN183*0.009878)
</f>
        <v>-8.102536912</v>
      </c>
      <c r="AV183" s="15">
        <v>3.0267842005108893E-4</v>
      </c>
      <c r="AW183" s="14">
        <f t="shared" si="7"/>
        <v>0</v>
      </c>
      <c r="AX183" s="14"/>
    </row>
    <row r="184">
      <c r="AS184" s="19" t="s">
        <v>240</v>
      </c>
      <c r="AT184" s="19" t="s">
        <v>241</v>
      </c>
      <c r="AW184" s="14"/>
      <c r="AX184" s="16" t="s">
        <v>241</v>
      </c>
    </row>
    <row r="185">
      <c r="M185" s="19" t="s">
        <v>240</v>
      </c>
      <c r="N185" s="15">
        <f>COUNT(N2:N183)</f>
        <v>145</v>
      </c>
      <c r="AS185" s="15">
        <f>COUNT(AS2:AS183)</f>
        <v>167</v>
      </c>
      <c r="AT185" s="15">
        <f>SUM(AS2:AS183)</f>
        <v>64</v>
      </c>
      <c r="AW185" s="14">
        <f>COUNT(AX2:AX183)</f>
        <v>0</v>
      </c>
      <c r="AX185" s="14" t="str">
        <f>SUM(AX2:AX184)</f>
        <v>#REF!</v>
      </c>
      <c r="AZ185" s="15" t="str">
        <f t="shared" ref="AZ185:BC185" si="185">SUM(AZ2:AZ183)</f>
        <v>#REF!</v>
      </c>
      <c r="BA185" s="15" t="str">
        <f t="shared" si="185"/>
        <v>#REF!</v>
      </c>
      <c r="BB185" s="15" t="str">
        <f t="shared" si="185"/>
        <v>#REF!</v>
      </c>
      <c r="BC185" s="15" t="str">
        <f t="shared" si="185"/>
        <v>#REF!</v>
      </c>
    </row>
    <row r="186">
      <c r="M186" s="19" t="s">
        <v>241</v>
      </c>
      <c r="N186" s="25">
        <f>SUM(N2:N183)</f>
        <v>22</v>
      </c>
      <c r="AT186" s="19" t="s">
        <v>242</v>
      </c>
      <c r="AW186" s="14"/>
      <c r="AX186" s="14" t="str">
        <f>AX185/AW185%</f>
        <v>#REF!</v>
      </c>
    </row>
    <row r="187">
      <c r="AT187" s="15">
        <f>AT185/AS185%</f>
        <v>38.32335329</v>
      </c>
      <c r="AW187" s="14"/>
      <c r="AX187" s="14"/>
    </row>
    <row r="188">
      <c r="C188" s="19" t="s">
        <v>313</v>
      </c>
      <c r="K188" s="25">
        <f>N186</f>
        <v>22</v>
      </c>
      <c r="AW188" s="14"/>
      <c r="AX188" s="14"/>
    </row>
    <row r="189">
      <c r="C189" s="19" t="s">
        <v>314</v>
      </c>
      <c r="K189" s="25">
        <f>N185-N186</f>
        <v>123</v>
      </c>
      <c r="AW189" s="14"/>
      <c r="AX189" s="14"/>
    </row>
    <row r="190">
      <c r="D190" s="19" t="s">
        <v>315</v>
      </c>
      <c r="AW190" s="14"/>
      <c r="AX190" s="14"/>
    </row>
  </sheetData>
  <mergeCells count="4">
    <mergeCell ref="BE4:BE5"/>
    <mergeCell ref="BF5:BG5"/>
    <mergeCell ref="BH7:BI12"/>
    <mergeCell ref="BE11:BE12"/>
  </mergeCells>
  <conditionalFormatting sqref="AX2:AX183">
    <cfRule type="notContainsBlanks" dxfId="0" priority="1">
      <formula>LEN(TRIM(AX2))&gt;0</formula>
    </cfRule>
  </conditionalFormatting>
  <conditionalFormatting sqref="BD2:BD182">
    <cfRule type="containsText" dxfId="0" priority="2" operator="containsText" text="1">
      <formula>NOT(ISERROR(SEARCH(("1"),(BD2))))</formula>
    </cfRule>
  </conditionalFormatting>
  <conditionalFormatting sqref="X1:Z1 AA2:AA996">
    <cfRule type="containsText" dxfId="0" priority="3" operator="containsText" text="0">
      <formula>NOT(ISERROR(SEARCH(("0"),(X1))))</formula>
    </cfRule>
  </conditionalFormatting>
  <conditionalFormatting sqref="W2:W183">
    <cfRule type="containsBlanks" dxfId="0" priority="4">
      <formula>LEN(TRIM(W2))=0</formula>
    </cfRule>
  </conditionalFormatting>
  <conditionalFormatting sqref="Z2:Z183">
    <cfRule type="containsBlanks" dxfId="0" priority="5">
      <formula>LEN(TRIM(Z2))=0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/>
      <c r="B1" s="3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8" t="s">
        <v>316</v>
      </c>
      <c r="B2" s="9">
        <v>2204939.0</v>
      </c>
      <c r="C2" s="9">
        <v>449331.0</v>
      </c>
      <c r="D2" s="9">
        <v>449999.0</v>
      </c>
      <c r="E2" s="9">
        <v>1757483.0</v>
      </c>
      <c r="F2" s="9">
        <v>5625921.0</v>
      </c>
      <c r="G2" s="9">
        <v>5113167.0</v>
      </c>
      <c r="H2" s="9">
        <v>538653.0</v>
      </c>
      <c r="I2" s="9">
        <v>491971.0</v>
      </c>
      <c r="J2" s="9">
        <v>410165.0</v>
      </c>
      <c r="K2" s="12">
        <v>0.91</v>
      </c>
      <c r="L2" s="9">
        <v>306209.0</v>
      </c>
      <c r="M2" s="9">
        <v>-166409.0</v>
      </c>
      <c r="N2" s="9">
        <v>-138785.0</v>
      </c>
      <c r="O2" s="9">
        <v>1015.0</v>
      </c>
      <c r="P2" s="12">
        <v>26.15</v>
      </c>
      <c r="Q2" s="12">
        <v>24.78</v>
      </c>
      <c r="R2" s="12">
        <v>13.16</v>
      </c>
      <c r="S2" s="12">
        <v>7.29</v>
      </c>
      <c r="T2" s="12">
        <v>8.74</v>
      </c>
      <c r="U2" s="12">
        <v>0.26</v>
      </c>
      <c r="V2" s="12">
        <v>61.83</v>
      </c>
      <c r="W2" s="12">
        <v>3.66</v>
      </c>
      <c r="X2" s="12">
        <v>1.0</v>
      </c>
      <c r="Y2" s="12">
        <v>9.67</v>
      </c>
      <c r="Z2" s="12">
        <v>2.83</v>
      </c>
      <c r="AA2" s="12">
        <v>6.03</v>
      </c>
      <c r="AB2" s="12">
        <v>60.51</v>
      </c>
      <c r="AC2" s="12">
        <v>17.94</v>
      </c>
      <c r="AD2" s="12">
        <v>20.34</v>
      </c>
      <c r="AE2" s="12">
        <v>54.76</v>
      </c>
      <c r="AF2" s="12">
        <v>6.66</v>
      </c>
      <c r="AG2" s="12">
        <v>74.19</v>
      </c>
    </row>
    <row r="3">
      <c r="A3" s="8" t="s">
        <v>42</v>
      </c>
      <c r="B3" s="9">
        <v>1869803.64</v>
      </c>
      <c r="C3" s="9">
        <v>1178572.15</v>
      </c>
      <c r="D3" s="9">
        <v>604692.31</v>
      </c>
      <c r="E3" s="9">
        <v>678067.98</v>
      </c>
      <c r="F3" s="9">
        <v>827798.03</v>
      </c>
      <c r="G3" s="9">
        <v>729689.64</v>
      </c>
      <c r="H3" s="9">
        <v>99795.22</v>
      </c>
      <c r="I3" s="9">
        <v>95053.25</v>
      </c>
      <c r="J3" s="9">
        <v>57239.21</v>
      </c>
      <c r="K3" s="12">
        <v>0.05</v>
      </c>
      <c r="L3" s="9">
        <v>366568.38</v>
      </c>
      <c r="M3" s="9">
        <v>-141836.23</v>
      </c>
      <c r="N3" s="9">
        <v>-51435.72</v>
      </c>
      <c r="O3" s="9">
        <v>173296.44</v>
      </c>
      <c r="P3" s="12">
        <v>9.44</v>
      </c>
      <c r="Q3" s="12">
        <v>5.25</v>
      </c>
      <c r="R3" s="12">
        <v>24.8</v>
      </c>
      <c r="S3" s="12">
        <v>7.15</v>
      </c>
      <c r="T3" s="12">
        <v>11.48</v>
      </c>
      <c r="U3" s="12">
        <v>1.71</v>
      </c>
      <c r="V3" s="12">
        <v>4.42</v>
      </c>
      <c r="W3" s="12">
        <v>1.5</v>
      </c>
      <c r="X3" s="12">
        <v>0.22</v>
      </c>
      <c r="Y3" s="12">
        <v>109.34</v>
      </c>
      <c r="Z3" s="12">
        <v>0.46</v>
      </c>
      <c r="AA3" s="12">
        <v>0.45</v>
      </c>
      <c r="AB3" s="12">
        <v>805.94</v>
      </c>
      <c r="AC3" s="12">
        <v>37.11</v>
      </c>
      <c r="AD3" s="12">
        <v>9.83</v>
      </c>
      <c r="AE3" s="12">
        <v>2.13</v>
      </c>
      <c r="AF3" s="12">
        <v>171.5</v>
      </c>
      <c r="AG3" s="12">
        <v>644.27</v>
      </c>
    </row>
    <row r="4">
      <c r="A4" s="8" t="s">
        <v>295</v>
      </c>
      <c r="B4" s="9">
        <v>2018347.66</v>
      </c>
      <c r="C4" s="9">
        <v>1078479.15</v>
      </c>
      <c r="D4" s="9">
        <v>235000.0</v>
      </c>
      <c r="E4" s="9">
        <v>939868.52</v>
      </c>
      <c r="F4" s="9">
        <v>2090656.74</v>
      </c>
      <c r="G4" s="9">
        <v>1909745.12</v>
      </c>
      <c r="H4" s="9">
        <v>220316.99</v>
      </c>
      <c r="I4" s="9">
        <v>125430.8</v>
      </c>
      <c r="J4" s="9">
        <v>80834.75</v>
      </c>
      <c r="K4" s="12">
        <v>0.34</v>
      </c>
      <c r="L4" s="9">
        <v>199126.55</v>
      </c>
      <c r="M4" s="9">
        <v>-118689.86</v>
      </c>
      <c r="N4" s="9">
        <v>-83544.9</v>
      </c>
      <c r="O4" s="9">
        <v>-3108.2</v>
      </c>
      <c r="P4" s="12">
        <v>8.99</v>
      </c>
      <c r="Q4" s="12">
        <v>6.77</v>
      </c>
      <c r="R4" s="12">
        <v>10.96</v>
      </c>
      <c r="S4" s="12">
        <v>3.87</v>
      </c>
      <c r="T4" s="12">
        <v>6.0</v>
      </c>
      <c r="U4" s="12">
        <v>1.15</v>
      </c>
      <c r="V4" s="12">
        <v>6.18</v>
      </c>
      <c r="W4" s="12">
        <v>0.97</v>
      </c>
      <c r="X4" s="12">
        <v>0.76</v>
      </c>
      <c r="Y4" s="12">
        <v>2.5</v>
      </c>
      <c r="Z4" s="12">
        <v>1.13</v>
      </c>
      <c r="AA4" s="12">
        <v>15.11</v>
      </c>
      <c r="AB4" s="12">
        <v>24.15</v>
      </c>
      <c r="AC4" s="12">
        <v>5.24</v>
      </c>
      <c r="AD4" s="12">
        <v>69.65</v>
      </c>
      <c r="AE4" s="12">
        <v>6.85</v>
      </c>
      <c r="AF4" s="12">
        <v>53.25</v>
      </c>
      <c r="AG4" s="12">
        <v>40.55</v>
      </c>
    </row>
    <row r="5">
      <c r="A5" s="8" t="s">
        <v>43</v>
      </c>
      <c r="B5" s="9">
        <v>892993.54</v>
      </c>
      <c r="C5" s="9">
        <v>663435.45</v>
      </c>
      <c r="D5" s="9">
        <v>150000.0</v>
      </c>
      <c r="E5" s="9">
        <v>239303.09</v>
      </c>
      <c r="F5" s="9">
        <v>1563849.62</v>
      </c>
      <c r="G5" s="9">
        <v>1528897.3</v>
      </c>
      <c r="H5" s="9">
        <v>57555.9</v>
      </c>
      <c r="I5" s="9">
        <v>34952.32</v>
      </c>
      <c r="J5" s="9">
        <v>18616.74</v>
      </c>
      <c r="K5" s="12">
        <v>0.06</v>
      </c>
      <c r="L5" s="9">
        <v>12361.72</v>
      </c>
      <c r="M5" s="9">
        <v>-66226.17</v>
      </c>
      <c r="N5" s="9">
        <v>78124.45</v>
      </c>
      <c r="O5" s="9">
        <v>24259.99</v>
      </c>
      <c r="P5" s="12">
        <v>8.03</v>
      </c>
      <c r="Q5" s="12">
        <v>4.35</v>
      </c>
      <c r="R5" s="12">
        <v>18.18</v>
      </c>
      <c r="S5" s="12">
        <v>1.09</v>
      </c>
      <c r="T5" s="12">
        <v>2.24</v>
      </c>
      <c r="U5" s="12">
        <v>2.89</v>
      </c>
      <c r="V5" s="12">
        <v>2.94</v>
      </c>
      <c r="W5" s="12">
        <v>0.85</v>
      </c>
      <c r="X5" s="12">
        <v>0.47</v>
      </c>
      <c r="Y5" s="12">
        <v>5.05</v>
      </c>
      <c r="Z5" s="12">
        <v>1.95</v>
      </c>
      <c r="AA5" s="12">
        <v>7.13</v>
      </c>
      <c r="AB5" s="12">
        <v>51.21</v>
      </c>
      <c r="AC5" s="12">
        <v>8.44</v>
      </c>
      <c r="AD5" s="12">
        <v>43.24</v>
      </c>
      <c r="AE5" s="12">
        <v>21.75</v>
      </c>
      <c r="AF5" s="12">
        <v>16.78</v>
      </c>
      <c r="AG5" s="12">
        <v>77.68</v>
      </c>
    </row>
    <row r="6">
      <c r="A6" s="8" t="s">
        <v>45</v>
      </c>
      <c r="B6" s="9">
        <v>3498229.11</v>
      </c>
      <c r="C6" s="9">
        <v>3158647.01</v>
      </c>
      <c r="D6" s="9">
        <v>158205.58</v>
      </c>
      <c r="E6" s="9">
        <v>339582.1</v>
      </c>
      <c r="F6" s="9">
        <v>36054.77</v>
      </c>
      <c r="G6" s="9">
        <v>117188.58</v>
      </c>
      <c r="H6" s="9">
        <v>21800.94</v>
      </c>
      <c r="I6" s="9">
        <v>-7831.77</v>
      </c>
      <c r="J6" s="9">
        <v>-355322.49</v>
      </c>
      <c r="K6" s="12">
        <v>-1.12</v>
      </c>
      <c r="L6" s="9">
        <v>241652.8</v>
      </c>
      <c r="M6" s="9">
        <v>62255.21</v>
      </c>
      <c r="N6" s="9">
        <v>-244903.95</v>
      </c>
      <c r="O6" s="9">
        <v>59004.07</v>
      </c>
      <c r="P6" s="12">
        <v>-49.56</v>
      </c>
      <c r="Q6" s="12">
        <v>-0.2</v>
      </c>
      <c r="R6" s="12">
        <v>-926.17</v>
      </c>
      <c r="S6" s="12">
        <v>-982.38</v>
      </c>
      <c r="T6" s="12">
        <v>-21.72</v>
      </c>
      <c r="U6" s="12">
        <v>9.3</v>
      </c>
      <c r="V6" s="12">
        <v>-0.02</v>
      </c>
      <c r="W6" s="12">
        <v>0.1</v>
      </c>
      <c r="X6" s="12">
        <v>0.06</v>
      </c>
      <c r="Y6" s="12" t="s">
        <v>46</v>
      </c>
      <c r="Z6" s="12">
        <v>0.01</v>
      </c>
      <c r="AA6" s="12" t="s">
        <v>47</v>
      </c>
      <c r="AB6" s="12" t="s">
        <v>46</v>
      </c>
      <c r="AC6" s="12" t="s">
        <v>47</v>
      </c>
      <c r="AD6" s="12" t="s">
        <v>46</v>
      </c>
      <c r="AE6" s="12" t="s">
        <v>47</v>
      </c>
      <c r="AF6" s="12" t="s">
        <v>46</v>
      </c>
      <c r="AG6" s="12" t="s">
        <v>46</v>
      </c>
    </row>
    <row r="7">
      <c r="A7" s="8" t="s">
        <v>48</v>
      </c>
      <c r="B7" s="9">
        <v>1243683.4</v>
      </c>
      <c r="C7" s="9">
        <v>598335.55</v>
      </c>
      <c r="D7" s="9">
        <v>300000.0</v>
      </c>
      <c r="E7" s="9">
        <v>645347.85</v>
      </c>
      <c r="F7" s="9">
        <v>1376895.88</v>
      </c>
      <c r="G7" s="9">
        <v>1284245.74</v>
      </c>
      <c r="H7" s="9">
        <v>144615.69</v>
      </c>
      <c r="I7" s="9">
        <v>96176.49</v>
      </c>
      <c r="J7" s="9">
        <v>69660.73</v>
      </c>
      <c r="K7" s="12">
        <v>0.12</v>
      </c>
      <c r="L7" s="9">
        <v>119576.9</v>
      </c>
      <c r="M7" s="9">
        <v>-33340.61</v>
      </c>
      <c r="N7" s="9">
        <v>-106636.8</v>
      </c>
      <c r="O7" s="9">
        <v>-20400.51</v>
      </c>
      <c r="P7" s="12">
        <v>11.36</v>
      </c>
      <c r="Q7" s="12">
        <v>7.7</v>
      </c>
      <c r="R7" s="12">
        <v>19.53</v>
      </c>
      <c r="S7" s="12">
        <v>5.06</v>
      </c>
      <c r="T7" s="12">
        <v>6.99</v>
      </c>
      <c r="U7" s="12">
        <v>0.93</v>
      </c>
      <c r="V7" s="12">
        <v>9.23</v>
      </c>
      <c r="W7" s="12">
        <v>1.46</v>
      </c>
      <c r="X7" s="12">
        <v>0.84</v>
      </c>
      <c r="Y7" s="12">
        <v>2.58</v>
      </c>
      <c r="Z7" s="12">
        <v>1.1</v>
      </c>
      <c r="AA7" s="12">
        <v>3.95</v>
      </c>
      <c r="AB7" s="12">
        <v>92.43</v>
      </c>
      <c r="AC7" s="12">
        <v>3.62</v>
      </c>
      <c r="AD7" s="12">
        <v>100.9</v>
      </c>
      <c r="AE7" s="12">
        <v>4.49</v>
      </c>
      <c r="AF7" s="12">
        <v>81.21</v>
      </c>
      <c r="AG7" s="12">
        <v>112.12</v>
      </c>
    </row>
    <row r="8">
      <c r="A8" s="8" t="s">
        <v>50</v>
      </c>
      <c r="B8" s="9">
        <v>2176837.14</v>
      </c>
      <c r="C8" s="9">
        <v>1655598.11</v>
      </c>
      <c r="D8" s="9">
        <v>400000.0</v>
      </c>
      <c r="E8" s="9">
        <v>521239.03</v>
      </c>
      <c r="F8" s="9">
        <v>209940.45</v>
      </c>
      <c r="G8" s="9">
        <v>117571.89</v>
      </c>
      <c r="H8" s="9">
        <v>100330.56</v>
      </c>
      <c r="I8" s="9">
        <v>92368.56</v>
      </c>
      <c r="J8" s="9">
        <v>42713.22</v>
      </c>
      <c r="K8" s="12">
        <v>0.03</v>
      </c>
      <c r="L8" s="9">
        <v>349147.8</v>
      </c>
      <c r="M8" s="9">
        <v>-4521.25</v>
      </c>
      <c r="N8" s="9">
        <v>-333246.48</v>
      </c>
      <c r="O8" s="9">
        <v>11380.07</v>
      </c>
      <c r="P8" s="12">
        <v>8.14</v>
      </c>
      <c r="Q8" s="12">
        <v>3.9</v>
      </c>
      <c r="R8" s="12">
        <v>79.05</v>
      </c>
      <c r="S8" s="12">
        <v>20.35</v>
      </c>
      <c r="T8" s="12">
        <v>44.0</v>
      </c>
      <c r="U8" s="12">
        <v>3.18</v>
      </c>
      <c r="V8" s="12">
        <v>2.2</v>
      </c>
      <c r="W8" s="12">
        <v>1.26</v>
      </c>
      <c r="X8" s="12">
        <v>0.04</v>
      </c>
      <c r="Y8" s="12" t="s">
        <v>46</v>
      </c>
      <c r="Z8" s="12">
        <v>0.09</v>
      </c>
      <c r="AA8" s="12" t="s">
        <v>47</v>
      </c>
      <c r="AB8" s="12" t="s">
        <v>46</v>
      </c>
      <c r="AC8" s="12" t="s">
        <v>47</v>
      </c>
      <c r="AD8" s="12" t="s">
        <v>46</v>
      </c>
      <c r="AE8" s="12" t="s">
        <v>47</v>
      </c>
      <c r="AF8" s="12" t="s">
        <v>46</v>
      </c>
      <c r="AG8" s="12" t="s">
        <v>46</v>
      </c>
    </row>
    <row r="9">
      <c r="A9" s="8" t="s">
        <v>317</v>
      </c>
      <c r="B9" s="9">
        <v>2557663.33</v>
      </c>
      <c r="C9" s="9">
        <v>385855.63</v>
      </c>
      <c r="D9" s="9">
        <v>1308072.98</v>
      </c>
      <c r="E9" s="9">
        <v>2171807.7</v>
      </c>
      <c r="F9" s="9">
        <v>5519031.5</v>
      </c>
      <c r="G9" s="9">
        <v>5023752.32</v>
      </c>
      <c r="H9" s="9">
        <v>609035.54</v>
      </c>
      <c r="I9" s="9">
        <v>495279.18</v>
      </c>
      <c r="J9" s="9">
        <v>488517.13</v>
      </c>
      <c r="K9" s="12">
        <v>0.09</v>
      </c>
      <c r="L9" s="9">
        <v>407185.69</v>
      </c>
      <c r="M9" s="9">
        <v>-116016.1</v>
      </c>
      <c r="N9" s="9">
        <v>-299997.09</v>
      </c>
      <c r="O9" s="9">
        <v>-8827.5</v>
      </c>
      <c r="P9" s="12">
        <v>25.34</v>
      </c>
      <c r="Q9" s="12">
        <v>20.28</v>
      </c>
      <c r="R9" s="12">
        <v>11.11</v>
      </c>
      <c r="S9" s="12">
        <v>8.85</v>
      </c>
      <c r="T9" s="12">
        <v>8.97</v>
      </c>
      <c r="U9" s="12">
        <v>0.18</v>
      </c>
      <c r="V9" s="12">
        <v>76.92</v>
      </c>
      <c r="W9" s="12">
        <v>2.65</v>
      </c>
      <c r="X9" s="12">
        <v>1.53</v>
      </c>
      <c r="Y9" s="12">
        <v>3.67</v>
      </c>
      <c r="Z9" s="12">
        <v>2.26</v>
      </c>
      <c r="AA9" s="12">
        <v>13.34</v>
      </c>
      <c r="AB9" s="12">
        <v>27.36</v>
      </c>
      <c r="AC9" s="12">
        <v>12.43</v>
      </c>
      <c r="AD9" s="12">
        <v>29.37</v>
      </c>
      <c r="AE9" s="12">
        <v>13.81</v>
      </c>
      <c r="AF9" s="12">
        <v>26.43</v>
      </c>
      <c r="AG9" s="12">
        <v>30.3</v>
      </c>
    </row>
    <row r="10">
      <c r="A10" s="8" t="s">
        <v>51</v>
      </c>
      <c r="B10" s="9">
        <v>9193846.04</v>
      </c>
      <c r="C10" s="9">
        <v>4678673.11</v>
      </c>
      <c r="D10" s="9">
        <v>1578719.63</v>
      </c>
      <c r="E10" s="9">
        <v>3654783.29</v>
      </c>
      <c r="F10" s="9">
        <v>996419.31</v>
      </c>
      <c r="G10" s="9">
        <v>899206.36</v>
      </c>
      <c r="H10" s="9">
        <v>251419.69</v>
      </c>
      <c r="I10" s="9">
        <v>97020.26</v>
      </c>
      <c r="J10" s="9">
        <v>-37956.83</v>
      </c>
      <c r="K10" s="12">
        <v>-0.01</v>
      </c>
      <c r="L10" s="9">
        <v>230649.25</v>
      </c>
      <c r="M10" s="9">
        <v>-31432.36</v>
      </c>
      <c r="N10" s="9">
        <v>313120.92</v>
      </c>
      <c r="O10" s="9">
        <v>512337.81</v>
      </c>
      <c r="P10" s="12">
        <v>-1.01</v>
      </c>
      <c r="Q10" s="12">
        <v>1.06</v>
      </c>
      <c r="R10" s="12">
        <v>73.75</v>
      </c>
      <c r="S10" s="12">
        <v>-7.72</v>
      </c>
      <c r="T10" s="12">
        <v>9.74</v>
      </c>
      <c r="U10" s="12">
        <v>1.04</v>
      </c>
      <c r="V10" s="12">
        <v>0.67</v>
      </c>
      <c r="W10" s="12">
        <v>1.58</v>
      </c>
      <c r="X10" s="12">
        <v>0.32</v>
      </c>
      <c r="Y10" s="12" t="s">
        <v>46</v>
      </c>
      <c r="Z10" s="12">
        <v>0.11</v>
      </c>
      <c r="AA10" s="12" t="s">
        <v>47</v>
      </c>
      <c r="AB10" s="12" t="s">
        <v>46</v>
      </c>
      <c r="AC10" s="12" t="s">
        <v>47</v>
      </c>
      <c r="AD10" s="12" t="s">
        <v>46</v>
      </c>
      <c r="AE10" s="12" t="s">
        <v>47</v>
      </c>
      <c r="AF10" s="12" t="s">
        <v>46</v>
      </c>
      <c r="AG10" s="12" t="s">
        <v>46</v>
      </c>
    </row>
    <row r="11">
      <c r="A11" s="8" t="s">
        <v>52</v>
      </c>
      <c r="B11" s="9">
        <v>696569.0</v>
      </c>
      <c r="C11" s="9">
        <v>142482.0</v>
      </c>
      <c r="D11" s="9">
        <v>202000.0</v>
      </c>
      <c r="E11" s="9">
        <v>554087.0</v>
      </c>
      <c r="F11" s="9">
        <v>355816.0</v>
      </c>
      <c r="G11" s="9">
        <v>327048.0</v>
      </c>
      <c r="H11" s="9">
        <v>87136.0</v>
      </c>
      <c r="I11" s="9">
        <v>45548.0</v>
      </c>
      <c r="J11" s="9">
        <v>34652.0</v>
      </c>
      <c r="K11" s="12">
        <v>0.09</v>
      </c>
      <c r="L11" s="9">
        <v>61002.0</v>
      </c>
      <c r="M11" s="9">
        <v>-23228.0</v>
      </c>
      <c r="N11" s="9">
        <v>-22608.0</v>
      </c>
      <c r="O11" s="9">
        <v>15166.0</v>
      </c>
      <c r="P11" s="12">
        <v>6.37</v>
      </c>
      <c r="Q11" s="12">
        <v>6.86</v>
      </c>
      <c r="R11" s="12">
        <v>22.07</v>
      </c>
      <c r="S11" s="12">
        <v>9.74</v>
      </c>
      <c r="T11" s="12">
        <v>12.8</v>
      </c>
      <c r="U11" s="12">
        <v>0.26</v>
      </c>
      <c r="V11" s="12">
        <v>8.93</v>
      </c>
      <c r="W11" s="12">
        <v>4.1</v>
      </c>
      <c r="X11" s="12">
        <v>4.03</v>
      </c>
      <c r="Y11" s="12">
        <v>4.43</v>
      </c>
      <c r="Z11" s="12">
        <v>0.54</v>
      </c>
      <c r="AA11" s="12" t="s">
        <v>47</v>
      </c>
      <c r="AB11" s="12" t="s">
        <v>46</v>
      </c>
      <c r="AC11" s="12">
        <v>2.95</v>
      </c>
      <c r="AD11" s="12">
        <v>123.58</v>
      </c>
      <c r="AE11" s="12">
        <v>4.58</v>
      </c>
      <c r="AF11" s="12">
        <v>79.72</v>
      </c>
      <c r="AG11" s="12">
        <v>43.86</v>
      </c>
    </row>
    <row r="12">
      <c r="A12" s="8" t="s">
        <v>53</v>
      </c>
      <c r="B12" s="9">
        <v>8164439.76</v>
      </c>
      <c r="C12" s="9">
        <v>5936412.91</v>
      </c>
      <c r="D12" s="9">
        <v>560000.0</v>
      </c>
      <c r="E12" s="9">
        <v>2228013.47</v>
      </c>
      <c r="F12" s="9">
        <v>2220574.75</v>
      </c>
      <c r="G12" s="9">
        <v>1667170.62</v>
      </c>
      <c r="H12" s="9">
        <v>574832.18</v>
      </c>
      <c r="I12" s="9">
        <v>513562.92</v>
      </c>
      <c r="J12" s="9">
        <v>241923.56</v>
      </c>
      <c r="K12" s="12">
        <v>0.43</v>
      </c>
      <c r="L12" s="9">
        <v>41157.31</v>
      </c>
      <c r="M12" s="9">
        <v>44061.24</v>
      </c>
      <c r="N12" s="9">
        <v>-393126.1</v>
      </c>
      <c r="O12" s="9">
        <v>-307907.55</v>
      </c>
      <c r="P12" s="12">
        <v>11.5</v>
      </c>
      <c r="Q12" s="12">
        <v>6.5</v>
      </c>
      <c r="R12" s="12">
        <v>37.28</v>
      </c>
      <c r="S12" s="12">
        <v>10.89</v>
      </c>
      <c r="T12" s="12">
        <v>23.13</v>
      </c>
      <c r="U12" s="12">
        <v>2.66</v>
      </c>
      <c r="V12" s="12">
        <v>2.6</v>
      </c>
      <c r="W12" s="12">
        <v>1.38</v>
      </c>
      <c r="X12" s="12">
        <v>0.05</v>
      </c>
      <c r="Y12" s="12">
        <v>42.86</v>
      </c>
      <c r="Z12" s="12">
        <v>0.28</v>
      </c>
      <c r="AA12" s="12">
        <v>0.29</v>
      </c>
      <c r="AB12" s="9">
        <v>1241.73</v>
      </c>
      <c r="AC12" s="12">
        <v>13.69</v>
      </c>
      <c r="AD12" s="12">
        <v>26.66</v>
      </c>
      <c r="AE12" s="12">
        <v>1.89</v>
      </c>
      <c r="AF12" s="12">
        <v>193.6</v>
      </c>
      <c r="AG12" s="9">
        <v>1074.78</v>
      </c>
    </row>
    <row r="13">
      <c r="A13" s="8" t="s">
        <v>54</v>
      </c>
      <c r="B13" s="9">
        <v>1010829.79</v>
      </c>
      <c r="C13" s="9">
        <v>344437.61</v>
      </c>
      <c r="D13" s="9">
        <v>301612.26</v>
      </c>
      <c r="E13" s="9">
        <v>530376.82</v>
      </c>
      <c r="F13" s="9">
        <v>627224.69</v>
      </c>
      <c r="G13" s="9">
        <v>519401.24</v>
      </c>
      <c r="H13" s="9">
        <v>114007.86</v>
      </c>
      <c r="I13" s="9">
        <v>107823.45</v>
      </c>
      <c r="J13" s="9">
        <v>58427.32</v>
      </c>
      <c r="K13" s="12">
        <v>0.05</v>
      </c>
      <c r="L13" s="9">
        <v>245057.73</v>
      </c>
      <c r="M13" s="9">
        <v>-33242.38</v>
      </c>
      <c r="N13" s="9">
        <v>-187652.23</v>
      </c>
      <c r="O13" s="9">
        <v>24163.12</v>
      </c>
      <c r="P13" s="12">
        <v>11.66</v>
      </c>
      <c r="Q13" s="12">
        <v>10.79</v>
      </c>
      <c r="R13" s="12">
        <v>28.98</v>
      </c>
      <c r="S13" s="12">
        <v>14.25</v>
      </c>
      <c r="T13" s="12">
        <v>17.19</v>
      </c>
      <c r="U13" s="12">
        <v>0.52</v>
      </c>
      <c r="V13" s="12">
        <v>59.71</v>
      </c>
      <c r="W13" s="12">
        <v>2.6</v>
      </c>
      <c r="X13" s="12">
        <v>0.35</v>
      </c>
      <c r="Y13" s="12">
        <v>50.99</v>
      </c>
      <c r="Z13" s="12">
        <v>0.63</v>
      </c>
      <c r="AA13" s="12">
        <v>0.76</v>
      </c>
      <c r="AB13" s="12">
        <v>477.4</v>
      </c>
      <c r="AC13" s="12">
        <v>11.65</v>
      </c>
      <c r="AD13" s="12">
        <v>31.32</v>
      </c>
      <c r="AE13" s="12">
        <v>3.69</v>
      </c>
      <c r="AF13" s="12">
        <v>98.81</v>
      </c>
      <c r="AG13" s="12">
        <v>409.91</v>
      </c>
    </row>
    <row r="14">
      <c r="A14" s="8" t="s">
        <v>55</v>
      </c>
      <c r="B14" s="9">
        <v>3514563.83</v>
      </c>
      <c r="C14" s="9">
        <v>1383946.35</v>
      </c>
      <c r="D14" s="9">
        <v>258958.39</v>
      </c>
      <c r="E14" s="9">
        <v>2130614.76</v>
      </c>
      <c r="F14" s="9">
        <v>1815571.05</v>
      </c>
      <c r="G14" s="9">
        <v>1589530.23</v>
      </c>
      <c r="H14" s="9">
        <v>533913.9</v>
      </c>
      <c r="I14" s="9">
        <v>237018.79</v>
      </c>
      <c r="J14" s="9">
        <v>170336.77</v>
      </c>
      <c r="K14" s="12">
        <v>0.33</v>
      </c>
      <c r="L14" s="9">
        <v>436776.43</v>
      </c>
      <c r="M14" s="9">
        <v>67524.62</v>
      </c>
      <c r="N14" s="9">
        <v>-373784.56</v>
      </c>
      <c r="O14" s="9">
        <v>130516.5</v>
      </c>
      <c r="P14" s="12">
        <v>8.11</v>
      </c>
      <c r="Q14" s="12">
        <v>6.86</v>
      </c>
      <c r="R14" s="12">
        <v>20.01</v>
      </c>
      <c r="S14" s="12">
        <v>9.38</v>
      </c>
      <c r="T14" s="12">
        <v>13.05</v>
      </c>
      <c r="U14" s="12">
        <v>0.65</v>
      </c>
      <c r="V14" s="12">
        <v>5.09</v>
      </c>
      <c r="W14" s="12">
        <v>0.7</v>
      </c>
      <c r="X14" s="12">
        <v>0.6</v>
      </c>
      <c r="Y14" s="12">
        <v>0.59</v>
      </c>
      <c r="Z14" s="12">
        <v>0.53</v>
      </c>
      <c r="AA14" s="12">
        <v>23.87</v>
      </c>
      <c r="AB14" s="12">
        <v>15.29</v>
      </c>
      <c r="AC14" s="12">
        <v>13.86</v>
      </c>
      <c r="AD14" s="12">
        <v>26.34</v>
      </c>
      <c r="AE14" s="12">
        <v>13.52</v>
      </c>
      <c r="AF14" s="12">
        <v>27.0</v>
      </c>
      <c r="AG14" s="12">
        <v>14.62</v>
      </c>
    </row>
    <row r="15">
      <c r="A15" s="8" t="s">
        <v>57</v>
      </c>
      <c r="B15" s="9">
        <v>660442.16</v>
      </c>
      <c r="C15" s="9">
        <v>320282.19</v>
      </c>
      <c r="D15" s="9">
        <v>140000.0</v>
      </c>
      <c r="E15" s="9">
        <v>340677.31</v>
      </c>
      <c r="F15" s="9">
        <v>658121.84</v>
      </c>
      <c r="G15" s="9">
        <v>600707.6</v>
      </c>
      <c r="H15" s="9">
        <v>75125.98</v>
      </c>
      <c r="I15" s="9">
        <v>57414.24</v>
      </c>
      <c r="J15" s="9">
        <v>44996.94</v>
      </c>
      <c r="K15" s="12">
        <v>0.16</v>
      </c>
      <c r="L15" s="9">
        <v>60092.75</v>
      </c>
      <c r="M15" s="9">
        <v>-19714.97</v>
      </c>
      <c r="N15" s="9">
        <v>-31459.97</v>
      </c>
      <c r="O15" s="9">
        <v>8917.81</v>
      </c>
      <c r="P15" s="12">
        <v>13.54</v>
      </c>
      <c r="Q15" s="12">
        <v>9.0</v>
      </c>
      <c r="R15" s="12">
        <v>47.83</v>
      </c>
      <c r="S15" s="12">
        <v>6.83</v>
      </c>
      <c r="T15" s="12">
        <v>8.72</v>
      </c>
      <c r="U15" s="12">
        <v>0.94</v>
      </c>
      <c r="V15" s="12">
        <v>168.49</v>
      </c>
      <c r="W15" s="12">
        <v>1.94</v>
      </c>
      <c r="X15" s="12">
        <v>1.55</v>
      </c>
      <c r="Y15" s="12">
        <v>7.22</v>
      </c>
      <c r="Z15" s="12">
        <v>1.03</v>
      </c>
      <c r="AA15" s="12">
        <v>11.8</v>
      </c>
      <c r="AB15" s="12">
        <v>30.95</v>
      </c>
      <c r="AC15" s="12">
        <v>9.52</v>
      </c>
      <c r="AD15" s="12">
        <v>38.33</v>
      </c>
      <c r="AE15" s="12">
        <v>3.9</v>
      </c>
      <c r="AF15" s="12">
        <v>93.48</v>
      </c>
      <c r="AG15" s="12">
        <v>-24.21</v>
      </c>
    </row>
    <row r="16">
      <c r="A16" s="8" t="s">
        <v>58</v>
      </c>
      <c r="B16" s="9">
        <v>1013306.68</v>
      </c>
      <c r="C16" s="9">
        <v>571125.07</v>
      </c>
      <c r="D16" s="9">
        <v>300000.0</v>
      </c>
      <c r="E16" s="9">
        <v>442181.61</v>
      </c>
      <c r="F16" s="9">
        <v>73915.47</v>
      </c>
      <c r="G16" s="9">
        <v>94816.73</v>
      </c>
      <c r="H16" s="9">
        <v>-13113.48</v>
      </c>
      <c r="I16" s="9">
        <v>-20901.25</v>
      </c>
      <c r="J16" s="9">
        <v>-37327.57</v>
      </c>
      <c r="K16" s="12">
        <v>-0.06</v>
      </c>
      <c r="L16" s="9">
        <v>-37402.43</v>
      </c>
      <c r="M16" s="9">
        <v>8560.41</v>
      </c>
      <c r="N16" s="9">
        <v>28280.47</v>
      </c>
      <c r="O16" s="12">
        <v>-561.54</v>
      </c>
      <c r="P16" s="12">
        <v>-8.1</v>
      </c>
      <c r="Q16" s="12">
        <v>-2.06</v>
      </c>
      <c r="R16" s="12">
        <v>28.08</v>
      </c>
      <c r="S16" s="12">
        <v>-50.5</v>
      </c>
      <c r="T16" s="12">
        <v>-28.28</v>
      </c>
      <c r="U16" s="12">
        <v>1.29</v>
      </c>
      <c r="V16" s="12">
        <v>-1.27</v>
      </c>
      <c r="W16" s="12">
        <v>1.49</v>
      </c>
      <c r="X16" s="12">
        <v>0.03</v>
      </c>
      <c r="Y16" s="12">
        <v>4.7</v>
      </c>
      <c r="Z16" s="12">
        <v>0.07</v>
      </c>
      <c r="AA16" s="12">
        <v>0.06</v>
      </c>
      <c r="AB16" s="9">
        <v>5756.1</v>
      </c>
      <c r="AC16" s="12">
        <v>7.94</v>
      </c>
      <c r="AD16" s="12">
        <v>45.96</v>
      </c>
      <c r="AE16" s="12">
        <v>0.61</v>
      </c>
      <c r="AF16" s="12">
        <v>598.95</v>
      </c>
      <c r="AG16" s="9">
        <v>5203.12</v>
      </c>
    </row>
    <row r="17">
      <c r="A17" s="8" t="s">
        <v>59</v>
      </c>
      <c r="B17" s="9">
        <v>250113.73</v>
      </c>
      <c r="C17" s="9">
        <v>41783.29</v>
      </c>
      <c r="D17" s="9">
        <v>116500.0</v>
      </c>
      <c r="E17" s="9">
        <v>208330.44</v>
      </c>
      <c r="F17" s="9">
        <v>225107.74</v>
      </c>
      <c r="G17" s="9">
        <v>220301.55</v>
      </c>
      <c r="H17" s="9">
        <v>8601.85</v>
      </c>
      <c r="I17" s="9">
        <v>4806.2</v>
      </c>
      <c r="J17" s="9">
        <v>3562.64</v>
      </c>
      <c r="K17" s="12">
        <v>0.01</v>
      </c>
      <c r="L17" s="9">
        <v>13691.9</v>
      </c>
      <c r="M17" s="9">
        <v>-3599.59</v>
      </c>
      <c r="N17" s="12">
        <v>-432.0</v>
      </c>
      <c r="O17" s="9">
        <v>9660.3</v>
      </c>
      <c r="P17" s="12">
        <v>1.72</v>
      </c>
      <c r="Q17" s="12">
        <v>1.98</v>
      </c>
      <c r="R17" s="12">
        <v>19.53</v>
      </c>
      <c r="S17" s="12">
        <v>1.58</v>
      </c>
      <c r="T17" s="12">
        <v>2.14</v>
      </c>
      <c r="U17" s="12">
        <v>0.2</v>
      </c>
      <c r="V17" s="12">
        <v>25.42</v>
      </c>
      <c r="W17" s="12">
        <v>5.09</v>
      </c>
      <c r="X17" s="12">
        <v>4.68</v>
      </c>
      <c r="Y17" s="12">
        <v>4.94</v>
      </c>
      <c r="Z17" s="12">
        <v>0.93</v>
      </c>
      <c r="AA17" s="9">
        <v>1322.81</v>
      </c>
      <c r="AB17" s="12">
        <v>0.28</v>
      </c>
      <c r="AC17" s="12">
        <v>3.4</v>
      </c>
      <c r="AD17" s="12">
        <v>107.34</v>
      </c>
      <c r="AE17" s="12">
        <v>7.8</v>
      </c>
      <c r="AF17" s="12">
        <v>46.82</v>
      </c>
      <c r="AG17" s="12">
        <v>60.79</v>
      </c>
    </row>
    <row r="18">
      <c r="A18" s="8" t="s">
        <v>60</v>
      </c>
      <c r="B18" s="9">
        <v>1645655.56</v>
      </c>
      <c r="C18" s="9">
        <v>437524.91</v>
      </c>
      <c r="D18" s="9">
        <v>254910.39</v>
      </c>
      <c r="E18" s="9">
        <v>1235900.52</v>
      </c>
      <c r="F18" s="9">
        <v>1308710.16</v>
      </c>
      <c r="G18" s="9">
        <v>1088303.85</v>
      </c>
      <c r="H18" s="9">
        <v>263177.8</v>
      </c>
      <c r="I18" s="9">
        <v>220406.3</v>
      </c>
      <c r="J18" s="9">
        <v>168983.77</v>
      </c>
      <c r="K18" s="12">
        <v>0.66</v>
      </c>
      <c r="L18" s="9">
        <v>192440.17</v>
      </c>
      <c r="M18" s="9">
        <v>-100522.84</v>
      </c>
      <c r="N18" s="9">
        <v>-112173.17</v>
      </c>
      <c r="O18" s="9">
        <v>-20255.84</v>
      </c>
      <c r="P18" s="12">
        <v>13.85</v>
      </c>
      <c r="Q18" s="12">
        <v>13.72</v>
      </c>
      <c r="R18" s="12">
        <v>28.42</v>
      </c>
      <c r="S18" s="12">
        <v>12.11</v>
      </c>
      <c r="T18" s="12">
        <v>16.84</v>
      </c>
      <c r="U18" s="12">
        <v>0.36</v>
      </c>
      <c r="V18" s="12">
        <v>27.93</v>
      </c>
      <c r="W18" s="12">
        <v>3.39</v>
      </c>
      <c r="X18" s="12">
        <v>1.12</v>
      </c>
      <c r="Y18" s="12">
        <v>2.62</v>
      </c>
      <c r="Z18" s="12">
        <v>0.81</v>
      </c>
      <c r="AA18" s="12">
        <v>1.55</v>
      </c>
      <c r="AB18" s="12">
        <v>235.37</v>
      </c>
      <c r="AC18" s="12">
        <v>3.66</v>
      </c>
      <c r="AD18" s="12">
        <v>99.81</v>
      </c>
      <c r="AE18" s="12">
        <v>10.21</v>
      </c>
      <c r="AF18" s="12">
        <v>35.73</v>
      </c>
      <c r="AG18" s="12">
        <v>299.45</v>
      </c>
    </row>
    <row r="19">
      <c r="A19" s="8" t="s">
        <v>61</v>
      </c>
      <c r="B19" s="9">
        <v>389567.0</v>
      </c>
      <c r="C19" s="9">
        <v>97260.0</v>
      </c>
      <c r="D19" s="9">
        <v>77999.0</v>
      </c>
      <c r="E19" s="9">
        <v>292307.0</v>
      </c>
      <c r="F19" s="9">
        <v>145724.0</v>
      </c>
      <c r="G19" s="9">
        <v>128548.0</v>
      </c>
      <c r="H19" s="9">
        <v>27342.0</v>
      </c>
      <c r="I19" s="9">
        <v>17176.0</v>
      </c>
      <c r="J19" s="9">
        <v>14658.0</v>
      </c>
      <c r="K19" s="12">
        <v>0.08</v>
      </c>
      <c r="L19" s="9">
        <v>33134.0</v>
      </c>
      <c r="M19" s="9">
        <v>27653.0</v>
      </c>
      <c r="N19" s="9">
        <v>-6456.0</v>
      </c>
      <c r="O19" s="9">
        <v>54331.0</v>
      </c>
      <c r="P19" s="12">
        <v>5.1</v>
      </c>
      <c r="Q19" s="12">
        <v>4.8</v>
      </c>
      <c r="R19" s="12">
        <v>53.24</v>
      </c>
      <c r="S19" s="12">
        <v>10.06</v>
      </c>
      <c r="T19" s="12">
        <v>11.79</v>
      </c>
      <c r="U19" s="12">
        <v>0.33</v>
      </c>
      <c r="V19" s="12">
        <v>16.44</v>
      </c>
      <c r="W19" s="12">
        <v>3.7</v>
      </c>
      <c r="X19" s="12">
        <v>2.28</v>
      </c>
      <c r="Y19" s="12">
        <v>14.06</v>
      </c>
      <c r="Z19" s="12">
        <v>0.41</v>
      </c>
      <c r="AA19" s="12" t="s">
        <v>47</v>
      </c>
      <c r="AB19" s="12" t="s">
        <v>46</v>
      </c>
      <c r="AC19" s="12">
        <v>3.47</v>
      </c>
      <c r="AD19" s="12">
        <v>105.25</v>
      </c>
      <c r="AE19" s="12">
        <v>1.46</v>
      </c>
      <c r="AF19" s="12">
        <v>249.49</v>
      </c>
      <c r="AG19" s="12">
        <v>-144.23</v>
      </c>
    </row>
    <row r="20">
      <c r="A20" s="8" t="s">
        <v>62</v>
      </c>
      <c r="B20" s="9">
        <v>821178.5</v>
      </c>
      <c r="C20" s="9">
        <v>400682.13</v>
      </c>
      <c r="D20" s="9">
        <v>154327.51</v>
      </c>
      <c r="E20" s="9">
        <v>420496.37</v>
      </c>
      <c r="F20" s="9">
        <v>391733.83</v>
      </c>
      <c r="G20" s="9">
        <v>347970.28</v>
      </c>
      <c r="H20" s="9">
        <v>107725.98</v>
      </c>
      <c r="I20" s="9">
        <v>43763.55</v>
      </c>
      <c r="J20" s="9">
        <v>28750.08</v>
      </c>
      <c r="K20" s="12">
        <v>0.05</v>
      </c>
      <c r="L20" s="9">
        <v>108925.54</v>
      </c>
      <c r="M20" s="9">
        <v>-19112.75</v>
      </c>
      <c r="N20" s="9">
        <v>-90761.62</v>
      </c>
      <c r="O20" s="12">
        <v>-948.83</v>
      </c>
      <c r="P20" s="12">
        <v>6.96</v>
      </c>
      <c r="Q20" s="12">
        <v>5.55</v>
      </c>
      <c r="R20" s="12">
        <v>22.53</v>
      </c>
      <c r="S20" s="12">
        <v>7.34</v>
      </c>
      <c r="T20" s="12">
        <v>11.17</v>
      </c>
      <c r="U20" s="12">
        <v>0.95</v>
      </c>
      <c r="V20" s="12">
        <v>3.97</v>
      </c>
      <c r="W20" s="12">
        <v>0.71</v>
      </c>
      <c r="X20" s="12">
        <v>0.64</v>
      </c>
      <c r="Y20" s="12">
        <v>0.58</v>
      </c>
      <c r="Z20" s="12">
        <v>0.5</v>
      </c>
      <c r="AA20" s="12">
        <v>346.57</v>
      </c>
      <c r="AB20" s="12">
        <v>1.05</v>
      </c>
      <c r="AC20" s="12">
        <v>6.53</v>
      </c>
      <c r="AD20" s="12">
        <v>55.87</v>
      </c>
      <c r="AE20" s="12">
        <v>7.14</v>
      </c>
      <c r="AF20" s="12">
        <v>51.1</v>
      </c>
      <c r="AG20" s="12">
        <v>5.82</v>
      </c>
    </row>
    <row r="21">
      <c r="A21" s="8" t="s">
        <v>63</v>
      </c>
      <c r="B21" s="9">
        <v>1303219.98</v>
      </c>
      <c r="C21" s="9">
        <v>452517.51</v>
      </c>
      <c r="D21" s="9">
        <v>81562.36</v>
      </c>
      <c r="E21" s="9">
        <v>850702.47</v>
      </c>
      <c r="F21" s="9">
        <v>774797.72</v>
      </c>
      <c r="G21" s="9">
        <v>699128.78</v>
      </c>
      <c r="H21" s="9">
        <v>211856.99</v>
      </c>
      <c r="I21" s="9">
        <v>75668.94</v>
      </c>
      <c r="J21" s="9">
        <v>55469.53</v>
      </c>
      <c r="K21" s="12">
        <v>0.07</v>
      </c>
      <c r="L21" s="9">
        <v>172443.29</v>
      </c>
      <c r="M21" s="9">
        <v>181469.29</v>
      </c>
      <c r="N21" s="9">
        <v>-292752.42</v>
      </c>
      <c r="O21" s="9">
        <v>61160.16</v>
      </c>
      <c r="P21" s="12">
        <v>5.87</v>
      </c>
      <c r="Q21" s="12">
        <v>6.05</v>
      </c>
      <c r="R21" s="12">
        <v>60.89</v>
      </c>
      <c r="S21" s="12">
        <v>7.16</v>
      </c>
      <c r="T21" s="12">
        <v>9.77</v>
      </c>
      <c r="U21" s="12">
        <v>0.53</v>
      </c>
      <c r="V21" s="12">
        <v>6.77</v>
      </c>
      <c r="W21" s="12">
        <v>1.75</v>
      </c>
      <c r="X21" s="12">
        <v>0.85</v>
      </c>
      <c r="Y21" s="12">
        <v>1.29</v>
      </c>
      <c r="Z21" s="12">
        <v>0.62</v>
      </c>
      <c r="AA21" s="12">
        <v>7.83</v>
      </c>
      <c r="AB21" s="12">
        <v>46.64</v>
      </c>
      <c r="AC21" s="12">
        <v>56.95</v>
      </c>
      <c r="AD21" s="12">
        <v>6.41</v>
      </c>
      <c r="AE21" s="12">
        <v>4.13</v>
      </c>
      <c r="AF21" s="12">
        <v>88.45</v>
      </c>
      <c r="AG21" s="12">
        <v>-35.41</v>
      </c>
    </row>
    <row r="22">
      <c r="A22" s="8" t="s">
        <v>64</v>
      </c>
      <c r="B22" s="9">
        <v>1778408.71</v>
      </c>
      <c r="C22" s="9">
        <v>1272143.34</v>
      </c>
      <c r="D22" s="9">
        <v>137500.0</v>
      </c>
      <c r="E22" s="9">
        <v>506265.37</v>
      </c>
      <c r="F22" s="9">
        <v>869086.32</v>
      </c>
      <c r="G22" s="9">
        <v>556192.47</v>
      </c>
      <c r="H22" s="9">
        <v>433255.12</v>
      </c>
      <c r="I22" s="9">
        <v>312893.85</v>
      </c>
      <c r="J22" s="9">
        <v>227968.53</v>
      </c>
      <c r="K22" s="12">
        <v>0.41</v>
      </c>
      <c r="L22" s="9">
        <v>534064.62</v>
      </c>
      <c r="M22" s="9">
        <v>-109351.09</v>
      </c>
      <c r="N22" s="9">
        <v>-300045.35</v>
      </c>
      <c r="O22" s="9">
        <v>124668.18</v>
      </c>
      <c r="P22" s="12">
        <v>44.54</v>
      </c>
      <c r="Q22" s="12">
        <v>23.85</v>
      </c>
      <c r="R22" s="12">
        <v>52.37</v>
      </c>
      <c r="S22" s="12">
        <v>26.23</v>
      </c>
      <c r="T22" s="12">
        <v>36.0</v>
      </c>
      <c r="U22" s="12">
        <v>2.51</v>
      </c>
      <c r="V22" s="12">
        <v>14.44</v>
      </c>
      <c r="W22" s="12">
        <v>1.39</v>
      </c>
      <c r="X22" s="12">
        <v>0.71</v>
      </c>
      <c r="Y22" s="12">
        <v>1.28</v>
      </c>
      <c r="Z22" s="12">
        <v>0.66</v>
      </c>
      <c r="AA22" s="12" t="s">
        <v>47</v>
      </c>
      <c r="AB22" s="12" t="s">
        <v>46</v>
      </c>
      <c r="AC22" s="12">
        <v>6.3</v>
      </c>
      <c r="AD22" s="12">
        <v>57.91</v>
      </c>
      <c r="AE22" s="12">
        <v>1.34</v>
      </c>
      <c r="AF22" s="12">
        <v>272.18</v>
      </c>
      <c r="AG22" s="12">
        <v>-214.27</v>
      </c>
    </row>
    <row r="23">
      <c r="A23" s="8" t="s">
        <v>66</v>
      </c>
      <c r="B23" s="9">
        <v>3936054.44</v>
      </c>
      <c r="C23" s="9">
        <v>3054186.02</v>
      </c>
      <c r="D23" s="9">
        <v>507000.0</v>
      </c>
      <c r="E23" s="9">
        <v>793499.82</v>
      </c>
      <c r="F23" s="9">
        <v>148089.13</v>
      </c>
      <c r="G23" s="9">
        <v>328987.36</v>
      </c>
      <c r="H23" s="9">
        <v>-166818.71</v>
      </c>
      <c r="I23" s="9">
        <v>-222558.11</v>
      </c>
      <c r="J23" s="9">
        <v>-167362.83</v>
      </c>
      <c r="K23" s="12">
        <v>-0.33</v>
      </c>
      <c r="L23" s="9">
        <v>-166295.2</v>
      </c>
      <c r="M23" s="9">
        <v>-357884.82</v>
      </c>
      <c r="N23" s="9">
        <v>150844.35</v>
      </c>
      <c r="O23" s="9">
        <v>-373335.67</v>
      </c>
      <c r="P23" s="12">
        <v>-19.05</v>
      </c>
      <c r="Q23" s="12">
        <v>-5.72</v>
      </c>
      <c r="R23" s="12">
        <v>47.69</v>
      </c>
      <c r="S23" s="12">
        <v>-219.73</v>
      </c>
      <c r="T23" s="12">
        <v>-150.29</v>
      </c>
      <c r="U23" s="12">
        <v>3.46</v>
      </c>
      <c r="V23" s="12">
        <v>-2.1</v>
      </c>
      <c r="W23" s="12">
        <v>0.71</v>
      </c>
      <c r="X23" s="12">
        <v>0.67</v>
      </c>
      <c r="Y23" s="12">
        <v>0.05</v>
      </c>
      <c r="Z23" s="12">
        <v>0.04</v>
      </c>
      <c r="AA23" s="12">
        <v>62.59</v>
      </c>
      <c r="AB23" s="12">
        <v>5.83</v>
      </c>
      <c r="AC23" s="12">
        <v>1.4</v>
      </c>
      <c r="AD23" s="12">
        <v>260.4</v>
      </c>
      <c r="AE23" s="12">
        <v>0.39</v>
      </c>
      <c r="AF23" s="12">
        <v>932.04</v>
      </c>
      <c r="AG23" s="12">
        <v>-665.81</v>
      </c>
    </row>
    <row r="24">
      <c r="A24" s="8" t="s">
        <v>68</v>
      </c>
      <c r="B24" s="9">
        <v>1081612.0</v>
      </c>
      <c r="C24" s="9">
        <v>667822.0</v>
      </c>
      <c r="D24" s="9">
        <v>181760.0</v>
      </c>
      <c r="E24" s="9">
        <v>413790.0</v>
      </c>
      <c r="F24" s="9">
        <v>419877.0</v>
      </c>
      <c r="G24" s="9">
        <v>434450.0</v>
      </c>
      <c r="H24" s="9">
        <v>68385.0</v>
      </c>
      <c r="I24" s="9">
        <v>-14573.0</v>
      </c>
      <c r="J24" s="9">
        <v>-35805.0</v>
      </c>
      <c r="K24" s="12">
        <v>-0.1</v>
      </c>
      <c r="L24" s="9">
        <v>95687.0</v>
      </c>
      <c r="M24" s="9">
        <v>10264.0</v>
      </c>
      <c r="N24" s="9">
        <v>-43748.0</v>
      </c>
      <c r="O24" s="9">
        <v>62203.0</v>
      </c>
      <c r="P24" s="12">
        <v>-8.33</v>
      </c>
      <c r="Q24" s="12">
        <v>-1.74</v>
      </c>
      <c r="R24" s="12">
        <v>49.79</v>
      </c>
      <c r="S24" s="12">
        <v>-8.53</v>
      </c>
      <c r="T24" s="12">
        <v>-3.47</v>
      </c>
      <c r="U24" s="12">
        <v>1.61</v>
      </c>
      <c r="V24" s="12">
        <v>-0.54</v>
      </c>
      <c r="W24" s="12">
        <v>2.72</v>
      </c>
      <c r="X24" s="12">
        <v>1.1</v>
      </c>
      <c r="Y24" s="12">
        <v>2.62</v>
      </c>
      <c r="Z24" s="12">
        <v>0.5</v>
      </c>
      <c r="AA24" s="12">
        <v>1.07</v>
      </c>
      <c r="AB24" s="12">
        <v>339.81</v>
      </c>
      <c r="AC24" s="12">
        <v>18.27</v>
      </c>
      <c r="AD24" s="12">
        <v>19.97</v>
      </c>
      <c r="AE24" s="12">
        <v>4.18</v>
      </c>
      <c r="AF24" s="12">
        <v>87.39</v>
      </c>
      <c r="AG24" s="12">
        <v>272.39</v>
      </c>
    </row>
    <row r="25">
      <c r="A25" s="8" t="s">
        <v>301</v>
      </c>
      <c r="B25" s="9">
        <v>2032651.95</v>
      </c>
      <c r="C25" s="9">
        <v>1458145.95</v>
      </c>
      <c r="D25" s="9">
        <v>200000.0</v>
      </c>
      <c r="E25" s="9">
        <v>532157.45</v>
      </c>
      <c r="F25" s="9">
        <v>765129.3</v>
      </c>
      <c r="G25" s="9">
        <v>678618.18</v>
      </c>
      <c r="H25" s="9">
        <v>90546.82</v>
      </c>
      <c r="I25" s="9">
        <v>70034.06</v>
      </c>
      <c r="J25" s="9">
        <v>44402.66</v>
      </c>
      <c r="K25" s="12">
        <v>0.11</v>
      </c>
      <c r="L25" s="9">
        <v>193324.43</v>
      </c>
      <c r="M25" s="9">
        <v>16483.74</v>
      </c>
      <c r="N25" s="9">
        <v>-105538.69</v>
      </c>
      <c r="O25" s="9">
        <v>104269.49</v>
      </c>
      <c r="P25" s="12">
        <v>7.93</v>
      </c>
      <c r="Q25" s="12">
        <v>3.8</v>
      </c>
      <c r="R25" s="12">
        <v>17.67</v>
      </c>
      <c r="S25" s="12">
        <v>3.86</v>
      </c>
      <c r="T25" s="12">
        <v>9.15</v>
      </c>
      <c r="U25" s="12">
        <v>2.54</v>
      </c>
      <c r="V25" s="12">
        <v>3.12</v>
      </c>
      <c r="W25" s="12">
        <v>1.35</v>
      </c>
      <c r="X25" s="12">
        <v>0.33</v>
      </c>
      <c r="Y25" s="12">
        <v>1.93</v>
      </c>
      <c r="Z25" s="12">
        <v>0.41</v>
      </c>
      <c r="AA25" s="12">
        <v>0.65</v>
      </c>
      <c r="AB25" s="12">
        <v>562.94</v>
      </c>
      <c r="AC25" s="12">
        <v>3.86</v>
      </c>
      <c r="AD25" s="12">
        <v>94.49</v>
      </c>
      <c r="AE25" s="12">
        <v>0.93</v>
      </c>
      <c r="AF25" s="12">
        <v>394.12</v>
      </c>
      <c r="AG25" s="12">
        <v>263.31</v>
      </c>
    </row>
    <row r="26">
      <c r="A26" s="8" t="s">
        <v>71</v>
      </c>
      <c r="B26" s="9">
        <v>1292175.42</v>
      </c>
      <c r="C26" s="9">
        <v>579620.84</v>
      </c>
      <c r="D26" s="9">
        <v>220000.06</v>
      </c>
      <c r="E26" s="9">
        <v>712264.23</v>
      </c>
      <c r="F26" s="9">
        <v>998823.88</v>
      </c>
      <c r="G26" s="9">
        <v>940336.35</v>
      </c>
      <c r="H26" s="9">
        <v>120383.34</v>
      </c>
      <c r="I26" s="9">
        <v>71364.21</v>
      </c>
      <c r="J26" s="9">
        <v>56168.62</v>
      </c>
      <c r="K26" s="12">
        <v>0.13</v>
      </c>
      <c r="L26" s="9">
        <v>140440.27</v>
      </c>
      <c r="M26" s="9">
        <v>-163465.52</v>
      </c>
      <c r="N26" s="9">
        <v>36533.92</v>
      </c>
      <c r="O26" s="9">
        <v>13508.67</v>
      </c>
      <c r="P26" s="12">
        <v>8.0</v>
      </c>
      <c r="Q26" s="12">
        <v>5.93</v>
      </c>
      <c r="R26" s="12">
        <v>18.33</v>
      </c>
      <c r="S26" s="12">
        <v>5.62</v>
      </c>
      <c r="T26" s="12">
        <v>7.14</v>
      </c>
      <c r="U26" s="12">
        <v>0.81</v>
      </c>
      <c r="V26" s="12">
        <v>8.2</v>
      </c>
      <c r="W26" s="12">
        <v>0.88</v>
      </c>
      <c r="X26" s="12">
        <v>0.48</v>
      </c>
      <c r="Y26" s="12">
        <v>1.46</v>
      </c>
      <c r="Z26" s="12">
        <v>0.83</v>
      </c>
      <c r="AA26" s="12">
        <v>6.34</v>
      </c>
      <c r="AB26" s="12">
        <v>57.58</v>
      </c>
      <c r="AC26" s="12">
        <v>5.15</v>
      </c>
      <c r="AD26" s="12">
        <v>70.94</v>
      </c>
      <c r="AE26" s="12">
        <v>3.9</v>
      </c>
      <c r="AF26" s="12">
        <v>93.5</v>
      </c>
      <c r="AG26" s="12">
        <v>35.02</v>
      </c>
    </row>
    <row r="27">
      <c r="A27" s="8" t="s">
        <v>72</v>
      </c>
      <c r="B27" s="9">
        <v>1000077.16</v>
      </c>
      <c r="C27" s="9">
        <v>289577.4</v>
      </c>
      <c r="D27" s="9">
        <v>82050.55</v>
      </c>
      <c r="E27" s="9">
        <v>710499.76</v>
      </c>
      <c r="F27" s="9">
        <v>626204.95</v>
      </c>
      <c r="G27" s="9">
        <v>417441.61</v>
      </c>
      <c r="H27" s="9">
        <v>239836.68</v>
      </c>
      <c r="I27" s="9">
        <v>206520.54</v>
      </c>
      <c r="J27" s="9">
        <v>178496.94</v>
      </c>
      <c r="K27" s="12">
        <v>0.22</v>
      </c>
      <c r="L27" s="9">
        <v>200272.08</v>
      </c>
      <c r="M27" s="9">
        <v>-142779.86</v>
      </c>
      <c r="N27" s="9">
        <v>-126541.19</v>
      </c>
      <c r="O27" s="9">
        <v>-69048.97</v>
      </c>
      <c r="P27" s="12">
        <v>29.47</v>
      </c>
      <c r="Q27" s="12">
        <v>24.52</v>
      </c>
      <c r="R27" s="12">
        <v>57.47</v>
      </c>
      <c r="S27" s="12">
        <v>28.5</v>
      </c>
      <c r="T27" s="12">
        <v>32.98</v>
      </c>
      <c r="U27" s="12">
        <v>0.41</v>
      </c>
      <c r="V27" s="12">
        <v>107.43</v>
      </c>
      <c r="W27" s="12">
        <v>2.32</v>
      </c>
      <c r="X27" s="12">
        <v>1.41</v>
      </c>
      <c r="Y27" s="12">
        <v>13.03</v>
      </c>
      <c r="Z27" s="12">
        <v>0.74</v>
      </c>
      <c r="AA27" s="12" t="s">
        <v>47</v>
      </c>
      <c r="AB27" s="12" t="s">
        <v>46</v>
      </c>
      <c r="AC27" s="12">
        <v>4.84</v>
      </c>
      <c r="AD27" s="12">
        <v>75.49</v>
      </c>
      <c r="AE27" s="12">
        <v>1.66</v>
      </c>
      <c r="AF27" s="12">
        <v>219.89</v>
      </c>
      <c r="AG27" s="12">
        <v>-144.4</v>
      </c>
    </row>
    <row r="28">
      <c r="A28" s="8" t="s">
        <v>73</v>
      </c>
      <c r="B28" s="9">
        <v>2565850.0</v>
      </c>
      <c r="C28" s="9">
        <v>96082.0</v>
      </c>
      <c r="D28" s="9">
        <v>830055.0</v>
      </c>
      <c r="E28" s="9">
        <v>2397182.0</v>
      </c>
      <c r="F28" s="9">
        <v>118678.0</v>
      </c>
      <c r="G28" s="9">
        <v>134429.0</v>
      </c>
      <c r="H28" s="9">
        <v>66753.0</v>
      </c>
      <c r="I28" s="9">
        <v>62284.0</v>
      </c>
      <c r="J28" s="9">
        <v>63223.0</v>
      </c>
      <c r="K28" s="12">
        <v>0.01</v>
      </c>
      <c r="L28" s="9">
        <v>-117307.0</v>
      </c>
      <c r="M28" s="9">
        <v>58955.0</v>
      </c>
      <c r="N28" s="9">
        <v>-510355.0</v>
      </c>
      <c r="O28" s="9">
        <v>-568707.0</v>
      </c>
      <c r="P28" s="12">
        <v>2.58</v>
      </c>
      <c r="Q28" s="12">
        <v>2.08</v>
      </c>
      <c r="R28" s="12">
        <v>-53.52</v>
      </c>
      <c r="S28" s="12">
        <v>50.86</v>
      </c>
      <c r="T28" s="12">
        <v>52.48</v>
      </c>
      <c r="U28" s="12">
        <v>0.04</v>
      </c>
      <c r="V28" s="12">
        <v>26.15</v>
      </c>
      <c r="W28" s="12">
        <v>38.48</v>
      </c>
      <c r="X28" s="12">
        <v>3.33</v>
      </c>
      <c r="Y28" s="12">
        <v>3.81</v>
      </c>
      <c r="Z28" s="12">
        <v>0.04</v>
      </c>
      <c r="AA28" s="12" t="s">
        <v>47</v>
      </c>
      <c r="AB28" s="12" t="s">
        <v>46</v>
      </c>
      <c r="AC28" s="12">
        <v>1.26</v>
      </c>
      <c r="AD28" s="12">
        <v>290.45</v>
      </c>
      <c r="AE28" s="12">
        <v>0.5</v>
      </c>
      <c r="AF28" s="12">
        <v>730.67</v>
      </c>
      <c r="AG28" s="12">
        <v>-440.21</v>
      </c>
    </row>
    <row r="29">
      <c r="A29" s="8" t="s">
        <v>74</v>
      </c>
      <c r="B29" s="9">
        <v>1831886.06</v>
      </c>
      <c r="C29" s="9">
        <v>1267507.33</v>
      </c>
      <c r="D29" s="9">
        <v>213050.62</v>
      </c>
      <c r="E29" s="9">
        <v>564404.6</v>
      </c>
      <c r="F29" s="9">
        <v>736085.92</v>
      </c>
      <c r="G29" s="9">
        <v>739695.88</v>
      </c>
      <c r="H29" s="12">
        <v>-267.68</v>
      </c>
      <c r="I29" s="9">
        <v>-34724.43</v>
      </c>
      <c r="J29" s="9">
        <v>-88051.03</v>
      </c>
      <c r="K29" s="12">
        <v>-0.04</v>
      </c>
      <c r="L29" s="9">
        <v>181158.96</v>
      </c>
      <c r="M29" s="9">
        <v>-92858.28</v>
      </c>
      <c r="N29" s="9">
        <v>-63126.49</v>
      </c>
      <c r="O29" s="9">
        <v>25174.18</v>
      </c>
      <c r="P29" s="12">
        <v>-14.47</v>
      </c>
      <c r="Q29" s="12">
        <v>-1.86</v>
      </c>
      <c r="R29" s="12">
        <v>24.41</v>
      </c>
      <c r="S29" s="12">
        <v>-11.97</v>
      </c>
      <c r="T29" s="12">
        <v>-4.72</v>
      </c>
      <c r="U29" s="12">
        <v>2.25</v>
      </c>
      <c r="V29" s="12">
        <v>-1.13</v>
      </c>
      <c r="W29" s="12">
        <v>1.15</v>
      </c>
      <c r="X29" s="12">
        <v>0.19</v>
      </c>
      <c r="Y29" s="12">
        <v>4.51</v>
      </c>
      <c r="Z29" s="12">
        <v>0.39</v>
      </c>
      <c r="AA29" s="12">
        <v>0.67</v>
      </c>
      <c r="AB29" s="12">
        <v>545.8</v>
      </c>
      <c r="AC29" s="12">
        <v>6.49</v>
      </c>
      <c r="AD29" s="12">
        <v>56.22</v>
      </c>
      <c r="AE29" s="12">
        <v>3.0</v>
      </c>
      <c r="AF29" s="12">
        <v>121.84</v>
      </c>
      <c r="AG29" s="12">
        <v>480.18</v>
      </c>
    </row>
    <row r="30">
      <c r="A30" s="8" t="s">
        <v>75</v>
      </c>
      <c r="B30" s="9">
        <v>1784312.53</v>
      </c>
      <c r="C30" s="9">
        <v>621394.79</v>
      </c>
      <c r="D30" s="9">
        <v>378000.0</v>
      </c>
      <c r="E30" s="9">
        <v>1161717.38</v>
      </c>
      <c r="F30" s="9">
        <v>1473433.02</v>
      </c>
      <c r="G30" s="9">
        <v>1397006.7</v>
      </c>
      <c r="H30" s="9">
        <v>151476.01</v>
      </c>
      <c r="I30" s="9">
        <v>76426.32</v>
      </c>
      <c r="J30" s="9">
        <v>42795.88</v>
      </c>
      <c r="K30" s="12">
        <v>0.06</v>
      </c>
      <c r="L30" s="9">
        <v>343743.77</v>
      </c>
      <c r="M30" s="9">
        <v>-80516.04</v>
      </c>
      <c r="N30" s="9">
        <v>-195944.55</v>
      </c>
      <c r="O30" s="9">
        <v>67283.19</v>
      </c>
      <c r="P30" s="12">
        <v>3.75</v>
      </c>
      <c r="Q30" s="12">
        <v>4.13</v>
      </c>
      <c r="R30" s="12">
        <v>9.39</v>
      </c>
      <c r="S30" s="12">
        <v>2.91</v>
      </c>
      <c r="T30" s="12">
        <v>5.19</v>
      </c>
      <c r="U30" s="12">
        <v>0.53</v>
      </c>
      <c r="V30" s="12">
        <v>2.55</v>
      </c>
      <c r="W30" s="12">
        <v>1.89</v>
      </c>
      <c r="X30" s="12">
        <v>0.6</v>
      </c>
      <c r="Y30" s="12">
        <v>2.38</v>
      </c>
      <c r="Z30" s="12">
        <v>0.8</v>
      </c>
      <c r="AA30" s="12">
        <v>5.03</v>
      </c>
      <c r="AB30" s="12">
        <v>72.56</v>
      </c>
      <c r="AC30" s="12">
        <v>4.43</v>
      </c>
      <c r="AD30" s="12">
        <v>82.4</v>
      </c>
      <c r="AE30" s="12">
        <v>7.33</v>
      </c>
      <c r="AF30" s="12">
        <v>49.76</v>
      </c>
      <c r="AG30" s="12">
        <v>105.2</v>
      </c>
    </row>
    <row r="31">
      <c r="A31" s="8" t="s">
        <v>76</v>
      </c>
      <c r="B31" s="9">
        <v>1675024.27</v>
      </c>
      <c r="C31" s="9">
        <v>1146810.39</v>
      </c>
      <c r="D31" s="9">
        <v>140000.0</v>
      </c>
      <c r="E31" s="9">
        <v>522538.12</v>
      </c>
      <c r="F31" s="9">
        <v>2236438.84</v>
      </c>
      <c r="G31" s="9">
        <v>2129766.3</v>
      </c>
      <c r="H31" s="9">
        <v>168264.25</v>
      </c>
      <c r="I31" s="9">
        <v>106672.54</v>
      </c>
      <c r="J31" s="9">
        <v>61505.45</v>
      </c>
      <c r="K31" s="12">
        <v>0.22</v>
      </c>
      <c r="L31" s="9">
        <v>-68404.9</v>
      </c>
      <c r="M31" s="9">
        <v>-35576.64</v>
      </c>
      <c r="N31" s="9">
        <v>231767.98</v>
      </c>
      <c r="O31" s="9">
        <v>127786.44</v>
      </c>
      <c r="P31" s="12">
        <v>12.14</v>
      </c>
      <c r="Q31" s="12">
        <v>6.75</v>
      </c>
      <c r="R31" s="12">
        <v>7.97</v>
      </c>
      <c r="S31" s="12">
        <v>2.86</v>
      </c>
      <c r="T31" s="12">
        <v>4.77</v>
      </c>
      <c r="U31" s="12">
        <v>2.17</v>
      </c>
      <c r="V31" s="12">
        <v>3.93</v>
      </c>
      <c r="W31" s="12">
        <v>0.88</v>
      </c>
      <c r="X31" s="12">
        <v>0.34</v>
      </c>
      <c r="Y31" s="12">
        <v>4.12</v>
      </c>
      <c r="Z31" s="12">
        <v>1.41</v>
      </c>
      <c r="AA31" s="12">
        <v>92.87</v>
      </c>
      <c r="AB31" s="12">
        <v>3.93</v>
      </c>
      <c r="AC31" s="12">
        <v>11.42</v>
      </c>
      <c r="AD31" s="12">
        <v>31.95</v>
      </c>
      <c r="AE31" s="12">
        <v>6.94</v>
      </c>
      <c r="AF31" s="12">
        <v>52.59</v>
      </c>
      <c r="AG31" s="12">
        <v>-16.71</v>
      </c>
    </row>
    <row r="32">
      <c r="A32" s="8" t="s">
        <v>78</v>
      </c>
      <c r="B32" s="9">
        <v>6683011.2</v>
      </c>
      <c r="C32" s="9">
        <v>4822126.52</v>
      </c>
      <c r="D32" s="9">
        <v>1275027.88</v>
      </c>
      <c r="E32" s="9">
        <v>1860884.68</v>
      </c>
      <c r="F32" s="9">
        <v>1643323.39</v>
      </c>
      <c r="G32" s="9">
        <v>1678817.8</v>
      </c>
      <c r="H32" s="9">
        <v>-17067.1</v>
      </c>
      <c r="I32" s="9">
        <v>-47384.32</v>
      </c>
      <c r="J32" s="9">
        <v>120438.98</v>
      </c>
      <c r="K32" s="12">
        <v>0.1</v>
      </c>
      <c r="L32" s="9">
        <v>55982.59</v>
      </c>
      <c r="M32" s="9">
        <v>395599.85</v>
      </c>
      <c r="N32" s="9">
        <v>-428532.4</v>
      </c>
      <c r="O32" s="9">
        <v>23050.04</v>
      </c>
      <c r="P32" s="12">
        <v>6.69</v>
      </c>
      <c r="Q32" s="12">
        <v>-0.72</v>
      </c>
      <c r="R32" s="12">
        <v>20.78</v>
      </c>
      <c r="S32" s="12">
        <v>7.33</v>
      </c>
      <c r="T32" s="12">
        <v>-2.88</v>
      </c>
      <c r="U32" s="12">
        <v>2.59</v>
      </c>
      <c r="V32" s="12">
        <v>-0.7</v>
      </c>
      <c r="W32" s="12">
        <v>2.02</v>
      </c>
      <c r="X32" s="12">
        <v>0.03</v>
      </c>
      <c r="Y32" s="12">
        <v>57.85</v>
      </c>
      <c r="Z32" s="12">
        <v>0.25</v>
      </c>
      <c r="AA32" s="12">
        <v>0.22</v>
      </c>
      <c r="AB32" s="9">
        <v>1668.08</v>
      </c>
      <c r="AC32" s="12">
        <v>93.42</v>
      </c>
      <c r="AD32" s="12">
        <v>3.91</v>
      </c>
      <c r="AE32" s="12">
        <v>3.68</v>
      </c>
      <c r="AF32" s="12">
        <v>99.15</v>
      </c>
      <c r="AG32" s="9">
        <v>1572.84</v>
      </c>
    </row>
    <row r="33">
      <c r="A33" s="8" t="s">
        <v>80</v>
      </c>
      <c r="B33" s="9">
        <v>3138322.0</v>
      </c>
      <c r="C33" s="9">
        <v>2201039.0</v>
      </c>
      <c r="D33" s="9">
        <v>330475.0</v>
      </c>
      <c r="E33" s="9">
        <v>937282.0</v>
      </c>
      <c r="F33" s="9">
        <v>647964.0</v>
      </c>
      <c r="G33" s="9">
        <v>742289.0</v>
      </c>
      <c r="H33" s="9">
        <v>-24650.0</v>
      </c>
      <c r="I33" s="9">
        <v>-94443.0</v>
      </c>
      <c r="J33" s="9">
        <v>-238742.0</v>
      </c>
      <c r="K33" s="12">
        <v>-0.18</v>
      </c>
      <c r="L33" s="9">
        <v>-19062.0</v>
      </c>
      <c r="M33" s="9">
        <v>350870.0</v>
      </c>
      <c r="N33" s="9">
        <v>-328607.0</v>
      </c>
      <c r="O33" s="9">
        <v>3201.0</v>
      </c>
      <c r="P33" s="12">
        <v>-25.19</v>
      </c>
      <c r="Q33" s="12">
        <v>-2.96</v>
      </c>
      <c r="R33" s="12">
        <v>11.61</v>
      </c>
      <c r="S33" s="12">
        <v>-36.85</v>
      </c>
      <c r="T33" s="12">
        <v>-14.58</v>
      </c>
      <c r="U33" s="12">
        <v>2.35</v>
      </c>
      <c r="V33" s="12">
        <v>-0.65</v>
      </c>
      <c r="W33" s="12">
        <v>0.81</v>
      </c>
      <c r="X33" s="12">
        <v>0.13</v>
      </c>
      <c r="Y33" s="12">
        <v>0.61</v>
      </c>
      <c r="Z33" s="12">
        <v>0.2</v>
      </c>
      <c r="AA33" s="12">
        <v>0.76</v>
      </c>
      <c r="AB33" s="12">
        <v>480.03</v>
      </c>
      <c r="AC33" s="12">
        <v>1.8</v>
      </c>
      <c r="AD33" s="12">
        <v>203.0</v>
      </c>
      <c r="AE33" s="12">
        <v>2.7</v>
      </c>
      <c r="AF33" s="12">
        <v>135.07</v>
      </c>
      <c r="AG33" s="12">
        <v>547.96</v>
      </c>
    </row>
    <row r="34">
      <c r="A34" s="8" t="s">
        <v>81</v>
      </c>
      <c r="B34" s="9">
        <v>1.018989873E7</v>
      </c>
      <c r="C34" s="9">
        <v>9268653.9</v>
      </c>
      <c r="D34" s="9">
        <v>800000.0</v>
      </c>
      <c r="E34" s="9">
        <v>822332.3</v>
      </c>
      <c r="F34" s="9">
        <v>553282.36</v>
      </c>
      <c r="G34" s="9">
        <v>630596.51</v>
      </c>
      <c r="H34" s="9">
        <v>312400.55</v>
      </c>
      <c r="I34" s="9">
        <v>-138824.55</v>
      </c>
      <c r="J34" s="9">
        <v>-269724.73</v>
      </c>
      <c r="K34" s="12">
        <v>-0.34</v>
      </c>
      <c r="L34" s="9">
        <v>299454.29</v>
      </c>
      <c r="M34" s="9">
        <v>-13359.53</v>
      </c>
      <c r="N34" s="9">
        <v>-308715.76</v>
      </c>
      <c r="O34" s="9">
        <v>-22621.0</v>
      </c>
      <c r="P34" s="12">
        <v>-29.03</v>
      </c>
      <c r="Q34" s="12">
        <v>-1.36</v>
      </c>
      <c r="R34" s="12">
        <v>15.93</v>
      </c>
      <c r="S34" s="12">
        <v>-52.88</v>
      </c>
      <c r="T34" s="12">
        <v>-25.09</v>
      </c>
      <c r="U34" s="12">
        <v>10.06</v>
      </c>
      <c r="V34" s="12">
        <v>-0.82</v>
      </c>
      <c r="W34" s="12">
        <v>0.92</v>
      </c>
      <c r="X34" s="12">
        <v>0.13</v>
      </c>
      <c r="Y34" s="12">
        <v>0.14</v>
      </c>
      <c r="Z34" s="12">
        <v>0.05</v>
      </c>
      <c r="AA34" s="12">
        <v>1.78</v>
      </c>
      <c r="AB34" s="12">
        <v>204.95</v>
      </c>
      <c r="AC34" s="12">
        <v>0.84</v>
      </c>
      <c r="AD34" s="12">
        <v>436.69</v>
      </c>
      <c r="AE34" s="12">
        <v>0.86</v>
      </c>
      <c r="AF34" s="12">
        <v>423.15</v>
      </c>
      <c r="AG34" s="12">
        <v>218.49</v>
      </c>
    </row>
    <row r="35">
      <c r="A35" s="8" t="s">
        <v>82</v>
      </c>
      <c r="B35" s="9">
        <v>874754.89</v>
      </c>
      <c r="C35" s="9">
        <v>512347.94</v>
      </c>
      <c r="D35" s="9">
        <v>432393.39</v>
      </c>
      <c r="E35" s="9">
        <v>362425.69</v>
      </c>
      <c r="F35" s="9">
        <v>977214.03</v>
      </c>
      <c r="G35" s="9">
        <v>1074161.92</v>
      </c>
      <c r="H35" s="9">
        <v>-62933.23</v>
      </c>
      <c r="I35" s="9">
        <v>-112887.69</v>
      </c>
      <c r="J35" s="9">
        <v>-129950.52</v>
      </c>
      <c r="K35" s="12">
        <v>-0.15</v>
      </c>
      <c r="L35" s="9">
        <v>42678.88</v>
      </c>
      <c r="M35" s="9">
        <v>-1117.6</v>
      </c>
      <c r="N35" s="9">
        <v>-20476.95</v>
      </c>
      <c r="O35" s="9">
        <v>21084.33</v>
      </c>
      <c r="P35" s="12">
        <v>-30.38</v>
      </c>
      <c r="Q35" s="12">
        <v>-11.9</v>
      </c>
      <c r="R35" s="12">
        <v>6.41</v>
      </c>
      <c r="S35" s="12">
        <v>-13.3</v>
      </c>
      <c r="T35" s="12">
        <v>-11.55</v>
      </c>
      <c r="U35" s="12">
        <v>1.41</v>
      </c>
      <c r="V35" s="12">
        <v>-5.79</v>
      </c>
      <c r="W35" s="12">
        <v>0.78</v>
      </c>
      <c r="X35" s="12">
        <v>0.48</v>
      </c>
      <c r="Y35" s="12">
        <v>2.52</v>
      </c>
      <c r="Z35" s="12">
        <v>1.03</v>
      </c>
      <c r="AA35" s="12">
        <v>8.39</v>
      </c>
      <c r="AB35" s="12">
        <v>43.48</v>
      </c>
      <c r="AC35" s="12">
        <v>5.2</v>
      </c>
      <c r="AD35" s="12">
        <v>70.23</v>
      </c>
      <c r="AE35" s="12">
        <v>4.08</v>
      </c>
      <c r="AF35" s="12">
        <v>89.53</v>
      </c>
      <c r="AG35" s="12">
        <v>24.18</v>
      </c>
    </row>
    <row r="36">
      <c r="A36" s="8" t="s">
        <v>318</v>
      </c>
      <c r="B36" s="9">
        <v>5543566.55</v>
      </c>
      <c r="C36" s="9">
        <v>2900787.26</v>
      </c>
      <c r="D36" s="9">
        <v>1000000.0</v>
      </c>
      <c r="E36" s="9">
        <v>2642779.3</v>
      </c>
      <c r="F36" s="9">
        <v>1210567.75</v>
      </c>
      <c r="G36" s="9">
        <v>1099815.69</v>
      </c>
      <c r="H36" s="9">
        <v>140825.35</v>
      </c>
      <c r="I36" s="9">
        <v>110752.07</v>
      </c>
      <c r="J36" s="9">
        <v>59568.75</v>
      </c>
      <c r="K36" s="12">
        <v>0.06</v>
      </c>
      <c r="L36" s="9">
        <v>-188939.69</v>
      </c>
      <c r="M36" s="9">
        <v>-176026.52</v>
      </c>
      <c r="N36" s="9">
        <v>337188.71</v>
      </c>
      <c r="O36" s="9">
        <v>-27777.5</v>
      </c>
      <c r="P36" s="12">
        <v>2.27</v>
      </c>
      <c r="Q36" s="12">
        <v>2.06</v>
      </c>
      <c r="R36" s="12">
        <v>37.51</v>
      </c>
      <c r="S36" s="12">
        <v>4.92</v>
      </c>
      <c r="T36" s="12">
        <v>9.15</v>
      </c>
      <c r="U36" s="12">
        <v>1.1</v>
      </c>
      <c r="V36" s="12">
        <v>4.64</v>
      </c>
      <c r="W36" s="12">
        <v>2.34</v>
      </c>
      <c r="X36" s="12">
        <v>0.08</v>
      </c>
      <c r="Y36" s="12">
        <v>6.81</v>
      </c>
      <c r="Z36" s="12">
        <v>0.23</v>
      </c>
      <c r="AA36" s="12">
        <v>0.22</v>
      </c>
      <c r="AB36" s="9">
        <v>1671.0</v>
      </c>
      <c r="AC36" s="12">
        <v>11.21</v>
      </c>
      <c r="AD36" s="12">
        <v>32.56</v>
      </c>
      <c r="AE36" s="12">
        <v>2.23</v>
      </c>
      <c r="AF36" s="12">
        <v>163.74</v>
      </c>
      <c r="AG36" s="9">
        <v>1539.83</v>
      </c>
    </row>
    <row r="37">
      <c r="A37" s="8" t="s">
        <v>83</v>
      </c>
      <c r="B37" s="9">
        <v>1222477.7</v>
      </c>
      <c r="C37" s="9">
        <v>710564.1</v>
      </c>
      <c r="D37" s="9">
        <v>255462.73</v>
      </c>
      <c r="E37" s="9">
        <v>497626.05</v>
      </c>
      <c r="F37" s="9">
        <v>727247.35</v>
      </c>
      <c r="G37" s="9">
        <v>897299.52</v>
      </c>
      <c r="H37" s="9">
        <v>-53148.15</v>
      </c>
      <c r="I37" s="9">
        <v>-149834.17</v>
      </c>
      <c r="J37" s="9">
        <v>-129983.09</v>
      </c>
      <c r="K37" s="12">
        <v>-0.51</v>
      </c>
      <c r="L37" s="9">
        <v>-19966.07</v>
      </c>
      <c r="M37" s="9">
        <v>2474.95</v>
      </c>
      <c r="N37" s="9">
        <v>27613.09</v>
      </c>
      <c r="O37" s="9">
        <v>10121.96</v>
      </c>
      <c r="P37" s="12">
        <v>-25.43</v>
      </c>
      <c r="Q37" s="12">
        <v>-12.44</v>
      </c>
      <c r="R37" s="12">
        <v>3.23</v>
      </c>
      <c r="S37" s="12">
        <v>-18.31</v>
      </c>
      <c r="T37" s="12">
        <v>-20.6</v>
      </c>
      <c r="U37" s="12">
        <v>1.39</v>
      </c>
      <c r="V37" s="12">
        <v>-7.14</v>
      </c>
      <c r="W37" s="12">
        <v>0.62</v>
      </c>
      <c r="X37" s="12">
        <v>0.59</v>
      </c>
      <c r="Y37" s="12">
        <v>1.14</v>
      </c>
      <c r="Z37" s="12">
        <v>0.6</v>
      </c>
      <c r="AA37" s="12">
        <v>33.56</v>
      </c>
      <c r="AB37" s="12">
        <v>10.88</v>
      </c>
      <c r="AC37" s="12">
        <v>2.56</v>
      </c>
      <c r="AD37" s="12">
        <v>142.78</v>
      </c>
      <c r="AE37" s="12">
        <v>3.67</v>
      </c>
      <c r="AF37" s="12">
        <v>99.45</v>
      </c>
      <c r="AG37" s="12">
        <v>54.21</v>
      </c>
    </row>
    <row r="38">
      <c r="A38" s="8" t="s">
        <v>84</v>
      </c>
      <c r="B38" s="9">
        <v>1169626.38</v>
      </c>
      <c r="C38" s="9">
        <v>395954.2</v>
      </c>
      <c r="D38" s="9">
        <v>588964.62</v>
      </c>
      <c r="E38" s="9">
        <v>772687.93</v>
      </c>
      <c r="F38" s="9">
        <v>995119.31</v>
      </c>
      <c r="G38" s="9">
        <v>936153.52</v>
      </c>
      <c r="H38" s="9">
        <v>128327.13</v>
      </c>
      <c r="I38" s="9">
        <v>58965.79</v>
      </c>
      <c r="J38" s="9">
        <v>55632.76</v>
      </c>
      <c r="K38" s="12">
        <v>0.09</v>
      </c>
      <c r="L38" s="9">
        <v>211441.65</v>
      </c>
      <c r="M38" s="9">
        <v>-34192.86</v>
      </c>
      <c r="N38" s="9">
        <v>-170927.61</v>
      </c>
      <c r="O38" s="9">
        <v>6321.19</v>
      </c>
      <c r="P38" s="12">
        <v>7.35</v>
      </c>
      <c r="Q38" s="12">
        <v>4.85</v>
      </c>
      <c r="R38" s="12">
        <v>21.64</v>
      </c>
      <c r="S38" s="12">
        <v>5.59</v>
      </c>
      <c r="T38" s="12">
        <v>5.93</v>
      </c>
      <c r="U38" s="12">
        <v>0.51</v>
      </c>
      <c r="V38" s="12">
        <v>7.28</v>
      </c>
      <c r="W38" s="12">
        <v>1.25</v>
      </c>
      <c r="X38" s="12">
        <v>0.67</v>
      </c>
      <c r="Y38" s="12">
        <v>1.43</v>
      </c>
      <c r="Z38" s="12">
        <v>0.82</v>
      </c>
      <c r="AA38" s="12">
        <v>3.42</v>
      </c>
      <c r="AB38" s="12">
        <v>106.75</v>
      </c>
      <c r="AC38" s="12">
        <v>4.42</v>
      </c>
      <c r="AD38" s="12">
        <v>82.58</v>
      </c>
      <c r="AE38" s="12">
        <v>5.2</v>
      </c>
      <c r="AF38" s="12">
        <v>70.13</v>
      </c>
      <c r="AG38" s="12">
        <v>119.21</v>
      </c>
    </row>
    <row r="39">
      <c r="A39" s="8" t="s">
        <v>85</v>
      </c>
      <c r="B39" s="9">
        <v>517258.84</v>
      </c>
      <c r="C39" s="9">
        <v>73511.69</v>
      </c>
      <c r="D39" s="9">
        <v>67000.0</v>
      </c>
      <c r="E39" s="9">
        <v>419925.18</v>
      </c>
      <c r="F39" s="9">
        <v>166563.35</v>
      </c>
      <c r="G39" s="9">
        <v>163292.65</v>
      </c>
      <c r="H39" s="9">
        <v>13529.65</v>
      </c>
      <c r="I39" s="9">
        <v>3270.7</v>
      </c>
      <c r="J39" s="9">
        <v>-6331.84</v>
      </c>
      <c r="K39" s="12">
        <v>-0.05</v>
      </c>
      <c r="L39" s="9">
        <v>-4173.81</v>
      </c>
      <c r="M39" s="9">
        <v>221012.58</v>
      </c>
      <c r="N39" s="9">
        <v>-24561.31</v>
      </c>
      <c r="O39" s="9">
        <v>192277.47</v>
      </c>
      <c r="P39" s="12">
        <v>-1.47</v>
      </c>
      <c r="Q39" s="12">
        <v>0.62</v>
      </c>
      <c r="R39" s="12">
        <v>51.63</v>
      </c>
      <c r="S39" s="12">
        <v>-0.34</v>
      </c>
      <c r="T39" s="12">
        <v>1.96</v>
      </c>
      <c r="U39" s="12">
        <v>0.17</v>
      </c>
      <c r="V39" s="12">
        <v>7.63</v>
      </c>
      <c r="W39" s="12">
        <v>10.34</v>
      </c>
      <c r="X39" s="12">
        <v>7.16</v>
      </c>
      <c r="Y39" s="12">
        <v>39.19</v>
      </c>
      <c r="Z39" s="12">
        <v>0.32</v>
      </c>
      <c r="AA39" s="12">
        <v>22.46</v>
      </c>
      <c r="AB39" s="12">
        <v>16.25</v>
      </c>
      <c r="AC39" s="12">
        <v>5.99</v>
      </c>
      <c r="AD39" s="12">
        <v>60.94</v>
      </c>
      <c r="AE39" s="12">
        <v>1.99</v>
      </c>
      <c r="AF39" s="12">
        <v>183.77</v>
      </c>
      <c r="AG39" s="12">
        <v>-106.57</v>
      </c>
    </row>
    <row r="40">
      <c r="A40" s="8" t="s">
        <v>87</v>
      </c>
      <c r="B40" s="9">
        <v>635202.58</v>
      </c>
      <c r="C40" s="9">
        <v>89248.39</v>
      </c>
      <c r="D40" s="9">
        <v>199000.0</v>
      </c>
      <c r="E40" s="9">
        <v>540073.58</v>
      </c>
      <c r="F40" s="9">
        <v>368388.24</v>
      </c>
      <c r="G40" s="9">
        <v>336166.56</v>
      </c>
      <c r="H40" s="9">
        <v>58526.13</v>
      </c>
      <c r="I40" s="9">
        <v>32923.66</v>
      </c>
      <c r="J40" s="9">
        <v>26589.74</v>
      </c>
      <c r="K40" s="12">
        <v>0.13</v>
      </c>
      <c r="L40" s="9">
        <v>67766.16</v>
      </c>
      <c r="M40" s="9">
        <v>21371.66</v>
      </c>
      <c r="N40" s="9">
        <v>-26498.68</v>
      </c>
      <c r="O40" s="9">
        <v>62639.14</v>
      </c>
      <c r="P40" s="12">
        <v>4.93</v>
      </c>
      <c r="Q40" s="12">
        <v>5.18</v>
      </c>
      <c r="R40" s="12">
        <v>15.35</v>
      </c>
      <c r="S40" s="12">
        <v>6.84</v>
      </c>
      <c r="T40" s="12">
        <v>8.94</v>
      </c>
      <c r="U40" s="12">
        <v>0.16</v>
      </c>
      <c r="V40" s="12">
        <v>167.15</v>
      </c>
      <c r="W40" s="12">
        <v>5.57</v>
      </c>
      <c r="X40" s="12">
        <v>3.72</v>
      </c>
      <c r="Y40" s="12">
        <v>2.78</v>
      </c>
      <c r="Z40" s="12">
        <v>0.58</v>
      </c>
      <c r="AA40" s="12">
        <v>4.12</v>
      </c>
      <c r="AB40" s="12">
        <v>88.67</v>
      </c>
      <c r="AC40" s="12">
        <v>3.55</v>
      </c>
      <c r="AD40" s="12">
        <v>102.88</v>
      </c>
      <c r="AE40" s="12">
        <v>5.0</v>
      </c>
      <c r="AF40" s="12">
        <v>73.07</v>
      </c>
      <c r="AG40" s="12">
        <v>118.47</v>
      </c>
    </row>
    <row r="41">
      <c r="A41" s="8" t="s">
        <v>319</v>
      </c>
      <c r="B41" s="9">
        <v>835208.51</v>
      </c>
      <c r="C41" s="9">
        <v>487374.01</v>
      </c>
      <c r="D41" s="9">
        <v>250000.0</v>
      </c>
      <c r="E41" s="9">
        <v>347834.5</v>
      </c>
      <c r="F41" s="9">
        <v>797923.59</v>
      </c>
      <c r="G41" s="9">
        <v>901395.61</v>
      </c>
      <c r="H41" s="9">
        <v>-86611.43</v>
      </c>
      <c r="I41" s="9">
        <v>-103305.98</v>
      </c>
      <c r="J41" s="9">
        <v>-90975.74</v>
      </c>
      <c r="K41" s="12">
        <v>-0.18</v>
      </c>
      <c r="L41" s="9">
        <v>133015.21</v>
      </c>
      <c r="M41" s="9">
        <v>-72961.78</v>
      </c>
      <c r="N41" s="9">
        <v>-49308.43</v>
      </c>
      <c r="O41" s="9">
        <v>10745.0</v>
      </c>
      <c r="P41" s="12">
        <v>-22.86</v>
      </c>
      <c r="Q41" s="12">
        <v>-11.53</v>
      </c>
      <c r="R41" s="12">
        <v>-7.24</v>
      </c>
      <c r="S41" s="12">
        <v>-11.4</v>
      </c>
      <c r="T41" s="12">
        <v>-12.95</v>
      </c>
      <c r="U41" s="12">
        <v>1.4</v>
      </c>
      <c r="V41" s="12">
        <v>-12.61</v>
      </c>
      <c r="W41" s="12">
        <v>1.13</v>
      </c>
      <c r="X41" s="12">
        <v>0.75</v>
      </c>
      <c r="Y41" s="12">
        <v>4.2</v>
      </c>
      <c r="Z41" s="12">
        <v>0.89</v>
      </c>
      <c r="AA41" s="12">
        <v>22.07</v>
      </c>
      <c r="AB41" s="12">
        <v>16.54</v>
      </c>
      <c r="AC41" s="12">
        <v>2.44</v>
      </c>
      <c r="AD41" s="12">
        <v>149.56</v>
      </c>
      <c r="AE41" s="12">
        <v>6.75</v>
      </c>
      <c r="AF41" s="12">
        <v>54.08</v>
      </c>
      <c r="AG41" s="12">
        <v>112.01</v>
      </c>
    </row>
    <row r="42">
      <c r="A42" s="8" t="s">
        <v>89</v>
      </c>
      <c r="B42" s="9">
        <v>1122104.08</v>
      </c>
      <c r="C42" s="9">
        <v>643789.92</v>
      </c>
      <c r="D42" s="9">
        <v>120000.0</v>
      </c>
      <c r="E42" s="9">
        <v>478304.7</v>
      </c>
      <c r="F42" s="9">
        <v>578302.31</v>
      </c>
      <c r="G42" s="9">
        <v>571797.57</v>
      </c>
      <c r="H42" s="9">
        <v>45443.49</v>
      </c>
      <c r="I42" s="9">
        <v>6504.74</v>
      </c>
      <c r="J42" s="9">
        <v>-7805.92</v>
      </c>
      <c r="K42" s="12">
        <v>-0.03</v>
      </c>
      <c r="L42" s="9">
        <v>7323.32</v>
      </c>
      <c r="M42" s="9">
        <v>-9820.13</v>
      </c>
      <c r="N42" s="9">
        <v>36204.74</v>
      </c>
      <c r="O42" s="9">
        <v>33707.94</v>
      </c>
      <c r="P42" s="12">
        <v>-1.8</v>
      </c>
      <c r="Q42" s="12">
        <v>0.59</v>
      </c>
      <c r="R42" s="12">
        <v>29.27</v>
      </c>
      <c r="S42" s="12">
        <v>-1.35</v>
      </c>
      <c r="T42" s="12">
        <v>1.12</v>
      </c>
      <c r="U42" s="12">
        <v>1.35</v>
      </c>
      <c r="V42" s="12">
        <v>0.37</v>
      </c>
      <c r="W42" s="12">
        <v>1.54</v>
      </c>
      <c r="X42" s="12">
        <v>0.76</v>
      </c>
      <c r="Y42" s="12">
        <v>0.98</v>
      </c>
      <c r="Z42" s="12">
        <v>0.53</v>
      </c>
      <c r="AA42" s="12">
        <v>2.39</v>
      </c>
      <c r="AB42" s="12">
        <v>152.99</v>
      </c>
      <c r="AC42" s="12">
        <v>5.57</v>
      </c>
      <c r="AD42" s="12">
        <v>65.53</v>
      </c>
      <c r="AE42" s="12">
        <v>3.8</v>
      </c>
      <c r="AF42" s="12">
        <v>95.93</v>
      </c>
      <c r="AG42" s="12">
        <v>122.6</v>
      </c>
    </row>
    <row r="43">
      <c r="A43" s="8" t="s">
        <v>320</v>
      </c>
      <c r="B43" s="9">
        <v>828982.71</v>
      </c>
      <c r="C43" s="9">
        <v>346414.78</v>
      </c>
      <c r="D43" s="9">
        <v>420000.0</v>
      </c>
      <c r="E43" s="9">
        <v>482567.93</v>
      </c>
      <c r="F43" s="9">
        <v>92699.15</v>
      </c>
      <c r="G43" s="9">
        <v>69373.09</v>
      </c>
      <c r="H43" s="9">
        <v>24911.85</v>
      </c>
      <c r="I43" s="9">
        <v>23326.06</v>
      </c>
      <c r="J43" s="9">
        <v>14932.0</v>
      </c>
      <c r="K43" s="12">
        <v>0.02</v>
      </c>
      <c r="L43" s="9">
        <v>40302.47</v>
      </c>
      <c r="M43" s="9">
        <v>-3470.6</v>
      </c>
      <c r="N43" s="9">
        <v>65643.86</v>
      </c>
      <c r="O43" s="9">
        <v>102475.73</v>
      </c>
      <c r="P43" s="12">
        <v>3.58</v>
      </c>
      <c r="Q43" s="12">
        <v>2.99</v>
      </c>
      <c r="R43" s="12">
        <v>53.63</v>
      </c>
      <c r="S43" s="12">
        <v>16.11</v>
      </c>
      <c r="T43" s="12">
        <v>25.16</v>
      </c>
      <c r="U43" s="12">
        <v>0.72</v>
      </c>
      <c r="V43" s="12">
        <v>3.47</v>
      </c>
      <c r="W43" s="12">
        <v>0.86</v>
      </c>
      <c r="X43" s="12">
        <v>0.41</v>
      </c>
      <c r="Y43" s="12">
        <v>7.07</v>
      </c>
      <c r="Z43" s="12">
        <v>0.12</v>
      </c>
      <c r="AA43" s="12">
        <v>0.29</v>
      </c>
      <c r="AB43" s="9">
        <v>1262.78</v>
      </c>
      <c r="AC43" s="9">
        <v>3338.8</v>
      </c>
      <c r="AD43" s="12">
        <v>0.11</v>
      </c>
      <c r="AE43" s="12">
        <v>17.74</v>
      </c>
      <c r="AF43" s="12">
        <v>20.57</v>
      </c>
      <c r="AG43" s="9">
        <v>1242.32</v>
      </c>
    </row>
    <row r="44">
      <c r="A44" s="8" t="s">
        <v>91</v>
      </c>
      <c r="B44" s="9">
        <v>333882.71</v>
      </c>
      <c r="C44" s="9">
        <v>154835.49</v>
      </c>
      <c r="D44" s="9">
        <v>807561.78</v>
      </c>
      <c r="E44" s="9">
        <v>179047.22</v>
      </c>
      <c r="F44" s="9">
        <v>250411.59</v>
      </c>
      <c r="G44" s="9">
        <v>334873.28</v>
      </c>
      <c r="H44" s="9">
        <v>-79991.05</v>
      </c>
      <c r="I44" s="9">
        <v>-84461.69</v>
      </c>
      <c r="J44" s="9">
        <v>-94299.24</v>
      </c>
      <c r="K44" s="12">
        <v>-0.14</v>
      </c>
      <c r="L44" s="9">
        <v>-54478.06</v>
      </c>
      <c r="M44" s="9">
        <v>4499.55</v>
      </c>
      <c r="N44" s="9">
        <v>109161.47</v>
      </c>
      <c r="O44" s="9">
        <v>59182.97</v>
      </c>
      <c r="P44" s="12">
        <v>-52.67</v>
      </c>
      <c r="Q44" s="12">
        <v>-25.3</v>
      </c>
      <c r="R44" s="12">
        <v>20.28</v>
      </c>
      <c r="S44" s="12">
        <v>-37.66</v>
      </c>
      <c r="T44" s="12">
        <v>-33.73</v>
      </c>
      <c r="U44" s="12">
        <v>0.86</v>
      </c>
      <c r="V44" s="12">
        <v>-12.25</v>
      </c>
      <c r="W44" s="12">
        <v>1.5</v>
      </c>
      <c r="X44" s="12">
        <v>1.09</v>
      </c>
      <c r="Y44" s="12">
        <v>6.71</v>
      </c>
      <c r="Z44" s="12">
        <v>0.75</v>
      </c>
      <c r="AA44" s="12">
        <v>6.29</v>
      </c>
      <c r="AB44" s="12">
        <v>58.04</v>
      </c>
      <c r="AC44" s="12">
        <v>2.88</v>
      </c>
      <c r="AD44" s="12">
        <v>126.79</v>
      </c>
      <c r="AE44" s="12">
        <v>3.41</v>
      </c>
      <c r="AF44" s="12">
        <v>106.92</v>
      </c>
      <c r="AG44" s="12">
        <v>77.91</v>
      </c>
    </row>
    <row r="45">
      <c r="A45" s="8" t="s">
        <v>93</v>
      </c>
      <c r="B45" s="9">
        <v>1733480.05</v>
      </c>
      <c r="C45" s="9">
        <v>508552.18</v>
      </c>
      <c r="D45" s="9">
        <v>205000.0</v>
      </c>
      <c r="E45" s="9">
        <v>1214061.57</v>
      </c>
      <c r="F45" s="9">
        <v>1620839.27</v>
      </c>
      <c r="G45" s="9">
        <v>1429668.48</v>
      </c>
      <c r="H45" s="9">
        <v>253483.46</v>
      </c>
      <c r="I45" s="9">
        <v>176910.18</v>
      </c>
      <c r="J45" s="9">
        <v>141247.73</v>
      </c>
      <c r="K45" s="12">
        <v>0.34</v>
      </c>
      <c r="L45" s="9">
        <v>321279.24</v>
      </c>
      <c r="M45" s="9">
        <v>-127377.32</v>
      </c>
      <c r="N45" s="9">
        <v>-133318.0</v>
      </c>
      <c r="O45" s="9">
        <v>60583.92</v>
      </c>
      <c r="P45" s="12">
        <v>11.61</v>
      </c>
      <c r="Q45" s="12">
        <v>10.7</v>
      </c>
      <c r="R45" s="12">
        <v>46.82</v>
      </c>
      <c r="S45" s="12">
        <v>8.22</v>
      </c>
      <c r="T45" s="12">
        <v>10.91</v>
      </c>
      <c r="U45" s="12">
        <v>0.42</v>
      </c>
      <c r="V45" s="12">
        <v>17.28</v>
      </c>
      <c r="W45" s="12">
        <v>1.44</v>
      </c>
      <c r="X45" s="12">
        <v>0.9</v>
      </c>
      <c r="Y45" s="12">
        <v>1.95</v>
      </c>
      <c r="Z45" s="12">
        <v>0.98</v>
      </c>
      <c r="AA45" s="12">
        <v>4.75</v>
      </c>
      <c r="AB45" s="12">
        <v>76.86</v>
      </c>
      <c r="AC45" s="12">
        <v>6.29</v>
      </c>
      <c r="AD45" s="12">
        <v>58.03</v>
      </c>
      <c r="AE45" s="12">
        <v>4.32</v>
      </c>
      <c r="AF45" s="12">
        <v>84.48</v>
      </c>
      <c r="AG45" s="12">
        <v>50.42</v>
      </c>
    </row>
    <row r="46">
      <c r="A46" s="8" t="s">
        <v>95</v>
      </c>
      <c r="B46" s="9">
        <v>613600.07</v>
      </c>
      <c r="C46" s="9">
        <v>111075.29</v>
      </c>
      <c r="D46" s="9">
        <v>1430416.19</v>
      </c>
      <c r="E46" s="9">
        <v>488252.22</v>
      </c>
      <c r="F46" s="9">
        <v>196534.0</v>
      </c>
      <c r="G46" s="9">
        <v>206594.42</v>
      </c>
      <c r="H46" s="9">
        <v>24748.98</v>
      </c>
      <c r="I46" s="9">
        <v>3441.17</v>
      </c>
      <c r="J46" s="9">
        <v>1163.96</v>
      </c>
      <c r="K46" s="12" t="s">
        <v>46</v>
      </c>
      <c r="L46" s="9">
        <v>-52111.5</v>
      </c>
      <c r="M46" s="9">
        <v>318621.78</v>
      </c>
      <c r="N46" s="9">
        <v>-2406.83</v>
      </c>
      <c r="O46" s="9">
        <v>264103.45</v>
      </c>
      <c r="P46" s="12">
        <v>0.24</v>
      </c>
      <c r="Q46" s="12">
        <v>0.6</v>
      </c>
      <c r="R46" s="12">
        <v>25.13</v>
      </c>
      <c r="S46" s="12">
        <v>0.73</v>
      </c>
      <c r="T46" s="12">
        <v>1.75</v>
      </c>
      <c r="U46" s="12">
        <v>0.22</v>
      </c>
      <c r="V46" s="12">
        <v>2.07</v>
      </c>
      <c r="W46" s="12">
        <v>5.53</v>
      </c>
      <c r="X46" s="12">
        <v>4.91</v>
      </c>
      <c r="Y46" s="12">
        <v>12.96</v>
      </c>
      <c r="Z46" s="12">
        <v>0.34</v>
      </c>
      <c r="AA46" s="12">
        <v>4.25</v>
      </c>
      <c r="AB46" s="12">
        <v>85.8</v>
      </c>
      <c r="AC46" s="12">
        <v>1.41</v>
      </c>
      <c r="AD46" s="12">
        <v>258.14</v>
      </c>
      <c r="AE46" s="12">
        <v>2.76</v>
      </c>
      <c r="AF46" s="12">
        <v>132.48</v>
      </c>
      <c r="AG46" s="12">
        <v>211.47</v>
      </c>
    </row>
    <row r="47">
      <c r="A47" s="8" t="s">
        <v>96</v>
      </c>
      <c r="B47" s="9">
        <v>3544724.32</v>
      </c>
      <c r="C47" s="9">
        <v>2304942.65</v>
      </c>
      <c r="D47" s="9">
        <v>239871.89</v>
      </c>
      <c r="E47" s="9">
        <v>1232500.94</v>
      </c>
      <c r="F47" s="9">
        <v>1408895.84</v>
      </c>
      <c r="G47" s="9">
        <v>1291199.47</v>
      </c>
      <c r="H47" s="9">
        <v>222412.64</v>
      </c>
      <c r="I47" s="9">
        <v>178366.05</v>
      </c>
      <c r="J47" s="9">
        <v>41160.42</v>
      </c>
      <c r="K47" s="12">
        <v>0.04</v>
      </c>
      <c r="L47" s="9">
        <v>153583.3</v>
      </c>
      <c r="M47" s="9">
        <v>-4488.39</v>
      </c>
      <c r="N47" s="9">
        <v>-46011.71</v>
      </c>
      <c r="O47" s="9">
        <v>103083.2</v>
      </c>
      <c r="P47" s="12">
        <v>3.09</v>
      </c>
      <c r="Q47" s="12">
        <v>5.0</v>
      </c>
      <c r="R47" s="12">
        <v>22.19</v>
      </c>
      <c r="S47" s="12">
        <v>2.25</v>
      </c>
      <c r="T47" s="12">
        <v>12.66</v>
      </c>
      <c r="U47" s="12">
        <v>1.86</v>
      </c>
      <c r="V47" s="12">
        <v>1.34</v>
      </c>
      <c r="W47" s="12">
        <v>1.22</v>
      </c>
      <c r="X47" s="12">
        <v>0.32</v>
      </c>
      <c r="Y47" s="12">
        <v>2.81</v>
      </c>
      <c r="Z47" s="12">
        <v>0.39</v>
      </c>
      <c r="AA47" s="12">
        <v>0.78</v>
      </c>
      <c r="AB47" s="12">
        <v>465.82</v>
      </c>
      <c r="AC47" s="12">
        <v>4.15</v>
      </c>
      <c r="AD47" s="12">
        <v>87.85</v>
      </c>
      <c r="AE47" s="12">
        <v>3.82</v>
      </c>
      <c r="AF47" s="12">
        <v>95.53</v>
      </c>
      <c r="AG47" s="12">
        <v>458.14</v>
      </c>
    </row>
    <row r="48">
      <c r="A48" s="8" t="s">
        <v>97</v>
      </c>
      <c r="B48" s="9">
        <v>1556618.0</v>
      </c>
      <c r="C48" s="9">
        <v>2298254.0</v>
      </c>
      <c r="D48" s="9">
        <v>2416502.0</v>
      </c>
      <c r="E48" s="9">
        <v>734040.0</v>
      </c>
      <c r="F48" s="9">
        <v>1680362.0</v>
      </c>
      <c r="G48" s="9">
        <v>2344690.0</v>
      </c>
      <c r="H48" s="9">
        <v>-571794.0</v>
      </c>
      <c r="I48" s="9">
        <v>-664328.0</v>
      </c>
      <c r="J48" s="9">
        <v>-299065.0</v>
      </c>
      <c r="K48" s="12">
        <v>-0.01</v>
      </c>
      <c r="L48" s="9">
        <v>315658.0</v>
      </c>
      <c r="M48" s="9">
        <v>-3043.0</v>
      </c>
      <c r="N48" s="9">
        <v>-331559.0</v>
      </c>
      <c r="O48" s="9">
        <v>-18944.0</v>
      </c>
      <c r="P48" s="12">
        <v>-56.52</v>
      </c>
      <c r="Q48" s="12">
        <v>-33.21</v>
      </c>
      <c r="R48" s="12">
        <v>32.28</v>
      </c>
      <c r="S48" s="12">
        <v>-37.7</v>
      </c>
      <c r="T48" s="12">
        <v>-39.53</v>
      </c>
      <c r="U48" s="12" t="s">
        <v>46</v>
      </c>
      <c r="V48" s="12">
        <v>-9.12</v>
      </c>
      <c r="W48" s="12">
        <v>0.52</v>
      </c>
      <c r="X48" s="12">
        <v>0.28</v>
      </c>
      <c r="Y48" s="12">
        <v>5.33</v>
      </c>
      <c r="Z48" s="12">
        <v>0.84</v>
      </c>
      <c r="AA48" s="12">
        <v>2.27</v>
      </c>
      <c r="AB48" s="12">
        <v>160.5</v>
      </c>
      <c r="AC48" s="12">
        <v>2.92</v>
      </c>
      <c r="AD48" s="12">
        <v>125.15</v>
      </c>
      <c r="AE48" s="12">
        <v>1.62</v>
      </c>
      <c r="AF48" s="12">
        <v>225.74</v>
      </c>
      <c r="AG48" s="12">
        <v>59.91</v>
      </c>
    </row>
    <row r="49">
      <c r="A49" s="8" t="s">
        <v>98</v>
      </c>
      <c r="B49" s="9">
        <v>1951038.61</v>
      </c>
      <c r="C49" s="9">
        <v>1067797.02</v>
      </c>
      <c r="D49" s="9">
        <v>280000.0</v>
      </c>
      <c r="E49" s="9">
        <v>878689.97</v>
      </c>
      <c r="F49" s="9">
        <v>1462838.42</v>
      </c>
      <c r="G49" s="9">
        <v>1384269.93</v>
      </c>
      <c r="H49" s="9">
        <v>130318.04</v>
      </c>
      <c r="I49" s="9">
        <v>78513.15</v>
      </c>
      <c r="J49" s="9">
        <v>52192.0</v>
      </c>
      <c r="K49" s="12">
        <v>0.09</v>
      </c>
      <c r="L49" s="9">
        <v>224508.64</v>
      </c>
      <c r="M49" s="9">
        <v>3746.18</v>
      </c>
      <c r="N49" s="9">
        <v>-257134.06</v>
      </c>
      <c r="O49" s="9">
        <v>-28879.24</v>
      </c>
      <c r="P49" s="12">
        <v>6.14</v>
      </c>
      <c r="Q49" s="12">
        <v>3.79</v>
      </c>
      <c r="R49" s="12">
        <v>14.5</v>
      </c>
      <c r="S49" s="12">
        <v>3.46</v>
      </c>
      <c r="T49" s="12">
        <v>5.37</v>
      </c>
      <c r="U49" s="12">
        <v>1.21</v>
      </c>
      <c r="V49" s="12">
        <v>1.85</v>
      </c>
      <c r="W49" s="12">
        <v>1.3</v>
      </c>
      <c r="X49" s="12">
        <v>0.69</v>
      </c>
      <c r="Y49" s="12">
        <v>1.52</v>
      </c>
      <c r="Z49" s="12">
        <v>0.71</v>
      </c>
      <c r="AA49" s="12">
        <v>9.45</v>
      </c>
      <c r="AB49" s="12">
        <v>38.62</v>
      </c>
      <c r="AC49" s="12">
        <v>2.58</v>
      </c>
      <c r="AD49" s="12">
        <v>141.27</v>
      </c>
      <c r="AE49" s="12">
        <v>5.31</v>
      </c>
      <c r="AF49" s="12">
        <v>68.7</v>
      </c>
      <c r="AG49" s="12">
        <v>111.19</v>
      </c>
    </row>
    <row r="50">
      <c r="A50" s="8" t="s">
        <v>302</v>
      </c>
      <c r="B50" s="9">
        <v>469396.18</v>
      </c>
      <c r="C50" s="9">
        <v>62497.8</v>
      </c>
      <c r="D50" s="9">
        <v>180000.0</v>
      </c>
      <c r="E50" s="9">
        <v>406898.38</v>
      </c>
      <c r="F50" s="9">
        <v>248895.14</v>
      </c>
      <c r="G50" s="9">
        <v>237005.31</v>
      </c>
      <c r="H50" s="9">
        <v>15058.06</v>
      </c>
      <c r="I50" s="9">
        <v>11889.82</v>
      </c>
      <c r="J50" s="9">
        <v>9866.07</v>
      </c>
      <c r="K50" s="12">
        <v>0.03</v>
      </c>
      <c r="L50" s="9">
        <v>26283.4</v>
      </c>
      <c r="M50" s="9">
        <v>-155905.45</v>
      </c>
      <c r="N50" s="9">
        <v>-32493.6</v>
      </c>
      <c r="O50" s="9">
        <v>-162115.65</v>
      </c>
      <c r="P50" s="12">
        <v>2.36</v>
      </c>
      <c r="Q50" s="12">
        <v>2.44</v>
      </c>
      <c r="R50" s="12">
        <v>22.91</v>
      </c>
      <c r="S50" s="12">
        <v>3.96</v>
      </c>
      <c r="T50" s="12">
        <v>4.78</v>
      </c>
      <c r="U50" s="12">
        <v>0.15</v>
      </c>
      <c r="V50" s="9">
        <v>1038.41</v>
      </c>
      <c r="W50" s="12">
        <v>5.71</v>
      </c>
      <c r="X50" s="12">
        <v>2.92</v>
      </c>
      <c r="Y50" s="12">
        <v>1.88</v>
      </c>
      <c r="Z50" s="12">
        <v>0.51</v>
      </c>
      <c r="AA50" s="12">
        <v>23.19</v>
      </c>
      <c r="AB50" s="12">
        <v>15.74</v>
      </c>
      <c r="AC50" s="12">
        <v>16.08</v>
      </c>
      <c r="AD50" s="12">
        <v>22.7</v>
      </c>
      <c r="AE50" s="12">
        <v>4.03</v>
      </c>
      <c r="AF50" s="12">
        <v>90.64</v>
      </c>
      <c r="AG50" s="12">
        <v>-52.2</v>
      </c>
    </row>
    <row r="51">
      <c r="A51" s="8" t="s">
        <v>100</v>
      </c>
      <c r="B51" s="9">
        <v>2871910.92</v>
      </c>
      <c r="C51" s="9">
        <v>1279650.09</v>
      </c>
      <c r="D51" s="9">
        <v>378257.48</v>
      </c>
      <c r="E51" s="9">
        <v>1592260.83</v>
      </c>
      <c r="F51" s="9">
        <v>1848582.33</v>
      </c>
      <c r="G51" s="9">
        <v>1711051.41</v>
      </c>
      <c r="H51" s="9">
        <v>277743.75</v>
      </c>
      <c r="I51" s="9">
        <v>51662.36</v>
      </c>
      <c r="J51" s="9">
        <v>18747.63</v>
      </c>
      <c r="K51" s="12">
        <v>0.01</v>
      </c>
      <c r="L51" s="9">
        <v>315984.4</v>
      </c>
      <c r="M51" s="9">
        <v>-103604.16</v>
      </c>
      <c r="N51" s="9">
        <v>-86380.83</v>
      </c>
      <c r="O51" s="9">
        <v>125999.41</v>
      </c>
      <c r="P51" s="12">
        <v>1.17</v>
      </c>
      <c r="Q51" s="12">
        <v>1.84</v>
      </c>
      <c r="R51" s="12">
        <v>17.14</v>
      </c>
      <c r="S51" s="12">
        <v>1.01</v>
      </c>
      <c r="T51" s="12">
        <v>2.79</v>
      </c>
      <c r="U51" s="12">
        <v>0.8</v>
      </c>
      <c r="V51" s="12">
        <v>1.77</v>
      </c>
      <c r="W51" s="12">
        <v>1.29</v>
      </c>
      <c r="X51" s="12">
        <v>0.88</v>
      </c>
      <c r="Y51" s="12">
        <v>1.55</v>
      </c>
      <c r="Z51" s="12">
        <v>0.66</v>
      </c>
      <c r="AA51" s="12">
        <v>3.55</v>
      </c>
      <c r="AB51" s="12">
        <v>102.82</v>
      </c>
      <c r="AC51" s="12">
        <v>2.53</v>
      </c>
      <c r="AD51" s="12">
        <v>144.52</v>
      </c>
      <c r="AE51" s="12">
        <v>4.67</v>
      </c>
      <c r="AF51" s="12">
        <v>78.24</v>
      </c>
      <c r="AG51" s="12">
        <v>169.09</v>
      </c>
    </row>
    <row r="52">
      <c r="A52" s="8" t="s">
        <v>101</v>
      </c>
      <c r="B52" s="9">
        <v>3454048.52</v>
      </c>
      <c r="C52" s="9">
        <v>2305056.67</v>
      </c>
      <c r="D52" s="9">
        <v>400000.0</v>
      </c>
      <c r="E52" s="9">
        <v>1148942.65</v>
      </c>
      <c r="F52" s="9">
        <v>3123292.03</v>
      </c>
      <c r="G52" s="9">
        <v>2579484.01</v>
      </c>
      <c r="H52" s="9">
        <v>1081131.35</v>
      </c>
      <c r="I52" s="9">
        <v>543808.02</v>
      </c>
      <c r="J52" s="9">
        <v>464063.18</v>
      </c>
      <c r="K52" s="12">
        <v>0.61</v>
      </c>
      <c r="L52" s="9">
        <v>1056019.16</v>
      </c>
      <c r="M52" s="9">
        <v>-66163.79</v>
      </c>
      <c r="N52" s="9">
        <v>-763571.45</v>
      </c>
      <c r="O52" s="9">
        <v>226283.92</v>
      </c>
      <c r="P52" s="12">
        <v>37.43</v>
      </c>
      <c r="Q52" s="12">
        <v>15.59</v>
      </c>
      <c r="R52" s="12">
        <v>18.41</v>
      </c>
      <c r="S52" s="12">
        <v>14.84</v>
      </c>
      <c r="T52" s="12">
        <v>17.41</v>
      </c>
      <c r="U52" s="12">
        <v>2.01</v>
      </c>
      <c r="V52" s="12">
        <v>17.49</v>
      </c>
      <c r="W52" s="12">
        <v>0.73</v>
      </c>
      <c r="X52" s="12">
        <v>0.57</v>
      </c>
      <c r="Y52" s="12">
        <v>1.8</v>
      </c>
      <c r="Z52" s="12">
        <v>0.9</v>
      </c>
      <c r="AA52" s="12">
        <v>33.49</v>
      </c>
      <c r="AB52" s="12">
        <v>10.9</v>
      </c>
      <c r="AC52" s="12">
        <v>7.08</v>
      </c>
      <c r="AD52" s="12">
        <v>51.53</v>
      </c>
      <c r="AE52" s="12">
        <v>3.73</v>
      </c>
      <c r="AF52" s="12">
        <v>97.9</v>
      </c>
      <c r="AG52" s="12">
        <v>-35.47</v>
      </c>
    </row>
    <row r="53">
      <c r="A53" s="8" t="s">
        <v>102</v>
      </c>
      <c r="B53" s="9">
        <v>736903.26</v>
      </c>
      <c r="C53" s="9">
        <v>423151.8</v>
      </c>
      <c r="D53" s="9">
        <v>282571.48</v>
      </c>
      <c r="E53" s="9">
        <v>307727.55</v>
      </c>
      <c r="F53" s="9">
        <v>561427.43</v>
      </c>
      <c r="G53" s="9">
        <v>566578.66</v>
      </c>
      <c r="H53" s="9">
        <v>33991.46</v>
      </c>
      <c r="I53" s="9">
        <v>-5151.23</v>
      </c>
      <c r="J53" s="9">
        <v>-92944.89</v>
      </c>
      <c r="K53" s="12">
        <v>-0.16</v>
      </c>
      <c r="L53" s="9">
        <v>99976.84</v>
      </c>
      <c r="M53" s="9">
        <v>-48236.25</v>
      </c>
      <c r="N53" s="9">
        <v>13978.53</v>
      </c>
      <c r="O53" s="9">
        <v>65719.11</v>
      </c>
      <c r="P53" s="12">
        <v>-26.43</v>
      </c>
      <c r="Q53" s="12">
        <v>-0.68</v>
      </c>
      <c r="R53" s="12">
        <v>26.18</v>
      </c>
      <c r="S53" s="12">
        <v>-17.23</v>
      </c>
      <c r="T53" s="12">
        <v>-0.92</v>
      </c>
      <c r="U53" s="12">
        <v>1.35</v>
      </c>
      <c r="V53" s="12">
        <v>-0.56</v>
      </c>
      <c r="W53" s="12">
        <v>1.16</v>
      </c>
      <c r="X53" s="12">
        <v>0.68</v>
      </c>
      <c r="Y53" s="12">
        <v>1.95</v>
      </c>
      <c r="Z53" s="12">
        <v>0.74</v>
      </c>
      <c r="AA53" s="12">
        <v>2.68</v>
      </c>
      <c r="AB53" s="12">
        <v>135.97</v>
      </c>
      <c r="AC53" s="12">
        <v>3.0</v>
      </c>
      <c r="AD53" s="12">
        <v>121.8</v>
      </c>
      <c r="AE53" s="12">
        <v>2.37</v>
      </c>
      <c r="AF53" s="12">
        <v>153.92</v>
      </c>
      <c r="AG53" s="12">
        <v>103.85</v>
      </c>
    </row>
    <row r="54">
      <c r="A54" s="8" t="s">
        <v>103</v>
      </c>
      <c r="B54" s="9">
        <v>2383055.47</v>
      </c>
      <c r="C54" s="9">
        <v>1867718.4</v>
      </c>
      <c r="D54" s="9">
        <v>150000.0</v>
      </c>
      <c r="E54" s="9">
        <v>515337.07</v>
      </c>
      <c r="F54" s="9">
        <v>330110.99</v>
      </c>
      <c r="G54" s="9">
        <v>168770.7</v>
      </c>
      <c r="H54" s="9">
        <v>160195.76</v>
      </c>
      <c r="I54" s="9">
        <v>149159.27</v>
      </c>
      <c r="J54" s="9">
        <v>3900.82</v>
      </c>
      <c r="K54" s="12">
        <v>0.01</v>
      </c>
      <c r="L54" s="9">
        <v>287713.65</v>
      </c>
      <c r="M54" s="9">
        <v>-6430.64</v>
      </c>
      <c r="N54" s="9">
        <v>-498035.27</v>
      </c>
      <c r="O54" s="9">
        <v>-216752.26</v>
      </c>
      <c r="P54" s="12">
        <v>0.73</v>
      </c>
      <c r="Q54" s="12">
        <v>5.85</v>
      </c>
      <c r="R54" s="12">
        <v>57.21</v>
      </c>
      <c r="S54" s="12">
        <v>1.18</v>
      </c>
      <c r="T54" s="12">
        <v>45.18</v>
      </c>
      <c r="U54" s="12">
        <v>3.62</v>
      </c>
      <c r="V54" s="12">
        <v>1.07</v>
      </c>
      <c r="W54" s="12">
        <v>0.57</v>
      </c>
      <c r="X54" s="12">
        <v>0.02</v>
      </c>
      <c r="Y54" s="12" t="s">
        <v>46</v>
      </c>
      <c r="Z54" s="12">
        <v>0.13</v>
      </c>
      <c r="AA54" s="12" t="s">
        <v>47</v>
      </c>
      <c r="AB54" s="12" t="s">
        <v>46</v>
      </c>
      <c r="AC54" s="12" t="s">
        <v>47</v>
      </c>
      <c r="AD54" s="12" t="s">
        <v>46</v>
      </c>
      <c r="AE54" s="12" t="s">
        <v>47</v>
      </c>
      <c r="AF54" s="12" t="s">
        <v>46</v>
      </c>
      <c r="AG54" s="12" t="s">
        <v>46</v>
      </c>
    </row>
    <row r="55">
      <c r="A55" s="8" t="s">
        <v>321</v>
      </c>
      <c r="B55" s="9">
        <v>257407.0</v>
      </c>
      <c r="C55" s="9">
        <v>34443.0</v>
      </c>
      <c r="D55" s="9">
        <v>125000.0</v>
      </c>
      <c r="E55" s="9">
        <v>222964.0</v>
      </c>
      <c r="F55" s="9">
        <v>102854.0</v>
      </c>
      <c r="G55" s="9">
        <v>112256.0</v>
      </c>
      <c r="H55" s="9">
        <v>-1922.0</v>
      </c>
      <c r="I55" s="9">
        <v>-8444.0</v>
      </c>
      <c r="J55" s="9">
        <v>-8066.0</v>
      </c>
      <c r="K55" s="12">
        <v>-0.03</v>
      </c>
      <c r="L55" s="9">
        <v>-9992.0</v>
      </c>
      <c r="M55" s="9">
        <v>13033.0</v>
      </c>
      <c r="N55" s="9">
        <v>-2910.0</v>
      </c>
      <c r="O55" s="12">
        <v>131.0</v>
      </c>
      <c r="P55" s="12">
        <v>-3.55</v>
      </c>
      <c r="Q55" s="12">
        <v>-3.34</v>
      </c>
      <c r="R55" s="12">
        <v>29.17</v>
      </c>
      <c r="S55" s="12">
        <v>-7.84</v>
      </c>
      <c r="T55" s="12">
        <v>-8.21</v>
      </c>
      <c r="U55" s="12">
        <v>0.15</v>
      </c>
      <c r="V55" s="12">
        <v>-6.12</v>
      </c>
      <c r="W55" s="12">
        <v>28.38</v>
      </c>
      <c r="X55" s="12">
        <v>2.54</v>
      </c>
      <c r="Y55" s="12">
        <v>12.05</v>
      </c>
      <c r="Z55" s="12">
        <v>0.41</v>
      </c>
      <c r="AA55" s="12" t="s">
        <v>47</v>
      </c>
      <c r="AB55" s="12" t="s">
        <v>46</v>
      </c>
      <c r="AC55" s="12">
        <v>5.58</v>
      </c>
      <c r="AD55" s="12">
        <v>65.43</v>
      </c>
      <c r="AE55" s="9">
        <v>20723.43</v>
      </c>
      <c r="AF55" s="12">
        <v>0.02</v>
      </c>
      <c r="AG55" s="12">
        <v>65.42</v>
      </c>
    </row>
    <row r="56">
      <c r="A56" s="8" t="s">
        <v>106</v>
      </c>
      <c r="B56" s="9">
        <v>1048941.4</v>
      </c>
      <c r="C56" s="9">
        <v>323059.02</v>
      </c>
      <c r="D56" s="9">
        <v>240000.0</v>
      </c>
      <c r="E56" s="9">
        <v>725881.38</v>
      </c>
      <c r="F56" s="9">
        <v>1124092.57</v>
      </c>
      <c r="G56" s="9">
        <v>1080164.78</v>
      </c>
      <c r="H56" s="9">
        <v>78842.48</v>
      </c>
      <c r="I56" s="9">
        <v>44385.99</v>
      </c>
      <c r="J56" s="9">
        <v>33779.46</v>
      </c>
      <c r="K56" s="12">
        <v>0.04</v>
      </c>
      <c r="L56" s="9">
        <v>-10651.76</v>
      </c>
      <c r="M56" s="9">
        <v>-35452.34</v>
      </c>
      <c r="N56" s="9">
        <v>-91444.46</v>
      </c>
      <c r="O56" s="9">
        <v>-137548.56</v>
      </c>
      <c r="P56" s="12">
        <v>4.59</v>
      </c>
      <c r="Q56" s="12">
        <v>4.08</v>
      </c>
      <c r="R56" s="12">
        <v>15.6</v>
      </c>
      <c r="S56" s="12">
        <v>3.01</v>
      </c>
      <c r="T56" s="12">
        <v>3.95</v>
      </c>
      <c r="U56" s="12">
        <v>0.45</v>
      </c>
      <c r="V56" s="12">
        <v>13.0</v>
      </c>
      <c r="W56" s="12">
        <v>2.88</v>
      </c>
      <c r="X56" s="12">
        <v>1.06</v>
      </c>
      <c r="Y56" s="12">
        <v>4.41</v>
      </c>
      <c r="Z56" s="12">
        <v>1.03</v>
      </c>
      <c r="AA56" s="12">
        <v>8.61</v>
      </c>
      <c r="AB56" s="12">
        <v>42.38</v>
      </c>
      <c r="AC56" s="12">
        <v>7.04</v>
      </c>
      <c r="AD56" s="12">
        <v>51.84</v>
      </c>
      <c r="AE56" s="12">
        <v>4.41</v>
      </c>
      <c r="AF56" s="12">
        <v>82.8</v>
      </c>
      <c r="AG56" s="12">
        <v>11.42</v>
      </c>
    </row>
    <row r="57">
      <c r="A57" s="8" t="s">
        <v>107</v>
      </c>
      <c r="B57" s="9">
        <v>3117272.94</v>
      </c>
      <c r="C57" s="9">
        <v>157556.32</v>
      </c>
      <c r="D57" s="9">
        <v>5065171.46</v>
      </c>
      <c r="E57" s="9">
        <v>2959751.35</v>
      </c>
      <c r="F57" s="9">
        <v>53052.49</v>
      </c>
      <c r="G57" s="9">
        <v>140410.92</v>
      </c>
      <c r="H57" s="9">
        <v>-61019.09</v>
      </c>
      <c r="I57" s="9">
        <v>-87260.6</v>
      </c>
      <c r="J57" s="9">
        <v>-84757.89</v>
      </c>
      <c r="K57" s="12">
        <v>-0.01</v>
      </c>
      <c r="L57" s="9">
        <v>303198.21</v>
      </c>
      <c r="M57" s="9">
        <v>-1108647.1</v>
      </c>
      <c r="N57" s="9">
        <v>513040.0</v>
      </c>
      <c r="O57" s="9">
        <v>-292408.9</v>
      </c>
      <c r="P57" s="12">
        <v>-3.09</v>
      </c>
      <c r="Q57" s="12">
        <v>-3.02</v>
      </c>
      <c r="R57" s="12">
        <v>51.25</v>
      </c>
      <c r="S57" s="12">
        <v>-160.22</v>
      </c>
      <c r="T57" s="12">
        <v>-164.48</v>
      </c>
      <c r="U57" s="12">
        <v>0.05</v>
      </c>
      <c r="V57" s="12">
        <v>-66.76</v>
      </c>
      <c r="W57" s="12">
        <v>9.33</v>
      </c>
      <c r="X57" s="12">
        <v>4.87</v>
      </c>
      <c r="Y57" s="12">
        <v>0.11</v>
      </c>
      <c r="Z57" s="12">
        <v>0.02</v>
      </c>
      <c r="AA57" s="12">
        <v>0.05</v>
      </c>
      <c r="AB57" s="9">
        <v>8005.83</v>
      </c>
      <c r="AC57" s="12">
        <v>0.07</v>
      </c>
      <c r="AD57" s="9">
        <v>4890.75</v>
      </c>
      <c r="AE57" s="12">
        <v>0.22</v>
      </c>
      <c r="AF57" s="9">
        <v>1656.79</v>
      </c>
      <c r="AG57" s="9">
        <v>11239.79</v>
      </c>
    </row>
    <row r="58">
      <c r="A58" s="8" t="s">
        <v>108</v>
      </c>
      <c r="B58" s="9">
        <v>1657457.57</v>
      </c>
      <c r="C58" s="9">
        <v>339829.4</v>
      </c>
      <c r="D58" s="9">
        <v>292250.0</v>
      </c>
      <c r="E58" s="9">
        <v>1317021.91</v>
      </c>
      <c r="F58" s="9">
        <v>1169426.48</v>
      </c>
      <c r="G58" s="9">
        <v>1043891.95</v>
      </c>
      <c r="H58" s="9">
        <v>160532.62</v>
      </c>
      <c r="I58" s="9">
        <v>125534.52</v>
      </c>
      <c r="J58" s="9">
        <v>100969.34</v>
      </c>
      <c r="K58" s="12">
        <v>0.17</v>
      </c>
      <c r="L58" s="9">
        <v>184440.23</v>
      </c>
      <c r="M58" s="9">
        <v>100095.92</v>
      </c>
      <c r="N58" s="9">
        <v>-105248.2</v>
      </c>
      <c r="O58" s="9">
        <v>179287.95</v>
      </c>
      <c r="P58" s="12">
        <v>7.65</v>
      </c>
      <c r="Q58" s="12">
        <v>7.72</v>
      </c>
      <c r="R58" s="12">
        <v>30.64</v>
      </c>
      <c r="S58" s="12">
        <v>8.63</v>
      </c>
      <c r="T58" s="12">
        <v>10.73</v>
      </c>
      <c r="U58" s="12">
        <v>0.26</v>
      </c>
      <c r="V58" s="9">
        <v>1384.67</v>
      </c>
      <c r="W58" s="12">
        <v>4.37</v>
      </c>
      <c r="X58" s="12">
        <v>2.92</v>
      </c>
      <c r="Y58" s="12">
        <v>14.6</v>
      </c>
      <c r="Z58" s="12">
        <v>0.72</v>
      </c>
      <c r="AA58" s="12">
        <v>2.84</v>
      </c>
      <c r="AB58" s="12">
        <v>128.53</v>
      </c>
      <c r="AC58" s="12">
        <v>4.06</v>
      </c>
      <c r="AD58" s="12">
        <v>89.81</v>
      </c>
      <c r="AE58" s="12">
        <v>4.42</v>
      </c>
      <c r="AF58" s="12">
        <v>82.67</v>
      </c>
      <c r="AG58" s="12">
        <v>135.67</v>
      </c>
    </row>
    <row r="59">
      <c r="A59" s="8" t="s">
        <v>109</v>
      </c>
      <c r="B59" s="9">
        <v>80344.92</v>
      </c>
      <c r="C59" s="9">
        <v>102178.98</v>
      </c>
      <c r="D59" s="9">
        <v>977753.68</v>
      </c>
      <c r="E59" s="9">
        <v>-21847.19</v>
      </c>
      <c r="F59" s="9">
        <v>109129.66</v>
      </c>
      <c r="G59" s="9">
        <v>136069.41</v>
      </c>
      <c r="H59" s="9">
        <v>-7089.67</v>
      </c>
      <c r="I59" s="9">
        <v>-26939.75</v>
      </c>
      <c r="J59" s="9">
        <v>-28367.59</v>
      </c>
      <c r="K59" s="12">
        <v>-0.03</v>
      </c>
      <c r="L59" s="9">
        <v>-8684.74</v>
      </c>
      <c r="M59" s="9">
        <v>-1044.07</v>
      </c>
      <c r="N59" s="9">
        <v>-11834.04</v>
      </c>
      <c r="O59" s="9">
        <v>-21562.85</v>
      </c>
      <c r="P59" s="12" t="s">
        <v>46</v>
      </c>
      <c r="Q59" s="12">
        <v>-30.7</v>
      </c>
      <c r="R59" s="12">
        <v>23.76</v>
      </c>
      <c r="S59" s="12">
        <v>-25.99</v>
      </c>
      <c r="T59" s="12">
        <v>-24.69</v>
      </c>
      <c r="U59" s="12" t="s">
        <v>46</v>
      </c>
      <c r="V59" s="12">
        <v>-18.87</v>
      </c>
      <c r="W59" s="12">
        <v>0.41</v>
      </c>
      <c r="X59" s="12">
        <v>0.13</v>
      </c>
      <c r="Y59" s="12">
        <v>5.59</v>
      </c>
      <c r="Z59" s="12">
        <v>1.24</v>
      </c>
      <c r="AA59" s="12">
        <v>3.01</v>
      </c>
      <c r="AB59" s="12">
        <v>121.31</v>
      </c>
      <c r="AC59" s="12">
        <v>19.49</v>
      </c>
      <c r="AD59" s="12">
        <v>18.73</v>
      </c>
      <c r="AE59" s="12">
        <v>1.14</v>
      </c>
      <c r="AF59" s="12">
        <v>321.29</v>
      </c>
      <c r="AG59" s="12">
        <v>-181.25</v>
      </c>
    </row>
    <row r="60">
      <c r="A60" s="8" t="s">
        <v>111</v>
      </c>
      <c r="B60" s="9">
        <v>270488.59</v>
      </c>
      <c r="C60" s="9">
        <v>27106.17</v>
      </c>
      <c r="D60" s="9">
        <v>138124.83</v>
      </c>
      <c r="E60" s="9">
        <v>242714.67</v>
      </c>
      <c r="F60" s="9">
        <v>100056.15</v>
      </c>
      <c r="G60" s="9">
        <v>108396.28</v>
      </c>
      <c r="H60" s="9">
        <v>9690.0</v>
      </c>
      <c r="I60" s="9">
        <v>-8340.13</v>
      </c>
      <c r="J60" s="9">
        <v>-8359.78</v>
      </c>
      <c r="K60" s="12">
        <v>-0.02</v>
      </c>
      <c r="L60" s="9">
        <v>12454.65</v>
      </c>
      <c r="M60" s="9">
        <v>-3556.61</v>
      </c>
      <c r="N60" s="9">
        <v>-7128.96</v>
      </c>
      <c r="O60" s="9">
        <v>1769.08</v>
      </c>
      <c r="P60" s="12">
        <v>-3.39</v>
      </c>
      <c r="Q60" s="12">
        <v>-2.95</v>
      </c>
      <c r="R60" s="12">
        <v>19.77</v>
      </c>
      <c r="S60" s="12">
        <v>-8.43</v>
      </c>
      <c r="T60" s="12">
        <v>-8.34</v>
      </c>
      <c r="U60" s="12">
        <v>0.11</v>
      </c>
      <c r="V60" s="12">
        <v>-21.54</v>
      </c>
      <c r="W60" s="12">
        <v>7.59</v>
      </c>
      <c r="X60" s="12">
        <v>2.38</v>
      </c>
      <c r="Y60" s="12">
        <v>0.62</v>
      </c>
      <c r="Z60" s="12">
        <v>0.35</v>
      </c>
      <c r="AA60" s="12">
        <v>1.01</v>
      </c>
      <c r="AB60" s="12">
        <v>360.28</v>
      </c>
      <c r="AC60" s="12">
        <v>4.05</v>
      </c>
      <c r="AD60" s="12">
        <v>90.1</v>
      </c>
      <c r="AE60" s="12">
        <v>3.86</v>
      </c>
      <c r="AF60" s="12">
        <v>94.66</v>
      </c>
      <c r="AG60" s="12">
        <v>355.71</v>
      </c>
    </row>
    <row r="61">
      <c r="A61" s="8" t="s">
        <v>112</v>
      </c>
      <c r="B61" s="9">
        <v>427592.25</v>
      </c>
      <c r="C61" s="9">
        <v>424213.33</v>
      </c>
      <c r="D61" s="9">
        <v>1280385.57</v>
      </c>
      <c r="E61" s="9">
        <v>3100.33</v>
      </c>
      <c r="F61" s="9">
        <v>168372.33</v>
      </c>
      <c r="G61" s="9">
        <v>229761.9</v>
      </c>
      <c r="H61" s="9">
        <v>-57878.6</v>
      </c>
      <c r="I61" s="9">
        <v>-61389.57</v>
      </c>
      <c r="J61" s="9">
        <v>-74271.73</v>
      </c>
      <c r="K61" s="12">
        <v>-0.08</v>
      </c>
      <c r="L61" s="9">
        <v>-54436.3</v>
      </c>
      <c r="M61" s="12">
        <v>187.14</v>
      </c>
      <c r="N61" s="9">
        <v>73291.83</v>
      </c>
      <c r="O61" s="9">
        <v>19042.67</v>
      </c>
      <c r="P61" s="12" t="s">
        <v>46</v>
      </c>
      <c r="Q61" s="12">
        <v>-14.68</v>
      </c>
      <c r="R61" s="12">
        <v>1.94</v>
      </c>
      <c r="S61" s="12">
        <v>-44.14</v>
      </c>
      <c r="T61" s="12">
        <v>-36.46</v>
      </c>
      <c r="U61" s="12">
        <v>125.55</v>
      </c>
      <c r="V61" s="12">
        <v>-4.87</v>
      </c>
      <c r="W61" s="12">
        <v>0.81</v>
      </c>
      <c r="X61" s="12">
        <v>0.56</v>
      </c>
      <c r="Y61" s="12">
        <v>6.29</v>
      </c>
      <c r="Z61" s="12">
        <v>0.4</v>
      </c>
      <c r="AA61" s="12" t="s">
        <v>47</v>
      </c>
      <c r="AB61" s="12" t="s">
        <v>46</v>
      </c>
      <c r="AC61" s="12">
        <v>1.36</v>
      </c>
      <c r="AD61" s="12">
        <v>269.18</v>
      </c>
      <c r="AE61" s="12">
        <v>0.93</v>
      </c>
      <c r="AF61" s="12">
        <v>392.5</v>
      </c>
      <c r="AG61" s="12">
        <v>-123.32</v>
      </c>
    </row>
    <row r="62">
      <c r="A62" s="8" t="s">
        <v>113</v>
      </c>
      <c r="B62" s="9">
        <v>1472465.75</v>
      </c>
      <c r="C62" s="9">
        <v>875955.07</v>
      </c>
      <c r="D62" s="9">
        <v>225000.0</v>
      </c>
      <c r="E62" s="9">
        <v>573695.71</v>
      </c>
      <c r="F62" s="9">
        <v>1470801.01</v>
      </c>
      <c r="G62" s="9">
        <v>1328539.48</v>
      </c>
      <c r="H62" s="9">
        <v>147798.53</v>
      </c>
      <c r="I62" s="9">
        <v>142261.53</v>
      </c>
      <c r="J62" s="9">
        <v>111654.67</v>
      </c>
      <c r="K62" s="12">
        <v>0.25</v>
      </c>
      <c r="L62" s="9">
        <v>80129.34</v>
      </c>
      <c r="M62" s="9">
        <v>-46938.57</v>
      </c>
      <c r="N62" s="9">
        <v>-15352.4</v>
      </c>
      <c r="O62" s="9">
        <v>17838.37</v>
      </c>
      <c r="P62" s="12">
        <v>19.84</v>
      </c>
      <c r="Q62" s="12">
        <v>10.62</v>
      </c>
      <c r="R62" s="12">
        <v>15.26</v>
      </c>
      <c r="S62" s="12">
        <v>7.71</v>
      </c>
      <c r="T62" s="12">
        <v>9.67</v>
      </c>
      <c r="U62" s="12">
        <v>1.47</v>
      </c>
      <c r="V62" s="9">
        <v>1118.85</v>
      </c>
      <c r="W62" s="12">
        <v>1.5</v>
      </c>
      <c r="X62" s="12">
        <v>0.61</v>
      </c>
      <c r="Y62" s="12">
        <v>278.58</v>
      </c>
      <c r="Z62" s="12">
        <v>1.1</v>
      </c>
      <c r="AA62" s="12">
        <v>8.06</v>
      </c>
      <c r="AB62" s="12">
        <v>45.31</v>
      </c>
      <c r="AC62" s="12">
        <v>6.3</v>
      </c>
      <c r="AD62" s="12">
        <v>57.97</v>
      </c>
      <c r="AE62" s="12">
        <v>2.81</v>
      </c>
      <c r="AF62" s="12">
        <v>129.74</v>
      </c>
      <c r="AG62" s="12">
        <v>-26.47</v>
      </c>
    </row>
    <row r="63">
      <c r="A63" s="8" t="s">
        <v>114</v>
      </c>
      <c r="B63" s="9">
        <v>633913.35</v>
      </c>
      <c r="C63" s="9">
        <v>146187.4</v>
      </c>
      <c r="D63" s="9">
        <v>50000.0</v>
      </c>
      <c r="E63" s="9">
        <v>487723.51</v>
      </c>
      <c r="F63" s="9">
        <v>553109.29</v>
      </c>
      <c r="G63" s="9">
        <v>474552.72</v>
      </c>
      <c r="H63" s="9">
        <v>80702.52</v>
      </c>
      <c r="I63" s="9">
        <v>78641.41</v>
      </c>
      <c r="J63" s="9">
        <v>62769.41</v>
      </c>
      <c r="K63" s="12">
        <v>0.74</v>
      </c>
      <c r="L63" s="9">
        <v>8036.74</v>
      </c>
      <c r="M63" s="9">
        <v>-10527.58</v>
      </c>
      <c r="N63" s="9">
        <v>126799.91</v>
      </c>
      <c r="O63" s="9">
        <v>124309.07</v>
      </c>
      <c r="P63" s="12">
        <v>15.94</v>
      </c>
      <c r="Q63" s="12">
        <v>14.58</v>
      </c>
      <c r="R63" s="12">
        <v>28.8</v>
      </c>
      <c r="S63" s="12">
        <v>11.35</v>
      </c>
      <c r="T63" s="12">
        <v>14.22</v>
      </c>
      <c r="U63" s="12">
        <v>0.3</v>
      </c>
      <c r="V63" s="9">
        <v>1693.03</v>
      </c>
      <c r="W63" s="12">
        <v>3.12</v>
      </c>
      <c r="X63" s="12">
        <v>2.0</v>
      </c>
      <c r="Y63" s="12">
        <v>534.34</v>
      </c>
      <c r="Z63" s="12">
        <v>1.03</v>
      </c>
      <c r="AA63" s="12" t="s">
        <v>47</v>
      </c>
      <c r="AB63" s="12" t="s">
        <v>46</v>
      </c>
      <c r="AC63" s="12">
        <v>5.65</v>
      </c>
      <c r="AD63" s="12">
        <v>64.62</v>
      </c>
      <c r="AE63" s="12">
        <v>7.82</v>
      </c>
      <c r="AF63" s="12">
        <v>46.65</v>
      </c>
      <c r="AG63" s="12">
        <v>17.98</v>
      </c>
    </row>
    <row r="64">
      <c r="A64" s="8" t="s">
        <v>115</v>
      </c>
      <c r="B64" s="9">
        <v>491200.02</v>
      </c>
      <c r="C64" s="9">
        <v>56215.66</v>
      </c>
      <c r="D64" s="9">
        <v>107500.0</v>
      </c>
      <c r="E64" s="9">
        <v>434984.36</v>
      </c>
      <c r="F64" s="9">
        <v>242545.42</v>
      </c>
      <c r="G64" s="9">
        <v>258601.2</v>
      </c>
      <c r="H64" s="9">
        <v>9743.98</v>
      </c>
      <c r="I64" s="9">
        <v>-15852.41</v>
      </c>
      <c r="J64" s="9">
        <v>-16607.15</v>
      </c>
      <c r="K64" s="12">
        <v>-0.08</v>
      </c>
      <c r="L64" s="9">
        <v>-7524.84</v>
      </c>
      <c r="M64" s="9">
        <v>123994.42</v>
      </c>
      <c r="N64" s="9">
        <v>-8388.07</v>
      </c>
      <c r="O64" s="9">
        <v>108081.5</v>
      </c>
      <c r="P64" s="12">
        <v>-3.75</v>
      </c>
      <c r="Q64" s="12">
        <v>-3.09</v>
      </c>
      <c r="R64" s="12">
        <v>24.34</v>
      </c>
      <c r="S64" s="12">
        <v>-6.85</v>
      </c>
      <c r="T64" s="12">
        <v>-6.54</v>
      </c>
      <c r="U64" s="12">
        <v>0.13</v>
      </c>
      <c r="V64" s="12">
        <v>-10.28</v>
      </c>
      <c r="W64" s="12">
        <v>8.19</v>
      </c>
      <c r="X64" s="12">
        <v>6.5</v>
      </c>
      <c r="Y64" s="12">
        <v>1.64</v>
      </c>
      <c r="Z64" s="12">
        <v>0.47</v>
      </c>
      <c r="AA64" s="12">
        <v>21.01</v>
      </c>
      <c r="AB64" s="12">
        <v>17.37</v>
      </c>
      <c r="AC64" s="12">
        <v>2.43</v>
      </c>
      <c r="AD64" s="12">
        <v>150.32</v>
      </c>
      <c r="AE64" s="12">
        <v>3.77</v>
      </c>
      <c r="AF64" s="12">
        <v>96.72</v>
      </c>
      <c r="AG64" s="12">
        <v>70.97</v>
      </c>
    </row>
    <row r="65">
      <c r="A65" s="8" t="s">
        <v>116</v>
      </c>
      <c r="B65" s="9">
        <v>725084.34</v>
      </c>
      <c r="C65" s="9">
        <v>364824.18</v>
      </c>
      <c r="D65" s="9">
        <v>175000.0</v>
      </c>
      <c r="E65" s="9">
        <v>360260.16</v>
      </c>
      <c r="F65" s="9">
        <v>576809.28</v>
      </c>
      <c r="G65" s="9">
        <v>553536.73</v>
      </c>
      <c r="H65" s="9">
        <v>31676.37</v>
      </c>
      <c r="I65" s="9">
        <v>23272.55</v>
      </c>
      <c r="J65" s="9">
        <v>17781.64</v>
      </c>
      <c r="K65" s="12">
        <v>0.08</v>
      </c>
      <c r="L65" s="9">
        <v>34844.02</v>
      </c>
      <c r="M65" s="9">
        <v>-7561.98</v>
      </c>
      <c r="N65" s="9">
        <v>140348.66</v>
      </c>
      <c r="O65" s="9">
        <v>167630.71</v>
      </c>
      <c r="P65" s="12">
        <v>6.45</v>
      </c>
      <c r="Q65" s="12">
        <v>3.55</v>
      </c>
      <c r="R65" s="12">
        <v>18.34</v>
      </c>
      <c r="S65" s="12">
        <v>3.08</v>
      </c>
      <c r="T65" s="12">
        <v>4.03</v>
      </c>
      <c r="U65" s="12">
        <v>1.01</v>
      </c>
      <c r="V65" s="12">
        <v>17.65</v>
      </c>
      <c r="W65" s="12">
        <v>1.89</v>
      </c>
      <c r="X65" s="12">
        <v>1.3</v>
      </c>
      <c r="Y65" s="12">
        <v>27.34</v>
      </c>
      <c r="Z65" s="12">
        <v>0.88</v>
      </c>
      <c r="AA65" s="12" t="s">
        <v>47</v>
      </c>
      <c r="AB65" s="12" t="s">
        <v>46</v>
      </c>
      <c r="AC65" s="12">
        <v>2.96</v>
      </c>
      <c r="AD65" s="12">
        <v>123.46</v>
      </c>
      <c r="AE65" s="12">
        <v>1.59</v>
      </c>
      <c r="AF65" s="12">
        <v>230.26</v>
      </c>
      <c r="AG65" s="12">
        <v>-106.8</v>
      </c>
    </row>
    <row r="66">
      <c r="A66" s="8" t="s">
        <v>304</v>
      </c>
      <c r="B66" s="9">
        <v>1331939.4</v>
      </c>
      <c r="C66" s="9">
        <v>492797.74</v>
      </c>
      <c r="D66" s="9">
        <v>280000.0</v>
      </c>
      <c r="E66" s="9">
        <v>839141.66</v>
      </c>
      <c r="F66" s="9">
        <v>1504070.09</v>
      </c>
      <c r="G66" s="9">
        <v>1333637.26</v>
      </c>
      <c r="H66" s="9">
        <v>180776.51</v>
      </c>
      <c r="I66" s="9">
        <v>170432.83</v>
      </c>
      <c r="J66" s="9">
        <v>135490.51</v>
      </c>
      <c r="K66" s="12">
        <v>0.24</v>
      </c>
      <c r="L66" s="9">
        <v>-177541.23</v>
      </c>
      <c r="M66" s="9">
        <v>162591.05</v>
      </c>
      <c r="N66" s="9">
        <v>-97248.52</v>
      </c>
      <c r="O66" s="9">
        <v>-112198.71</v>
      </c>
      <c r="P66" s="12">
        <v>16.73</v>
      </c>
      <c r="Q66" s="12">
        <v>14.34</v>
      </c>
      <c r="R66" s="12">
        <v>15.54</v>
      </c>
      <c r="S66" s="12">
        <v>9.01</v>
      </c>
      <c r="T66" s="12">
        <v>11.33</v>
      </c>
      <c r="U66" s="12">
        <v>0.59</v>
      </c>
      <c r="V66" s="12">
        <v>163.18</v>
      </c>
      <c r="W66" s="12">
        <v>2.52</v>
      </c>
      <c r="X66" s="12">
        <v>1.28</v>
      </c>
      <c r="Y66" s="12">
        <v>17.77</v>
      </c>
      <c r="Z66" s="12">
        <v>1.27</v>
      </c>
      <c r="AA66" s="12" t="s">
        <v>47</v>
      </c>
      <c r="AB66" s="12" t="s">
        <v>46</v>
      </c>
      <c r="AC66" s="12">
        <v>4.55</v>
      </c>
      <c r="AD66" s="12">
        <v>80.29</v>
      </c>
      <c r="AE66" s="12">
        <v>4.1</v>
      </c>
      <c r="AF66" s="12">
        <v>89.06</v>
      </c>
      <c r="AG66" s="12">
        <v>-8.78</v>
      </c>
    </row>
    <row r="67">
      <c r="A67" s="8" t="s">
        <v>117</v>
      </c>
      <c r="B67" s="9">
        <v>749948.28</v>
      </c>
      <c r="C67" s="9">
        <v>262268.25</v>
      </c>
      <c r="D67" s="9">
        <v>103000.0</v>
      </c>
      <c r="E67" s="9">
        <v>471088.22</v>
      </c>
      <c r="F67" s="9">
        <v>446938.92</v>
      </c>
      <c r="G67" s="9">
        <v>368442.59</v>
      </c>
      <c r="H67" s="9">
        <v>83433.02</v>
      </c>
      <c r="I67" s="9">
        <v>78333.91</v>
      </c>
      <c r="J67" s="9">
        <v>53776.04</v>
      </c>
      <c r="K67" s="12">
        <v>0.26</v>
      </c>
      <c r="L67" s="9">
        <v>-8817.09</v>
      </c>
      <c r="M67" s="9">
        <v>-249730.63</v>
      </c>
      <c r="N67" s="9">
        <v>68228.62</v>
      </c>
      <c r="O67" s="9">
        <v>-190319.1</v>
      </c>
      <c r="P67" s="12">
        <v>11.6</v>
      </c>
      <c r="Q67" s="12">
        <v>12.28</v>
      </c>
      <c r="R67" s="12">
        <v>59.01</v>
      </c>
      <c r="S67" s="12">
        <v>13.54</v>
      </c>
      <c r="T67" s="12">
        <v>17.53</v>
      </c>
      <c r="U67" s="12">
        <v>0.54</v>
      </c>
      <c r="V67" s="12">
        <v>68.81</v>
      </c>
      <c r="W67" s="12">
        <v>2.6</v>
      </c>
      <c r="X67" s="12">
        <v>1.95</v>
      </c>
      <c r="Y67" s="12">
        <v>3.68</v>
      </c>
      <c r="Z67" s="12">
        <v>0.7</v>
      </c>
      <c r="AA67" s="12">
        <v>2.37</v>
      </c>
      <c r="AB67" s="12">
        <v>154.14</v>
      </c>
      <c r="AC67" s="12">
        <v>3.26</v>
      </c>
      <c r="AD67" s="12">
        <v>112.01</v>
      </c>
      <c r="AE67" s="12">
        <v>2.25</v>
      </c>
      <c r="AF67" s="12">
        <v>162.4</v>
      </c>
      <c r="AG67" s="12">
        <v>103.75</v>
      </c>
    </row>
    <row r="68">
      <c r="A68" s="8" t="s">
        <v>118</v>
      </c>
      <c r="B68" s="9">
        <v>953109.59</v>
      </c>
      <c r="C68" s="9">
        <v>784284.35</v>
      </c>
      <c r="D68" s="9">
        <v>254299.75</v>
      </c>
      <c r="E68" s="9">
        <v>187643.21</v>
      </c>
      <c r="F68" s="9">
        <v>942260.54</v>
      </c>
      <c r="G68" s="9">
        <v>877880.85</v>
      </c>
      <c r="H68" s="9">
        <v>77330.53</v>
      </c>
      <c r="I68" s="9">
        <v>60502.48</v>
      </c>
      <c r="J68" s="9">
        <v>7501.82</v>
      </c>
      <c r="K68" s="12">
        <v>0.03</v>
      </c>
      <c r="L68" s="9">
        <v>58741.85</v>
      </c>
      <c r="M68" s="9">
        <v>7152.09</v>
      </c>
      <c r="N68" s="9">
        <v>-86765.02</v>
      </c>
      <c r="O68" s="9">
        <v>-20871.08</v>
      </c>
      <c r="P68" s="12">
        <v>3.76</v>
      </c>
      <c r="Q68" s="12">
        <v>5.95</v>
      </c>
      <c r="R68" s="12">
        <v>15.14</v>
      </c>
      <c r="S68" s="12">
        <v>2.63</v>
      </c>
      <c r="T68" s="12">
        <v>6.42</v>
      </c>
      <c r="U68" s="12">
        <v>4.65</v>
      </c>
      <c r="V68" s="12">
        <v>1.92</v>
      </c>
      <c r="W68" s="12">
        <v>0.73</v>
      </c>
      <c r="X68" s="12">
        <v>0.65</v>
      </c>
      <c r="Y68" s="12">
        <v>40.31</v>
      </c>
      <c r="Z68" s="12">
        <v>0.93</v>
      </c>
      <c r="AA68" s="12">
        <v>14.56</v>
      </c>
      <c r="AB68" s="12">
        <v>25.07</v>
      </c>
      <c r="AC68" s="12">
        <v>1.97</v>
      </c>
      <c r="AD68" s="12">
        <v>185.49</v>
      </c>
      <c r="AE68" s="12">
        <v>2.76</v>
      </c>
      <c r="AF68" s="12">
        <v>132.39</v>
      </c>
      <c r="AG68" s="12">
        <v>78.17</v>
      </c>
    </row>
    <row r="69">
      <c r="A69" s="8" t="s">
        <v>322</v>
      </c>
      <c r="B69" s="9">
        <v>7078919.04</v>
      </c>
      <c r="C69" s="9">
        <v>5186197.04</v>
      </c>
      <c r="D69" s="9">
        <v>500000.0</v>
      </c>
      <c r="E69" s="9">
        <v>1892722.0</v>
      </c>
      <c r="F69" s="9">
        <v>2058890.68</v>
      </c>
      <c r="G69" s="9">
        <v>1665494.13</v>
      </c>
      <c r="H69" s="9">
        <v>713097.97</v>
      </c>
      <c r="I69" s="9">
        <v>386077.6</v>
      </c>
      <c r="J69" s="9">
        <v>183732.38</v>
      </c>
      <c r="K69" s="12">
        <v>0.18</v>
      </c>
      <c r="L69" s="9">
        <v>367260.29</v>
      </c>
      <c r="M69" s="9">
        <v>-392898.41</v>
      </c>
      <c r="N69" s="9">
        <v>-191651.29</v>
      </c>
      <c r="O69" s="9">
        <v>-217289.42</v>
      </c>
      <c r="P69" s="12">
        <v>10.19</v>
      </c>
      <c r="Q69" s="12">
        <v>5.64</v>
      </c>
      <c r="R69" s="12">
        <v>22.88</v>
      </c>
      <c r="S69" s="12">
        <v>8.92</v>
      </c>
      <c r="T69" s="12">
        <v>18.75</v>
      </c>
      <c r="U69" s="12">
        <v>2.74</v>
      </c>
      <c r="V69" s="12">
        <v>2.5</v>
      </c>
      <c r="W69" s="12">
        <v>0.65</v>
      </c>
      <c r="X69" s="12">
        <v>0.25</v>
      </c>
      <c r="Y69" s="12">
        <v>0.53</v>
      </c>
      <c r="Z69" s="12">
        <v>0.3</v>
      </c>
      <c r="AA69" s="12">
        <v>8.34</v>
      </c>
      <c r="AB69" s="12">
        <v>43.76</v>
      </c>
      <c r="AC69" s="12">
        <v>3.39</v>
      </c>
      <c r="AD69" s="12">
        <v>107.76</v>
      </c>
      <c r="AE69" s="12">
        <v>1.94</v>
      </c>
      <c r="AF69" s="12">
        <v>188.51</v>
      </c>
      <c r="AG69" s="12">
        <v>-36.99</v>
      </c>
    </row>
    <row r="70">
      <c r="A70" s="8" t="s">
        <v>323</v>
      </c>
      <c r="B70" s="9">
        <v>1052836.34</v>
      </c>
      <c r="C70" s="9">
        <v>1011353.11</v>
      </c>
      <c r="D70" s="9">
        <v>203215.24</v>
      </c>
      <c r="E70" s="9">
        <v>41483.23</v>
      </c>
      <c r="F70" s="9">
        <v>701368.49</v>
      </c>
      <c r="G70" s="9">
        <v>815228.45</v>
      </c>
      <c r="H70" s="9">
        <v>70564.46</v>
      </c>
      <c r="I70" s="9">
        <v>-113859.97</v>
      </c>
      <c r="J70" s="9">
        <v>-142014.7</v>
      </c>
      <c r="K70" s="12">
        <v>-0.2</v>
      </c>
      <c r="L70" s="9">
        <v>119402.91</v>
      </c>
      <c r="M70" s="9">
        <v>-5031.5</v>
      </c>
      <c r="N70" s="9">
        <v>-129127.25</v>
      </c>
      <c r="O70" s="9">
        <v>-14755.83</v>
      </c>
      <c r="P70" s="12">
        <v>-231.29</v>
      </c>
      <c r="Q70" s="12">
        <v>-13.0</v>
      </c>
      <c r="R70" s="12">
        <v>57.75</v>
      </c>
      <c r="S70" s="12">
        <v>-20.25</v>
      </c>
      <c r="T70" s="12">
        <v>-16.23</v>
      </c>
      <c r="U70" s="12">
        <v>24.38</v>
      </c>
      <c r="V70" s="12">
        <v>-3.92</v>
      </c>
      <c r="W70" s="12">
        <v>0.18</v>
      </c>
      <c r="X70" s="12">
        <v>0.06</v>
      </c>
      <c r="Y70" s="12">
        <v>1.57</v>
      </c>
      <c r="Z70" s="12">
        <v>0.8</v>
      </c>
      <c r="AA70" s="12">
        <v>6.74</v>
      </c>
      <c r="AB70" s="12">
        <v>54.19</v>
      </c>
      <c r="AC70" s="12">
        <v>16.86</v>
      </c>
      <c r="AD70" s="12">
        <v>21.65</v>
      </c>
      <c r="AE70" s="12">
        <v>1.32</v>
      </c>
      <c r="AF70" s="12">
        <v>275.8</v>
      </c>
      <c r="AG70" s="12">
        <v>-199.96</v>
      </c>
    </row>
    <row r="71">
      <c r="A71" s="8" t="s">
        <v>123</v>
      </c>
      <c r="B71" s="9">
        <v>2077140.26</v>
      </c>
      <c r="C71" s="9">
        <v>867488.22</v>
      </c>
      <c r="D71" s="9">
        <v>174273.13</v>
      </c>
      <c r="E71" s="9">
        <v>1209652.05</v>
      </c>
      <c r="F71" s="9">
        <v>1707518.76</v>
      </c>
      <c r="G71" s="9">
        <v>1363782.16</v>
      </c>
      <c r="H71" s="9">
        <v>439792.0</v>
      </c>
      <c r="I71" s="9">
        <v>343736.61</v>
      </c>
      <c r="J71" s="9">
        <v>266788.52</v>
      </c>
      <c r="K71" s="12">
        <v>1.53</v>
      </c>
      <c r="L71" s="9">
        <v>341832.08</v>
      </c>
      <c r="M71" s="9">
        <v>-232335.06</v>
      </c>
      <c r="N71" s="9">
        <v>-186454.3</v>
      </c>
      <c r="O71" s="9">
        <v>-76957.28</v>
      </c>
      <c r="P71" s="12">
        <v>23.51</v>
      </c>
      <c r="Q71" s="12">
        <v>19.28</v>
      </c>
      <c r="R71" s="12">
        <v>47.77</v>
      </c>
      <c r="S71" s="12">
        <v>15.62</v>
      </c>
      <c r="T71" s="12">
        <v>20.13</v>
      </c>
      <c r="U71" s="12">
        <v>0.72</v>
      </c>
      <c r="V71" s="12">
        <v>61.83</v>
      </c>
      <c r="W71" s="12">
        <v>2.75</v>
      </c>
      <c r="X71" s="12">
        <v>0.35</v>
      </c>
      <c r="Y71" s="12">
        <v>29.33</v>
      </c>
      <c r="Z71" s="12">
        <v>0.96</v>
      </c>
      <c r="AA71" s="12">
        <v>1.36</v>
      </c>
      <c r="AB71" s="12">
        <v>269.2</v>
      </c>
      <c r="AC71" s="12">
        <v>12.8</v>
      </c>
      <c r="AD71" s="12">
        <v>28.51</v>
      </c>
      <c r="AE71" s="12">
        <v>2.44</v>
      </c>
      <c r="AF71" s="12">
        <v>149.5</v>
      </c>
      <c r="AG71" s="12">
        <v>148.21</v>
      </c>
    </row>
    <row r="72">
      <c r="A72" s="8" t="s">
        <v>124</v>
      </c>
      <c r="B72" s="9">
        <v>782347.46</v>
      </c>
      <c r="C72" s="9">
        <v>601772.24</v>
      </c>
      <c r="D72" s="9">
        <v>119999.78</v>
      </c>
      <c r="E72" s="9">
        <v>180575.22</v>
      </c>
      <c r="F72" s="9">
        <v>627672.77</v>
      </c>
      <c r="G72" s="9">
        <v>725918.8</v>
      </c>
      <c r="H72" s="9">
        <v>-75755.6</v>
      </c>
      <c r="I72" s="9">
        <v>-98246.04</v>
      </c>
      <c r="J72" s="9">
        <v>-106068.6</v>
      </c>
      <c r="K72" s="12">
        <v>-0.44</v>
      </c>
      <c r="L72" s="9">
        <v>-7391.64</v>
      </c>
      <c r="M72" s="9">
        <v>-4661.69</v>
      </c>
      <c r="N72" s="9">
        <v>-34683.28</v>
      </c>
      <c r="O72" s="9">
        <v>-46736.6</v>
      </c>
      <c r="P72" s="12">
        <v>-44.89</v>
      </c>
      <c r="Q72" s="12">
        <v>-11.63</v>
      </c>
      <c r="R72" s="12">
        <v>3.12</v>
      </c>
      <c r="S72" s="12">
        <v>-16.9</v>
      </c>
      <c r="T72" s="12">
        <v>-15.65</v>
      </c>
      <c r="U72" s="12">
        <v>3.33</v>
      </c>
      <c r="V72" s="12">
        <v>-7.35</v>
      </c>
      <c r="W72" s="12">
        <v>0.82</v>
      </c>
      <c r="X72" s="12">
        <v>0.35</v>
      </c>
      <c r="Y72" s="12">
        <v>5.56</v>
      </c>
      <c r="Z72" s="12">
        <v>0.74</v>
      </c>
      <c r="AA72" s="12">
        <v>138.66</v>
      </c>
      <c r="AB72" s="12">
        <v>2.63</v>
      </c>
      <c r="AC72" s="12">
        <v>5.7</v>
      </c>
      <c r="AD72" s="12">
        <v>64.05</v>
      </c>
      <c r="AE72" s="12">
        <v>2.13</v>
      </c>
      <c r="AF72" s="12">
        <v>171.71</v>
      </c>
      <c r="AG72" s="12">
        <v>-105.03</v>
      </c>
    </row>
    <row r="73">
      <c r="A73" s="8" t="s">
        <v>125</v>
      </c>
      <c r="B73" s="9">
        <v>627622.19</v>
      </c>
      <c r="C73" s="9">
        <v>327288.48</v>
      </c>
      <c r="D73" s="9">
        <v>278000.0</v>
      </c>
      <c r="E73" s="9">
        <v>300333.71</v>
      </c>
      <c r="F73" s="9">
        <v>611200.67</v>
      </c>
      <c r="G73" s="9">
        <v>639493.8</v>
      </c>
      <c r="H73" s="9">
        <v>2591.42</v>
      </c>
      <c r="I73" s="9">
        <v>-19472.24</v>
      </c>
      <c r="J73" s="9">
        <v>-23589.14</v>
      </c>
      <c r="K73" s="12">
        <v>-0.09</v>
      </c>
      <c r="L73" s="9">
        <v>38940.73</v>
      </c>
      <c r="M73" s="9">
        <v>-53977.05</v>
      </c>
      <c r="N73" s="9">
        <v>-1015.69</v>
      </c>
      <c r="O73" s="9">
        <v>-16052.0</v>
      </c>
      <c r="P73" s="12">
        <v>-7.54</v>
      </c>
      <c r="Q73" s="12">
        <v>-3.07</v>
      </c>
      <c r="R73" s="12">
        <v>13.06</v>
      </c>
      <c r="S73" s="12">
        <v>-3.86</v>
      </c>
      <c r="T73" s="12">
        <v>-3.19</v>
      </c>
      <c r="U73" s="12">
        <v>1.09</v>
      </c>
      <c r="V73" s="12">
        <v>-4.73</v>
      </c>
      <c r="W73" s="12">
        <v>1.14</v>
      </c>
      <c r="X73" s="12">
        <v>0.47</v>
      </c>
      <c r="Y73" s="12">
        <v>2.65</v>
      </c>
      <c r="Z73" s="12">
        <v>0.96</v>
      </c>
      <c r="AA73" s="12">
        <v>2.77</v>
      </c>
      <c r="AB73" s="12">
        <v>131.9</v>
      </c>
      <c r="AC73" s="12">
        <v>4.85</v>
      </c>
      <c r="AD73" s="12">
        <v>75.2</v>
      </c>
      <c r="AE73" s="12">
        <v>7.92</v>
      </c>
      <c r="AF73" s="12">
        <v>46.06</v>
      </c>
      <c r="AG73" s="12">
        <v>161.03</v>
      </c>
    </row>
    <row r="74">
      <c r="A74" s="8" t="s">
        <v>127</v>
      </c>
      <c r="B74" s="9">
        <v>614716.82</v>
      </c>
      <c r="C74" s="9">
        <v>161774.57</v>
      </c>
      <c r="D74" s="9">
        <v>170000.0</v>
      </c>
      <c r="E74" s="9">
        <v>452937.71</v>
      </c>
      <c r="F74" s="9">
        <v>400560.29</v>
      </c>
      <c r="G74" s="9">
        <v>391986.22</v>
      </c>
      <c r="H74" s="9">
        <v>34414.85</v>
      </c>
      <c r="I74" s="9">
        <v>8468.17</v>
      </c>
      <c r="J74" s="9">
        <v>5092.45</v>
      </c>
      <c r="K74" s="12">
        <v>0.01</v>
      </c>
      <c r="L74" s="9">
        <v>-10573.16</v>
      </c>
      <c r="M74" s="9">
        <v>-6089.94</v>
      </c>
      <c r="N74" s="9">
        <v>17127.94</v>
      </c>
      <c r="O74" s="12">
        <v>464.84</v>
      </c>
      <c r="P74" s="12">
        <v>1.13</v>
      </c>
      <c r="Q74" s="12">
        <v>1.44</v>
      </c>
      <c r="R74" s="12">
        <v>19.23</v>
      </c>
      <c r="S74" s="12">
        <v>1.27</v>
      </c>
      <c r="T74" s="12">
        <v>2.11</v>
      </c>
      <c r="U74" s="12">
        <v>0.36</v>
      </c>
      <c r="V74" s="12">
        <v>2.63</v>
      </c>
      <c r="W74" s="12">
        <v>1.43</v>
      </c>
      <c r="X74" s="12">
        <v>0.63</v>
      </c>
      <c r="Y74" s="12">
        <v>2.24</v>
      </c>
      <c r="Z74" s="12">
        <v>0.68</v>
      </c>
      <c r="AA74" s="12">
        <v>3.37</v>
      </c>
      <c r="AB74" s="12">
        <v>108.35</v>
      </c>
      <c r="AC74" s="12">
        <v>9.17</v>
      </c>
      <c r="AD74" s="12">
        <v>39.81</v>
      </c>
      <c r="AE74" s="12">
        <v>12.28</v>
      </c>
      <c r="AF74" s="12">
        <v>29.73</v>
      </c>
      <c r="AG74" s="12">
        <v>118.44</v>
      </c>
    </row>
    <row r="75">
      <c r="A75" s="8" t="s">
        <v>128</v>
      </c>
      <c r="B75" s="9">
        <v>1047543.91</v>
      </c>
      <c r="C75" s="9">
        <v>330722.62</v>
      </c>
      <c r="D75" s="9">
        <v>1124417.3</v>
      </c>
      <c r="E75" s="9">
        <v>720435.52</v>
      </c>
      <c r="F75" s="9">
        <v>911533.25</v>
      </c>
      <c r="G75" s="9">
        <v>870760.17</v>
      </c>
      <c r="H75" s="9">
        <v>134412.26</v>
      </c>
      <c r="I75" s="9">
        <v>40773.08</v>
      </c>
      <c r="J75" s="9">
        <v>43074.59</v>
      </c>
      <c r="K75" s="12">
        <v>0.06</v>
      </c>
      <c r="L75" s="9">
        <v>130230.32</v>
      </c>
      <c r="M75" s="9">
        <v>-274052.54</v>
      </c>
      <c r="N75" s="9">
        <v>281562.33</v>
      </c>
      <c r="O75" s="9">
        <v>137740.11</v>
      </c>
      <c r="P75" s="12">
        <v>7.48</v>
      </c>
      <c r="Q75" s="12">
        <v>4.69</v>
      </c>
      <c r="R75" s="12">
        <v>22.01</v>
      </c>
      <c r="S75" s="12">
        <v>3.53</v>
      </c>
      <c r="T75" s="12">
        <v>4.47</v>
      </c>
      <c r="U75" s="12">
        <v>0.46</v>
      </c>
      <c r="V75" s="12">
        <v>4.72</v>
      </c>
      <c r="W75" s="12">
        <v>1.32</v>
      </c>
      <c r="X75" s="12">
        <v>1.1</v>
      </c>
      <c r="Y75" s="12">
        <v>7.67</v>
      </c>
      <c r="Z75" s="12">
        <v>1.05</v>
      </c>
      <c r="AA75" s="12">
        <v>60.39</v>
      </c>
      <c r="AB75" s="12">
        <v>6.04</v>
      </c>
      <c r="AC75" s="12">
        <v>8.99</v>
      </c>
      <c r="AD75" s="12">
        <v>40.59</v>
      </c>
      <c r="AE75" s="12">
        <v>9.98</v>
      </c>
      <c r="AF75" s="12">
        <v>36.58</v>
      </c>
      <c r="AG75" s="12">
        <v>10.05</v>
      </c>
    </row>
    <row r="76">
      <c r="A76" s="8" t="s">
        <v>324</v>
      </c>
      <c r="B76" s="9">
        <v>1247275.99</v>
      </c>
      <c r="C76" s="9">
        <v>116508.3</v>
      </c>
      <c r="D76" s="9">
        <v>280946.34</v>
      </c>
      <c r="E76" s="9">
        <v>1127104.68</v>
      </c>
      <c r="F76" s="9">
        <v>811452.32</v>
      </c>
      <c r="G76" s="9">
        <v>615992.94</v>
      </c>
      <c r="H76" s="9">
        <v>315483.42</v>
      </c>
      <c r="I76" s="9">
        <v>195459.38</v>
      </c>
      <c r="J76" s="9">
        <v>157004.51</v>
      </c>
      <c r="K76" s="12">
        <v>0.05</v>
      </c>
      <c r="L76" s="9">
        <v>321957.21</v>
      </c>
      <c r="M76" s="9">
        <v>-274262.11</v>
      </c>
      <c r="N76" s="9">
        <v>-131605.54</v>
      </c>
      <c r="O76" s="9">
        <v>-83910.44</v>
      </c>
      <c r="P76" s="12">
        <v>13.98</v>
      </c>
      <c r="Q76" s="12">
        <v>15.8</v>
      </c>
      <c r="R76" s="12">
        <v>39.24</v>
      </c>
      <c r="S76" s="12">
        <v>19.48</v>
      </c>
      <c r="T76" s="12">
        <v>24.09</v>
      </c>
      <c r="U76" s="12">
        <v>0.1</v>
      </c>
      <c r="V76" s="12">
        <v>83.72</v>
      </c>
      <c r="W76" s="12">
        <v>9.29</v>
      </c>
      <c r="X76" s="12">
        <v>2.18</v>
      </c>
      <c r="Y76" s="12">
        <v>1.59</v>
      </c>
      <c r="Z76" s="12">
        <v>0.66</v>
      </c>
      <c r="AA76" s="12">
        <v>10.51</v>
      </c>
      <c r="AB76" s="12">
        <v>34.73</v>
      </c>
      <c r="AC76" s="12">
        <v>7.0</v>
      </c>
      <c r="AD76" s="12">
        <v>52.17</v>
      </c>
      <c r="AE76" s="12">
        <v>11.68</v>
      </c>
      <c r="AF76" s="12">
        <v>31.24</v>
      </c>
      <c r="AG76" s="12">
        <v>55.66</v>
      </c>
    </row>
    <row r="77">
      <c r="A77" s="8" t="s">
        <v>130</v>
      </c>
      <c r="B77" s="9">
        <v>366947.6</v>
      </c>
      <c r="C77" s="9">
        <v>212206.58</v>
      </c>
      <c r="D77" s="9">
        <v>115000.0</v>
      </c>
      <c r="E77" s="9">
        <v>154741.02</v>
      </c>
      <c r="F77" s="9">
        <v>973558.3</v>
      </c>
      <c r="G77" s="9">
        <v>949468.44</v>
      </c>
      <c r="H77" s="9">
        <v>40979.93</v>
      </c>
      <c r="I77" s="9">
        <v>24089.86</v>
      </c>
      <c r="J77" s="9">
        <v>14607.96</v>
      </c>
      <c r="K77" s="12">
        <v>0.08</v>
      </c>
      <c r="L77" s="9">
        <v>65687.85</v>
      </c>
      <c r="M77" s="9">
        <v>-12530.2</v>
      </c>
      <c r="N77" s="9">
        <v>-39508.21</v>
      </c>
      <c r="O77" s="9">
        <v>13649.44</v>
      </c>
      <c r="P77" s="12">
        <v>11.93</v>
      </c>
      <c r="Q77" s="12">
        <v>6.99</v>
      </c>
      <c r="R77" s="12">
        <v>12.49</v>
      </c>
      <c r="S77" s="12">
        <v>1.5</v>
      </c>
      <c r="T77" s="12">
        <v>2.47</v>
      </c>
      <c r="U77" s="12">
        <v>1.37</v>
      </c>
      <c r="V77" s="12">
        <v>3.8</v>
      </c>
      <c r="W77" s="12">
        <v>1.18</v>
      </c>
      <c r="X77" s="12">
        <v>0.29</v>
      </c>
      <c r="Y77" s="12">
        <v>7.91</v>
      </c>
      <c r="Z77" s="12">
        <v>2.82</v>
      </c>
      <c r="AA77" s="12">
        <v>5.7</v>
      </c>
      <c r="AB77" s="12">
        <v>64.01</v>
      </c>
      <c r="AC77" s="12">
        <v>51.88</v>
      </c>
      <c r="AD77" s="12">
        <v>7.04</v>
      </c>
      <c r="AE77" s="12">
        <v>7.26</v>
      </c>
      <c r="AF77" s="12">
        <v>50.27</v>
      </c>
      <c r="AG77" s="12">
        <v>20.78</v>
      </c>
    </row>
    <row r="78">
      <c r="A78" s="8" t="s">
        <v>132</v>
      </c>
      <c r="B78" s="9">
        <v>523219.64</v>
      </c>
      <c r="C78" s="9">
        <v>332753.88</v>
      </c>
      <c r="D78" s="9">
        <v>120000.0</v>
      </c>
      <c r="E78" s="9">
        <v>190465.76</v>
      </c>
      <c r="F78" s="9">
        <v>733460.05</v>
      </c>
      <c r="G78" s="9">
        <v>725947.42</v>
      </c>
      <c r="H78" s="9">
        <v>29206.88</v>
      </c>
      <c r="I78" s="9">
        <v>7891.05</v>
      </c>
      <c r="J78" s="9">
        <v>-3515.19</v>
      </c>
      <c r="K78" s="12">
        <v>-0.01</v>
      </c>
      <c r="L78" s="9">
        <v>1163.15</v>
      </c>
      <c r="M78" s="9">
        <v>-13887.37</v>
      </c>
      <c r="N78" s="9">
        <v>7207.85</v>
      </c>
      <c r="O78" s="9">
        <v>-5516.37</v>
      </c>
      <c r="P78" s="12">
        <v>-1.81</v>
      </c>
      <c r="Q78" s="12">
        <v>1.57</v>
      </c>
      <c r="R78" s="12">
        <v>21.96</v>
      </c>
      <c r="S78" s="12">
        <v>-0.48</v>
      </c>
      <c r="T78" s="12">
        <v>1.08</v>
      </c>
      <c r="U78" s="12">
        <v>1.75</v>
      </c>
      <c r="V78" s="12">
        <v>0.7</v>
      </c>
      <c r="W78" s="12">
        <v>1.18</v>
      </c>
      <c r="X78" s="12">
        <v>0.38</v>
      </c>
      <c r="Y78" s="12">
        <v>14.05</v>
      </c>
      <c r="Z78" s="12">
        <v>1.46</v>
      </c>
      <c r="AA78" s="12">
        <v>2.62</v>
      </c>
      <c r="AB78" s="12">
        <v>139.28</v>
      </c>
      <c r="AC78" s="12">
        <v>7.87</v>
      </c>
      <c r="AD78" s="12">
        <v>46.36</v>
      </c>
      <c r="AE78" s="12">
        <v>7.18</v>
      </c>
      <c r="AF78" s="12">
        <v>50.81</v>
      </c>
      <c r="AG78" s="12">
        <v>134.83</v>
      </c>
    </row>
    <row r="79">
      <c r="A79" s="8" t="s">
        <v>134</v>
      </c>
      <c r="B79" s="9">
        <v>614534.34</v>
      </c>
      <c r="C79" s="9">
        <v>115554.34</v>
      </c>
      <c r="D79" s="9">
        <v>215000.0</v>
      </c>
      <c r="E79" s="9">
        <v>498980.0</v>
      </c>
      <c r="F79" s="9">
        <v>441911.02</v>
      </c>
      <c r="G79" s="9">
        <v>378431.05</v>
      </c>
      <c r="H79" s="9">
        <v>84357.38</v>
      </c>
      <c r="I79" s="9">
        <v>63479.97</v>
      </c>
      <c r="J79" s="9">
        <v>46691.53</v>
      </c>
      <c r="K79" s="12">
        <v>0.11</v>
      </c>
      <c r="L79" s="9">
        <v>61651.9</v>
      </c>
      <c r="M79" s="9">
        <v>-29538.39</v>
      </c>
      <c r="N79" s="9">
        <v>-41670.59</v>
      </c>
      <c r="O79" s="9">
        <v>-9557.08</v>
      </c>
      <c r="P79" s="12">
        <v>9.49</v>
      </c>
      <c r="Q79" s="12">
        <v>10.68</v>
      </c>
      <c r="R79" s="12">
        <v>42.43</v>
      </c>
      <c r="S79" s="12">
        <v>10.57</v>
      </c>
      <c r="T79" s="12">
        <v>14.36</v>
      </c>
      <c r="U79" s="12">
        <v>0.23</v>
      </c>
      <c r="V79" s="12">
        <v>14.71</v>
      </c>
      <c r="W79" s="12">
        <v>6.46</v>
      </c>
      <c r="X79" s="12">
        <v>2.61</v>
      </c>
      <c r="Y79" s="12">
        <v>2.64</v>
      </c>
      <c r="Z79" s="12">
        <v>0.74</v>
      </c>
      <c r="AA79" s="12">
        <v>1.55</v>
      </c>
      <c r="AB79" s="12">
        <v>236.19</v>
      </c>
      <c r="AC79" s="12">
        <v>4.4</v>
      </c>
      <c r="AD79" s="12">
        <v>82.91</v>
      </c>
      <c r="AE79" s="12">
        <v>11.18</v>
      </c>
      <c r="AF79" s="12">
        <v>32.66</v>
      </c>
      <c r="AG79" s="12">
        <v>286.45</v>
      </c>
    </row>
    <row r="80">
      <c r="A80" s="8" t="s">
        <v>135</v>
      </c>
      <c r="B80" s="9">
        <v>1034984.79</v>
      </c>
      <c r="C80" s="9">
        <v>522020.45</v>
      </c>
      <c r="D80" s="9">
        <v>312000.0</v>
      </c>
      <c r="E80" s="9">
        <v>511719.61</v>
      </c>
      <c r="F80" s="9">
        <v>803789.78</v>
      </c>
      <c r="G80" s="9">
        <v>698290.88</v>
      </c>
      <c r="H80" s="9">
        <v>112618.35</v>
      </c>
      <c r="I80" s="9">
        <v>105498.9</v>
      </c>
      <c r="J80" s="9">
        <v>84657.52</v>
      </c>
      <c r="K80" s="12">
        <v>0.14</v>
      </c>
      <c r="L80" s="9">
        <v>78164.65</v>
      </c>
      <c r="M80" s="9">
        <v>-31940.65</v>
      </c>
      <c r="N80" s="9">
        <v>-11784.65</v>
      </c>
      <c r="O80" s="9">
        <v>34439.36</v>
      </c>
      <c r="P80" s="12">
        <v>17.46</v>
      </c>
      <c r="Q80" s="12">
        <v>10.68</v>
      </c>
      <c r="R80" s="12">
        <v>27.12</v>
      </c>
      <c r="S80" s="12">
        <v>10.53</v>
      </c>
      <c r="T80" s="12">
        <v>13.13</v>
      </c>
      <c r="U80" s="12">
        <v>1.02</v>
      </c>
      <c r="V80" s="12">
        <v>435.51</v>
      </c>
      <c r="W80" s="12">
        <v>2.11</v>
      </c>
      <c r="X80" s="12">
        <v>0.24</v>
      </c>
      <c r="Y80" s="12">
        <v>13.7</v>
      </c>
      <c r="Z80" s="12">
        <v>0.81</v>
      </c>
      <c r="AA80" s="12">
        <v>0.84</v>
      </c>
      <c r="AB80" s="12">
        <v>436.11</v>
      </c>
      <c r="AC80" s="12">
        <v>263.67</v>
      </c>
      <c r="AD80" s="12">
        <v>1.38</v>
      </c>
      <c r="AE80" s="12">
        <v>4.26</v>
      </c>
      <c r="AF80" s="12">
        <v>85.67</v>
      </c>
      <c r="AG80" s="12">
        <v>351.82</v>
      </c>
    </row>
    <row r="81">
      <c r="A81" s="8" t="s">
        <v>136</v>
      </c>
      <c r="B81" s="9">
        <v>475936.01</v>
      </c>
      <c r="C81" s="9">
        <v>111999.06</v>
      </c>
      <c r="D81" s="9">
        <v>210000.0</v>
      </c>
      <c r="E81" s="9">
        <v>363927.1</v>
      </c>
      <c r="F81" s="9">
        <v>355061.18</v>
      </c>
      <c r="G81" s="9">
        <v>305067.81</v>
      </c>
      <c r="H81" s="9">
        <v>75797.58</v>
      </c>
      <c r="I81" s="9">
        <v>50365.78</v>
      </c>
      <c r="J81" s="9">
        <v>43319.27</v>
      </c>
      <c r="K81" s="12">
        <v>0.1</v>
      </c>
      <c r="L81" s="9">
        <v>60655.39</v>
      </c>
      <c r="M81" s="9">
        <v>-10198.77</v>
      </c>
      <c r="N81" s="9">
        <v>-6977.86</v>
      </c>
      <c r="O81" s="9">
        <v>43478.77</v>
      </c>
      <c r="P81" s="12">
        <v>12.22</v>
      </c>
      <c r="Q81" s="12">
        <v>11.13</v>
      </c>
      <c r="R81" s="12">
        <v>26.44</v>
      </c>
      <c r="S81" s="12">
        <v>12.2</v>
      </c>
      <c r="T81" s="12">
        <v>14.19</v>
      </c>
      <c r="U81" s="12">
        <v>0.31</v>
      </c>
      <c r="V81" s="12">
        <v>19.53</v>
      </c>
      <c r="W81" s="12">
        <v>2.9</v>
      </c>
      <c r="X81" s="12">
        <v>1.79</v>
      </c>
      <c r="Y81" s="12">
        <v>2.22</v>
      </c>
      <c r="Z81" s="12">
        <v>0.78</v>
      </c>
      <c r="AA81" s="12">
        <v>2.15</v>
      </c>
      <c r="AB81" s="12">
        <v>169.62</v>
      </c>
      <c r="AC81" s="12">
        <v>5.05</v>
      </c>
      <c r="AD81" s="12">
        <v>72.24</v>
      </c>
      <c r="AE81" s="12">
        <v>13.09</v>
      </c>
      <c r="AF81" s="12">
        <v>27.87</v>
      </c>
      <c r="AG81" s="12">
        <v>213.99</v>
      </c>
    </row>
    <row r="82">
      <c r="A82" s="8" t="s">
        <v>137</v>
      </c>
      <c r="B82" s="9">
        <v>516073.76</v>
      </c>
      <c r="C82" s="9">
        <v>281153.3</v>
      </c>
      <c r="D82" s="9">
        <v>150000.0</v>
      </c>
      <c r="E82" s="9">
        <v>234920.45</v>
      </c>
      <c r="F82" s="9">
        <v>427048.59</v>
      </c>
      <c r="G82" s="9">
        <v>431646.31</v>
      </c>
      <c r="H82" s="9">
        <v>52411.86</v>
      </c>
      <c r="I82" s="9">
        <v>-4597.72</v>
      </c>
      <c r="J82" s="9">
        <v>-17602.25</v>
      </c>
      <c r="K82" s="12">
        <v>-0.03</v>
      </c>
      <c r="L82" s="9">
        <v>31411.59</v>
      </c>
      <c r="M82" s="9">
        <v>9480.1</v>
      </c>
      <c r="N82" s="9">
        <v>-19273.35</v>
      </c>
      <c r="O82" s="9">
        <v>21618.34</v>
      </c>
      <c r="P82" s="12">
        <v>-7.2</v>
      </c>
      <c r="Q82" s="12">
        <v>-1.07</v>
      </c>
      <c r="R82" s="12">
        <v>11.48</v>
      </c>
      <c r="S82" s="12">
        <v>-4.12</v>
      </c>
      <c r="T82" s="12">
        <v>-1.08</v>
      </c>
      <c r="U82" s="12">
        <v>1.2</v>
      </c>
      <c r="V82" s="12">
        <v>-0.29</v>
      </c>
      <c r="W82" s="12">
        <v>1.96</v>
      </c>
      <c r="X82" s="12">
        <v>1.5</v>
      </c>
      <c r="Y82" s="12">
        <v>3.27</v>
      </c>
      <c r="Z82" s="12">
        <v>1.0</v>
      </c>
      <c r="AA82" s="12">
        <v>17.89</v>
      </c>
      <c r="AB82" s="12">
        <v>20.4</v>
      </c>
      <c r="AC82" s="12">
        <v>34.73</v>
      </c>
      <c r="AD82" s="12">
        <v>10.51</v>
      </c>
      <c r="AE82" s="12">
        <v>6.35</v>
      </c>
      <c r="AF82" s="12">
        <v>57.45</v>
      </c>
      <c r="AG82" s="12">
        <v>-26.54</v>
      </c>
    </row>
    <row r="83">
      <c r="A83" s="8" t="s">
        <v>138</v>
      </c>
      <c r="B83" s="9">
        <v>983973.64</v>
      </c>
      <c r="C83" s="9">
        <v>357013.01</v>
      </c>
      <c r="D83" s="9">
        <v>160000.0</v>
      </c>
      <c r="E83" s="9">
        <v>614568.48</v>
      </c>
      <c r="F83" s="9">
        <v>1129127.73</v>
      </c>
      <c r="G83" s="9">
        <v>1066921.65</v>
      </c>
      <c r="H83" s="9">
        <v>86609.35</v>
      </c>
      <c r="I83" s="9">
        <v>73015.2</v>
      </c>
      <c r="J83" s="9">
        <v>56875.66</v>
      </c>
      <c r="K83" s="12">
        <v>0.26</v>
      </c>
      <c r="L83" s="9">
        <v>-27153.29</v>
      </c>
      <c r="M83" s="9">
        <v>-388228.0</v>
      </c>
      <c r="N83" s="9">
        <v>363136.35</v>
      </c>
      <c r="O83" s="9">
        <v>-52244.94</v>
      </c>
      <c r="P83" s="12">
        <v>14.03</v>
      </c>
      <c r="Q83" s="12">
        <v>10.0</v>
      </c>
      <c r="R83" s="12">
        <v>29.33</v>
      </c>
      <c r="S83" s="12">
        <v>5.12</v>
      </c>
      <c r="T83" s="12">
        <v>6.47</v>
      </c>
      <c r="U83" s="12">
        <v>0.57</v>
      </c>
      <c r="V83" s="12">
        <v>18.47</v>
      </c>
      <c r="W83" s="12">
        <v>3.11</v>
      </c>
      <c r="X83" s="12">
        <v>2.3</v>
      </c>
      <c r="Y83" s="12">
        <v>27.04</v>
      </c>
      <c r="Z83" s="12">
        <v>1.55</v>
      </c>
      <c r="AA83" s="12" t="s">
        <v>47</v>
      </c>
      <c r="AB83" s="12" t="s">
        <v>46</v>
      </c>
      <c r="AC83" s="12">
        <v>4.81</v>
      </c>
      <c r="AD83" s="12">
        <v>75.89</v>
      </c>
      <c r="AE83" s="12">
        <v>4.26</v>
      </c>
      <c r="AF83" s="12">
        <v>85.67</v>
      </c>
      <c r="AG83" s="12">
        <v>-9.78</v>
      </c>
    </row>
    <row r="84">
      <c r="A84" s="8" t="s">
        <v>139</v>
      </c>
      <c r="B84" s="9">
        <v>2644784.25</v>
      </c>
      <c r="C84" s="9">
        <v>1569832.79</v>
      </c>
      <c r="D84" s="9">
        <v>221449.46</v>
      </c>
      <c r="E84" s="9">
        <v>1074951.28</v>
      </c>
      <c r="F84" s="9">
        <v>396423.74</v>
      </c>
      <c r="G84" s="9">
        <v>191616.45</v>
      </c>
      <c r="H84" s="9">
        <v>215722.7</v>
      </c>
      <c r="I84" s="9">
        <v>204807.29</v>
      </c>
      <c r="J84" s="9">
        <v>71241.11</v>
      </c>
      <c r="K84" s="12">
        <v>0.32</v>
      </c>
      <c r="L84" s="9">
        <v>54254.76</v>
      </c>
      <c r="M84" s="9">
        <v>681506.03</v>
      </c>
      <c r="N84" s="9">
        <v>-924788.84</v>
      </c>
      <c r="O84" s="9">
        <v>-189028.06</v>
      </c>
      <c r="P84" s="12">
        <v>6.45</v>
      </c>
      <c r="Q84" s="12">
        <v>6.61</v>
      </c>
      <c r="R84" s="12">
        <v>66.65</v>
      </c>
      <c r="S84" s="12">
        <v>17.97</v>
      </c>
      <c r="T84" s="12">
        <v>51.66</v>
      </c>
      <c r="U84" s="12">
        <v>1.46</v>
      </c>
      <c r="V84" s="12">
        <v>2.36</v>
      </c>
      <c r="W84" s="12">
        <v>1.66</v>
      </c>
      <c r="X84" s="12">
        <v>0.04</v>
      </c>
      <c r="Y84" s="12" t="s">
        <v>46</v>
      </c>
      <c r="Z84" s="12">
        <v>0.13</v>
      </c>
      <c r="AA84" s="12" t="s">
        <v>47</v>
      </c>
      <c r="AB84" s="12" t="s">
        <v>46</v>
      </c>
      <c r="AC84" s="12" t="s">
        <v>47</v>
      </c>
      <c r="AD84" s="12" t="s">
        <v>46</v>
      </c>
      <c r="AE84" s="12" t="s">
        <v>47</v>
      </c>
      <c r="AF84" s="12" t="s">
        <v>46</v>
      </c>
      <c r="AG84" s="12" t="s">
        <v>46</v>
      </c>
    </row>
    <row r="85">
      <c r="A85" s="8" t="s">
        <v>140</v>
      </c>
      <c r="B85" s="9">
        <v>1447560.19</v>
      </c>
      <c r="C85" s="9">
        <v>852671.97</v>
      </c>
      <c r="D85" s="9">
        <v>191895.14</v>
      </c>
      <c r="E85" s="9">
        <v>594888.22</v>
      </c>
      <c r="F85" s="9">
        <v>1892130.74</v>
      </c>
      <c r="G85" s="9">
        <v>1677963.28</v>
      </c>
      <c r="H85" s="9">
        <v>293494.3</v>
      </c>
      <c r="I85" s="9">
        <v>219175.1</v>
      </c>
      <c r="J85" s="9">
        <v>176063.22</v>
      </c>
      <c r="K85" s="12">
        <v>0.92</v>
      </c>
      <c r="L85" s="9">
        <v>234896.54</v>
      </c>
      <c r="M85" s="9">
        <v>-92278.89</v>
      </c>
      <c r="N85" s="9">
        <v>-105612.81</v>
      </c>
      <c r="O85" s="9">
        <v>37004.83</v>
      </c>
      <c r="P85" s="12">
        <v>32.01</v>
      </c>
      <c r="Q85" s="12">
        <v>16.7</v>
      </c>
      <c r="R85" s="12">
        <v>16.53</v>
      </c>
      <c r="S85" s="12">
        <v>9.31</v>
      </c>
      <c r="T85" s="12">
        <v>11.58</v>
      </c>
      <c r="U85" s="12">
        <v>1.43</v>
      </c>
      <c r="V85" s="12">
        <v>16.47</v>
      </c>
      <c r="W85" s="12">
        <v>0.95</v>
      </c>
      <c r="X85" s="12">
        <v>0.46</v>
      </c>
      <c r="Y85" s="12">
        <v>3.19</v>
      </c>
      <c r="Z85" s="12">
        <v>1.44</v>
      </c>
      <c r="AA85" s="12">
        <v>5.82</v>
      </c>
      <c r="AB85" s="12">
        <v>62.76</v>
      </c>
      <c r="AC85" s="12">
        <v>6.83</v>
      </c>
      <c r="AD85" s="12">
        <v>53.42</v>
      </c>
      <c r="AE85" s="12">
        <v>6.95</v>
      </c>
      <c r="AF85" s="12">
        <v>52.5</v>
      </c>
      <c r="AG85" s="12">
        <v>63.69</v>
      </c>
    </row>
    <row r="86">
      <c r="A86" s="8" t="s">
        <v>141</v>
      </c>
      <c r="B86" s="9">
        <v>5185404.46</v>
      </c>
      <c r="C86" s="9">
        <v>3376451.39</v>
      </c>
      <c r="D86" s="9">
        <v>1275137.39</v>
      </c>
      <c r="E86" s="9">
        <v>1748134.2</v>
      </c>
      <c r="F86" s="9">
        <v>199508.81</v>
      </c>
      <c r="G86" s="9">
        <v>306289.89</v>
      </c>
      <c r="H86" s="9">
        <v>-82707.39</v>
      </c>
      <c r="I86" s="9">
        <v>-86805.33</v>
      </c>
      <c r="J86" s="9">
        <v>-117979.04</v>
      </c>
      <c r="K86" s="12">
        <v>-0.1</v>
      </c>
      <c r="L86" s="9">
        <v>399170.88</v>
      </c>
      <c r="M86" s="9">
        <v>106553.36</v>
      </c>
      <c r="N86" s="9">
        <v>-450830.07</v>
      </c>
      <c r="O86" s="9">
        <v>54894.18</v>
      </c>
      <c r="P86" s="12">
        <v>-6.53</v>
      </c>
      <c r="Q86" s="12">
        <v>-1.74</v>
      </c>
      <c r="R86" s="12">
        <v>2.87</v>
      </c>
      <c r="S86" s="12">
        <v>-69.47</v>
      </c>
      <c r="T86" s="12">
        <v>-43.51</v>
      </c>
      <c r="U86" s="12">
        <v>1.87</v>
      </c>
      <c r="V86" s="12">
        <v>-2.02</v>
      </c>
      <c r="W86" s="12">
        <v>1.3</v>
      </c>
      <c r="X86" s="12">
        <v>0.54</v>
      </c>
      <c r="Y86" s="12">
        <v>11.06</v>
      </c>
      <c r="Z86" s="12">
        <v>0.04</v>
      </c>
      <c r="AA86" s="12" t="s">
        <v>47</v>
      </c>
      <c r="AB86" s="12" t="s">
        <v>46</v>
      </c>
      <c r="AC86" s="12">
        <v>0.0</v>
      </c>
      <c r="AD86" s="9">
        <v>95488.99</v>
      </c>
      <c r="AE86" s="12">
        <v>0.0</v>
      </c>
      <c r="AF86" s="9">
        <v>101232.94</v>
      </c>
      <c r="AG86" s="9">
        <v>-5743.96</v>
      </c>
    </row>
    <row r="87">
      <c r="A87" s="8" t="s">
        <v>142</v>
      </c>
      <c r="B87" s="9">
        <v>585975.85</v>
      </c>
      <c r="C87" s="9">
        <v>72230.26</v>
      </c>
      <c r="D87" s="9">
        <v>200000.0</v>
      </c>
      <c r="E87" s="9">
        <v>475423.55</v>
      </c>
      <c r="F87" s="9">
        <v>752868.93</v>
      </c>
      <c r="G87" s="9">
        <v>629678.02</v>
      </c>
      <c r="H87" s="9">
        <v>138018.12</v>
      </c>
      <c r="I87" s="9">
        <v>126486.26</v>
      </c>
      <c r="J87" s="9">
        <v>99680.07</v>
      </c>
      <c r="K87" s="12">
        <v>0.25</v>
      </c>
      <c r="L87" s="9">
        <v>112372.67</v>
      </c>
      <c r="M87" s="9">
        <v>-68131.36</v>
      </c>
      <c r="N87" s="9">
        <v>-37864.26</v>
      </c>
      <c r="O87" s="9">
        <v>6377.05</v>
      </c>
      <c r="P87" s="12">
        <v>22.69</v>
      </c>
      <c r="Q87" s="12">
        <v>23.3</v>
      </c>
      <c r="R87" s="12">
        <v>32.13</v>
      </c>
      <c r="S87" s="12">
        <v>14.62</v>
      </c>
      <c r="T87" s="12">
        <v>16.8</v>
      </c>
      <c r="U87" s="12">
        <v>0.14</v>
      </c>
      <c r="V87" s="12">
        <v>177.47</v>
      </c>
      <c r="W87" s="12">
        <v>7.63</v>
      </c>
      <c r="X87" s="12">
        <v>5.73</v>
      </c>
      <c r="Y87" s="12">
        <v>7.87</v>
      </c>
      <c r="Z87" s="12">
        <v>1.39</v>
      </c>
      <c r="AA87" s="12">
        <v>7.38</v>
      </c>
      <c r="AB87" s="12">
        <v>49.47</v>
      </c>
      <c r="AC87" s="12">
        <v>5.26</v>
      </c>
      <c r="AD87" s="12">
        <v>69.33</v>
      </c>
      <c r="AE87" s="12">
        <v>15.17</v>
      </c>
      <c r="AF87" s="12">
        <v>24.06</v>
      </c>
      <c r="AG87" s="12">
        <v>94.74</v>
      </c>
    </row>
    <row r="88">
      <c r="A88" s="8" t="s">
        <v>143</v>
      </c>
      <c r="B88" s="9">
        <v>1476418.6</v>
      </c>
      <c r="C88" s="9">
        <v>727849.86</v>
      </c>
      <c r="D88" s="9">
        <v>357321.25</v>
      </c>
      <c r="E88" s="9">
        <v>748568.01</v>
      </c>
      <c r="F88" s="9">
        <v>490785.14</v>
      </c>
      <c r="G88" s="9">
        <v>396590.25</v>
      </c>
      <c r="H88" s="9">
        <v>77103.32</v>
      </c>
      <c r="I88" s="9">
        <v>62540.3</v>
      </c>
      <c r="J88" s="9">
        <v>25786.08</v>
      </c>
      <c r="K88" s="12">
        <v>0.04</v>
      </c>
      <c r="L88" s="9">
        <v>-61565.66</v>
      </c>
      <c r="M88" s="9">
        <v>-5883.83</v>
      </c>
      <c r="N88" s="9">
        <v>75858.43</v>
      </c>
      <c r="O88" s="9">
        <v>8408.95</v>
      </c>
      <c r="P88" s="12">
        <v>3.49</v>
      </c>
      <c r="Q88" s="12">
        <v>4.44</v>
      </c>
      <c r="R88" s="12">
        <v>29.69</v>
      </c>
      <c r="S88" s="12">
        <v>5.25</v>
      </c>
      <c r="T88" s="12">
        <v>12.74</v>
      </c>
      <c r="U88" s="12">
        <v>0.97</v>
      </c>
      <c r="V88" s="12">
        <v>2.23</v>
      </c>
      <c r="W88" s="12">
        <v>1.4</v>
      </c>
      <c r="X88" s="12">
        <v>0.08</v>
      </c>
      <c r="Y88" s="12" t="s">
        <v>46</v>
      </c>
      <c r="Z88" s="12">
        <v>0.35</v>
      </c>
      <c r="AA88" s="12" t="s">
        <v>47</v>
      </c>
      <c r="AB88" s="12" t="s">
        <v>46</v>
      </c>
      <c r="AC88" s="12" t="s">
        <v>47</v>
      </c>
      <c r="AD88" s="12" t="s">
        <v>46</v>
      </c>
      <c r="AE88" s="12" t="s">
        <v>47</v>
      </c>
      <c r="AF88" s="12" t="s">
        <v>46</v>
      </c>
      <c r="AG88" s="12" t="s">
        <v>46</v>
      </c>
    </row>
    <row r="89">
      <c r="A89" s="8" t="s">
        <v>144</v>
      </c>
      <c r="B89" s="9">
        <v>1003506.74</v>
      </c>
      <c r="C89" s="9">
        <v>209738.32</v>
      </c>
      <c r="D89" s="9">
        <v>168722.63</v>
      </c>
      <c r="E89" s="9">
        <v>793768.42</v>
      </c>
      <c r="F89" s="9">
        <v>801846.97</v>
      </c>
      <c r="G89" s="9">
        <v>782742.98</v>
      </c>
      <c r="H89" s="9">
        <v>79610.82</v>
      </c>
      <c r="I89" s="9">
        <v>60070.77</v>
      </c>
      <c r="J89" s="9">
        <v>57175.9</v>
      </c>
      <c r="K89" s="12">
        <v>0.34</v>
      </c>
      <c r="L89" s="9">
        <v>33527.82</v>
      </c>
      <c r="M89" s="9">
        <v>62002.38</v>
      </c>
      <c r="N89" s="9">
        <v>-56334.89</v>
      </c>
      <c r="O89" s="9">
        <v>39195.31</v>
      </c>
      <c r="P89" s="12">
        <v>7.27</v>
      </c>
      <c r="Q89" s="12">
        <v>5.97</v>
      </c>
      <c r="R89" s="12">
        <v>38.54</v>
      </c>
      <c r="S89" s="12">
        <v>7.13</v>
      </c>
      <c r="T89" s="12">
        <v>7.49</v>
      </c>
      <c r="U89" s="12">
        <v>0.26</v>
      </c>
      <c r="V89" s="12">
        <v>87.19</v>
      </c>
      <c r="W89" s="12">
        <v>1.78</v>
      </c>
      <c r="X89" s="12">
        <v>1.27</v>
      </c>
      <c r="Y89" s="12">
        <v>23.59</v>
      </c>
      <c r="Z89" s="12">
        <v>0.8</v>
      </c>
      <c r="AA89" s="12">
        <v>5.2</v>
      </c>
      <c r="AB89" s="12">
        <v>70.24</v>
      </c>
      <c r="AC89" s="12">
        <v>3.93</v>
      </c>
      <c r="AD89" s="12">
        <v>92.76</v>
      </c>
      <c r="AE89" s="12">
        <v>2.48</v>
      </c>
      <c r="AF89" s="12">
        <v>147.0</v>
      </c>
      <c r="AG89" s="12">
        <v>16.0</v>
      </c>
    </row>
    <row r="90">
      <c r="A90" s="8" t="s">
        <v>145</v>
      </c>
      <c r="B90" s="9">
        <v>530362.92</v>
      </c>
      <c r="C90" s="9">
        <v>234914.58</v>
      </c>
      <c r="D90" s="9">
        <v>326543.58</v>
      </c>
      <c r="E90" s="9">
        <v>278621.54</v>
      </c>
      <c r="F90" s="9">
        <v>42269.32</v>
      </c>
      <c r="G90" s="9">
        <v>80173.79</v>
      </c>
      <c r="H90" s="9">
        <v>-43404.16</v>
      </c>
      <c r="I90" s="9">
        <v>-46771.2</v>
      </c>
      <c r="J90" s="9">
        <v>-47221.96</v>
      </c>
      <c r="K90" s="12">
        <v>-0.01</v>
      </c>
      <c r="L90" s="9">
        <v>47623.08</v>
      </c>
      <c r="M90" s="9">
        <v>-110783.07</v>
      </c>
      <c r="N90" s="9">
        <v>33994.98</v>
      </c>
      <c r="O90" s="9">
        <v>-29165.01</v>
      </c>
      <c r="P90" s="12">
        <v>-15.62</v>
      </c>
      <c r="Q90" s="12">
        <v>-8.99</v>
      </c>
      <c r="R90" s="12">
        <v>14.99</v>
      </c>
      <c r="S90" s="12">
        <v>-115.39</v>
      </c>
      <c r="T90" s="12">
        <v>-110.65</v>
      </c>
      <c r="U90" s="12">
        <v>0.8</v>
      </c>
      <c r="V90" s="12">
        <v>-23.83</v>
      </c>
      <c r="W90" s="12">
        <v>0.26</v>
      </c>
      <c r="X90" s="12">
        <v>0.12</v>
      </c>
      <c r="Y90" s="12">
        <v>2.48</v>
      </c>
      <c r="Z90" s="12">
        <v>0.08</v>
      </c>
      <c r="AA90" s="12">
        <v>0.93</v>
      </c>
      <c r="AB90" s="12">
        <v>392.0</v>
      </c>
      <c r="AC90" s="12">
        <v>1.42</v>
      </c>
      <c r="AD90" s="12">
        <v>256.89</v>
      </c>
      <c r="AE90" s="12">
        <v>0.62</v>
      </c>
      <c r="AF90" s="12">
        <v>586.75</v>
      </c>
      <c r="AG90" s="12">
        <v>62.15</v>
      </c>
    </row>
    <row r="91">
      <c r="A91" s="8" t="s">
        <v>147</v>
      </c>
      <c r="B91" s="9">
        <v>4792417.62</v>
      </c>
      <c r="C91" s="9">
        <v>2556567.92</v>
      </c>
      <c r="D91" s="9">
        <v>1054903.75</v>
      </c>
      <c r="E91" s="9">
        <v>2265186.13</v>
      </c>
      <c r="F91" s="9">
        <v>2315540.53</v>
      </c>
      <c r="G91" s="9">
        <v>2663740.71</v>
      </c>
      <c r="H91" s="9">
        <v>154167.21</v>
      </c>
      <c r="I91" s="9">
        <v>-348200.17</v>
      </c>
      <c r="J91" s="9">
        <v>-395093.2</v>
      </c>
      <c r="K91" s="12">
        <v>-0.38</v>
      </c>
      <c r="L91" s="9">
        <v>337542.05</v>
      </c>
      <c r="M91" s="9">
        <v>-241882.99</v>
      </c>
      <c r="N91" s="9">
        <v>-74084.62</v>
      </c>
      <c r="O91" s="9">
        <v>21574.43</v>
      </c>
      <c r="P91" s="12">
        <v>-15.91</v>
      </c>
      <c r="Q91" s="12">
        <v>-7.74</v>
      </c>
      <c r="R91" s="12">
        <v>59.74</v>
      </c>
      <c r="S91" s="12">
        <v>-18.13</v>
      </c>
      <c r="T91" s="12">
        <v>-15.04</v>
      </c>
      <c r="U91" s="12">
        <v>1.14</v>
      </c>
      <c r="V91" s="12">
        <v>-4.13</v>
      </c>
      <c r="W91" s="12">
        <v>0.39</v>
      </c>
      <c r="X91" s="12">
        <v>0.24</v>
      </c>
      <c r="Y91" s="12">
        <v>4.5</v>
      </c>
      <c r="Z91" s="12">
        <v>0.51</v>
      </c>
      <c r="AA91" s="12">
        <v>5.41</v>
      </c>
      <c r="AB91" s="12">
        <v>67.43</v>
      </c>
      <c r="AC91" s="12">
        <v>16.26</v>
      </c>
      <c r="AD91" s="12">
        <v>22.44</v>
      </c>
      <c r="AE91" s="12">
        <v>2.37</v>
      </c>
      <c r="AF91" s="12">
        <v>154.26</v>
      </c>
      <c r="AG91" s="12">
        <v>-64.39</v>
      </c>
    </row>
    <row r="92">
      <c r="A92" s="8" t="s">
        <v>148</v>
      </c>
      <c r="B92" s="9">
        <v>289633.35</v>
      </c>
      <c r="C92" s="9">
        <v>163669.58</v>
      </c>
      <c r="D92" s="9">
        <v>100000.0</v>
      </c>
      <c r="E92" s="9">
        <v>126413.5</v>
      </c>
      <c r="F92" s="9">
        <v>209081.07</v>
      </c>
      <c r="G92" s="9">
        <v>249113.29</v>
      </c>
      <c r="H92" s="9">
        <v>-23875.96</v>
      </c>
      <c r="I92" s="9">
        <v>-40039.94</v>
      </c>
      <c r="J92" s="9">
        <v>-43460.31</v>
      </c>
      <c r="K92" s="12">
        <v>-0.22</v>
      </c>
      <c r="L92" s="9">
        <v>4012.87</v>
      </c>
      <c r="M92" s="9">
        <v>-8704.46</v>
      </c>
      <c r="N92" s="9">
        <v>-5596.66</v>
      </c>
      <c r="O92" s="9">
        <v>-10288.25</v>
      </c>
      <c r="P92" s="12">
        <v>-29.72</v>
      </c>
      <c r="Q92" s="12">
        <v>-12.35</v>
      </c>
      <c r="R92" s="12">
        <v>13.54</v>
      </c>
      <c r="S92" s="12">
        <v>-20.9</v>
      </c>
      <c r="T92" s="12">
        <v>-19.15</v>
      </c>
      <c r="U92" s="12">
        <v>1.3</v>
      </c>
      <c r="V92" s="12">
        <v>-9.36</v>
      </c>
      <c r="W92" s="12">
        <v>1.66</v>
      </c>
      <c r="X92" s="12">
        <v>1.48</v>
      </c>
      <c r="Y92" s="12">
        <v>2.04</v>
      </c>
      <c r="Z92" s="12">
        <v>0.64</v>
      </c>
      <c r="AA92" s="12">
        <v>21.9</v>
      </c>
      <c r="AB92" s="12">
        <v>16.67</v>
      </c>
      <c r="AC92" s="12">
        <v>1.33</v>
      </c>
      <c r="AD92" s="12">
        <v>274.17</v>
      </c>
      <c r="AE92" s="12">
        <v>2.4</v>
      </c>
      <c r="AF92" s="12">
        <v>151.92</v>
      </c>
      <c r="AG92" s="12">
        <v>138.92</v>
      </c>
    </row>
    <row r="93">
      <c r="A93" s="8" t="s">
        <v>149</v>
      </c>
      <c r="B93" s="9">
        <v>757689.16</v>
      </c>
      <c r="C93" s="9">
        <v>480857.86</v>
      </c>
      <c r="D93" s="9">
        <v>113538.06</v>
      </c>
      <c r="E93" s="9">
        <v>254719.7</v>
      </c>
      <c r="F93" s="9">
        <v>924731.53</v>
      </c>
      <c r="G93" s="9">
        <v>932906.32</v>
      </c>
      <c r="H93" s="9">
        <v>28624.4</v>
      </c>
      <c r="I93" s="9">
        <v>-6338.41</v>
      </c>
      <c r="J93" s="9">
        <v>-26072.82</v>
      </c>
      <c r="K93" s="12">
        <v>-0.06</v>
      </c>
      <c r="L93" s="9">
        <v>35552.06</v>
      </c>
      <c r="M93" s="9">
        <v>-2114.29</v>
      </c>
      <c r="N93" s="9">
        <v>-23733.14</v>
      </c>
      <c r="O93" s="9">
        <v>9704.63</v>
      </c>
      <c r="P93" s="12">
        <v>-9.67</v>
      </c>
      <c r="Q93" s="12">
        <v>-0.81</v>
      </c>
      <c r="R93" s="12">
        <v>19.5</v>
      </c>
      <c r="S93" s="12">
        <v>-2.62</v>
      </c>
      <c r="T93" s="12">
        <v>-0.69</v>
      </c>
      <c r="U93" s="12">
        <v>1.74</v>
      </c>
      <c r="V93" s="12">
        <v>-0.49</v>
      </c>
      <c r="W93" s="12">
        <v>0.86</v>
      </c>
      <c r="X93" s="12">
        <v>0.72</v>
      </c>
      <c r="Y93" s="12">
        <v>6.09</v>
      </c>
      <c r="Z93" s="12">
        <v>1.18</v>
      </c>
      <c r="AA93" s="12">
        <v>187.87</v>
      </c>
      <c r="AB93" s="12">
        <v>1.94</v>
      </c>
      <c r="AC93" s="12">
        <v>3.43</v>
      </c>
      <c r="AD93" s="12">
        <v>106.47</v>
      </c>
      <c r="AE93" s="12">
        <v>4.35</v>
      </c>
      <c r="AF93" s="12">
        <v>83.91</v>
      </c>
      <c r="AG93" s="12">
        <v>24.5</v>
      </c>
    </row>
    <row r="94">
      <c r="A94" s="8" t="s">
        <v>150</v>
      </c>
      <c r="B94" s="9">
        <v>1085140.26</v>
      </c>
      <c r="C94" s="9">
        <v>331029.28</v>
      </c>
      <c r="D94" s="9">
        <v>315391.51</v>
      </c>
      <c r="E94" s="9">
        <v>752191.24</v>
      </c>
      <c r="F94" s="9">
        <v>778871.73</v>
      </c>
      <c r="G94" s="9">
        <v>717218.57</v>
      </c>
      <c r="H94" s="9">
        <v>109153.74</v>
      </c>
      <c r="I94" s="9">
        <v>64206.17</v>
      </c>
      <c r="J94" s="9">
        <v>45263.69</v>
      </c>
      <c r="K94" s="12">
        <v>0.14</v>
      </c>
      <c r="L94" s="9">
        <v>137760.14</v>
      </c>
      <c r="M94" s="9">
        <v>-22387.91</v>
      </c>
      <c r="N94" s="9">
        <v>-62316.52</v>
      </c>
      <c r="O94" s="9">
        <v>53055.7</v>
      </c>
      <c r="P94" s="12">
        <v>6.23</v>
      </c>
      <c r="Q94" s="12">
        <v>5.98</v>
      </c>
      <c r="R94" s="12">
        <v>23.82</v>
      </c>
      <c r="S94" s="12">
        <v>5.8</v>
      </c>
      <c r="T94" s="12">
        <v>8.24</v>
      </c>
      <c r="U94" s="12">
        <v>0.44</v>
      </c>
      <c r="V94" s="12">
        <v>9.41</v>
      </c>
      <c r="W94" s="12">
        <v>1.42</v>
      </c>
      <c r="X94" s="12">
        <v>0.9</v>
      </c>
      <c r="Y94" s="12">
        <v>1.35</v>
      </c>
      <c r="Z94" s="12">
        <v>0.73</v>
      </c>
      <c r="AA94" s="12">
        <v>4.9</v>
      </c>
      <c r="AB94" s="12">
        <v>74.56</v>
      </c>
      <c r="AC94" s="12">
        <v>6.91</v>
      </c>
      <c r="AD94" s="12">
        <v>52.83</v>
      </c>
      <c r="AE94" s="12">
        <v>9.65</v>
      </c>
      <c r="AF94" s="12">
        <v>37.83</v>
      </c>
      <c r="AG94" s="12">
        <v>89.56</v>
      </c>
    </row>
    <row r="95">
      <c r="A95" s="8" t="s">
        <v>151</v>
      </c>
      <c r="B95" s="9">
        <v>609408.38</v>
      </c>
      <c r="C95" s="9">
        <v>144504.61</v>
      </c>
      <c r="D95" s="9">
        <v>200000.0</v>
      </c>
      <c r="E95" s="9">
        <v>464903.77</v>
      </c>
      <c r="F95" s="9">
        <v>394432.87</v>
      </c>
      <c r="G95" s="9">
        <v>235007.68</v>
      </c>
      <c r="H95" s="9">
        <v>173704.35</v>
      </c>
      <c r="I95" s="9">
        <v>158054.71</v>
      </c>
      <c r="J95" s="9">
        <v>156447.92</v>
      </c>
      <c r="K95" s="12">
        <v>0.78</v>
      </c>
      <c r="L95" s="9">
        <v>166006.05</v>
      </c>
      <c r="M95" s="9">
        <v>47457.76</v>
      </c>
      <c r="N95" s="9">
        <v>-200291.9</v>
      </c>
      <c r="O95" s="9">
        <v>13171.91</v>
      </c>
      <c r="P95" s="12">
        <v>32.44</v>
      </c>
      <c r="Q95" s="12">
        <v>25.16</v>
      </c>
      <c r="R95" s="12">
        <v>78.84</v>
      </c>
      <c r="S95" s="12">
        <v>39.66</v>
      </c>
      <c r="T95" s="12">
        <v>40.07</v>
      </c>
      <c r="U95" s="12">
        <v>0.31</v>
      </c>
      <c r="V95" s="12">
        <v>498.49</v>
      </c>
      <c r="W95" s="12">
        <v>3.72</v>
      </c>
      <c r="X95" s="12">
        <v>1.07</v>
      </c>
      <c r="Y95" s="12">
        <v>12.84</v>
      </c>
      <c r="Z95" s="12">
        <v>0.63</v>
      </c>
      <c r="AA95" s="12">
        <v>785.84</v>
      </c>
      <c r="AB95" s="12">
        <v>0.46</v>
      </c>
      <c r="AC95" s="12">
        <v>5.94</v>
      </c>
      <c r="AD95" s="12">
        <v>61.49</v>
      </c>
      <c r="AE95" s="12">
        <v>12.42</v>
      </c>
      <c r="AF95" s="12">
        <v>29.4</v>
      </c>
      <c r="AG95" s="12">
        <v>32.55</v>
      </c>
    </row>
    <row r="96">
      <c r="A96" s="8" t="s">
        <v>152</v>
      </c>
      <c r="B96" s="9">
        <v>918363.59</v>
      </c>
      <c r="C96" s="9">
        <v>313454.74</v>
      </c>
      <c r="D96" s="9">
        <v>7.462886176E7</v>
      </c>
      <c r="E96" s="9">
        <v>604908.85</v>
      </c>
      <c r="F96" s="9">
        <v>147457.24</v>
      </c>
      <c r="G96" s="9">
        <v>183479.64</v>
      </c>
      <c r="H96" s="9">
        <v>-39271.14</v>
      </c>
      <c r="I96" s="9">
        <v>-50292.1</v>
      </c>
      <c r="J96" s="9">
        <v>-37807.56</v>
      </c>
      <c r="K96" s="12" t="s">
        <v>46</v>
      </c>
      <c r="L96" s="9">
        <v>-35586.88</v>
      </c>
      <c r="M96" s="9">
        <v>-249626.84</v>
      </c>
      <c r="N96" s="9">
        <v>125907.34</v>
      </c>
      <c r="O96" s="9">
        <v>-159306.38</v>
      </c>
      <c r="P96" s="12">
        <v>-6.45</v>
      </c>
      <c r="Q96" s="12">
        <v>-6.19</v>
      </c>
      <c r="R96" s="12">
        <v>21.51</v>
      </c>
      <c r="S96" s="12">
        <v>-25.64</v>
      </c>
      <c r="T96" s="12">
        <v>-34.11</v>
      </c>
      <c r="U96" s="12">
        <v>0.52</v>
      </c>
      <c r="V96" s="12">
        <v>-65.98</v>
      </c>
      <c r="W96" s="12">
        <v>0.47</v>
      </c>
      <c r="X96" s="12">
        <v>0.3</v>
      </c>
      <c r="Y96" s="12">
        <v>24.36</v>
      </c>
      <c r="Z96" s="12">
        <v>0.18</v>
      </c>
      <c r="AA96" s="12">
        <v>73.62</v>
      </c>
      <c r="AB96" s="12">
        <v>4.96</v>
      </c>
      <c r="AC96" s="12">
        <v>1.26</v>
      </c>
      <c r="AD96" s="12">
        <v>290.71</v>
      </c>
      <c r="AE96" s="12">
        <v>0.56</v>
      </c>
      <c r="AF96" s="12">
        <v>652.0</v>
      </c>
      <c r="AG96" s="12">
        <v>-356.33</v>
      </c>
    </row>
    <row r="97">
      <c r="A97" s="8" t="s">
        <v>153</v>
      </c>
      <c r="B97" s="9">
        <v>490132.58</v>
      </c>
      <c r="C97" s="9">
        <v>53524.07</v>
      </c>
      <c r="D97" s="9">
        <v>100000.0</v>
      </c>
      <c r="E97" s="9">
        <v>436608.51</v>
      </c>
      <c r="F97" s="9">
        <v>215007.91</v>
      </c>
      <c r="G97" s="9">
        <v>203713.34</v>
      </c>
      <c r="H97" s="9">
        <v>23422.83</v>
      </c>
      <c r="I97" s="9">
        <v>10986.81</v>
      </c>
      <c r="J97" s="9">
        <v>9512.33</v>
      </c>
      <c r="K97" s="12">
        <v>0.95</v>
      </c>
      <c r="L97" s="9">
        <v>47789.5</v>
      </c>
      <c r="M97" s="9">
        <v>-5566.91</v>
      </c>
      <c r="N97" s="9">
        <v>-5351.6</v>
      </c>
      <c r="O97" s="9">
        <v>36870.99</v>
      </c>
      <c r="P97" s="12">
        <v>2.19</v>
      </c>
      <c r="Q97" s="12">
        <v>2.23</v>
      </c>
      <c r="R97" s="12">
        <v>15.49</v>
      </c>
      <c r="S97" s="12">
        <v>4.42</v>
      </c>
      <c r="T97" s="12">
        <v>5.11</v>
      </c>
      <c r="U97" s="12">
        <v>0.12</v>
      </c>
      <c r="V97" s="12">
        <v>19.15</v>
      </c>
      <c r="W97" s="12">
        <v>10.15</v>
      </c>
      <c r="X97" s="12">
        <v>5.38</v>
      </c>
      <c r="Y97" s="12">
        <v>0.85</v>
      </c>
      <c r="Z97" s="12">
        <v>0.44</v>
      </c>
      <c r="AA97" s="12">
        <v>2.94</v>
      </c>
      <c r="AB97" s="12">
        <v>124.03</v>
      </c>
      <c r="AC97" s="12">
        <v>3.02</v>
      </c>
      <c r="AD97" s="12">
        <v>120.76</v>
      </c>
      <c r="AE97" s="12">
        <v>8.71</v>
      </c>
      <c r="AF97" s="12">
        <v>41.92</v>
      </c>
      <c r="AG97" s="12">
        <v>202.87</v>
      </c>
    </row>
    <row r="98">
      <c r="A98" s="8" t="s">
        <v>154</v>
      </c>
      <c r="B98" s="9">
        <v>698259.83</v>
      </c>
      <c r="C98" s="9">
        <v>135245.71</v>
      </c>
      <c r="D98" s="9">
        <v>280000.0</v>
      </c>
      <c r="E98" s="9">
        <v>563014.12</v>
      </c>
      <c r="F98" s="9">
        <v>685090.29</v>
      </c>
      <c r="G98" s="9">
        <v>731905.31</v>
      </c>
      <c r="H98" s="9">
        <v>1078.38</v>
      </c>
      <c r="I98" s="9">
        <v>-46815.01</v>
      </c>
      <c r="J98" s="9">
        <v>-48851.01</v>
      </c>
      <c r="K98" s="12">
        <v>-0.18</v>
      </c>
      <c r="L98" s="9">
        <v>38237.8</v>
      </c>
      <c r="M98" s="9">
        <v>461825.77</v>
      </c>
      <c r="N98" s="9">
        <v>-271248.3</v>
      </c>
      <c r="O98" s="9">
        <v>228815.26</v>
      </c>
      <c r="P98" s="12">
        <v>-6.83</v>
      </c>
      <c r="Q98" s="12">
        <v>-5.6</v>
      </c>
      <c r="R98" s="12">
        <v>11.26</v>
      </c>
      <c r="S98" s="12">
        <v>-7.13</v>
      </c>
      <c r="T98" s="12">
        <v>-6.83</v>
      </c>
      <c r="U98" s="12">
        <v>0.24</v>
      </c>
      <c r="V98" s="12">
        <v>-17.26</v>
      </c>
      <c r="W98" s="12">
        <v>7.32</v>
      </c>
      <c r="X98" s="12">
        <v>5.66</v>
      </c>
      <c r="Y98" s="12">
        <v>13.07</v>
      </c>
      <c r="Z98" s="12">
        <v>0.82</v>
      </c>
      <c r="AA98" s="12">
        <v>80.53</v>
      </c>
      <c r="AB98" s="12">
        <v>4.53</v>
      </c>
      <c r="AC98" s="12">
        <v>4.66</v>
      </c>
      <c r="AD98" s="12">
        <v>78.26</v>
      </c>
      <c r="AE98" s="12">
        <v>10.72</v>
      </c>
      <c r="AF98" s="12">
        <v>34.05</v>
      </c>
      <c r="AG98" s="12">
        <v>48.75</v>
      </c>
    </row>
    <row r="99">
      <c r="A99" s="8" t="s">
        <v>156</v>
      </c>
      <c r="B99" s="9">
        <v>721040.15</v>
      </c>
      <c r="C99" s="9">
        <v>104463.72</v>
      </c>
      <c r="D99" s="9">
        <v>135000.0</v>
      </c>
      <c r="E99" s="9">
        <v>616576.43</v>
      </c>
      <c r="F99" s="9">
        <v>629465.38</v>
      </c>
      <c r="G99" s="9">
        <v>508339.12</v>
      </c>
      <c r="H99" s="9">
        <v>178017.48</v>
      </c>
      <c r="I99" s="9">
        <v>121126.27</v>
      </c>
      <c r="J99" s="9">
        <v>98254.66</v>
      </c>
      <c r="K99" s="12">
        <v>0.36</v>
      </c>
      <c r="L99" s="9">
        <v>157208.11</v>
      </c>
      <c r="M99" s="9">
        <v>-70045.23</v>
      </c>
      <c r="N99" s="9">
        <v>-53314.09</v>
      </c>
      <c r="O99" s="9">
        <v>33848.78</v>
      </c>
      <c r="P99" s="12">
        <v>16.46</v>
      </c>
      <c r="Q99" s="12">
        <v>17.41</v>
      </c>
      <c r="R99" s="12">
        <v>27.83</v>
      </c>
      <c r="S99" s="12">
        <v>15.61</v>
      </c>
      <c r="T99" s="12">
        <v>19.24</v>
      </c>
      <c r="U99" s="12">
        <v>0.17</v>
      </c>
      <c r="V99" s="12">
        <v>433.88</v>
      </c>
      <c r="W99" s="12">
        <v>4.85</v>
      </c>
      <c r="X99" s="12">
        <v>4.13</v>
      </c>
      <c r="Y99" s="12">
        <v>2.14</v>
      </c>
      <c r="Z99" s="12">
        <v>0.9</v>
      </c>
      <c r="AA99" s="12">
        <v>7.58</v>
      </c>
      <c r="AB99" s="12">
        <v>48.14</v>
      </c>
      <c r="AC99" s="12">
        <v>6.45</v>
      </c>
      <c r="AD99" s="12">
        <v>56.59</v>
      </c>
      <c r="AE99" s="12">
        <v>6.72</v>
      </c>
      <c r="AF99" s="12">
        <v>54.3</v>
      </c>
      <c r="AG99" s="12">
        <v>50.44</v>
      </c>
    </row>
    <row r="100">
      <c r="A100" s="8" t="s">
        <v>157</v>
      </c>
      <c r="B100" s="9">
        <v>606000.46</v>
      </c>
      <c r="C100" s="9">
        <v>278848.55</v>
      </c>
      <c r="D100" s="9">
        <v>202500.23</v>
      </c>
      <c r="E100" s="9">
        <v>328454.56</v>
      </c>
      <c r="F100" s="9">
        <v>1062558.95</v>
      </c>
      <c r="G100" s="9">
        <v>971422.84</v>
      </c>
      <c r="H100" s="9">
        <v>103073.7</v>
      </c>
      <c r="I100" s="9">
        <v>93538.92</v>
      </c>
      <c r="J100" s="9">
        <v>73859.55</v>
      </c>
      <c r="K100" s="12">
        <v>0.36</v>
      </c>
      <c r="L100" s="9">
        <v>79930.64</v>
      </c>
      <c r="M100" s="9">
        <v>-5103.13</v>
      </c>
      <c r="N100" s="9">
        <v>-68009.19</v>
      </c>
      <c r="O100" s="9">
        <v>6818.32</v>
      </c>
      <c r="P100" s="12">
        <v>23.42</v>
      </c>
      <c r="Q100" s="12">
        <v>15.95</v>
      </c>
      <c r="R100" s="12">
        <v>25.97</v>
      </c>
      <c r="S100" s="12">
        <v>6.95</v>
      </c>
      <c r="T100" s="12">
        <v>8.8</v>
      </c>
      <c r="U100" s="12">
        <v>0.85</v>
      </c>
      <c r="V100" s="12">
        <v>38.87</v>
      </c>
      <c r="W100" s="12">
        <v>1.85</v>
      </c>
      <c r="X100" s="12">
        <v>1.17</v>
      </c>
      <c r="Y100" s="12">
        <v>10.92</v>
      </c>
      <c r="Z100" s="12">
        <v>1.81</v>
      </c>
      <c r="AA100" s="12">
        <v>5.05</v>
      </c>
      <c r="AB100" s="12">
        <v>72.24</v>
      </c>
      <c r="AC100" s="12">
        <v>6.69</v>
      </c>
      <c r="AD100" s="12">
        <v>54.53</v>
      </c>
      <c r="AE100" s="12">
        <v>5.93</v>
      </c>
      <c r="AF100" s="12">
        <v>61.52</v>
      </c>
      <c r="AG100" s="12">
        <v>65.25</v>
      </c>
    </row>
    <row r="101">
      <c r="A101" s="8" t="s">
        <v>158</v>
      </c>
      <c r="B101" s="9">
        <v>672514.0</v>
      </c>
      <c r="C101" s="9">
        <v>309353.0</v>
      </c>
      <c r="D101" s="9">
        <v>215625.0</v>
      </c>
      <c r="E101" s="9">
        <v>362716.0</v>
      </c>
      <c r="F101" s="9">
        <v>611211.0</v>
      </c>
      <c r="G101" s="9">
        <v>675297.0</v>
      </c>
      <c r="H101" s="9">
        <v>-51328.0</v>
      </c>
      <c r="I101" s="9">
        <v>-65613.0</v>
      </c>
      <c r="J101" s="9">
        <v>-53532.0</v>
      </c>
      <c r="K101" s="12">
        <v>-0.25</v>
      </c>
      <c r="L101" s="12">
        <v>758.0</v>
      </c>
      <c r="M101" s="9">
        <v>-13419.0</v>
      </c>
      <c r="N101" s="9">
        <v>11190.0</v>
      </c>
      <c r="O101" s="9">
        <v>-1471.0</v>
      </c>
      <c r="P101" s="12">
        <v>-13.66</v>
      </c>
      <c r="Q101" s="12">
        <v>-8.54</v>
      </c>
      <c r="R101" s="12">
        <v>29.42</v>
      </c>
      <c r="S101" s="12">
        <v>-9.26</v>
      </c>
      <c r="T101" s="12">
        <v>-10.73</v>
      </c>
      <c r="U101" s="12">
        <v>0.85</v>
      </c>
      <c r="V101" s="12">
        <v>-32.23</v>
      </c>
      <c r="W101" s="12">
        <v>1.98</v>
      </c>
      <c r="X101" s="12">
        <v>1.48</v>
      </c>
      <c r="Y101" s="12">
        <v>4.63</v>
      </c>
      <c r="Z101" s="12">
        <v>0.8</v>
      </c>
      <c r="AA101" s="12" t="s">
        <v>47</v>
      </c>
      <c r="AB101" s="12" t="s">
        <v>46</v>
      </c>
      <c r="AC101" s="12">
        <v>3.86</v>
      </c>
      <c r="AD101" s="12">
        <v>94.66</v>
      </c>
      <c r="AE101" s="12">
        <v>2.08</v>
      </c>
      <c r="AF101" s="12">
        <v>175.13</v>
      </c>
      <c r="AG101" s="12">
        <v>-80.47</v>
      </c>
    </row>
    <row r="102">
      <c r="A102" s="8" t="s">
        <v>306</v>
      </c>
      <c r="B102" s="9">
        <v>757323.73</v>
      </c>
      <c r="C102" s="9">
        <v>245782.31</v>
      </c>
      <c r="D102" s="9">
        <v>154116.42</v>
      </c>
      <c r="E102" s="9">
        <v>511541.42</v>
      </c>
      <c r="F102" s="9">
        <v>812750.11</v>
      </c>
      <c r="G102" s="9">
        <v>731933.99</v>
      </c>
      <c r="H102" s="9">
        <v>107338.15</v>
      </c>
      <c r="I102" s="9">
        <v>80816.12</v>
      </c>
      <c r="J102" s="9">
        <v>79439.72</v>
      </c>
      <c r="K102" s="12">
        <v>0.13</v>
      </c>
      <c r="L102" s="9">
        <v>126331.44</v>
      </c>
      <c r="M102" s="9">
        <v>-40094.68</v>
      </c>
      <c r="N102" s="9">
        <v>-48881.74</v>
      </c>
      <c r="O102" s="9">
        <v>37355.01</v>
      </c>
      <c r="P102" s="12">
        <v>16.44</v>
      </c>
      <c r="Q102" s="12">
        <v>11.53</v>
      </c>
      <c r="R102" s="12">
        <v>19.92</v>
      </c>
      <c r="S102" s="12">
        <v>9.77</v>
      </c>
      <c r="T102" s="12">
        <v>9.94</v>
      </c>
      <c r="U102" s="12">
        <v>0.48</v>
      </c>
      <c r="V102" s="12">
        <v>228.0</v>
      </c>
      <c r="W102" s="12">
        <v>2.38</v>
      </c>
      <c r="X102" s="12">
        <v>0.97</v>
      </c>
      <c r="Y102" s="12">
        <v>3.58</v>
      </c>
      <c r="Z102" s="12">
        <v>1.16</v>
      </c>
      <c r="AA102" s="12">
        <v>4.38</v>
      </c>
      <c r="AB102" s="12">
        <v>83.29</v>
      </c>
      <c r="AC102" s="12">
        <v>5.21</v>
      </c>
      <c r="AD102" s="12">
        <v>70.05</v>
      </c>
      <c r="AE102" s="12">
        <v>3.7</v>
      </c>
      <c r="AF102" s="12">
        <v>98.68</v>
      </c>
      <c r="AG102" s="12">
        <v>54.66</v>
      </c>
    </row>
    <row r="103">
      <c r="A103" s="8" t="s">
        <v>160</v>
      </c>
      <c r="B103" s="9">
        <v>2882276.93</v>
      </c>
      <c r="C103" s="9">
        <v>1779452.82</v>
      </c>
      <c r="D103" s="9">
        <v>287039.97</v>
      </c>
      <c r="E103" s="9">
        <v>1102824.12</v>
      </c>
      <c r="F103" s="9">
        <v>2819830.38</v>
      </c>
      <c r="G103" s="9">
        <v>2654251.64</v>
      </c>
      <c r="H103" s="9">
        <v>392849.04</v>
      </c>
      <c r="I103" s="9">
        <v>165578.74</v>
      </c>
      <c r="J103" s="9">
        <v>115047.14</v>
      </c>
      <c r="K103" s="12">
        <v>0.2</v>
      </c>
      <c r="L103" s="9">
        <v>570101.06</v>
      </c>
      <c r="M103" s="9">
        <v>-146291.61</v>
      </c>
      <c r="N103" s="9">
        <v>-386778.99</v>
      </c>
      <c r="O103" s="9">
        <v>37030.47</v>
      </c>
      <c r="P103" s="12">
        <v>10.86</v>
      </c>
      <c r="Q103" s="12">
        <v>5.68</v>
      </c>
      <c r="R103" s="12">
        <v>18.92</v>
      </c>
      <c r="S103" s="12">
        <v>4.08</v>
      </c>
      <c r="T103" s="12">
        <v>5.87</v>
      </c>
      <c r="U103" s="12">
        <v>1.61</v>
      </c>
      <c r="V103" s="12">
        <v>3.07</v>
      </c>
      <c r="W103" s="12">
        <v>0.88</v>
      </c>
      <c r="X103" s="12">
        <v>0.63</v>
      </c>
      <c r="Y103" s="12">
        <v>1.63</v>
      </c>
      <c r="Z103" s="12">
        <v>0.97</v>
      </c>
      <c r="AA103" s="12">
        <v>8.24</v>
      </c>
      <c r="AB103" s="12">
        <v>44.29</v>
      </c>
      <c r="AC103" s="12">
        <v>4.16</v>
      </c>
      <c r="AD103" s="12">
        <v>87.71</v>
      </c>
      <c r="AE103" s="12">
        <v>4.92</v>
      </c>
      <c r="AF103" s="12">
        <v>74.19</v>
      </c>
      <c r="AG103" s="12">
        <v>57.81</v>
      </c>
    </row>
    <row r="104">
      <c r="A104" s="8" t="s">
        <v>161</v>
      </c>
      <c r="B104" s="9">
        <v>807756.81</v>
      </c>
      <c r="C104" s="9">
        <v>393278.15</v>
      </c>
      <c r="D104" s="9">
        <v>250000.0</v>
      </c>
      <c r="E104" s="9">
        <v>414478.66</v>
      </c>
      <c r="F104" s="9">
        <v>607074.43</v>
      </c>
      <c r="G104" s="9">
        <v>581492.73</v>
      </c>
      <c r="H104" s="9">
        <v>61765.58</v>
      </c>
      <c r="I104" s="9">
        <v>25581.7</v>
      </c>
      <c r="J104" s="9">
        <v>2440.66</v>
      </c>
      <c r="K104" s="12">
        <v>0.01</v>
      </c>
      <c r="L104" s="9">
        <v>239732.93</v>
      </c>
      <c r="M104" s="9">
        <v>-8679.43</v>
      </c>
      <c r="N104" s="9">
        <v>-233826.69</v>
      </c>
      <c r="O104" s="9">
        <v>-2773.19</v>
      </c>
      <c r="P104" s="12">
        <v>0.59</v>
      </c>
      <c r="Q104" s="12">
        <v>3.01</v>
      </c>
      <c r="R104" s="12">
        <v>24.37</v>
      </c>
      <c r="S104" s="12">
        <v>0.4</v>
      </c>
      <c r="T104" s="12">
        <v>4.21</v>
      </c>
      <c r="U104" s="12">
        <v>0.95</v>
      </c>
      <c r="V104" s="12">
        <v>1.39</v>
      </c>
      <c r="W104" s="12">
        <v>1.8</v>
      </c>
      <c r="X104" s="12">
        <v>1.0</v>
      </c>
      <c r="Y104" s="12">
        <v>3.87</v>
      </c>
      <c r="Z104" s="12">
        <v>0.71</v>
      </c>
      <c r="AA104" s="12">
        <v>8.55</v>
      </c>
      <c r="AB104" s="12">
        <v>42.7</v>
      </c>
      <c r="AC104" s="12">
        <v>1.65</v>
      </c>
      <c r="AD104" s="12">
        <v>221.76</v>
      </c>
      <c r="AE104" s="12">
        <v>5.48</v>
      </c>
      <c r="AF104" s="12">
        <v>66.61</v>
      </c>
      <c r="AG104" s="12">
        <v>197.85</v>
      </c>
    </row>
    <row r="105">
      <c r="A105" s="8" t="s">
        <v>162</v>
      </c>
      <c r="B105" s="9">
        <v>1467323.87</v>
      </c>
      <c r="C105" s="9">
        <v>634247.06</v>
      </c>
      <c r="D105" s="9">
        <v>211000.05</v>
      </c>
      <c r="E105" s="9">
        <v>847132.76</v>
      </c>
      <c r="F105" s="9">
        <v>1496696.63</v>
      </c>
      <c r="G105" s="9">
        <v>1514556.02</v>
      </c>
      <c r="H105" s="9">
        <v>56359.91</v>
      </c>
      <c r="I105" s="9">
        <v>-6374.56</v>
      </c>
      <c r="J105" s="9">
        <v>-8371.8</v>
      </c>
      <c r="K105" s="12">
        <v>-0.02</v>
      </c>
      <c r="L105" s="9">
        <v>157112.93</v>
      </c>
      <c r="M105" s="9">
        <v>-40720.28</v>
      </c>
      <c r="N105" s="9">
        <v>-93226.49</v>
      </c>
      <c r="O105" s="9">
        <v>23166.16</v>
      </c>
      <c r="P105" s="12">
        <v>-0.98</v>
      </c>
      <c r="Q105" s="12">
        <v>-0.42</v>
      </c>
      <c r="R105" s="12">
        <v>10.98</v>
      </c>
      <c r="S105" s="12">
        <v>-1.63</v>
      </c>
      <c r="T105" s="12">
        <v>-0.43</v>
      </c>
      <c r="U105" s="12">
        <v>0.76</v>
      </c>
      <c r="V105" s="12">
        <v>-0.43</v>
      </c>
      <c r="W105" s="12">
        <v>1.39</v>
      </c>
      <c r="X105" s="12">
        <v>0.65</v>
      </c>
      <c r="Y105" s="12">
        <v>3.17</v>
      </c>
      <c r="Z105" s="12">
        <v>0.98</v>
      </c>
      <c r="AA105" s="12">
        <v>2.66</v>
      </c>
      <c r="AB105" s="12">
        <v>137.45</v>
      </c>
      <c r="AC105" s="12">
        <v>4.67</v>
      </c>
      <c r="AD105" s="12">
        <v>78.18</v>
      </c>
      <c r="AE105" s="12">
        <v>12.29</v>
      </c>
      <c r="AF105" s="12">
        <v>29.71</v>
      </c>
      <c r="AG105" s="12">
        <v>185.93</v>
      </c>
    </row>
    <row r="106">
      <c r="A106" s="8" t="s">
        <v>163</v>
      </c>
      <c r="B106" s="9">
        <v>589628.96</v>
      </c>
      <c r="C106" s="9">
        <v>309644.0</v>
      </c>
      <c r="D106" s="9">
        <v>214963.79</v>
      </c>
      <c r="E106" s="9">
        <v>280896.98</v>
      </c>
      <c r="F106" s="9">
        <v>409657.06</v>
      </c>
      <c r="G106" s="9">
        <v>412818.36</v>
      </c>
      <c r="H106" s="9">
        <v>8767.42</v>
      </c>
      <c r="I106" s="9">
        <v>-11371.4</v>
      </c>
      <c r="J106" s="9">
        <v>-26129.02</v>
      </c>
      <c r="K106" s="12">
        <v>-0.03</v>
      </c>
      <c r="L106" s="9">
        <v>21712.11</v>
      </c>
      <c r="M106" s="9">
        <v>-213399.57</v>
      </c>
      <c r="N106" s="9">
        <v>186482.09</v>
      </c>
      <c r="O106" s="9">
        <v>-5205.36</v>
      </c>
      <c r="P106" s="12">
        <v>-8.8</v>
      </c>
      <c r="Q106" s="12">
        <v>-2.23</v>
      </c>
      <c r="R106" s="12">
        <v>21.93</v>
      </c>
      <c r="S106" s="12">
        <v>-7.06</v>
      </c>
      <c r="T106" s="12">
        <v>-2.78</v>
      </c>
      <c r="U106" s="12">
        <v>1.11</v>
      </c>
      <c r="V106" s="12">
        <v>-0.71</v>
      </c>
      <c r="W106" s="12">
        <v>5.25</v>
      </c>
      <c r="X106" s="12">
        <v>2.34</v>
      </c>
      <c r="Y106" s="12">
        <v>11.91</v>
      </c>
      <c r="Z106" s="12">
        <v>0.8</v>
      </c>
      <c r="AA106" s="12">
        <v>98.72</v>
      </c>
      <c r="AB106" s="12">
        <v>3.7</v>
      </c>
      <c r="AC106" s="12">
        <v>3.22</v>
      </c>
      <c r="AD106" s="12">
        <v>113.2</v>
      </c>
      <c r="AE106" s="12">
        <v>8.3</v>
      </c>
      <c r="AF106" s="12">
        <v>43.99</v>
      </c>
      <c r="AG106" s="12">
        <v>72.91</v>
      </c>
    </row>
    <row r="107">
      <c r="A107" s="8" t="s">
        <v>164</v>
      </c>
      <c r="B107" s="9">
        <v>1102268.98</v>
      </c>
      <c r="C107" s="9">
        <v>607865.43</v>
      </c>
      <c r="D107" s="9">
        <v>170000.0</v>
      </c>
      <c r="E107" s="9">
        <v>472466.23</v>
      </c>
      <c r="F107" s="9">
        <v>830927.55</v>
      </c>
      <c r="G107" s="9">
        <v>793991.83</v>
      </c>
      <c r="H107" s="9">
        <v>122579.57</v>
      </c>
      <c r="I107" s="9">
        <v>36935.72</v>
      </c>
      <c r="J107" s="9">
        <v>5855.16</v>
      </c>
      <c r="K107" s="12">
        <v>0.02</v>
      </c>
      <c r="L107" s="9">
        <v>92012.25</v>
      </c>
      <c r="M107" s="9">
        <v>-82636.25</v>
      </c>
      <c r="N107" s="9">
        <v>162057.16</v>
      </c>
      <c r="O107" s="9">
        <v>171433.16</v>
      </c>
      <c r="P107" s="12">
        <v>1.46</v>
      </c>
      <c r="Q107" s="12">
        <v>3.61</v>
      </c>
      <c r="R107" s="12">
        <v>44.31</v>
      </c>
      <c r="S107" s="12">
        <v>1.67</v>
      </c>
      <c r="T107" s="12">
        <v>4.45</v>
      </c>
      <c r="U107" s="12">
        <v>1.23</v>
      </c>
      <c r="V107" s="12">
        <v>1.89</v>
      </c>
      <c r="W107" s="12">
        <v>1.21</v>
      </c>
      <c r="X107" s="12">
        <v>0.8</v>
      </c>
      <c r="Y107" s="12">
        <v>1.88</v>
      </c>
      <c r="Z107" s="12">
        <v>0.81</v>
      </c>
      <c r="AA107" s="12">
        <v>2.42</v>
      </c>
      <c r="AB107" s="12">
        <v>150.56</v>
      </c>
      <c r="AC107" s="12">
        <v>4.61</v>
      </c>
      <c r="AD107" s="12">
        <v>79.25</v>
      </c>
      <c r="AE107" s="12">
        <v>3.69</v>
      </c>
      <c r="AF107" s="12">
        <v>98.89</v>
      </c>
      <c r="AG107" s="12">
        <v>130.92</v>
      </c>
    </row>
    <row r="108">
      <c r="A108" s="8" t="s">
        <v>168</v>
      </c>
      <c r="B108" s="9">
        <v>2001410.51</v>
      </c>
      <c r="C108" s="9">
        <v>1308053.52</v>
      </c>
      <c r="D108" s="9">
        <v>641469.42</v>
      </c>
      <c r="E108" s="9">
        <v>693356.99</v>
      </c>
      <c r="F108" s="9">
        <v>198203.94</v>
      </c>
      <c r="G108" s="9">
        <v>254627.02</v>
      </c>
      <c r="H108" s="9">
        <v>-44241.42</v>
      </c>
      <c r="I108" s="9">
        <v>-56423.08</v>
      </c>
      <c r="J108" s="9">
        <v>-44817.68</v>
      </c>
      <c r="K108" s="12">
        <v>-0.07</v>
      </c>
      <c r="L108" s="9">
        <v>114380.07</v>
      </c>
      <c r="M108" s="9">
        <v>-7265.45</v>
      </c>
      <c r="N108" s="9">
        <v>-47477.75</v>
      </c>
      <c r="O108" s="9">
        <v>59636.88</v>
      </c>
      <c r="P108" s="12">
        <v>-6.26</v>
      </c>
      <c r="Q108" s="12">
        <v>-3.03</v>
      </c>
      <c r="R108" s="12">
        <v>19.47</v>
      </c>
      <c r="S108" s="12">
        <v>-22.61</v>
      </c>
      <c r="T108" s="12">
        <v>-28.47</v>
      </c>
      <c r="U108" s="12">
        <v>1.89</v>
      </c>
      <c r="V108" s="12">
        <v>-13.96</v>
      </c>
      <c r="W108" s="12">
        <v>3.61</v>
      </c>
      <c r="X108" s="12">
        <v>0.3</v>
      </c>
      <c r="Y108" s="12">
        <v>21.39</v>
      </c>
      <c r="Z108" s="12">
        <v>0.11</v>
      </c>
      <c r="AA108" s="12">
        <v>0.09</v>
      </c>
      <c r="AB108" s="9">
        <v>3907.88</v>
      </c>
      <c r="AC108" s="12">
        <v>502.66</v>
      </c>
      <c r="AD108" s="12">
        <v>0.73</v>
      </c>
      <c r="AE108" s="12">
        <v>3.29</v>
      </c>
      <c r="AF108" s="12">
        <v>111.07</v>
      </c>
      <c r="AG108" s="9">
        <v>3797.54</v>
      </c>
    </row>
    <row r="109">
      <c r="A109" s="8" t="s">
        <v>307</v>
      </c>
      <c r="B109" s="9">
        <v>288164.64</v>
      </c>
      <c r="C109" s="9">
        <v>125408.97</v>
      </c>
      <c r="D109" s="9">
        <v>1.094843816E7</v>
      </c>
      <c r="E109" s="9">
        <v>162755.67</v>
      </c>
      <c r="F109" s="9">
        <v>113622.93</v>
      </c>
      <c r="G109" s="9">
        <v>135887.39</v>
      </c>
      <c r="H109" s="9">
        <v>-16749.22</v>
      </c>
      <c r="I109" s="9">
        <v>-22264.47</v>
      </c>
      <c r="J109" s="9">
        <v>-22670.89</v>
      </c>
      <c r="K109" s="12" t="s">
        <v>46</v>
      </c>
      <c r="L109" s="9">
        <v>-52928.16</v>
      </c>
      <c r="M109" s="9">
        <v>2803.49</v>
      </c>
      <c r="N109" s="9">
        <v>24397.84</v>
      </c>
      <c r="O109" s="9">
        <v>-25726.84</v>
      </c>
      <c r="P109" s="12">
        <v>-13.74</v>
      </c>
      <c r="Q109" s="12">
        <v>-4.75</v>
      </c>
      <c r="R109" s="12">
        <v>14.03</v>
      </c>
      <c r="S109" s="12">
        <v>-19.95</v>
      </c>
      <c r="T109" s="12">
        <v>-19.6</v>
      </c>
      <c r="U109" s="12">
        <v>0.77</v>
      </c>
      <c r="V109" s="12">
        <v>-54.78</v>
      </c>
      <c r="W109" s="12">
        <v>0.77</v>
      </c>
      <c r="X109" s="12">
        <v>0.35</v>
      </c>
      <c r="Y109" s="12">
        <v>2.22</v>
      </c>
      <c r="Z109" s="12">
        <v>0.24</v>
      </c>
      <c r="AA109" s="12">
        <v>249.83</v>
      </c>
      <c r="AB109" s="12">
        <v>1.46</v>
      </c>
      <c r="AC109" s="12">
        <v>1.61</v>
      </c>
      <c r="AD109" s="12">
        <v>226.64</v>
      </c>
      <c r="AE109" s="12">
        <v>0.43</v>
      </c>
      <c r="AF109" s="12">
        <v>849.12</v>
      </c>
      <c r="AG109" s="12">
        <v>-621.03</v>
      </c>
    </row>
    <row r="110">
      <c r="A110" s="8" t="s">
        <v>170</v>
      </c>
      <c r="B110" s="9">
        <v>8199735.46</v>
      </c>
      <c r="C110" s="9">
        <v>2448361.12</v>
      </c>
      <c r="D110" s="9">
        <v>1185974.79</v>
      </c>
      <c r="E110" s="9">
        <v>5753260.46</v>
      </c>
      <c r="F110" s="9">
        <v>2673643.42</v>
      </c>
      <c r="G110" s="9">
        <v>3559068.0</v>
      </c>
      <c r="H110" s="9">
        <v>-782924.64</v>
      </c>
      <c r="I110" s="9">
        <v>-886526.43</v>
      </c>
      <c r="J110" s="9">
        <v>-1005356.44</v>
      </c>
      <c r="K110" s="12">
        <v>-0.42</v>
      </c>
      <c r="L110" s="9">
        <v>-145405.56</v>
      </c>
      <c r="M110" s="9">
        <v>1099715.25</v>
      </c>
      <c r="N110" s="9">
        <v>-951302.79</v>
      </c>
      <c r="O110" s="9">
        <v>3006.89</v>
      </c>
      <c r="P110" s="12">
        <v>-15.9</v>
      </c>
      <c r="Q110" s="12">
        <v>-9.62</v>
      </c>
      <c r="R110" s="12">
        <v>12.3</v>
      </c>
      <c r="S110" s="12">
        <v>-38.04</v>
      </c>
      <c r="T110" s="12">
        <v>-33.16</v>
      </c>
      <c r="U110" s="12">
        <v>0.43</v>
      </c>
      <c r="V110" s="12">
        <v>-7.91</v>
      </c>
      <c r="W110" s="12">
        <v>0.66</v>
      </c>
      <c r="X110" s="12">
        <v>0.46</v>
      </c>
      <c r="Y110" s="12">
        <v>0.98</v>
      </c>
      <c r="Z110" s="12">
        <v>0.29</v>
      </c>
      <c r="AA110" s="12">
        <v>19.07</v>
      </c>
      <c r="AB110" s="12">
        <v>19.14</v>
      </c>
      <c r="AC110" s="12">
        <v>2.1</v>
      </c>
      <c r="AD110" s="12">
        <v>173.89</v>
      </c>
      <c r="AE110" s="12">
        <v>4.16</v>
      </c>
      <c r="AF110" s="12">
        <v>87.77</v>
      </c>
      <c r="AG110" s="12">
        <v>105.25</v>
      </c>
    </row>
    <row r="111">
      <c r="A111" s="8" t="s">
        <v>172</v>
      </c>
      <c r="B111" s="9">
        <v>516697.71</v>
      </c>
      <c r="C111" s="9">
        <v>69548.04</v>
      </c>
      <c r="D111" s="9">
        <v>98568.49</v>
      </c>
      <c r="E111" s="9">
        <v>447330.26</v>
      </c>
      <c r="F111" s="9">
        <v>424553.87</v>
      </c>
      <c r="G111" s="9">
        <v>392404.14</v>
      </c>
      <c r="H111" s="9">
        <v>60322.74</v>
      </c>
      <c r="I111" s="9">
        <v>32149.73</v>
      </c>
      <c r="J111" s="9">
        <v>31832.54</v>
      </c>
      <c r="K111" s="12">
        <v>0.32</v>
      </c>
      <c r="L111" s="9">
        <v>77506.64</v>
      </c>
      <c r="M111" s="9">
        <v>-52016.96</v>
      </c>
      <c r="N111" s="9">
        <v>-40028.51</v>
      </c>
      <c r="O111" s="9">
        <v>-14538.83</v>
      </c>
      <c r="P111" s="12">
        <v>7.04</v>
      </c>
      <c r="Q111" s="12">
        <v>6.07</v>
      </c>
      <c r="R111" s="12">
        <v>25.18</v>
      </c>
      <c r="S111" s="12">
        <v>7.45</v>
      </c>
      <c r="T111" s="12">
        <v>7.57</v>
      </c>
      <c r="U111" s="12">
        <v>0.16</v>
      </c>
      <c r="V111" s="12">
        <v>42.74</v>
      </c>
      <c r="W111" s="12">
        <v>8.59</v>
      </c>
      <c r="X111" s="12">
        <v>3.49</v>
      </c>
      <c r="Y111" s="12">
        <v>2.32</v>
      </c>
      <c r="Z111" s="12">
        <v>0.8</v>
      </c>
      <c r="AA111" s="12">
        <v>34.43</v>
      </c>
      <c r="AB111" s="12">
        <v>10.6</v>
      </c>
      <c r="AC111" s="12">
        <v>4.12</v>
      </c>
      <c r="AD111" s="12">
        <v>88.69</v>
      </c>
      <c r="AE111" s="12">
        <v>7.19</v>
      </c>
      <c r="AF111" s="12">
        <v>50.77</v>
      </c>
      <c r="AG111" s="12">
        <v>48.52</v>
      </c>
    </row>
    <row r="112">
      <c r="A112" s="8" t="s">
        <v>325</v>
      </c>
      <c r="B112" s="9">
        <v>1935662.6</v>
      </c>
      <c r="C112" s="9">
        <v>243477.3</v>
      </c>
      <c r="D112" s="9">
        <v>341092.56</v>
      </c>
      <c r="E112" s="9">
        <v>1690579.86</v>
      </c>
      <c r="F112" s="9">
        <v>1037239.87</v>
      </c>
      <c r="G112" s="9">
        <v>852972.19</v>
      </c>
      <c r="H112" s="9">
        <v>268632.6</v>
      </c>
      <c r="I112" s="9">
        <v>187478.0</v>
      </c>
      <c r="J112" s="9">
        <v>157559.51</v>
      </c>
      <c r="K112" s="12">
        <v>0.46</v>
      </c>
      <c r="L112" s="9">
        <v>317351.34</v>
      </c>
      <c r="M112" s="9">
        <v>-112299.41</v>
      </c>
      <c r="N112" s="9">
        <v>-196474.95</v>
      </c>
      <c r="O112" s="9">
        <v>8576.98</v>
      </c>
      <c r="P112" s="12">
        <v>9.47</v>
      </c>
      <c r="Q112" s="12">
        <v>9.89</v>
      </c>
      <c r="R112" s="12">
        <v>30.7</v>
      </c>
      <c r="S112" s="12">
        <v>15.19</v>
      </c>
      <c r="T112" s="12">
        <v>18.07</v>
      </c>
      <c r="U112" s="12">
        <v>0.14</v>
      </c>
      <c r="V112" s="12">
        <v>80.46</v>
      </c>
      <c r="W112" s="12">
        <v>5.28</v>
      </c>
      <c r="X112" s="12">
        <v>4.32</v>
      </c>
      <c r="Y112" s="12">
        <v>1.6</v>
      </c>
      <c r="Z112" s="12">
        <v>0.55</v>
      </c>
      <c r="AA112" s="12">
        <v>3.87</v>
      </c>
      <c r="AB112" s="12">
        <v>94.3</v>
      </c>
      <c r="AC112" s="12">
        <v>6.64</v>
      </c>
      <c r="AD112" s="12">
        <v>55.01</v>
      </c>
      <c r="AE112" s="12">
        <v>8.39</v>
      </c>
      <c r="AF112" s="12">
        <v>43.48</v>
      </c>
      <c r="AG112" s="12">
        <v>105.82</v>
      </c>
    </row>
    <row r="113">
      <c r="A113" s="8" t="s">
        <v>173</v>
      </c>
      <c r="B113" s="9">
        <v>1235282.75</v>
      </c>
      <c r="C113" s="9">
        <v>430914.44</v>
      </c>
      <c r="D113" s="9">
        <v>200811.61</v>
      </c>
      <c r="E113" s="9">
        <v>804368.31</v>
      </c>
      <c r="F113" s="9">
        <v>503686.12</v>
      </c>
      <c r="G113" s="9">
        <v>586003.46</v>
      </c>
      <c r="H113" s="9">
        <v>57142.14</v>
      </c>
      <c r="I113" s="9">
        <v>-82317.35</v>
      </c>
      <c r="J113" s="9">
        <v>-78382.98</v>
      </c>
      <c r="K113" s="12">
        <v>-0.39</v>
      </c>
      <c r="L113" s="9">
        <v>34025.68</v>
      </c>
      <c r="M113" s="9">
        <v>-98126.16</v>
      </c>
      <c r="N113" s="9">
        <v>55746.28</v>
      </c>
      <c r="O113" s="9">
        <v>-8354.2</v>
      </c>
      <c r="P113" s="12">
        <v>-9.29</v>
      </c>
      <c r="Q113" s="12">
        <v>-6.75</v>
      </c>
      <c r="R113" s="12">
        <v>2.13</v>
      </c>
      <c r="S113" s="12">
        <v>-15.56</v>
      </c>
      <c r="T113" s="12">
        <v>-16.34</v>
      </c>
      <c r="U113" s="12">
        <v>0.54</v>
      </c>
      <c r="V113" s="12">
        <v>-5.69</v>
      </c>
      <c r="W113" s="12">
        <v>0.91</v>
      </c>
      <c r="X113" s="12">
        <v>0.82</v>
      </c>
      <c r="Y113" s="12">
        <v>0.5</v>
      </c>
      <c r="Z113" s="12">
        <v>0.41</v>
      </c>
      <c r="AA113" s="12">
        <v>28.33</v>
      </c>
      <c r="AB113" s="12">
        <v>12.88</v>
      </c>
      <c r="AC113" s="12">
        <v>25.33</v>
      </c>
      <c r="AD113" s="12">
        <v>14.41</v>
      </c>
      <c r="AE113" s="12">
        <v>8.32</v>
      </c>
      <c r="AF113" s="12">
        <v>43.86</v>
      </c>
      <c r="AG113" s="12">
        <v>-16.57</v>
      </c>
    </row>
    <row r="114">
      <c r="A114" s="8" t="s">
        <v>174</v>
      </c>
      <c r="B114" s="9">
        <v>1128201.38</v>
      </c>
      <c r="C114" s="9">
        <v>355012.6</v>
      </c>
      <c r="D114" s="9">
        <v>318182.59</v>
      </c>
      <c r="E114" s="9">
        <v>773188.78</v>
      </c>
      <c r="F114" s="9">
        <v>627927.91</v>
      </c>
      <c r="G114" s="9">
        <v>582275.83</v>
      </c>
      <c r="H114" s="9">
        <v>77516.1</v>
      </c>
      <c r="I114" s="9">
        <v>48292.18</v>
      </c>
      <c r="J114" s="9">
        <v>30882.44</v>
      </c>
      <c r="K114" s="12">
        <v>0.05</v>
      </c>
      <c r="L114" s="9">
        <v>71313.91</v>
      </c>
      <c r="M114" s="9">
        <v>154730.32</v>
      </c>
      <c r="N114" s="9">
        <v>-116718.94</v>
      </c>
      <c r="O114" s="9">
        <v>109325.29</v>
      </c>
      <c r="P114" s="12">
        <v>3.97</v>
      </c>
      <c r="Q114" s="12">
        <v>4.51</v>
      </c>
      <c r="R114" s="12">
        <v>6.5</v>
      </c>
      <c r="S114" s="12">
        <v>4.92</v>
      </c>
      <c r="T114" s="12">
        <v>7.69</v>
      </c>
      <c r="U114" s="12">
        <v>0.46</v>
      </c>
      <c r="V114" s="12">
        <v>7.36</v>
      </c>
      <c r="W114" s="12">
        <v>3.79</v>
      </c>
      <c r="X114" s="12">
        <v>1.77</v>
      </c>
      <c r="Y114" s="12">
        <v>2.93</v>
      </c>
      <c r="Z114" s="12">
        <v>0.59</v>
      </c>
      <c r="AA114" s="12">
        <v>4.1</v>
      </c>
      <c r="AB114" s="12">
        <v>89.04</v>
      </c>
      <c r="AC114" s="12">
        <v>3.37</v>
      </c>
      <c r="AD114" s="12">
        <v>108.16</v>
      </c>
      <c r="AE114" s="12">
        <v>16.96</v>
      </c>
      <c r="AF114" s="12">
        <v>21.52</v>
      </c>
      <c r="AG114" s="12">
        <v>175.67</v>
      </c>
    </row>
    <row r="115">
      <c r="A115" s="8" t="s">
        <v>175</v>
      </c>
      <c r="B115" s="9">
        <v>409737.53</v>
      </c>
      <c r="C115" s="9">
        <v>116820.81</v>
      </c>
      <c r="D115" s="9">
        <v>150000.0</v>
      </c>
      <c r="E115" s="9">
        <v>293330.02</v>
      </c>
      <c r="F115" s="9">
        <v>73360.79</v>
      </c>
      <c r="G115" s="9">
        <v>38841.46</v>
      </c>
      <c r="H115" s="9">
        <v>43479.58</v>
      </c>
      <c r="I115" s="9">
        <v>33749.86</v>
      </c>
      <c r="J115" s="9">
        <v>24272.33</v>
      </c>
      <c r="K115" s="12">
        <v>0.08</v>
      </c>
      <c r="L115" s="9">
        <v>37360.53</v>
      </c>
      <c r="M115" s="9">
        <v>57842.89</v>
      </c>
      <c r="N115" s="9">
        <v>-47191.91</v>
      </c>
      <c r="O115" s="9">
        <v>48011.5</v>
      </c>
      <c r="P115" s="12">
        <v>8.32</v>
      </c>
      <c r="Q115" s="12">
        <v>8.33</v>
      </c>
      <c r="R115" s="12">
        <v>72.83</v>
      </c>
      <c r="S115" s="12">
        <v>33.04</v>
      </c>
      <c r="T115" s="12">
        <v>46.01</v>
      </c>
      <c r="U115" s="12">
        <v>0.4</v>
      </c>
      <c r="V115" s="12">
        <v>9.24</v>
      </c>
      <c r="W115" s="12">
        <v>5.37</v>
      </c>
      <c r="X115" s="12">
        <v>4.82</v>
      </c>
      <c r="Y115" s="12">
        <v>0.61</v>
      </c>
      <c r="Z115" s="12">
        <v>0.18</v>
      </c>
      <c r="AA115" s="12">
        <v>1.88</v>
      </c>
      <c r="AB115" s="12">
        <v>193.81</v>
      </c>
      <c r="AC115" s="12">
        <v>8.55</v>
      </c>
      <c r="AD115" s="12">
        <v>42.67</v>
      </c>
      <c r="AE115" s="12">
        <v>6.04</v>
      </c>
      <c r="AF115" s="12">
        <v>60.43</v>
      </c>
      <c r="AG115" s="12">
        <v>176.04</v>
      </c>
    </row>
    <row r="116">
      <c r="A116" s="8" t="s">
        <v>326</v>
      </c>
      <c r="B116" s="9">
        <v>2772458.1</v>
      </c>
      <c r="C116" s="9">
        <v>1238359.24</v>
      </c>
      <c r="D116" s="9">
        <v>1005000.0</v>
      </c>
      <c r="E116" s="9">
        <v>1482859.54</v>
      </c>
      <c r="F116" s="9">
        <v>1512719.01</v>
      </c>
      <c r="G116" s="9">
        <v>1366790.64</v>
      </c>
      <c r="H116" s="9">
        <v>366743.16</v>
      </c>
      <c r="I116" s="9">
        <v>145928.37</v>
      </c>
      <c r="J116" s="9">
        <v>102057.95</v>
      </c>
      <c r="K116" s="12">
        <v>0.11</v>
      </c>
      <c r="L116" s="9">
        <v>411454.64</v>
      </c>
      <c r="M116" s="9">
        <v>-671301.23</v>
      </c>
      <c r="N116" s="9">
        <v>225827.24</v>
      </c>
      <c r="O116" s="9">
        <v>-34019.35</v>
      </c>
      <c r="P116" s="12">
        <v>7.03</v>
      </c>
      <c r="Q116" s="12">
        <v>5.8</v>
      </c>
      <c r="R116" s="12">
        <v>40.12</v>
      </c>
      <c r="S116" s="12">
        <v>6.45</v>
      </c>
      <c r="T116" s="12">
        <v>9.65</v>
      </c>
      <c r="U116" s="12">
        <v>0.81</v>
      </c>
      <c r="V116" s="12">
        <v>5.65</v>
      </c>
      <c r="W116" s="12">
        <v>0.82</v>
      </c>
      <c r="X116" s="12">
        <v>0.23</v>
      </c>
      <c r="Y116" s="12">
        <v>1.41</v>
      </c>
      <c r="Z116" s="12">
        <v>0.6</v>
      </c>
      <c r="AA116" s="12">
        <v>8.56</v>
      </c>
      <c r="AB116" s="12">
        <v>42.64</v>
      </c>
      <c r="AC116" s="12">
        <v>12.64</v>
      </c>
      <c r="AD116" s="12">
        <v>28.88</v>
      </c>
      <c r="AE116" s="12">
        <v>2.22</v>
      </c>
      <c r="AF116" s="12">
        <v>164.22</v>
      </c>
      <c r="AG116" s="12">
        <v>-92.71</v>
      </c>
    </row>
    <row r="117">
      <c r="A117" s="8" t="s">
        <v>176</v>
      </c>
      <c r="B117" s="9">
        <v>1937137.0</v>
      </c>
      <c r="C117" s="9">
        <v>368685.0</v>
      </c>
      <c r="D117" s="9">
        <v>380121.0</v>
      </c>
      <c r="E117" s="9">
        <v>1186656.0</v>
      </c>
      <c r="F117" s="9">
        <v>1201891.0</v>
      </c>
      <c r="G117" s="9">
        <v>1199573.0</v>
      </c>
      <c r="H117" s="9">
        <v>141339.0</v>
      </c>
      <c r="I117" s="9">
        <v>2318.0</v>
      </c>
      <c r="J117" s="12">
        <v>-620.0</v>
      </c>
      <c r="K117" s="12" t="s">
        <v>46</v>
      </c>
      <c r="L117" s="9">
        <v>142922.0</v>
      </c>
      <c r="M117" s="9">
        <v>95889.0</v>
      </c>
      <c r="N117" s="9">
        <v>-40388.0</v>
      </c>
      <c r="O117" s="9">
        <v>198423.0</v>
      </c>
      <c r="P117" s="12">
        <v>-0.05</v>
      </c>
      <c r="Q117" s="12">
        <v>0.12</v>
      </c>
      <c r="R117" s="12">
        <v>19.66</v>
      </c>
      <c r="S117" s="12">
        <v>-0.62</v>
      </c>
      <c r="T117" s="12">
        <v>0.19</v>
      </c>
      <c r="U117" s="12">
        <v>0.24</v>
      </c>
      <c r="V117" s="12">
        <v>0.32</v>
      </c>
      <c r="W117" s="12">
        <v>3.15</v>
      </c>
      <c r="X117" s="12">
        <v>2.5</v>
      </c>
      <c r="Y117" s="12">
        <v>1.45</v>
      </c>
      <c r="Z117" s="12">
        <v>0.62</v>
      </c>
      <c r="AA117" s="12">
        <v>6.26</v>
      </c>
      <c r="AB117" s="12">
        <v>58.32</v>
      </c>
      <c r="AC117" s="12">
        <v>4.27</v>
      </c>
      <c r="AD117" s="12">
        <v>85.55</v>
      </c>
      <c r="AE117" s="12">
        <v>8.38</v>
      </c>
      <c r="AF117" s="12">
        <v>43.56</v>
      </c>
      <c r="AG117" s="12">
        <v>100.31</v>
      </c>
    </row>
    <row r="118">
      <c r="A118" s="8" t="s">
        <v>177</v>
      </c>
      <c r="B118" s="9">
        <v>434817.92</v>
      </c>
      <c r="C118" s="9">
        <v>261483.78</v>
      </c>
      <c r="D118" s="9">
        <v>154271.93</v>
      </c>
      <c r="E118" s="9">
        <v>173334.14</v>
      </c>
      <c r="F118" s="9">
        <v>450823.14</v>
      </c>
      <c r="G118" s="9">
        <v>478677.02</v>
      </c>
      <c r="H118" s="9">
        <v>2367.09</v>
      </c>
      <c r="I118" s="9">
        <v>-27853.88</v>
      </c>
      <c r="J118" s="9">
        <v>-35416.26</v>
      </c>
      <c r="K118" s="12">
        <v>-0.12</v>
      </c>
      <c r="L118" s="9">
        <v>24711.31</v>
      </c>
      <c r="M118" s="9">
        <v>-18367.35</v>
      </c>
      <c r="N118" s="9">
        <v>4929.26</v>
      </c>
      <c r="O118" s="9">
        <v>11273.22</v>
      </c>
      <c r="P118" s="12">
        <v>-18.4</v>
      </c>
      <c r="Q118" s="12">
        <v>-6.39</v>
      </c>
      <c r="R118" s="12">
        <v>8.96</v>
      </c>
      <c r="S118" s="12">
        <v>-7.86</v>
      </c>
      <c r="T118" s="12">
        <v>-6.18</v>
      </c>
      <c r="U118" s="12">
        <v>1.51</v>
      </c>
      <c r="V118" s="12">
        <v>-3.68</v>
      </c>
      <c r="W118" s="12">
        <v>0.86</v>
      </c>
      <c r="X118" s="12">
        <v>0.52</v>
      </c>
      <c r="Y118" s="12">
        <v>1.83</v>
      </c>
      <c r="Z118" s="12">
        <v>1.03</v>
      </c>
      <c r="AA118" s="12">
        <v>6.93</v>
      </c>
      <c r="AB118" s="12">
        <v>52.69</v>
      </c>
      <c r="AC118" s="12">
        <v>5.27</v>
      </c>
      <c r="AD118" s="12">
        <v>69.21</v>
      </c>
      <c r="AE118" s="12">
        <v>4.2</v>
      </c>
      <c r="AF118" s="12">
        <v>86.9</v>
      </c>
      <c r="AG118" s="12">
        <v>34.99</v>
      </c>
    </row>
    <row r="119">
      <c r="A119" s="8" t="s">
        <v>327</v>
      </c>
      <c r="B119" s="9">
        <v>477636.53</v>
      </c>
      <c r="C119" s="9">
        <v>112183.24</v>
      </c>
      <c r="D119" s="9">
        <v>120000.0</v>
      </c>
      <c r="E119" s="9">
        <v>365453.29</v>
      </c>
      <c r="F119" s="9">
        <v>453662.61</v>
      </c>
      <c r="G119" s="9">
        <v>424477.92</v>
      </c>
      <c r="H119" s="9">
        <v>53921.85</v>
      </c>
      <c r="I119" s="9">
        <v>46557.71</v>
      </c>
      <c r="J119" s="9">
        <v>40576.32</v>
      </c>
      <c r="K119" s="12">
        <v>0.17</v>
      </c>
      <c r="L119" s="9">
        <v>1770.41</v>
      </c>
      <c r="M119" s="9">
        <v>1979.64</v>
      </c>
      <c r="N119" s="9">
        <v>-14505.33</v>
      </c>
      <c r="O119" s="9">
        <v>-10755.28</v>
      </c>
      <c r="P119" s="12">
        <v>11.55</v>
      </c>
      <c r="Q119" s="12">
        <v>10.05</v>
      </c>
      <c r="R119" s="12">
        <v>26.89</v>
      </c>
      <c r="S119" s="12">
        <v>8.94</v>
      </c>
      <c r="T119" s="12">
        <v>10.26</v>
      </c>
      <c r="U119" s="12">
        <v>0.31</v>
      </c>
      <c r="V119" s="12">
        <v>67.17</v>
      </c>
      <c r="W119" s="12">
        <v>2.78</v>
      </c>
      <c r="X119" s="12">
        <v>2.46</v>
      </c>
      <c r="Y119" s="12">
        <v>45.56</v>
      </c>
      <c r="Z119" s="12">
        <v>0.98</v>
      </c>
      <c r="AA119" s="12">
        <v>7.76</v>
      </c>
      <c r="AB119" s="12">
        <v>47.05</v>
      </c>
      <c r="AC119" s="12">
        <v>3.59</v>
      </c>
      <c r="AD119" s="12">
        <v>101.72</v>
      </c>
      <c r="AE119" s="12">
        <v>3.49</v>
      </c>
      <c r="AF119" s="12">
        <v>104.59</v>
      </c>
      <c r="AG119" s="12">
        <v>44.18</v>
      </c>
    </row>
    <row r="120">
      <c r="A120" s="8" t="s">
        <v>179</v>
      </c>
      <c r="B120" s="9">
        <v>2203518.95</v>
      </c>
      <c r="C120" s="9">
        <v>782848.07</v>
      </c>
      <c r="D120" s="9">
        <v>608914.79</v>
      </c>
      <c r="E120" s="9">
        <v>1403164.81</v>
      </c>
      <c r="F120" s="9">
        <v>5359311.67</v>
      </c>
      <c r="G120" s="9">
        <v>5343723.76</v>
      </c>
      <c r="H120" s="9">
        <v>106362.85</v>
      </c>
      <c r="I120" s="9">
        <v>56273.55</v>
      </c>
      <c r="J120" s="9">
        <v>18446.1</v>
      </c>
      <c r="K120" s="12">
        <v>0.03</v>
      </c>
      <c r="L120" s="9">
        <v>94200.5</v>
      </c>
      <c r="M120" s="9">
        <v>327488.42</v>
      </c>
      <c r="N120" s="9">
        <v>-520306.53</v>
      </c>
      <c r="O120" s="9">
        <v>-98617.62</v>
      </c>
      <c r="P120" s="12">
        <v>1.32</v>
      </c>
      <c r="Q120" s="12">
        <v>2.18</v>
      </c>
      <c r="R120" s="12">
        <v>3.7</v>
      </c>
      <c r="S120" s="12">
        <v>0.59</v>
      </c>
      <c r="T120" s="12">
        <v>1.05</v>
      </c>
      <c r="U120" s="12">
        <v>0.55</v>
      </c>
      <c r="V120" s="12">
        <v>1.94</v>
      </c>
      <c r="W120" s="12">
        <v>1.32</v>
      </c>
      <c r="X120" s="12">
        <v>1.15</v>
      </c>
      <c r="Y120" s="12">
        <v>11.23</v>
      </c>
      <c r="Z120" s="12">
        <v>2.07</v>
      </c>
      <c r="AA120" s="12">
        <v>358.57</v>
      </c>
      <c r="AB120" s="12">
        <v>1.02</v>
      </c>
      <c r="AC120" s="12">
        <v>7.87</v>
      </c>
      <c r="AD120" s="12">
        <v>46.39</v>
      </c>
      <c r="AE120" s="12">
        <v>12.14</v>
      </c>
      <c r="AF120" s="12">
        <v>30.07</v>
      </c>
      <c r="AG120" s="12">
        <v>17.34</v>
      </c>
    </row>
    <row r="121">
      <c r="A121" s="8" t="s">
        <v>181</v>
      </c>
      <c r="B121" s="9">
        <v>1618548.0</v>
      </c>
      <c r="C121" s="9">
        <v>1096932.0</v>
      </c>
      <c r="D121" s="9">
        <v>164999.0</v>
      </c>
      <c r="E121" s="9">
        <v>521614.0</v>
      </c>
      <c r="F121" s="9">
        <v>1257885.0</v>
      </c>
      <c r="G121" s="9">
        <v>1119271.0</v>
      </c>
      <c r="H121" s="9">
        <v>197955.0</v>
      </c>
      <c r="I121" s="9">
        <v>141058.0</v>
      </c>
      <c r="J121" s="9">
        <v>89307.0</v>
      </c>
      <c r="K121" s="12">
        <v>0.27</v>
      </c>
      <c r="L121" s="9">
        <v>207911.0</v>
      </c>
      <c r="M121" s="9">
        <v>-11505.0</v>
      </c>
      <c r="N121" s="9">
        <v>-161731.0</v>
      </c>
      <c r="O121" s="9">
        <v>34675.0</v>
      </c>
      <c r="P121" s="12">
        <v>18.72</v>
      </c>
      <c r="Q121" s="12">
        <v>8.78</v>
      </c>
      <c r="R121" s="12">
        <v>25.46</v>
      </c>
      <c r="S121" s="12">
        <v>7.1</v>
      </c>
      <c r="T121" s="12">
        <v>11.21</v>
      </c>
      <c r="U121" s="12">
        <v>2.1</v>
      </c>
      <c r="V121" s="12">
        <v>4.57</v>
      </c>
      <c r="W121" s="12">
        <v>1.91</v>
      </c>
      <c r="X121" s="12">
        <v>1.12</v>
      </c>
      <c r="Y121" s="12">
        <v>3.83</v>
      </c>
      <c r="Z121" s="12">
        <v>0.78</v>
      </c>
      <c r="AA121" s="12">
        <v>3.0</v>
      </c>
      <c r="AB121" s="12">
        <v>121.56</v>
      </c>
      <c r="AC121" s="12">
        <v>4.4</v>
      </c>
      <c r="AD121" s="12">
        <v>82.87</v>
      </c>
      <c r="AE121" s="12">
        <v>3.68</v>
      </c>
      <c r="AF121" s="12">
        <v>99.06</v>
      </c>
      <c r="AG121" s="12">
        <v>105.37</v>
      </c>
    </row>
    <row r="122">
      <c r="A122" s="8" t="s">
        <v>182</v>
      </c>
      <c r="B122" s="9">
        <v>7284168.73</v>
      </c>
      <c r="C122" s="9">
        <v>3175999.9</v>
      </c>
      <c r="D122" s="9">
        <v>2100000.0</v>
      </c>
      <c r="E122" s="9">
        <v>4108168.83</v>
      </c>
      <c r="F122" s="9">
        <v>1243845.73</v>
      </c>
      <c r="G122" s="9">
        <v>1956604.11</v>
      </c>
      <c r="H122" s="9">
        <v>-650808.34</v>
      </c>
      <c r="I122" s="9">
        <v>-738868.13</v>
      </c>
      <c r="J122" s="9">
        <v>-907197.87</v>
      </c>
      <c r="K122" s="12">
        <v>-0.22</v>
      </c>
      <c r="L122" s="9">
        <v>256674.74</v>
      </c>
      <c r="M122" s="9">
        <v>38498.04</v>
      </c>
      <c r="N122" s="9">
        <v>-565340.25</v>
      </c>
      <c r="O122" s="9">
        <v>-270167.47</v>
      </c>
      <c r="P122" s="12">
        <v>-19.89</v>
      </c>
      <c r="Q122" s="12">
        <v>-9.24</v>
      </c>
      <c r="R122" s="12">
        <v>-15.25</v>
      </c>
      <c r="S122" s="12">
        <v>-72.93</v>
      </c>
      <c r="T122" s="12">
        <v>-59.4</v>
      </c>
      <c r="U122" s="12">
        <v>0.77</v>
      </c>
      <c r="V122" s="12">
        <v>-3.98</v>
      </c>
      <c r="W122" s="12">
        <v>2.32</v>
      </c>
      <c r="X122" s="12">
        <v>0.08</v>
      </c>
      <c r="Y122" s="12">
        <v>39.3</v>
      </c>
      <c r="Z122" s="12">
        <v>0.16</v>
      </c>
      <c r="AA122" s="12">
        <v>0.24</v>
      </c>
      <c r="AB122" s="9">
        <v>1524.49</v>
      </c>
      <c r="AC122" s="12">
        <v>13.0</v>
      </c>
      <c r="AD122" s="12">
        <v>28.08</v>
      </c>
      <c r="AE122" s="12">
        <v>2.67</v>
      </c>
      <c r="AF122" s="12">
        <v>136.68</v>
      </c>
      <c r="AG122" s="9">
        <v>1415.89</v>
      </c>
    </row>
    <row r="123">
      <c r="A123" s="8" t="s">
        <v>183</v>
      </c>
      <c r="B123" s="9">
        <v>842882.49</v>
      </c>
      <c r="C123" s="9">
        <v>185136.42</v>
      </c>
      <c r="D123" s="9">
        <v>220000.0</v>
      </c>
      <c r="E123" s="9">
        <v>657746.07</v>
      </c>
      <c r="F123" s="9">
        <v>678176.38</v>
      </c>
      <c r="G123" s="9">
        <v>567896.44</v>
      </c>
      <c r="H123" s="9">
        <v>155335.98</v>
      </c>
      <c r="I123" s="9">
        <v>110279.94</v>
      </c>
      <c r="J123" s="9">
        <v>78176.38</v>
      </c>
      <c r="K123" s="12">
        <v>0.27</v>
      </c>
      <c r="L123" s="9">
        <v>123848.41</v>
      </c>
      <c r="M123" s="9">
        <v>-260348.27</v>
      </c>
      <c r="N123" s="9">
        <v>242338.3</v>
      </c>
      <c r="O123" s="9">
        <v>105838.43</v>
      </c>
      <c r="P123" s="12">
        <v>17.65</v>
      </c>
      <c r="Q123" s="12">
        <v>17.39</v>
      </c>
      <c r="R123" s="12">
        <v>29.22</v>
      </c>
      <c r="S123" s="12">
        <v>11.53</v>
      </c>
      <c r="T123" s="12">
        <v>16.26</v>
      </c>
      <c r="U123" s="12">
        <v>0.28</v>
      </c>
      <c r="V123" s="12">
        <v>8.79</v>
      </c>
      <c r="W123" s="12">
        <v>4.6</v>
      </c>
      <c r="X123" s="12">
        <v>2.27</v>
      </c>
      <c r="Y123" s="12">
        <v>3.43</v>
      </c>
      <c r="Z123" s="12">
        <v>1.07</v>
      </c>
      <c r="AA123" s="12">
        <v>4.0</v>
      </c>
      <c r="AB123" s="12">
        <v>91.34</v>
      </c>
      <c r="AC123" s="12">
        <v>5.4</v>
      </c>
      <c r="AD123" s="12">
        <v>67.55</v>
      </c>
      <c r="AE123" s="12">
        <v>6.09</v>
      </c>
      <c r="AF123" s="12">
        <v>59.98</v>
      </c>
      <c r="AG123" s="12">
        <v>98.91</v>
      </c>
    </row>
    <row r="124">
      <c r="A124" s="8" t="s">
        <v>184</v>
      </c>
      <c r="B124" s="9">
        <v>2260929.18</v>
      </c>
      <c r="C124" s="9">
        <v>579387.08</v>
      </c>
      <c r="D124" s="9">
        <v>1637500.0</v>
      </c>
      <c r="E124" s="9">
        <v>1681542.11</v>
      </c>
      <c r="F124" s="9">
        <v>398919.63</v>
      </c>
      <c r="G124" s="9">
        <v>314480.86</v>
      </c>
      <c r="H124" s="9">
        <v>101717.15</v>
      </c>
      <c r="I124" s="9">
        <v>84438.77</v>
      </c>
      <c r="J124" s="9">
        <v>40772.11</v>
      </c>
      <c r="K124" s="12">
        <v>0.03</v>
      </c>
      <c r="L124" s="9">
        <v>85182.87</v>
      </c>
      <c r="M124" s="9">
        <v>-57470.81</v>
      </c>
      <c r="N124" s="9">
        <v>-30428.01</v>
      </c>
      <c r="O124" s="9">
        <v>-2715.95</v>
      </c>
      <c r="P124" s="12">
        <v>2.36</v>
      </c>
      <c r="Q124" s="12">
        <v>3.66</v>
      </c>
      <c r="R124" s="12">
        <v>88.73</v>
      </c>
      <c r="S124" s="12">
        <v>10.22</v>
      </c>
      <c r="T124" s="12">
        <v>21.17</v>
      </c>
      <c r="U124" s="12">
        <v>0.34</v>
      </c>
      <c r="V124" s="12">
        <v>1.93</v>
      </c>
      <c r="W124" s="12">
        <v>2.18</v>
      </c>
      <c r="X124" s="12">
        <v>0.11</v>
      </c>
      <c r="Y124" s="12" t="s">
        <v>46</v>
      </c>
      <c r="Z124" s="12">
        <v>0.17</v>
      </c>
      <c r="AA124" s="12" t="s">
        <v>47</v>
      </c>
      <c r="AB124" s="12" t="s">
        <v>46</v>
      </c>
      <c r="AC124" s="12" t="s">
        <v>47</v>
      </c>
      <c r="AD124" s="12" t="s">
        <v>46</v>
      </c>
      <c r="AE124" s="12" t="s">
        <v>47</v>
      </c>
      <c r="AF124" s="12" t="s">
        <v>46</v>
      </c>
      <c r="AG124" s="12" t="s">
        <v>46</v>
      </c>
    </row>
    <row r="125">
      <c r="A125" s="8" t="s">
        <v>185</v>
      </c>
      <c r="B125" s="9">
        <v>418594.75</v>
      </c>
      <c r="C125" s="9">
        <v>69598.1</v>
      </c>
      <c r="D125" s="9">
        <v>200000.0</v>
      </c>
      <c r="E125" s="9">
        <v>348996.64</v>
      </c>
      <c r="F125" s="9">
        <v>346122.16</v>
      </c>
      <c r="G125" s="9">
        <v>311060.1</v>
      </c>
      <c r="H125" s="9">
        <v>47470.31</v>
      </c>
      <c r="I125" s="9">
        <v>35062.06</v>
      </c>
      <c r="J125" s="9">
        <v>34390.99</v>
      </c>
      <c r="K125" s="12">
        <v>0.1</v>
      </c>
      <c r="L125" s="9">
        <v>72116.04</v>
      </c>
      <c r="M125" s="9">
        <v>-80220.01</v>
      </c>
      <c r="N125" s="9">
        <v>104131.6</v>
      </c>
      <c r="O125" s="9">
        <v>96027.62</v>
      </c>
      <c r="P125" s="12">
        <v>12.48</v>
      </c>
      <c r="Q125" s="12">
        <v>10.37</v>
      </c>
      <c r="R125" s="12">
        <v>44.3</v>
      </c>
      <c r="S125" s="12">
        <v>9.94</v>
      </c>
      <c r="T125" s="12">
        <v>10.13</v>
      </c>
      <c r="U125" s="12">
        <v>0.2</v>
      </c>
      <c r="V125" s="12">
        <v>38.22</v>
      </c>
      <c r="W125" s="12">
        <v>6.4</v>
      </c>
      <c r="X125" s="12">
        <v>4.32</v>
      </c>
      <c r="Y125" s="12">
        <v>16.0</v>
      </c>
      <c r="Z125" s="12">
        <v>1.02</v>
      </c>
      <c r="AA125" s="12">
        <v>2.45</v>
      </c>
      <c r="AB125" s="12">
        <v>148.84</v>
      </c>
      <c r="AC125" s="12">
        <v>6.86</v>
      </c>
      <c r="AD125" s="12">
        <v>53.19</v>
      </c>
      <c r="AE125" s="12">
        <v>6.34</v>
      </c>
      <c r="AF125" s="12">
        <v>57.61</v>
      </c>
      <c r="AG125" s="12">
        <v>144.42</v>
      </c>
    </row>
    <row r="126">
      <c r="A126" s="8" t="s">
        <v>186</v>
      </c>
      <c r="B126" s="9">
        <v>1715571.0</v>
      </c>
      <c r="C126" s="9">
        <v>1056435.0</v>
      </c>
      <c r="D126" s="9">
        <v>526882.0</v>
      </c>
      <c r="E126" s="9">
        <v>514315.0</v>
      </c>
      <c r="F126" s="9">
        <v>1036518.0</v>
      </c>
      <c r="G126" s="9">
        <v>917098.0</v>
      </c>
      <c r="H126" s="9">
        <v>199333.0</v>
      </c>
      <c r="I126" s="9">
        <v>114854.0</v>
      </c>
      <c r="J126" s="9">
        <v>40777.0</v>
      </c>
      <c r="K126" s="12">
        <v>0.08</v>
      </c>
      <c r="L126" s="9">
        <v>357974.0</v>
      </c>
      <c r="M126" s="9">
        <v>-63549.0</v>
      </c>
      <c r="N126" s="9">
        <v>-160694.0</v>
      </c>
      <c r="O126" s="9">
        <v>133731.0</v>
      </c>
      <c r="P126" s="12">
        <v>8.2</v>
      </c>
      <c r="Q126" s="12">
        <v>6.72</v>
      </c>
      <c r="R126" s="12">
        <v>30.09</v>
      </c>
      <c r="S126" s="12">
        <v>6.38</v>
      </c>
      <c r="T126" s="12">
        <v>11.08</v>
      </c>
      <c r="U126" s="12">
        <v>1.6</v>
      </c>
      <c r="V126" s="12">
        <v>3.15</v>
      </c>
      <c r="W126" s="12">
        <v>0.8</v>
      </c>
      <c r="X126" s="12">
        <v>0.47</v>
      </c>
      <c r="Y126" s="12">
        <v>6.87</v>
      </c>
      <c r="Z126" s="12">
        <v>0.61</v>
      </c>
      <c r="AA126" s="12">
        <v>8.59</v>
      </c>
      <c r="AB126" s="12">
        <v>42.51</v>
      </c>
      <c r="AC126" s="12">
        <v>4.97</v>
      </c>
      <c r="AD126" s="12">
        <v>73.49</v>
      </c>
      <c r="AE126" s="12">
        <v>2.97</v>
      </c>
      <c r="AF126" s="12">
        <v>122.89</v>
      </c>
      <c r="AG126" s="12">
        <v>-6.89</v>
      </c>
    </row>
    <row r="127">
      <c r="A127" s="8" t="s">
        <v>187</v>
      </c>
      <c r="B127" s="9">
        <v>486732.32</v>
      </c>
      <c r="C127" s="9">
        <v>148015.96</v>
      </c>
      <c r="D127" s="9">
        <v>230000.0</v>
      </c>
      <c r="E127" s="9">
        <v>338716.16</v>
      </c>
      <c r="F127" s="9">
        <v>561078.14</v>
      </c>
      <c r="G127" s="9">
        <v>537222.24</v>
      </c>
      <c r="H127" s="9">
        <v>38416.11</v>
      </c>
      <c r="I127" s="9">
        <v>23855.9</v>
      </c>
      <c r="J127" s="9">
        <v>19131.36</v>
      </c>
      <c r="K127" s="12">
        <v>0.05</v>
      </c>
      <c r="L127" s="9">
        <v>-37972.04</v>
      </c>
      <c r="M127" s="9">
        <v>-7204.7</v>
      </c>
      <c r="N127" s="9">
        <v>48623.05</v>
      </c>
      <c r="O127" s="9">
        <v>3446.32</v>
      </c>
      <c r="P127" s="12">
        <v>6.16</v>
      </c>
      <c r="Q127" s="12">
        <v>5.25</v>
      </c>
      <c r="R127" s="12">
        <v>20.37</v>
      </c>
      <c r="S127" s="12">
        <v>3.41</v>
      </c>
      <c r="T127" s="12">
        <v>4.25</v>
      </c>
      <c r="U127" s="12">
        <v>0.44</v>
      </c>
      <c r="V127" s="12">
        <v>16.02</v>
      </c>
      <c r="W127" s="12">
        <v>3.3</v>
      </c>
      <c r="X127" s="12">
        <v>1.92</v>
      </c>
      <c r="Y127" s="12">
        <v>4.16</v>
      </c>
      <c r="Z127" s="12">
        <v>1.23</v>
      </c>
      <c r="AA127" s="12">
        <v>6.27</v>
      </c>
      <c r="AB127" s="12">
        <v>58.21</v>
      </c>
      <c r="AC127" s="12">
        <v>8.17</v>
      </c>
      <c r="AD127" s="12">
        <v>44.66</v>
      </c>
      <c r="AE127" s="12">
        <v>5.22</v>
      </c>
      <c r="AF127" s="12">
        <v>69.95</v>
      </c>
      <c r="AG127" s="12">
        <v>32.93</v>
      </c>
    </row>
    <row r="128">
      <c r="A128" s="8" t="s">
        <v>328</v>
      </c>
      <c r="B128" s="9">
        <v>9368579.77</v>
      </c>
      <c r="C128" s="9">
        <v>7093794.93</v>
      </c>
      <c r="D128" s="9">
        <v>308133.29</v>
      </c>
      <c r="E128" s="9">
        <v>2251101.99</v>
      </c>
      <c r="F128" s="9">
        <v>3550168.06</v>
      </c>
      <c r="G128" s="9">
        <v>3337395.67</v>
      </c>
      <c r="H128" s="9">
        <v>382529.56</v>
      </c>
      <c r="I128" s="9">
        <v>264441.14</v>
      </c>
      <c r="J128" s="9">
        <v>149778.77</v>
      </c>
      <c r="K128" s="12">
        <v>0.27</v>
      </c>
      <c r="L128" s="9">
        <v>-130626.17</v>
      </c>
      <c r="M128" s="9">
        <v>-1326620.79</v>
      </c>
      <c r="N128" s="9">
        <v>1345667.66</v>
      </c>
      <c r="O128" s="9">
        <v>-111579.31</v>
      </c>
      <c r="P128" s="12">
        <v>8.06</v>
      </c>
      <c r="Q128" s="12">
        <v>3.74</v>
      </c>
      <c r="R128" s="12">
        <v>16.22</v>
      </c>
      <c r="S128" s="12">
        <v>4.44</v>
      </c>
      <c r="T128" s="12">
        <v>7.45</v>
      </c>
      <c r="U128" s="12">
        <v>3.12</v>
      </c>
      <c r="V128" s="12">
        <v>3.02</v>
      </c>
      <c r="W128" s="12">
        <v>0.55</v>
      </c>
      <c r="X128" s="12">
        <v>0.25</v>
      </c>
      <c r="Y128" s="12">
        <v>3.51</v>
      </c>
      <c r="Z128" s="12">
        <v>0.5</v>
      </c>
      <c r="AA128" s="12">
        <v>8.46</v>
      </c>
      <c r="AB128" s="12">
        <v>43.17</v>
      </c>
      <c r="AC128" s="12">
        <v>2.91</v>
      </c>
      <c r="AD128" s="12">
        <v>125.51</v>
      </c>
      <c r="AE128" s="12">
        <v>1.6</v>
      </c>
      <c r="AF128" s="12">
        <v>228.48</v>
      </c>
      <c r="AG128" s="12">
        <v>-59.81</v>
      </c>
    </row>
    <row r="129">
      <c r="A129" s="8" t="s">
        <v>188</v>
      </c>
      <c r="B129" s="9">
        <v>62519.45</v>
      </c>
      <c r="C129" s="9">
        <v>80864.36</v>
      </c>
      <c r="D129" s="9">
        <v>70657.17</v>
      </c>
      <c r="E129" s="9">
        <v>-18344.91</v>
      </c>
      <c r="F129" s="9">
        <v>102553.64</v>
      </c>
      <c r="G129" s="9">
        <v>128294.01</v>
      </c>
      <c r="H129" s="9">
        <v>-23949.29</v>
      </c>
      <c r="I129" s="9">
        <v>-25740.37</v>
      </c>
      <c r="J129" s="9">
        <v>-26101.01</v>
      </c>
      <c r="K129" s="12">
        <v>-0.19</v>
      </c>
      <c r="L129" s="9">
        <v>-19351.58</v>
      </c>
      <c r="M129" s="12">
        <v>-477.18</v>
      </c>
      <c r="N129" s="9">
        <v>34128.57</v>
      </c>
      <c r="O129" s="9">
        <v>14299.82</v>
      </c>
      <c r="P129" s="12" t="s">
        <v>46</v>
      </c>
      <c r="Q129" s="12">
        <v>-65.07</v>
      </c>
      <c r="R129" s="12">
        <v>36.77</v>
      </c>
      <c r="S129" s="12">
        <v>-25.45</v>
      </c>
      <c r="T129" s="12">
        <v>-25.1</v>
      </c>
      <c r="U129" s="12" t="s">
        <v>46</v>
      </c>
      <c r="V129" s="12">
        <v>-60.54</v>
      </c>
      <c r="W129" s="12">
        <v>0.67</v>
      </c>
      <c r="X129" s="12">
        <v>0.41</v>
      </c>
      <c r="Y129" s="12">
        <v>501.39</v>
      </c>
      <c r="Z129" s="12">
        <v>2.59</v>
      </c>
      <c r="AA129" s="12">
        <v>48.3</v>
      </c>
      <c r="AB129" s="12">
        <v>7.56</v>
      </c>
      <c r="AC129" s="12">
        <v>10.14</v>
      </c>
      <c r="AD129" s="12">
        <v>36.01</v>
      </c>
      <c r="AE129" s="12">
        <v>1.53</v>
      </c>
      <c r="AF129" s="12">
        <v>238.3</v>
      </c>
      <c r="AG129" s="12">
        <v>-194.73</v>
      </c>
    </row>
    <row r="130">
      <c r="A130" s="8" t="s">
        <v>189</v>
      </c>
      <c r="B130" s="9">
        <v>636572.0</v>
      </c>
      <c r="C130" s="9">
        <v>122581.0</v>
      </c>
      <c r="D130" s="9">
        <v>460000.0</v>
      </c>
      <c r="E130" s="9">
        <v>513991.0</v>
      </c>
      <c r="F130" s="9">
        <v>419167.0</v>
      </c>
      <c r="G130" s="9">
        <v>372370.0</v>
      </c>
      <c r="H130" s="9">
        <v>92222.0</v>
      </c>
      <c r="I130" s="9">
        <v>46797.0</v>
      </c>
      <c r="J130" s="9">
        <v>45807.0</v>
      </c>
      <c r="K130" s="12">
        <v>0.1</v>
      </c>
      <c r="L130" s="9">
        <v>76660.0</v>
      </c>
      <c r="M130" s="9">
        <v>-20710.0</v>
      </c>
      <c r="N130" s="9">
        <v>-58946.0</v>
      </c>
      <c r="O130" s="9">
        <v>-2996.0</v>
      </c>
      <c r="P130" s="12">
        <v>9.1</v>
      </c>
      <c r="Q130" s="12">
        <v>7.49</v>
      </c>
      <c r="R130" s="12">
        <v>23.02</v>
      </c>
      <c r="S130" s="12">
        <v>10.93</v>
      </c>
      <c r="T130" s="12">
        <v>11.16</v>
      </c>
      <c r="U130" s="12">
        <v>0.24</v>
      </c>
      <c r="V130" s="12">
        <v>14.62</v>
      </c>
      <c r="W130" s="12">
        <v>1.56</v>
      </c>
      <c r="X130" s="12">
        <v>1.09</v>
      </c>
      <c r="Y130" s="12">
        <v>0.88</v>
      </c>
      <c r="Z130" s="12">
        <v>0.67</v>
      </c>
      <c r="AA130" s="12">
        <v>11.71</v>
      </c>
      <c r="AB130" s="12">
        <v>31.16</v>
      </c>
      <c r="AC130" s="12">
        <v>5.62</v>
      </c>
      <c r="AD130" s="12">
        <v>64.96</v>
      </c>
      <c r="AE130" s="12">
        <v>5.48</v>
      </c>
      <c r="AF130" s="12">
        <v>66.61</v>
      </c>
      <c r="AG130" s="12">
        <v>29.52</v>
      </c>
    </row>
    <row r="131">
      <c r="A131" s="8" t="s">
        <v>191</v>
      </c>
      <c r="B131" s="9">
        <v>1027109.2</v>
      </c>
      <c r="C131" s="9">
        <v>376835.26</v>
      </c>
      <c r="D131" s="9">
        <v>275000.0</v>
      </c>
      <c r="E131" s="9">
        <v>643612.74</v>
      </c>
      <c r="F131" s="9">
        <v>1359983.79</v>
      </c>
      <c r="G131" s="9">
        <v>1276074.53</v>
      </c>
      <c r="H131" s="9">
        <v>113391.26</v>
      </c>
      <c r="I131" s="9">
        <v>83778.23</v>
      </c>
      <c r="J131" s="9">
        <v>59837.17</v>
      </c>
      <c r="K131" s="12">
        <v>0.11</v>
      </c>
      <c r="L131" s="9">
        <v>2257.73</v>
      </c>
      <c r="M131" s="9">
        <v>-70831.83</v>
      </c>
      <c r="N131" s="9">
        <v>45902.72</v>
      </c>
      <c r="O131" s="9">
        <v>-22671.38</v>
      </c>
      <c r="P131" s="12">
        <v>9.57</v>
      </c>
      <c r="Q131" s="12">
        <v>8.86</v>
      </c>
      <c r="R131" s="12">
        <v>19.47</v>
      </c>
      <c r="S131" s="12">
        <v>4.54</v>
      </c>
      <c r="T131" s="12">
        <v>6.16</v>
      </c>
      <c r="U131" s="12">
        <v>0.58</v>
      </c>
      <c r="V131" s="12">
        <v>11.77</v>
      </c>
      <c r="W131" s="12">
        <v>1.66</v>
      </c>
      <c r="X131" s="12">
        <v>1.61</v>
      </c>
      <c r="Y131" s="12">
        <v>2.78</v>
      </c>
      <c r="Z131" s="12">
        <v>1.44</v>
      </c>
      <c r="AA131" s="12" t="s">
        <v>47</v>
      </c>
      <c r="AB131" s="12" t="s">
        <v>46</v>
      </c>
      <c r="AC131" s="12">
        <v>5.39</v>
      </c>
      <c r="AD131" s="12">
        <v>67.76</v>
      </c>
      <c r="AE131" s="12">
        <v>14.34</v>
      </c>
      <c r="AF131" s="12">
        <v>25.45</v>
      </c>
      <c r="AG131" s="12">
        <v>42.31</v>
      </c>
    </row>
    <row r="132">
      <c r="A132" s="8" t="s">
        <v>192</v>
      </c>
      <c r="B132" s="9">
        <v>2632108.92</v>
      </c>
      <c r="C132" s="9">
        <v>1726896.88</v>
      </c>
      <c r="D132" s="9">
        <v>213749.98</v>
      </c>
      <c r="E132" s="9">
        <v>905207.45</v>
      </c>
      <c r="F132" s="9">
        <v>435624.69</v>
      </c>
      <c r="G132" s="9">
        <v>625298.45</v>
      </c>
      <c r="H132" s="9">
        <v>16708.4</v>
      </c>
      <c r="I132" s="9">
        <v>-189673.76</v>
      </c>
      <c r="J132" s="9">
        <v>-209084.94</v>
      </c>
      <c r="K132" s="12">
        <v>-0.25</v>
      </c>
      <c r="L132" s="9">
        <v>32748.67</v>
      </c>
      <c r="M132" s="9">
        <v>-131581.85</v>
      </c>
      <c r="N132" s="9">
        <v>160798.86</v>
      </c>
      <c r="O132" s="9">
        <v>61965.68</v>
      </c>
      <c r="P132" s="12">
        <v>-20.53</v>
      </c>
      <c r="Q132" s="12">
        <v>-9.14</v>
      </c>
      <c r="R132" s="12">
        <v>-18.68</v>
      </c>
      <c r="S132" s="12">
        <v>-48.0</v>
      </c>
      <c r="T132" s="12">
        <v>-43.54</v>
      </c>
      <c r="U132" s="12">
        <v>1.91</v>
      </c>
      <c r="V132" s="12">
        <v>-8.82</v>
      </c>
      <c r="W132" s="12">
        <v>0.64</v>
      </c>
      <c r="X132" s="12">
        <v>0.4</v>
      </c>
      <c r="Y132" s="12">
        <v>0.4</v>
      </c>
      <c r="Z132" s="12">
        <v>0.21</v>
      </c>
      <c r="AA132" s="12">
        <v>12.63</v>
      </c>
      <c r="AB132" s="12">
        <v>28.89</v>
      </c>
      <c r="AC132" s="12">
        <v>12.47</v>
      </c>
      <c r="AD132" s="12">
        <v>29.26</v>
      </c>
      <c r="AE132" s="12">
        <v>7.17</v>
      </c>
      <c r="AF132" s="12">
        <v>50.93</v>
      </c>
      <c r="AG132" s="12">
        <v>7.22</v>
      </c>
    </row>
    <row r="133">
      <c r="A133" s="8" t="s">
        <v>193</v>
      </c>
      <c r="B133" s="9">
        <v>864154.63</v>
      </c>
      <c r="C133" s="9">
        <v>451879.89</v>
      </c>
      <c r="D133" s="9">
        <v>200000.0</v>
      </c>
      <c r="E133" s="9">
        <v>412274.74</v>
      </c>
      <c r="F133" s="9">
        <v>3634969.67</v>
      </c>
      <c r="G133" s="9">
        <v>3537227.68</v>
      </c>
      <c r="H133" s="9">
        <v>163727.93</v>
      </c>
      <c r="I133" s="9">
        <v>97741.99</v>
      </c>
      <c r="J133" s="9">
        <v>73301.19</v>
      </c>
      <c r="K133" s="12">
        <v>0.18</v>
      </c>
      <c r="L133" s="9">
        <v>-119918.44</v>
      </c>
      <c r="M133" s="9">
        <v>91875.92</v>
      </c>
      <c r="N133" s="9">
        <v>36105.93</v>
      </c>
      <c r="O133" s="9">
        <v>8063.41</v>
      </c>
      <c r="P133" s="12">
        <v>18.53</v>
      </c>
      <c r="Q133" s="12">
        <v>12.27</v>
      </c>
      <c r="R133" s="12">
        <v>10.97</v>
      </c>
      <c r="S133" s="12">
        <v>2.02</v>
      </c>
      <c r="T133" s="12">
        <v>2.69</v>
      </c>
      <c r="U133" s="12">
        <v>1.1</v>
      </c>
      <c r="V133" s="12">
        <v>14.33</v>
      </c>
      <c r="W133" s="12">
        <v>1.9</v>
      </c>
      <c r="X133" s="12">
        <v>0.36</v>
      </c>
      <c r="Y133" s="12">
        <v>27.19</v>
      </c>
      <c r="Z133" s="12">
        <v>4.56</v>
      </c>
      <c r="AA133" s="12">
        <v>7.56</v>
      </c>
      <c r="AB133" s="12">
        <v>48.26</v>
      </c>
      <c r="AC133" s="12">
        <v>58.22</v>
      </c>
      <c r="AD133" s="12">
        <v>6.27</v>
      </c>
      <c r="AE133" s="12">
        <v>14.14</v>
      </c>
      <c r="AF133" s="12">
        <v>25.81</v>
      </c>
      <c r="AG133" s="12">
        <v>28.73</v>
      </c>
    </row>
    <row r="134">
      <c r="A134" s="8" t="s">
        <v>194</v>
      </c>
      <c r="B134" s="9">
        <v>2426585.0</v>
      </c>
      <c r="C134" s="9">
        <v>1382902.0</v>
      </c>
      <c r="D134" s="9">
        <v>338350.0</v>
      </c>
      <c r="E134" s="9">
        <v>994607.0</v>
      </c>
      <c r="F134" s="9">
        <v>1733432.0</v>
      </c>
      <c r="G134" s="9">
        <v>1870126.0</v>
      </c>
      <c r="H134" s="9">
        <v>-84953.0</v>
      </c>
      <c r="I134" s="9">
        <v>-136419.0</v>
      </c>
      <c r="J134" s="9">
        <v>-129682.0</v>
      </c>
      <c r="K134" s="12">
        <v>-0.19</v>
      </c>
      <c r="L134" s="9">
        <v>-98595.0</v>
      </c>
      <c r="M134" s="9">
        <v>-325966.0</v>
      </c>
      <c r="N134" s="9">
        <v>425436.0</v>
      </c>
      <c r="O134" s="12">
        <v>875.0</v>
      </c>
      <c r="P134" s="12">
        <v>-12.11</v>
      </c>
      <c r="Q134" s="12">
        <v>-5.85</v>
      </c>
      <c r="R134" s="12">
        <v>2.02</v>
      </c>
      <c r="S134" s="12">
        <v>-7.7</v>
      </c>
      <c r="T134" s="12">
        <v>-7.87</v>
      </c>
      <c r="U134" s="12">
        <v>1.33</v>
      </c>
      <c r="V134" s="12">
        <v>-11.76</v>
      </c>
      <c r="W134" s="12">
        <v>1.31</v>
      </c>
      <c r="X134" s="12">
        <v>0.83</v>
      </c>
      <c r="Y134" s="12">
        <v>5.18</v>
      </c>
      <c r="Z134" s="12">
        <v>0.74</v>
      </c>
      <c r="AA134" s="12">
        <v>9.85</v>
      </c>
      <c r="AB134" s="12">
        <v>37.07</v>
      </c>
      <c r="AC134" s="12">
        <v>3.28</v>
      </c>
      <c r="AD134" s="12">
        <v>111.36</v>
      </c>
      <c r="AE134" s="12">
        <v>6.14</v>
      </c>
      <c r="AF134" s="12">
        <v>59.48</v>
      </c>
      <c r="AG134" s="12">
        <v>88.95</v>
      </c>
    </row>
    <row r="135">
      <c r="A135" s="8" t="s">
        <v>195</v>
      </c>
      <c r="B135" s="9">
        <v>327795.18</v>
      </c>
      <c r="C135" s="9">
        <v>231253.61</v>
      </c>
      <c r="D135" s="9">
        <v>189636.98</v>
      </c>
      <c r="E135" s="9">
        <v>66122.69</v>
      </c>
      <c r="F135" s="9">
        <v>28724.74</v>
      </c>
      <c r="G135" s="9">
        <v>363757.87</v>
      </c>
      <c r="H135" s="9">
        <v>-314967.33</v>
      </c>
      <c r="I135" s="9">
        <v>-335033.12</v>
      </c>
      <c r="J135" s="9">
        <v>-249061.8</v>
      </c>
      <c r="K135" s="12">
        <v>-0.92</v>
      </c>
      <c r="L135" s="9">
        <v>-41451.73</v>
      </c>
      <c r="M135" s="9">
        <v>143969.32</v>
      </c>
      <c r="N135" s="9">
        <v>-78411.31</v>
      </c>
      <c r="O135" s="9">
        <v>24106.29</v>
      </c>
      <c r="P135" s="12">
        <v>-132.1</v>
      </c>
      <c r="Q135" s="12">
        <v>-65.11</v>
      </c>
      <c r="R135" s="12" t="s">
        <v>47</v>
      </c>
      <c r="S135" s="9">
        <v>-1084.95</v>
      </c>
      <c r="T135" s="9">
        <v>-1166.36</v>
      </c>
      <c r="U135" s="12">
        <v>2.4</v>
      </c>
      <c r="V135" s="12">
        <v>-22.1</v>
      </c>
      <c r="W135" s="12">
        <v>0.53</v>
      </c>
      <c r="X135" s="12">
        <v>0.29</v>
      </c>
      <c r="Y135" s="12">
        <v>0.11</v>
      </c>
      <c r="Z135" s="12">
        <v>0.06</v>
      </c>
      <c r="AA135" s="12" t="s">
        <v>47</v>
      </c>
      <c r="AB135" s="12" t="s">
        <v>46</v>
      </c>
      <c r="AC135" s="12" t="s">
        <v>46</v>
      </c>
      <c r="AD135" s="12" t="s">
        <v>47</v>
      </c>
      <c r="AE135" s="12" t="s">
        <v>46</v>
      </c>
      <c r="AF135" s="12" t="s">
        <v>47</v>
      </c>
      <c r="AG135" s="12" t="s">
        <v>46</v>
      </c>
    </row>
    <row r="136">
      <c r="A136" s="8" t="s">
        <v>196</v>
      </c>
      <c r="B136" s="9">
        <v>571452.09</v>
      </c>
      <c r="C136" s="9">
        <v>193732.97</v>
      </c>
      <c r="D136" s="9">
        <v>284000.0</v>
      </c>
      <c r="E136" s="9">
        <v>377719.12</v>
      </c>
      <c r="F136" s="9">
        <v>420803.08</v>
      </c>
      <c r="G136" s="9">
        <v>398262.01</v>
      </c>
      <c r="H136" s="9">
        <v>53248.84</v>
      </c>
      <c r="I136" s="9">
        <v>22541.07</v>
      </c>
      <c r="J136" s="9">
        <v>14703.21</v>
      </c>
      <c r="K136" s="12">
        <v>0.03</v>
      </c>
      <c r="L136" s="9">
        <v>26615.72</v>
      </c>
      <c r="M136" s="9">
        <v>-19840.95</v>
      </c>
      <c r="N136" s="9">
        <v>-22877.98</v>
      </c>
      <c r="O136" s="9">
        <v>-16103.2</v>
      </c>
      <c r="P136" s="12">
        <v>3.65</v>
      </c>
      <c r="Q136" s="12">
        <v>3.86</v>
      </c>
      <c r="R136" s="12">
        <v>27.87</v>
      </c>
      <c r="S136" s="12">
        <v>3.49</v>
      </c>
      <c r="T136" s="12">
        <v>5.36</v>
      </c>
      <c r="U136" s="12">
        <v>0.51</v>
      </c>
      <c r="V136" s="12">
        <v>6.07</v>
      </c>
      <c r="W136" s="12">
        <v>1.03</v>
      </c>
      <c r="X136" s="12">
        <v>0.76</v>
      </c>
      <c r="Y136" s="12">
        <v>1.09</v>
      </c>
      <c r="Z136" s="12">
        <v>0.72</v>
      </c>
      <c r="AA136" s="12">
        <v>7.56</v>
      </c>
      <c r="AB136" s="12">
        <v>48.31</v>
      </c>
      <c r="AC136" s="12">
        <v>3.4</v>
      </c>
      <c r="AD136" s="12">
        <v>107.39</v>
      </c>
      <c r="AE136" s="12">
        <v>3.61</v>
      </c>
      <c r="AF136" s="12">
        <v>101.18</v>
      </c>
      <c r="AG136" s="12">
        <v>54.52</v>
      </c>
    </row>
    <row r="137">
      <c r="A137" s="8" t="s">
        <v>309</v>
      </c>
      <c r="B137" s="9">
        <v>1857160.84</v>
      </c>
      <c r="C137" s="9">
        <v>1004919.67</v>
      </c>
      <c r="D137" s="9">
        <v>134000.0</v>
      </c>
      <c r="E137" s="9">
        <v>712684.44</v>
      </c>
      <c r="F137" s="9">
        <v>1576164.29</v>
      </c>
      <c r="G137" s="9">
        <v>1342691.54</v>
      </c>
      <c r="H137" s="9">
        <v>281227.62</v>
      </c>
      <c r="I137" s="9">
        <v>233472.74</v>
      </c>
      <c r="J137" s="9">
        <v>149220.27</v>
      </c>
      <c r="K137" s="12">
        <v>0.56</v>
      </c>
      <c r="L137" s="9">
        <v>-68969.22</v>
      </c>
      <c r="M137" s="9">
        <v>37861.68</v>
      </c>
      <c r="N137" s="9">
        <v>22083.24</v>
      </c>
      <c r="O137" s="9">
        <v>-9024.3</v>
      </c>
      <c r="P137" s="12">
        <v>22.31</v>
      </c>
      <c r="Q137" s="12">
        <v>17.67</v>
      </c>
      <c r="R137" s="12">
        <v>31.75</v>
      </c>
      <c r="S137" s="12">
        <v>11.34</v>
      </c>
      <c r="T137" s="12">
        <v>14.81</v>
      </c>
      <c r="U137" s="12">
        <v>1.18</v>
      </c>
      <c r="V137" s="12">
        <v>27.94</v>
      </c>
      <c r="W137" s="12">
        <v>2.0</v>
      </c>
      <c r="X137" s="12">
        <v>0.56</v>
      </c>
      <c r="Y137" s="12">
        <v>11.93</v>
      </c>
      <c r="Z137" s="12">
        <v>1.19</v>
      </c>
      <c r="AA137" s="12" t="s">
        <v>47</v>
      </c>
      <c r="AB137" s="12" t="s">
        <v>46</v>
      </c>
      <c r="AC137" s="12">
        <v>8.45</v>
      </c>
      <c r="AD137" s="12">
        <v>43.21</v>
      </c>
      <c r="AE137" s="12">
        <v>10.58</v>
      </c>
      <c r="AF137" s="12">
        <v>34.5</v>
      </c>
      <c r="AG137" s="12">
        <v>8.7</v>
      </c>
    </row>
    <row r="138">
      <c r="A138" s="8" t="s">
        <v>197</v>
      </c>
      <c r="B138" s="9">
        <v>678950.69</v>
      </c>
      <c r="C138" s="9">
        <v>528823.92</v>
      </c>
      <c r="D138" s="9">
        <v>1316252.59</v>
      </c>
      <c r="E138" s="9">
        <v>166023.95</v>
      </c>
      <c r="F138" s="9">
        <v>473767.58</v>
      </c>
      <c r="G138" s="9">
        <v>509111.93</v>
      </c>
      <c r="H138" s="9">
        <v>-20237.77</v>
      </c>
      <c r="I138" s="9">
        <v>-38004.57</v>
      </c>
      <c r="J138" s="9">
        <v>-310613.1</v>
      </c>
      <c r="K138" s="12">
        <v>-0.02</v>
      </c>
      <c r="L138" s="9">
        <v>25914.9</v>
      </c>
      <c r="M138" s="9">
        <v>357353.83</v>
      </c>
      <c r="N138" s="9">
        <v>-611943.28</v>
      </c>
      <c r="O138" s="9">
        <v>-228674.55</v>
      </c>
      <c r="P138" s="12">
        <v>-95.67</v>
      </c>
      <c r="Q138" s="12">
        <v>-2.55</v>
      </c>
      <c r="R138" s="12">
        <v>14.95</v>
      </c>
      <c r="S138" s="12">
        <v>-67.14</v>
      </c>
      <c r="T138" s="12">
        <v>-8.02</v>
      </c>
      <c r="U138" s="12">
        <v>3.52</v>
      </c>
      <c r="V138" s="12">
        <v>-0.9</v>
      </c>
      <c r="W138" s="12">
        <v>0.53</v>
      </c>
      <c r="X138" s="12">
        <v>0.31</v>
      </c>
      <c r="Y138" s="12">
        <v>1.44</v>
      </c>
      <c r="Z138" s="12">
        <v>0.32</v>
      </c>
      <c r="AA138" s="12">
        <v>2.16</v>
      </c>
      <c r="AB138" s="12">
        <v>169.11</v>
      </c>
      <c r="AC138" s="12">
        <v>4.05</v>
      </c>
      <c r="AD138" s="12">
        <v>90.19</v>
      </c>
      <c r="AE138" s="12">
        <v>1.43</v>
      </c>
      <c r="AF138" s="12">
        <v>255.67</v>
      </c>
      <c r="AG138" s="12">
        <v>3.63</v>
      </c>
    </row>
    <row r="139">
      <c r="A139" s="8" t="s">
        <v>329</v>
      </c>
      <c r="B139" s="9">
        <v>1293021.09</v>
      </c>
      <c r="C139" s="9">
        <v>270990.38</v>
      </c>
      <c r="D139" s="9">
        <v>215000.0</v>
      </c>
      <c r="E139" s="9">
        <v>1022030.71</v>
      </c>
      <c r="F139" s="9">
        <v>2617767.99</v>
      </c>
      <c r="G139" s="9">
        <v>2416457.31</v>
      </c>
      <c r="H139" s="9">
        <v>286050.18</v>
      </c>
      <c r="I139" s="9">
        <v>213623.78</v>
      </c>
      <c r="J139" s="9">
        <v>192912.19</v>
      </c>
      <c r="K139" s="12">
        <v>0.45</v>
      </c>
      <c r="L139" s="9">
        <v>328003.84</v>
      </c>
      <c r="M139" s="9">
        <v>-31201.56</v>
      </c>
      <c r="N139" s="9">
        <v>-246591.28</v>
      </c>
      <c r="O139" s="9">
        <v>50211.0</v>
      </c>
      <c r="P139" s="12">
        <v>20.6</v>
      </c>
      <c r="Q139" s="12">
        <v>16.21</v>
      </c>
      <c r="R139" s="12">
        <v>16.17</v>
      </c>
      <c r="S139" s="12">
        <v>7.37</v>
      </c>
      <c r="T139" s="12">
        <v>8.16</v>
      </c>
      <c r="U139" s="12">
        <v>0.27</v>
      </c>
      <c r="V139" s="12">
        <v>120.52</v>
      </c>
      <c r="W139" s="12">
        <v>2.49</v>
      </c>
      <c r="X139" s="12">
        <v>2.03</v>
      </c>
      <c r="Y139" s="12">
        <v>3.76</v>
      </c>
      <c r="Z139" s="12">
        <v>1.99</v>
      </c>
      <c r="AA139" s="12">
        <v>14.53</v>
      </c>
      <c r="AB139" s="12">
        <v>25.12</v>
      </c>
      <c r="AC139" s="12">
        <v>14.89</v>
      </c>
      <c r="AD139" s="12">
        <v>24.51</v>
      </c>
      <c r="AE139" s="12">
        <v>10.56</v>
      </c>
      <c r="AF139" s="12">
        <v>34.55</v>
      </c>
      <c r="AG139" s="12">
        <v>15.08</v>
      </c>
    </row>
    <row r="140">
      <c r="A140" s="8" t="s">
        <v>199</v>
      </c>
      <c r="B140" s="9">
        <v>1131958.52</v>
      </c>
      <c r="C140" s="9">
        <v>466468.37</v>
      </c>
      <c r="D140" s="9">
        <v>159365.45</v>
      </c>
      <c r="E140" s="9">
        <v>651293.52</v>
      </c>
      <c r="F140" s="9">
        <v>1301404.57</v>
      </c>
      <c r="G140" s="9">
        <v>1191890.12</v>
      </c>
      <c r="H140" s="9">
        <v>148874.78</v>
      </c>
      <c r="I140" s="9">
        <v>109514.45</v>
      </c>
      <c r="J140" s="9">
        <v>67678.89</v>
      </c>
      <c r="K140" s="12">
        <v>0.22</v>
      </c>
      <c r="L140" s="9">
        <v>168649.49</v>
      </c>
      <c r="M140" s="9">
        <v>-24866.63</v>
      </c>
      <c r="N140" s="9">
        <v>-139583.98</v>
      </c>
      <c r="O140" s="9">
        <v>4198.88</v>
      </c>
      <c r="P140" s="12">
        <v>10.07</v>
      </c>
      <c r="Q140" s="12">
        <v>9.01</v>
      </c>
      <c r="R140" s="12">
        <v>40.32</v>
      </c>
      <c r="S140" s="12">
        <v>5.43</v>
      </c>
      <c r="T140" s="12">
        <v>8.42</v>
      </c>
      <c r="U140" s="12">
        <v>0.7</v>
      </c>
      <c r="V140" s="12">
        <v>16.33</v>
      </c>
      <c r="W140" s="12">
        <v>1.81</v>
      </c>
      <c r="X140" s="12">
        <v>1.24</v>
      </c>
      <c r="Y140" s="12">
        <v>3.87</v>
      </c>
      <c r="Z140" s="12">
        <v>1.07</v>
      </c>
      <c r="AA140" s="12">
        <v>3.36</v>
      </c>
      <c r="AB140" s="12">
        <v>108.76</v>
      </c>
      <c r="AC140" s="12">
        <v>3.48</v>
      </c>
      <c r="AD140" s="12">
        <v>104.85</v>
      </c>
      <c r="AE140" s="12">
        <v>2.66</v>
      </c>
      <c r="AF140" s="12">
        <v>137.47</v>
      </c>
      <c r="AG140" s="12">
        <v>76.14</v>
      </c>
    </row>
    <row r="141">
      <c r="A141" s="8" t="s">
        <v>200</v>
      </c>
      <c r="B141" s="9">
        <v>1011506.41</v>
      </c>
      <c r="C141" s="9">
        <v>288818.03</v>
      </c>
      <c r="D141" s="9">
        <v>152000.0</v>
      </c>
      <c r="E141" s="9">
        <v>722688.39</v>
      </c>
      <c r="F141" s="9">
        <v>1318729.55</v>
      </c>
      <c r="G141" s="9">
        <v>1082714.02</v>
      </c>
      <c r="H141" s="9">
        <v>258975.89</v>
      </c>
      <c r="I141" s="9">
        <v>235881.06</v>
      </c>
      <c r="J141" s="9">
        <v>188380.57</v>
      </c>
      <c r="K141" s="12">
        <v>0.31</v>
      </c>
      <c r="L141" s="9">
        <v>234449.79</v>
      </c>
      <c r="M141" s="9">
        <v>122364.85</v>
      </c>
      <c r="N141" s="9">
        <v>-169343.0</v>
      </c>
      <c r="O141" s="9">
        <v>187471.63</v>
      </c>
      <c r="P141" s="12">
        <v>26.07</v>
      </c>
      <c r="Q141" s="12">
        <v>23.32</v>
      </c>
      <c r="R141" s="12">
        <v>33.87</v>
      </c>
      <c r="S141" s="12">
        <v>14.29</v>
      </c>
      <c r="T141" s="12">
        <v>17.89</v>
      </c>
      <c r="U141" s="12">
        <v>0.4</v>
      </c>
      <c r="V141" s="12">
        <v>198.93</v>
      </c>
      <c r="W141" s="12">
        <v>3.46</v>
      </c>
      <c r="X141" s="12">
        <v>1.75</v>
      </c>
      <c r="Y141" s="12">
        <v>13.41</v>
      </c>
      <c r="Z141" s="12">
        <v>1.3</v>
      </c>
      <c r="AA141" s="12">
        <v>24.9</v>
      </c>
      <c r="AB141" s="12">
        <v>14.66</v>
      </c>
      <c r="AC141" s="12">
        <v>5.44</v>
      </c>
      <c r="AD141" s="12">
        <v>67.08</v>
      </c>
      <c r="AE141" s="12">
        <v>4.05</v>
      </c>
      <c r="AF141" s="12">
        <v>90.01</v>
      </c>
      <c r="AG141" s="12">
        <v>-8.28</v>
      </c>
    </row>
    <row r="142">
      <c r="A142" s="8" t="s">
        <v>201</v>
      </c>
      <c r="B142" s="9">
        <v>2438216.52</v>
      </c>
      <c r="C142" s="9">
        <v>1208573.36</v>
      </c>
      <c r="D142" s="9">
        <v>400000.0</v>
      </c>
      <c r="E142" s="9">
        <v>892869.77</v>
      </c>
      <c r="F142" s="9">
        <v>3088645.92</v>
      </c>
      <c r="G142" s="9">
        <v>2968234.79</v>
      </c>
      <c r="H142" s="9">
        <v>205537.93</v>
      </c>
      <c r="I142" s="9">
        <v>118065.57</v>
      </c>
      <c r="J142" s="9">
        <v>32255.63</v>
      </c>
      <c r="K142" s="12">
        <v>0.04</v>
      </c>
      <c r="L142" s="9">
        <v>199880.62</v>
      </c>
      <c r="M142" s="9">
        <v>-61549.54</v>
      </c>
      <c r="N142" s="9">
        <v>212706.25</v>
      </c>
      <c r="O142" s="9">
        <v>351037.33</v>
      </c>
      <c r="P142" s="12">
        <v>3.63</v>
      </c>
      <c r="Q142" s="12">
        <v>4.96</v>
      </c>
      <c r="R142" s="12">
        <v>8.9</v>
      </c>
      <c r="S142" s="12">
        <v>2.39</v>
      </c>
      <c r="T142" s="12">
        <v>3.82</v>
      </c>
      <c r="U142" s="12">
        <v>0.98</v>
      </c>
      <c r="V142" s="12">
        <v>5.18</v>
      </c>
      <c r="W142" s="12">
        <v>1.29</v>
      </c>
      <c r="X142" s="12">
        <v>0.7</v>
      </c>
      <c r="Y142" s="12">
        <v>4.37</v>
      </c>
      <c r="Z142" s="12">
        <v>1.3</v>
      </c>
      <c r="AA142" s="12">
        <v>21.36</v>
      </c>
      <c r="AB142" s="12">
        <v>17.09</v>
      </c>
      <c r="AC142" s="12">
        <v>10.51</v>
      </c>
      <c r="AD142" s="12">
        <v>34.73</v>
      </c>
      <c r="AE142" s="12">
        <v>6.85</v>
      </c>
      <c r="AF142" s="12">
        <v>53.25</v>
      </c>
      <c r="AG142" s="12">
        <v>-1.43</v>
      </c>
    </row>
    <row r="143">
      <c r="A143" s="8" t="s">
        <v>202</v>
      </c>
      <c r="B143" s="9">
        <v>2516167.0</v>
      </c>
      <c r="C143" s="9">
        <v>1483468.0</v>
      </c>
      <c r="D143" s="9">
        <v>411864.0</v>
      </c>
      <c r="E143" s="9">
        <v>976427.0</v>
      </c>
      <c r="F143" s="9">
        <v>1936081.0</v>
      </c>
      <c r="G143" s="9">
        <v>1990144.0</v>
      </c>
      <c r="H143" s="9">
        <v>100679.0</v>
      </c>
      <c r="I143" s="9">
        <v>-29168.0</v>
      </c>
      <c r="J143" s="9">
        <v>-55437.0</v>
      </c>
      <c r="K143" s="12">
        <v>-0.13</v>
      </c>
      <c r="L143" s="9">
        <v>259012.0</v>
      </c>
      <c r="M143" s="9">
        <v>-266418.0</v>
      </c>
      <c r="N143" s="9">
        <v>-58765.0</v>
      </c>
      <c r="O143" s="9">
        <v>-66171.0</v>
      </c>
      <c r="P143" s="12">
        <v>-5.44</v>
      </c>
      <c r="Q143" s="12">
        <v>-1.18</v>
      </c>
      <c r="R143" s="12">
        <v>11.2</v>
      </c>
      <c r="S143" s="12">
        <v>-2.88</v>
      </c>
      <c r="T143" s="12">
        <v>-1.51</v>
      </c>
      <c r="U143" s="12">
        <v>1.44</v>
      </c>
      <c r="V143" s="12">
        <v>-0.82</v>
      </c>
      <c r="W143" s="12">
        <v>0.78</v>
      </c>
      <c r="X143" s="12">
        <v>0.3</v>
      </c>
      <c r="Y143" s="12">
        <v>3.58</v>
      </c>
      <c r="Z143" s="12">
        <v>0.79</v>
      </c>
      <c r="AA143" s="12">
        <v>3.82</v>
      </c>
      <c r="AB143" s="12">
        <v>95.55</v>
      </c>
      <c r="AC143" s="12">
        <v>4.94</v>
      </c>
      <c r="AD143" s="12">
        <v>73.85</v>
      </c>
      <c r="AE143" s="12">
        <v>4.27</v>
      </c>
      <c r="AF143" s="12">
        <v>85.39</v>
      </c>
      <c r="AG143" s="12">
        <v>84.01</v>
      </c>
    </row>
    <row r="144">
      <c r="A144" s="8" t="s">
        <v>203</v>
      </c>
      <c r="B144" s="9">
        <v>653958.06</v>
      </c>
      <c r="C144" s="9">
        <v>268782.79</v>
      </c>
      <c r="D144" s="9">
        <v>253212.0</v>
      </c>
      <c r="E144" s="9">
        <v>369428.73</v>
      </c>
      <c r="F144" s="9">
        <v>344862.08</v>
      </c>
      <c r="G144" s="9">
        <v>350393.16</v>
      </c>
      <c r="H144" s="12">
        <v>287.73</v>
      </c>
      <c r="I144" s="9">
        <v>-4234.0</v>
      </c>
      <c r="J144" s="9">
        <v>-16632.63</v>
      </c>
      <c r="K144" s="12">
        <v>-0.07</v>
      </c>
      <c r="L144" s="9">
        <v>172450.37</v>
      </c>
      <c r="M144" s="9">
        <v>-26521.92</v>
      </c>
      <c r="N144" s="9">
        <v>-146869.67</v>
      </c>
      <c r="O144" s="12">
        <v>-941.23</v>
      </c>
      <c r="P144" s="12">
        <v>-4.4</v>
      </c>
      <c r="Q144" s="12">
        <v>-0.57</v>
      </c>
      <c r="R144" s="12">
        <v>26.78</v>
      </c>
      <c r="S144" s="12">
        <v>-6.23</v>
      </c>
      <c r="T144" s="12">
        <v>-1.23</v>
      </c>
      <c r="U144" s="12">
        <v>0.7</v>
      </c>
      <c r="V144" s="12">
        <v>-0.34</v>
      </c>
      <c r="W144" s="12">
        <v>2.63</v>
      </c>
      <c r="X144" s="12">
        <v>0.15</v>
      </c>
      <c r="Y144" s="12">
        <v>48.11</v>
      </c>
      <c r="Z144" s="12">
        <v>0.46</v>
      </c>
      <c r="AA144" s="12">
        <v>0.45</v>
      </c>
      <c r="AB144" s="12">
        <v>819.73</v>
      </c>
      <c r="AC144" s="12">
        <v>6.87</v>
      </c>
      <c r="AD144" s="12">
        <v>53.16</v>
      </c>
      <c r="AE144" s="12">
        <v>3.81</v>
      </c>
      <c r="AF144" s="12">
        <v>95.75</v>
      </c>
      <c r="AG144" s="12">
        <v>777.14</v>
      </c>
    </row>
    <row r="145">
      <c r="A145" s="8" t="s">
        <v>204</v>
      </c>
      <c r="B145" s="9">
        <v>641402.65</v>
      </c>
      <c r="C145" s="9">
        <v>262505.73</v>
      </c>
      <c r="D145" s="9">
        <v>170000.0</v>
      </c>
      <c r="E145" s="9">
        <v>368207.27</v>
      </c>
      <c r="F145" s="9">
        <v>329443.75</v>
      </c>
      <c r="G145" s="9">
        <v>333889.11</v>
      </c>
      <c r="H145" s="9">
        <v>14208.0</v>
      </c>
      <c r="I145" s="9">
        <v>-4445.36</v>
      </c>
      <c r="J145" s="9">
        <v>-12189.8</v>
      </c>
      <c r="K145" s="12">
        <v>-0.04</v>
      </c>
      <c r="L145" s="9">
        <v>33417.77</v>
      </c>
      <c r="M145" s="9">
        <v>-2440.97</v>
      </c>
      <c r="N145" s="9">
        <v>-11993.11</v>
      </c>
      <c r="O145" s="9">
        <v>18983.7</v>
      </c>
      <c r="P145" s="12">
        <v>-3.26</v>
      </c>
      <c r="Q145" s="12">
        <v>-0.73</v>
      </c>
      <c r="R145" s="12">
        <v>36.71</v>
      </c>
      <c r="S145" s="12">
        <v>-3.34</v>
      </c>
      <c r="T145" s="12">
        <v>-1.35</v>
      </c>
      <c r="U145" s="12">
        <v>0.69</v>
      </c>
      <c r="V145" s="12">
        <v>-0.6</v>
      </c>
      <c r="W145" s="12">
        <v>2.99</v>
      </c>
      <c r="X145" s="12">
        <v>1.09</v>
      </c>
      <c r="Y145" s="12">
        <v>2.59</v>
      </c>
      <c r="Z145" s="12">
        <v>0.54</v>
      </c>
      <c r="AA145" s="12">
        <v>0.94</v>
      </c>
      <c r="AB145" s="12">
        <v>388.46</v>
      </c>
      <c r="AC145" s="12">
        <v>4.11</v>
      </c>
      <c r="AD145" s="12">
        <v>88.9</v>
      </c>
      <c r="AE145" s="12">
        <v>3.13</v>
      </c>
      <c r="AF145" s="12">
        <v>116.5</v>
      </c>
      <c r="AG145" s="12">
        <v>360.87</v>
      </c>
    </row>
    <row r="146">
      <c r="A146" s="8" t="s">
        <v>205</v>
      </c>
      <c r="B146" s="9">
        <v>752450.31</v>
      </c>
      <c r="C146" s="9">
        <v>139788.42</v>
      </c>
      <c r="D146" s="9">
        <v>230000.0</v>
      </c>
      <c r="E146" s="9">
        <v>612233.89</v>
      </c>
      <c r="F146" s="9">
        <v>899980.92</v>
      </c>
      <c r="G146" s="9">
        <v>840217.14</v>
      </c>
      <c r="H146" s="9">
        <v>75550.51</v>
      </c>
      <c r="I146" s="9">
        <v>57902.59</v>
      </c>
      <c r="J146" s="9">
        <v>45422.0</v>
      </c>
      <c r="K146" s="12">
        <v>0.1</v>
      </c>
      <c r="L146" s="9">
        <v>225228.4</v>
      </c>
      <c r="M146" s="9">
        <v>-101308.97</v>
      </c>
      <c r="N146" s="9">
        <v>-94843.43</v>
      </c>
      <c r="O146" s="9">
        <v>29076.01</v>
      </c>
      <c r="P146" s="12">
        <v>7.2</v>
      </c>
      <c r="Q146" s="12">
        <v>7.19</v>
      </c>
      <c r="R146" s="12">
        <v>12.13</v>
      </c>
      <c r="S146" s="12">
        <v>5.05</v>
      </c>
      <c r="T146" s="12">
        <v>6.43</v>
      </c>
      <c r="U146" s="12">
        <v>0.23</v>
      </c>
      <c r="V146" s="12">
        <v>98.58</v>
      </c>
      <c r="W146" s="12">
        <v>3.88</v>
      </c>
      <c r="X146" s="12">
        <v>1.33</v>
      </c>
      <c r="Y146" s="12">
        <v>10.53</v>
      </c>
      <c r="Z146" s="12">
        <v>1.12</v>
      </c>
      <c r="AA146" s="12">
        <v>269.5</v>
      </c>
      <c r="AB146" s="12">
        <v>1.35</v>
      </c>
      <c r="AC146" s="12">
        <v>4.56</v>
      </c>
      <c r="AD146" s="12">
        <v>79.99</v>
      </c>
      <c r="AE146" s="12">
        <v>8.14</v>
      </c>
      <c r="AF146" s="12">
        <v>44.83</v>
      </c>
      <c r="AG146" s="12">
        <v>36.51</v>
      </c>
    </row>
    <row r="147">
      <c r="A147" s="8" t="s">
        <v>206</v>
      </c>
      <c r="B147" s="9">
        <v>1386768.62</v>
      </c>
      <c r="C147" s="9">
        <v>679109.87</v>
      </c>
      <c r="D147" s="9">
        <v>362812.75</v>
      </c>
      <c r="E147" s="9">
        <v>707658.75</v>
      </c>
      <c r="F147" s="9">
        <v>88983.74</v>
      </c>
      <c r="G147" s="9">
        <v>142752.6</v>
      </c>
      <c r="H147" s="9">
        <v>-44526.1</v>
      </c>
      <c r="I147" s="9">
        <v>-53768.86</v>
      </c>
      <c r="J147" s="9">
        <v>-48202.83</v>
      </c>
      <c r="K147" s="12">
        <v>-0.07</v>
      </c>
      <c r="L147" s="9">
        <v>-214529.76</v>
      </c>
      <c r="M147" s="9">
        <v>-29255.59</v>
      </c>
      <c r="N147" s="9">
        <v>184650.01</v>
      </c>
      <c r="O147" s="9">
        <v>-59135.34</v>
      </c>
      <c r="P147" s="12">
        <v>-6.57</v>
      </c>
      <c r="Q147" s="12">
        <v>-4.24</v>
      </c>
      <c r="R147" s="12">
        <v>52.25</v>
      </c>
      <c r="S147" s="12">
        <v>-54.17</v>
      </c>
      <c r="T147" s="12">
        <v>-60.43</v>
      </c>
      <c r="U147" s="12">
        <v>0.96</v>
      </c>
      <c r="V147" s="12">
        <v>-10.31</v>
      </c>
      <c r="W147" s="12">
        <v>1.4</v>
      </c>
      <c r="X147" s="12">
        <v>0.21</v>
      </c>
      <c r="Y147" s="12">
        <v>1.26</v>
      </c>
      <c r="Z147" s="12">
        <v>0.07</v>
      </c>
      <c r="AA147" s="12">
        <v>0.08</v>
      </c>
      <c r="AB147" s="9">
        <v>4727.34</v>
      </c>
      <c r="AC147" s="12">
        <v>356.0</v>
      </c>
      <c r="AD147" s="12">
        <v>1.03</v>
      </c>
      <c r="AE147" s="12">
        <v>3.45</v>
      </c>
      <c r="AF147" s="12">
        <v>105.92</v>
      </c>
      <c r="AG147" s="9">
        <v>4622.44</v>
      </c>
    </row>
    <row r="148">
      <c r="A148" s="8" t="s">
        <v>207</v>
      </c>
      <c r="B148" s="9">
        <v>736371.22</v>
      </c>
      <c r="C148" s="9">
        <v>263986.2</v>
      </c>
      <c r="D148" s="9">
        <v>153999.99</v>
      </c>
      <c r="E148" s="9">
        <v>447539.37</v>
      </c>
      <c r="F148" s="9">
        <v>631621.66</v>
      </c>
      <c r="G148" s="9">
        <v>566944.55</v>
      </c>
      <c r="H148" s="9">
        <v>74181.64</v>
      </c>
      <c r="I148" s="9">
        <v>59636.93</v>
      </c>
      <c r="J148" s="9">
        <v>41072.69</v>
      </c>
      <c r="K148" s="12">
        <v>0.13</v>
      </c>
      <c r="L148" s="9">
        <v>23338.72</v>
      </c>
      <c r="M148" s="9">
        <v>75939.12</v>
      </c>
      <c r="N148" s="9">
        <v>-77880.95</v>
      </c>
      <c r="O148" s="9">
        <v>21396.89</v>
      </c>
      <c r="P148" s="12">
        <v>9.19</v>
      </c>
      <c r="Q148" s="12">
        <v>7.87</v>
      </c>
      <c r="R148" s="12">
        <v>39.17</v>
      </c>
      <c r="S148" s="12">
        <v>6.48</v>
      </c>
      <c r="T148" s="12">
        <v>9.44</v>
      </c>
      <c r="U148" s="12">
        <v>0.56</v>
      </c>
      <c r="V148" s="12">
        <v>7.83</v>
      </c>
      <c r="W148" s="12">
        <v>2.35</v>
      </c>
      <c r="X148" s="12">
        <v>1.51</v>
      </c>
      <c r="Y148" s="12">
        <v>5.47</v>
      </c>
      <c r="Z148" s="12">
        <v>0.83</v>
      </c>
      <c r="AA148" s="12">
        <v>2.46</v>
      </c>
      <c r="AB148" s="12">
        <v>148.3</v>
      </c>
      <c r="AC148" s="12">
        <v>3.08</v>
      </c>
      <c r="AD148" s="12">
        <v>118.68</v>
      </c>
      <c r="AE148" s="12">
        <v>5.19</v>
      </c>
      <c r="AF148" s="12">
        <v>70.27</v>
      </c>
      <c r="AG148" s="12">
        <v>196.72</v>
      </c>
    </row>
    <row r="149">
      <c r="A149" s="8" t="s">
        <v>208</v>
      </c>
      <c r="B149" s="9">
        <v>726734.47</v>
      </c>
      <c r="C149" s="9">
        <v>356514.13</v>
      </c>
      <c r="D149" s="9">
        <v>458773.72</v>
      </c>
      <c r="E149" s="9">
        <v>370220.35</v>
      </c>
      <c r="F149" s="9">
        <v>311304.52</v>
      </c>
      <c r="G149" s="9">
        <v>352883.13</v>
      </c>
      <c r="H149" s="9">
        <v>-11069.11</v>
      </c>
      <c r="I149" s="9">
        <v>-41578.61</v>
      </c>
      <c r="J149" s="9">
        <v>-53849.43</v>
      </c>
      <c r="K149" s="12">
        <v>-0.12</v>
      </c>
      <c r="L149" s="9">
        <v>23822.27</v>
      </c>
      <c r="M149" s="9">
        <v>24077.39</v>
      </c>
      <c r="N149" s="9">
        <v>-42118.91</v>
      </c>
      <c r="O149" s="9">
        <v>5780.76</v>
      </c>
      <c r="P149" s="12">
        <v>-13.56</v>
      </c>
      <c r="Q149" s="12">
        <v>-5.17</v>
      </c>
      <c r="R149" s="12">
        <v>5.92</v>
      </c>
      <c r="S149" s="12">
        <v>-17.3</v>
      </c>
      <c r="T149" s="12">
        <v>-13.36</v>
      </c>
      <c r="U149" s="12">
        <v>0.96</v>
      </c>
      <c r="V149" s="12">
        <v>-3.39</v>
      </c>
      <c r="W149" s="12">
        <v>0.41</v>
      </c>
      <c r="X149" s="12">
        <v>0.17</v>
      </c>
      <c r="Y149" s="12">
        <v>0.53</v>
      </c>
      <c r="Z149" s="12">
        <v>0.39</v>
      </c>
      <c r="AA149" s="12">
        <v>3.54</v>
      </c>
      <c r="AB149" s="12">
        <v>103.04</v>
      </c>
      <c r="AC149" s="12">
        <v>3.26</v>
      </c>
      <c r="AD149" s="12">
        <v>111.99</v>
      </c>
      <c r="AE149" s="12">
        <v>2.73</v>
      </c>
      <c r="AF149" s="12">
        <v>133.81</v>
      </c>
      <c r="AG149" s="12">
        <v>81.22</v>
      </c>
    </row>
    <row r="150">
      <c r="A150" s="8" t="s">
        <v>209</v>
      </c>
      <c r="B150" s="9">
        <v>461886.47</v>
      </c>
      <c r="C150" s="9">
        <v>254882.21</v>
      </c>
      <c r="D150" s="9">
        <v>167860.22</v>
      </c>
      <c r="E150" s="9">
        <v>195320.36</v>
      </c>
      <c r="F150" s="9">
        <v>449489.68</v>
      </c>
      <c r="G150" s="9">
        <v>429137.66</v>
      </c>
      <c r="H150" s="9">
        <v>39907.51</v>
      </c>
      <c r="I150" s="9">
        <v>20352.02</v>
      </c>
      <c r="J150" s="9">
        <v>14389.97</v>
      </c>
      <c r="K150" s="12">
        <v>0.02</v>
      </c>
      <c r="L150" s="9">
        <v>40664.53</v>
      </c>
      <c r="M150" s="9">
        <v>-26887.6</v>
      </c>
      <c r="N150" s="9">
        <v>-11523.64</v>
      </c>
      <c r="O150" s="9">
        <v>2253.29</v>
      </c>
      <c r="P150" s="12">
        <v>7.67</v>
      </c>
      <c r="Q150" s="12">
        <v>4.59</v>
      </c>
      <c r="R150" s="12">
        <v>34.37</v>
      </c>
      <c r="S150" s="12">
        <v>3.13</v>
      </c>
      <c r="T150" s="12">
        <v>4.53</v>
      </c>
      <c r="U150" s="12">
        <v>1.23</v>
      </c>
      <c r="V150" s="12">
        <v>2.32</v>
      </c>
      <c r="W150" s="12">
        <v>1.04</v>
      </c>
      <c r="X150" s="12">
        <v>0.62</v>
      </c>
      <c r="Y150" s="12">
        <v>3.05</v>
      </c>
      <c r="Z150" s="12">
        <v>1.01</v>
      </c>
      <c r="AA150" s="12">
        <v>3.32</v>
      </c>
      <c r="AB150" s="12">
        <v>109.89</v>
      </c>
      <c r="AC150" s="12">
        <v>3.69</v>
      </c>
      <c r="AD150" s="12">
        <v>98.94</v>
      </c>
      <c r="AE150" s="12">
        <v>4.9</v>
      </c>
      <c r="AF150" s="12">
        <v>74.55</v>
      </c>
      <c r="AG150" s="12">
        <v>134.28</v>
      </c>
    </row>
    <row r="151">
      <c r="A151" s="8" t="s">
        <v>210</v>
      </c>
      <c r="B151" s="9">
        <v>1382774.76</v>
      </c>
      <c r="C151" s="9">
        <v>355997.33</v>
      </c>
      <c r="D151" s="9">
        <v>398664.06</v>
      </c>
      <c r="E151" s="9">
        <v>1026777.43</v>
      </c>
      <c r="F151" s="9">
        <v>1468970.04</v>
      </c>
      <c r="G151" s="9">
        <v>1324510.5</v>
      </c>
      <c r="H151" s="9">
        <v>200983.34</v>
      </c>
      <c r="I151" s="9">
        <v>142903.77</v>
      </c>
      <c r="J151" s="9">
        <v>105519.52</v>
      </c>
      <c r="K151" s="12">
        <v>0.26</v>
      </c>
      <c r="L151" s="9">
        <v>319865.11</v>
      </c>
      <c r="M151" s="9">
        <v>-9494.17</v>
      </c>
      <c r="N151" s="9">
        <v>-309352.45</v>
      </c>
      <c r="O151" s="9">
        <v>1018.49</v>
      </c>
      <c r="P151" s="12">
        <v>10.43</v>
      </c>
      <c r="Q151" s="12">
        <v>10.5</v>
      </c>
      <c r="R151" s="12">
        <v>17.9</v>
      </c>
      <c r="S151" s="12">
        <v>7.18</v>
      </c>
      <c r="T151" s="12">
        <v>9.73</v>
      </c>
      <c r="U151" s="12">
        <v>0.35</v>
      </c>
      <c r="V151" s="12">
        <v>14.18</v>
      </c>
      <c r="W151" s="12">
        <v>4.95</v>
      </c>
      <c r="X151" s="12">
        <v>2.3</v>
      </c>
      <c r="Y151" s="12">
        <v>2.38</v>
      </c>
      <c r="Z151" s="12">
        <v>1.08</v>
      </c>
      <c r="AA151" s="12">
        <v>3.26</v>
      </c>
      <c r="AB151" s="12">
        <v>111.9</v>
      </c>
      <c r="AC151" s="12">
        <v>7.68</v>
      </c>
      <c r="AD151" s="12">
        <v>47.56</v>
      </c>
      <c r="AE151" s="12">
        <v>25.29</v>
      </c>
      <c r="AF151" s="12">
        <v>14.44</v>
      </c>
      <c r="AG151" s="12">
        <v>145.02</v>
      </c>
    </row>
    <row r="152">
      <c r="A152" s="8" t="s">
        <v>211</v>
      </c>
      <c r="B152" s="9">
        <v>3160081.0</v>
      </c>
      <c r="C152" s="9">
        <v>735298.0</v>
      </c>
      <c r="D152" s="9">
        <v>199500.0</v>
      </c>
      <c r="E152" s="9">
        <v>2424783.0</v>
      </c>
      <c r="F152" s="9">
        <v>2398587.3</v>
      </c>
      <c r="G152" s="9">
        <v>2305871.5</v>
      </c>
      <c r="H152" s="9">
        <v>378037.5</v>
      </c>
      <c r="I152" s="9">
        <v>92715.8</v>
      </c>
      <c r="J152" s="9">
        <v>68037.51</v>
      </c>
      <c r="K152" s="12">
        <v>1.7</v>
      </c>
      <c r="L152" s="9">
        <v>324894.37</v>
      </c>
      <c r="M152" s="9">
        <v>-254157.3</v>
      </c>
      <c r="N152" s="9">
        <v>-162221.87</v>
      </c>
      <c r="O152" s="9">
        <v>-91484.8</v>
      </c>
      <c r="P152" s="12">
        <v>2.8</v>
      </c>
      <c r="Q152" s="12">
        <v>2.8</v>
      </c>
      <c r="R152" s="12">
        <v>19.53</v>
      </c>
      <c r="S152" s="12">
        <v>2.84</v>
      </c>
      <c r="T152" s="12">
        <v>3.87</v>
      </c>
      <c r="U152" s="12">
        <v>0.3</v>
      </c>
      <c r="V152" s="12">
        <v>13.58</v>
      </c>
      <c r="W152" s="12">
        <v>2.01</v>
      </c>
      <c r="X152" s="12">
        <v>1.56</v>
      </c>
      <c r="Y152" s="12">
        <v>1.27</v>
      </c>
      <c r="Z152" s="12">
        <v>0.72</v>
      </c>
      <c r="AA152" s="12">
        <v>8.12</v>
      </c>
      <c r="AB152" s="12">
        <v>44.96</v>
      </c>
      <c r="AC152" s="12">
        <v>4.3</v>
      </c>
      <c r="AD152" s="12">
        <v>84.79</v>
      </c>
      <c r="AE152" s="12">
        <v>3.65</v>
      </c>
      <c r="AF152" s="12">
        <v>100.06</v>
      </c>
      <c r="AG152" s="12">
        <v>29.69</v>
      </c>
    </row>
    <row r="153">
      <c r="A153" s="8" t="s">
        <v>212</v>
      </c>
      <c r="B153" s="9">
        <v>1113994.98</v>
      </c>
      <c r="C153" s="9">
        <v>649339.01</v>
      </c>
      <c r="D153" s="9">
        <v>100000.0</v>
      </c>
      <c r="E153" s="9">
        <v>476438.33</v>
      </c>
      <c r="F153" s="9">
        <v>332473.45</v>
      </c>
      <c r="G153" s="9">
        <v>284507.12</v>
      </c>
      <c r="H153" s="9">
        <v>80260.0</v>
      </c>
      <c r="I153" s="9">
        <v>47966.33</v>
      </c>
      <c r="J153" s="9">
        <v>19326.35</v>
      </c>
      <c r="K153" s="12">
        <v>0.19</v>
      </c>
      <c r="L153" s="9">
        <v>38342.18</v>
      </c>
      <c r="M153" s="9">
        <v>-55919.11</v>
      </c>
      <c r="N153" s="9">
        <v>13938.25</v>
      </c>
      <c r="O153" s="9">
        <v>-3638.68</v>
      </c>
      <c r="P153" s="12">
        <v>4.15</v>
      </c>
      <c r="Q153" s="12">
        <v>4.43</v>
      </c>
      <c r="R153" s="12">
        <v>30.92</v>
      </c>
      <c r="S153" s="12">
        <v>5.35</v>
      </c>
      <c r="T153" s="12">
        <v>14.43</v>
      </c>
      <c r="U153" s="12">
        <v>1.4</v>
      </c>
      <c r="V153" s="12">
        <v>1.66</v>
      </c>
      <c r="W153" s="12">
        <v>0.41</v>
      </c>
      <c r="X153" s="12">
        <v>0.22</v>
      </c>
      <c r="Y153" s="12">
        <v>0.57</v>
      </c>
      <c r="Z153" s="12">
        <v>0.31</v>
      </c>
      <c r="AA153" s="12">
        <v>41.34</v>
      </c>
      <c r="AB153" s="12">
        <v>8.83</v>
      </c>
      <c r="AC153" s="12">
        <v>2.91</v>
      </c>
      <c r="AD153" s="12">
        <v>125.44</v>
      </c>
      <c r="AE153" s="12">
        <v>45.05</v>
      </c>
      <c r="AF153" s="12">
        <v>8.1</v>
      </c>
      <c r="AG153" s="12">
        <v>126.17</v>
      </c>
    </row>
    <row r="154">
      <c r="A154" s="8" t="s">
        <v>310</v>
      </c>
      <c r="B154" s="9">
        <v>2317012.0</v>
      </c>
      <c r="C154" s="9">
        <v>351572.0</v>
      </c>
      <c r="D154" s="9">
        <v>180000.0</v>
      </c>
      <c r="E154" s="9">
        <v>1965440.0</v>
      </c>
      <c r="F154" s="9">
        <v>1889954.0</v>
      </c>
      <c r="G154" s="9">
        <v>1633028.0</v>
      </c>
      <c r="H154" s="9">
        <v>343600.0</v>
      </c>
      <c r="I154" s="9">
        <v>256926.0</v>
      </c>
      <c r="J154" s="9">
        <v>210836.0</v>
      </c>
      <c r="K154" s="12">
        <v>1.16</v>
      </c>
      <c r="L154" s="9">
        <v>281476.0</v>
      </c>
      <c r="M154" s="9">
        <v>-432596.0</v>
      </c>
      <c r="N154" s="9">
        <v>-81000.0</v>
      </c>
      <c r="O154" s="9">
        <v>-232120.0</v>
      </c>
      <c r="P154" s="12">
        <v>11.07</v>
      </c>
      <c r="Q154" s="12">
        <v>11.37</v>
      </c>
      <c r="R154" s="12">
        <v>22.19</v>
      </c>
      <c r="S154" s="12">
        <v>11.16</v>
      </c>
      <c r="T154" s="12">
        <v>13.59</v>
      </c>
      <c r="U154" s="12">
        <v>0.18</v>
      </c>
      <c r="V154" s="12" t="s">
        <v>47</v>
      </c>
      <c r="W154" s="12">
        <v>4.65</v>
      </c>
      <c r="X154" s="12">
        <v>1.45</v>
      </c>
      <c r="Y154" s="12">
        <v>1.67</v>
      </c>
      <c r="Z154" s="12">
        <v>0.84</v>
      </c>
      <c r="AA154" s="12">
        <v>39.1</v>
      </c>
      <c r="AB154" s="12">
        <v>9.33</v>
      </c>
      <c r="AC154" s="12">
        <v>13.55</v>
      </c>
      <c r="AD154" s="12">
        <v>26.94</v>
      </c>
      <c r="AE154" s="12">
        <v>9.66</v>
      </c>
      <c r="AF154" s="12">
        <v>37.8</v>
      </c>
      <c r="AG154" s="12">
        <v>-1.52</v>
      </c>
    </row>
    <row r="155">
      <c r="A155" s="8" t="s">
        <v>214</v>
      </c>
      <c r="B155" s="9">
        <v>1032293.13</v>
      </c>
      <c r="C155" s="9">
        <v>241712.81</v>
      </c>
      <c r="D155" s="9">
        <v>200000.0</v>
      </c>
      <c r="E155" s="9">
        <v>790580.32</v>
      </c>
      <c r="F155" s="9">
        <v>2208291.49</v>
      </c>
      <c r="G155" s="9">
        <v>2043803.51</v>
      </c>
      <c r="H155" s="9">
        <v>208127.56</v>
      </c>
      <c r="I155" s="9">
        <v>164487.98</v>
      </c>
      <c r="J155" s="9">
        <v>133863.27</v>
      </c>
      <c r="K155" s="12">
        <v>0.17</v>
      </c>
      <c r="L155" s="9">
        <v>179079.62</v>
      </c>
      <c r="M155" s="9">
        <v>-105495.52</v>
      </c>
      <c r="N155" s="9">
        <v>-51104.14</v>
      </c>
      <c r="O155" s="9">
        <v>22479.95</v>
      </c>
      <c r="P155" s="12">
        <v>17.91</v>
      </c>
      <c r="Q155" s="12">
        <v>17.3</v>
      </c>
      <c r="R155" s="12">
        <v>16.33</v>
      </c>
      <c r="S155" s="12">
        <v>6.06</v>
      </c>
      <c r="T155" s="12">
        <v>7.45</v>
      </c>
      <c r="U155" s="12">
        <v>0.31</v>
      </c>
      <c r="V155" s="12">
        <v>78.74</v>
      </c>
      <c r="W155" s="12">
        <v>2.18</v>
      </c>
      <c r="X155" s="12">
        <v>0.68</v>
      </c>
      <c r="Y155" s="12">
        <v>4.05</v>
      </c>
      <c r="Z155" s="12">
        <v>2.32</v>
      </c>
      <c r="AA155" s="12">
        <v>7.22</v>
      </c>
      <c r="AB155" s="12">
        <v>50.58</v>
      </c>
      <c r="AC155" s="12">
        <v>118.06</v>
      </c>
      <c r="AD155" s="12">
        <v>3.09</v>
      </c>
      <c r="AE155" s="12">
        <v>12.1</v>
      </c>
      <c r="AF155" s="12">
        <v>30.17</v>
      </c>
      <c r="AG155" s="12">
        <v>23.51</v>
      </c>
    </row>
    <row r="156">
      <c r="A156" s="8" t="s">
        <v>330</v>
      </c>
      <c r="B156" s="9">
        <v>4723464.16</v>
      </c>
      <c r="C156" s="9">
        <v>2602726.56</v>
      </c>
      <c r="D156" s="9">
        <v>326550.0</v>
      </c>
      <c r="E156" s="9">
        <v>2061677.77</v>
      </c>
      <c r="F156" s="9">
        <v>4033458.21</v>
      </c>
      <c r="G156" s="9">
        <v>3498167.39</v>
      </c>
      <c r="H156" s="9">
        <v>871237.01</v>
      </c>
      <c r="I156" s="9">
        <v>541490.34</v>
      </c>
      <c r="J156" s="9">
        <v>321979.45</v>
      </c>
      <c r="K156" s="12">
        <v>0.99</v>
      </c>
      <c r="L156" s="9">
        <v>761981.53</v>
      </c>
      <c r="M156" s="9">
        <v>-241702.46</v>
      </c>
      <c r="N156" s="9">
        <v>-346348.23</v>
      </c>
      <c r="O156" s="9">
        <v>173930.84</v>
      </c>
      <c r="P156" s="12">
        <v>16.92</v>
      </c>
      <c r="Q156" s="12">
        <v>11.89</v>
      </c>
      <c r="R156" s="12">
        <v>24.04</v>
      </c>
      <c r="S156" s="12">
        <v>8.76</v>
      </c>
      <c r="T156" s="12">
        <v>13.42</v>
      </c>
      <c r="U156" s="12">
        <v>1.23</v>
      </c>
      <c r="V156" s="12">
        <v>5.14</v>
      </c>
      <c r="W156" s="12">
        <v>1.33</v>
      </c>
      <c r="X156" s="12">
        <v>0.87</v>
      </c>
      <c r="Y156" s="12">
        <v>5.47</v>
      </c>
      <c r="Z156" s="12">
        <v>0.89</v>
      </c>
      <c r="AA156" s="12">
        <v>8.6</v>
      </c>
      <c r="AB156" s="12">
        <v>42.42</v>
      </c>
      <c r="AC156" s="12">
        <v>4.95</v>
      </c>
      <c r="AD156" s="12">
        <v>73.77</v>
      </c>
      <c r="AE156" s="12">
        <v>9.29</v>
      </c>
      <c r="AF156" s="12">
        <v>39.3</v>
      </c>
      <c r="AG156" s="12">
        <v>76.89</v>
      </c>
    </row>
    <row r="157">
      <c r="A157" s="8" t="s">
        <v>215</v>
      </c>
      <c r="B157" s="9">
        <v>8688264.99</v>
      </c>
      <c r="C157" s="9">
        <v>4637655.0</v>
      </c>
      <c r="D157" s="9">
        <v>401200.0</v>
      </c>
      <c r="E157" s="9">
        <v>2967462.5</v>
      </c>
      <c r="F157" s="9">
        <v>1789278.4</v>
      </c>
      <c r="G157" s="9">
        <v>1281191.63</v>
      </c>
      <c r="H157" s="9">
        <v>736408.18</v>
      </c>
      <c r="I157" s="9">
        <v>513921.27</v>
      </c>
      <c r="J157" s="9">
        <v>250953.26</v>
      </c>
      <c r="K157" s="12">
        <v>0.63</v>
      </c>
      <c r="L157" s="9">
        <v>874380.4</v>
      </c>
      <c r="M157" s="9">
        <v>-862126.31</v>
      </c>
      <c r="N157" s="9">
        <v>-32959.22</v>
      </c>
      <c r="O157" s="9">
        <v>-20705.12</v>
      </c>
      <c r="P157" s="12">
        <v>8.7</v>
      </c>
      <c r="Q157" s="12">
        <v>6.23</v>
      </c>
      <c r="R157" s="12">
        <v>34.78</v>
      </c>
      <c r="S157" s="12">
        <v>23.78</v>
      </c>
      <c r="T157" s="12">
        <v>28.72</v>
      </c>
      <c r="U157" s="12">
        <v>1.14</v>
      </c>
      <c r="V157" s="12">
        <v>5.86</v>
      </c>
      <c r="W157" s="12">
        <v>0.52</v>
      </c>
      <c r="X157" s="12">
        <v>0.39</v>
      </c>
      <c r="Y157" s="12">
        <v>0.27</v>
      </c>
      <c r="Z157" s="12">
        <v>0.22</v>
      </c>
      <c r="AA157" s="12">
        <v>50.22</v>
      </c>
      <c r="AB157" s="12">
        <v>7.27</v>
      </c>
      <c r="AC157" s="12">
        <v>3.27</v>
      </c>
      <c r="AD157" s="12">
        <v>111.73</v>
      </c>
      <c r="AE157" s="12">
        <v>3.0</v>
      </c>
      <c r="AF157" s="12">
        <v>121.75</v>
      </c>
      <c r="AG157" s="12">
        <v>-2.76</v>
      </c>
    </row>
    <row r="158">
      <c r="A158" s="8" t="s">
        <v>216</v>
      </c>
      <c r="B158" s="9">
        <v>373733.97</v>
      </c>
      <c r="C158" s="9">
        <v>62149.14</v>
      </c>
      <c r="D158" s="9">
        <v>135000.0</v>
      </c>
      <c r="E158" s="9">
        <v>311584.83</v>
      </c>
      <c r="F158" s="9">
        <v>473729.11</v>
      </c>
      <c r="G158" s="9">
        <v>431017.4</v>
      </c>
      <c r="H158" s="9">
        <v>57182.65</v>
      </c>
      <c r="I158" s="9">
        <v>42864.79</v>
      </c>
      <c r="J158" s="9">
        <v>34592.49</v>
      </c>
      <c r="K158" s="12">
        <v>0.13</v>
      </c>
      <c r="L158" s="9">
        <v>44269.54</v>
      </c>
      <c r="M158" s="9">
        <v>-11108.49</v>
      </c>
      <c r="N158" s="9">
        <v>-28218.72</v>
      </c>
      <c r="O158" s="9">
        <v>4942.33</v>
      </c>
      <c r="P158" s="12">
        <v>11.26</v>
      </c>
      <c r="Q158" s="12">
        <v>11.78</v>
      </c>
      <c r="R158" s="12">
        <v>20.44</v>
      </c>
      <c r="S158" s="12">
        <v>7.3</v>
      </c>
      <c r="T158" s="12">
        <v>9.05</v>
      </c>
      <c r="U158" s="12">
        <v>0.2</v>
      </c>
      <c r="V158" s="12">
        <v>381.7</v>
      </c>
      <c r="W158" s="12">
        <v>3.66</v>
      </c>
      <c r="X158" s="12">
        <v>2.65</v>
      </c>
      <c r="Y158" s="12">
        <v>2.52</v>
      </c>
      <c r="Z158" s="12">
        <v>1.3</v>
      </c>
      <c r="AA158" s="12">
        <v>10.13</v>
      </c>
      <c r="AB158" s="12">
        <v>36.03</v>
      </c>
      <c r="AC158" s="12">
        <v>8.89</v>
      </c>
      <c r="AD158" s="12">
        <v>41.06</v>
      </c>
      <c r="AE158" s="12">
        <v>10.98</v>
      </c>
      <c r="AF158" s="12">
        <v>33.25</v>
      </c>
      <c r="AG158" s="12">
        <v>43.84</v>
      </c>
    </row>
    <row r="159">
      <c r="A159" s="8" t="s">
        <v>217</v>
      </c>
      <c r="B159" s="9">
        <v>615623.74</v>
      </c>
      <c r="C159" s="9">
        <v>235928.61</v>
      </c>
      <c r="D159" s="9">
        <v>140000.0</v>
      </c>
      <c r="E159" s="9">
        <v>377039.4</v>
      </c>
      <c r="F159" s="9">
        <v>737948.27</v>
      </c>
      <c r="G159" s="9">
        <v>668194.14</v>
      </c>
      <c r="H159" s="9">
        <v>79911.44</v>
      </c>
      <c r="I159" s="9">
        <v>69754.13</v>
      </c>
      <c r="J159" s="9">
        <v>53917.44</v>
      </c>
      <c r="K159" s="12">
        <v>0.19</v>
      </c>
      <c r="L159" s="9">
        <v>36805.82</v>
      </c>
      <c r="M159" s="9">
        <v>-21580.58</v>
      </c>
      <c r="N159" s="9">
        <v>-90648.78</v>
      </c>
      <c r="O159" s="9">
        <v>-75423.54</v>
      </c>
      <c r="P159" s="12">
        <v>14.25</v>
      </c>
      <c r="Q159" s="12">
        <v>11.19</v>
      </c>
      <c r="R159" s="12">
        <v>29.45</v>
      </c>
      <c r="S159" s="12">
        <v>7.3</v>
      </c>
      <c r="T159" s="12">
        <v>9.45</v>
      </c>
      <c r="U159" s="12">
        <v>0.62</v>
      </c>
      <c r="V159" s="12">
        <v>69.12</v>
      </c>
      <c r="W159" s="12">
        <v>2.12</v>
      </c>
      <c r="X159" s="12">
        <v>1.72</v>
      </c>
      <c r="Y159" s="12">
        <v>5.07</v>
      </c>
      <c r="Z159" s="12">
        <v>1.18</v>
      </c>
      <c r="AA159" s="12">
        <v>11.17</v>
      </c>
      <c r="AB159" s="12">
        <v>32.68</v>
      </c>
      <c r="AC159" s="12">
        <v>4.73</v>
      </c>
      <c r="AD159" s="12">
        <v>77.15</v>
      </c>
      <c r="AE159" s="12">
        <v>3.43</v>
      </c>
      <c r="AF159" s="12">
        <v>106.27</v>
      </c>
      <c r="AG159" s="12">
        <v>3.56</v>
      </c>
    </row>
    <row r="160">
      <c r="A160" s="8" t="s">
        <v>219</v>
      </c>
      <c r="B160" s="9">
        <v>3338183.04</v>
      </c>
      <c r="C160" s="9">
        <v>2278282.66</v>
      </c>
      <c r="D160" s="9">
        <v>308008.27</v>
      </c>
      <c r="E160" s="9">
        <v>1083201.54</v>
      </c>
      <c r="F160" s="9">
        <v>2566316.12</v>
      </c>
      <c r="G160" s="9">
        <v>2474307.58</v>
      </c>
      <c r="H160" s="9">
        <v>180124.51</v>
      </c>
      <c r="I160" s="9">
        <v>88287.18</v>
      </c>
      <c r="J160" s="9">
        <v>11917.08</v>
      </c>
      <c r="K160" s="12">
        <v>0.04</v>
      </c>
      <c r="L160" s="9">
        <v>-83603.35</v>
      </c>
      <c r="M160" s="9">
        <v>-14616.55</v>
      </c>
      <c r="N160" s="9">
        <v>-140912.37</v>
      </c>
      <c r="O160" s="9">
        <v>-239132.27</v>
      </c>
      <c r="P160" s="12">
        <v>1.09</v>
      </c>
      <c r="Q160" s="12">
        <v>2.63</v>
      </c>
      <c r="R160" s="12">
        <v>18.1</v>
      </c>
      <c r="S160" s="12">
        <v>0.33</v>
      </c>
      <c r="T160" s="12">
        <v>3.44</v>
      </c>
      <c r="U160" s="12">
        <v>2.15</v>
      </c>
      <c r="V160" s="12">
        <v>1.34</v>
      </c>
      <c r="W160" s="12">
        <v>1.33</v>
      </c>
      <c r="X160" s="12">
        <v>0.84</v>
      </c>
      <c r="Y160" s="12">
        <v>3.05</v>
      </c>
      <c r="Z160" s="12">
        <v>0.76</v>
      </c>
      <c r="AA160" s="12">
        <v>2.26</v>
      </c>
      <c r="AB160" s="12">
        <v>161.46</v>
      </c>
      <c r="AC160" s="12">
        <v>3.11</v>
      </c>
      <c r="AD160" s="12">
        <v>117.34</v>
      </c>
      <c r="AE160" s="12">
        <v>4.27</v>
      </c>
      <c r="AF160" s="12">
        <v>85.44</v>
      </c>
      <c r="AG160" s="12">
        <v>193.37</v>
      </c>
    </row>
    <row r="161">
      <c r="A161" s="8" t="s">
        <v>331</v>
      </c>
      <c r="B161" s="9">
        <v>132032.84</v>
      </c>
      <c r="C161" s="9">
        <v>786848.62</v>
      </c>
      <c r="D161" s="9">
        <v>690804.65</v>
      </c>
      <c r="E161" s="9">
        <v>-654815.78</v>
      </c>
      <c r="F161" s="9">
        <v>60657.39</v>
      </c>
      <c r="G161" s="9">
        <v>111708.5</v>
      </c>
      <c r="H161" s="9">
        <v>-26558.11</v>
      </c>
      <c r="I161" s="9">
        <v>-51051.11</v>
      </c>
      <c r="J161" s="9">
        <v>-51672.16</v>
      </c>
      <c r="K161" s="12">
        <v>-0.01</v>
      </c>
      <c r="L161" s="9">
        <v>-17415.19</v>
      </c>
      <c r="M161" s="9">
        <v>18000.06</v>
      </c>
      <c r="N161" s="9">
        <v>5203.34</v>
      </c>
      <c r="O161" s="9">
        <v>5788.22</v>
      </c>
      <c r="P161" s="12" t="s">
        <v>46</v>
      </c>
      <c r="Q161" s="12">
        <v>-30.09</v>
      </c>
      <c r="R161" s="12">
        <v>-96.92</v>
      </c>
      <c r="S161" s="12">
        <v>-85.19</v>
      </c>
      <c r="T161" s="12">
        <v>-84.16</v>
      </c>
      <c r="U161" s="12" t="s">
        <v>46</v>
      </c>
      <c r="V161" s="12">
        <v>-82.2</v>
      </c>
      <c r="W161" s="12">
        <v>0.06</v>
      </c>
      <c r="X161" s="12">
        <v>0.04</v>
      </c>
      <c r="Y161" s="12">
        <v>1.28</v>
      </c>
      <c r="Z161" s="12">
        <v>0.36</v>
      </c>
      <c r="AA161" s="12" t="s">
        <v>47</v>
      </c>
      <c r="AB161" s="12" t="s">
        <v>46</v>
      </c>
      <c r="AC161" s="12">
        <v>0.75</v>
      </c>
      <c r="AD161" s="12">
        <v>483.82</v>
      </c>
      <c r="AE161" s="12">
        <v>0.35</v>
      </c>
      <c r="AF161" s="9">
        <v>1033.5</v>
      </c>
      <c r="AG161" s="12">
        <v>-549.68</v>
      </c>
    </row>
    <row r="162">
      <c r="A162" s="8" t="s">
        <v>221</v>
      </c>
      <c r="B162" s="9">
        <v>379883.61</v>
      </c>
      <c r="C162" s="9">
        <v>70231.47</v>
      </c>
      <c r="D162" s="9">
        <v>365549.29</v>
      </c>
      <c r="E162" s="9">
        <v>269873.0</v>
      </c>
      <c r="F162" s="9">
        <v>80570.26</v>
      </c>
      <c r="G162" s="9">
        <v>109093.57</v>
      </c>
      <c r="H162" s="9">
        <v>-15919.57</v>
      </c>
      <c r="I162" s="9">
        <v>-28523.3</v>
      </c>
      <c r="J162" s="9">
        <v>-26441.5</v>
      </c>
      <c r="K162" s="12">
        <v>-0.07</v>
      </c>
      <c r="L162" s="9">
        <v>-16389.11</v>
      </c>
      <c r="M162" s="9">
        <v>-63918.15</v>
      </c>
      <c r="N162" s="9">
        <v>-3151.03</v>
      </c>
      <c r="O162" s="9">
        <v>-83458.29</v>
      </c>
      <c r="P162" s="12">
        <v>-9.72</v>
      </c>
      <c r="Q162" s="12">
        <v>-8.17</v>
      </c>
      <c r="R162" s="12">
        <v>25.9</v>
      </c>
      <c r="S162" s="12">
        <v>-32.74</v>
      </c>
      <c r="T162" s="12">
        <v>-35.4</v>
      </c>
      <c r="U162" s="12">
        <v>0.23</v>
      </c>
      <c r="V162" s="12">
        <v>-21.57</v>
      </c>
      <c r="W162" s="12">
        <v>5.75</v>
      </c>
      <c r="X162" s="12">
        <v>5.23</v>
      </c>
      <c r="Y162" s="12">
        <v>7.98</v>
      </c>
      <c r="Z162" s="12">
        <v>0.23</v>
      </c>
      <c r="AA162" s="12">
        <v>3.61</v>
      </c>
      <c r="AB162" s="12">
        <v>101.08</v>
      </c>
      <c r="AC162" s="12">
        <v>1.77</v>
      </c>
      <c r="AD162" s="12">
        <v>205.83</v>
      </c>
      <c r="AE162" s="12">
        <v>2.03</v>
      </c>
      <c r="AF162" s="12">
        <v>179.98</v>
      </c>
      <c r="AG162" s="12">
        <v>126.93</v>
      </c>
    </row>
    <row r="163">
      <c r="A163" s="8" t="s">
        <v>222</v>
      </c>
      <c r="B163" s="9">
        <v>1282905.93</v>
      </c>
      <c r="C163" s="9">
        <v>563703.97</v>
      </c>
      <c r="D163" s="9">
        <v>383333.02</v>
      </c>
      <c r="E163" s="9">
        <v>698525.95</v>
      </c>
      <c r="F163" s="9">
        <v>3736948.9</v>
      </c>
      <c r="G163" s="9">
        <v>3675245.52</v>
      </c>
      <c r="H163" s="9">
        <v>349418.58</v>
      </c>
      <c r="I163" s="9">
        <v>52822.31</v>
      </c>
      <c r="J163" s="9">
        <v>28336.02</v>
      </c>
      <c r="K163" s="12">
        <v>0.04</v>
      </c>
      <c r="L163" s="9">
        <v>144817.19</v>
      </c>
      <c r="M163" s="9">
        <v>48204.09</v>
      </c>
      <c r="N163" s="9">
        <v>-195508.14</v>
      </c>
      <c r="O163" s="9">
        <v>-2486.85</v>
      </c>
      <c r="P163" s="12">
        <v>4.34</v>
      </c>
      <c r="Q163" s="12">
        <v>3.87</v>
      </c>
      <c r="R163" s="12">
        <v>42.46</v>
      </c>
      <c r="S163" s="12">
        <v>0.79</v>
      </c>
      <c r="T163" s="12">
        <v>1.41</v>
      </c>
      <c r="U163" s="12">
        <v>0.78</v>
      </c>
      <c r="V163" s="12">
        <v>10.73</v>
      </c>
      <c r="W163" s="12">
        <v>1.2</v>
      </c>
      <c r="X163" s="12">
        <v>0.84</v>
      </c>
      <c r="Y163" s="12">
        <v>8.53</v>
      </c>
      <c r="Z163" s="12">
        <v>2.74</v>
      </c>
      <c r="AA163" s="12">
        <v>12.12</v>
      </c>
      <c r="AB163" s="12">
        <v>30.11</v>
      </c>
      <c r="AC163" s="12">
        <v>19.51</v>
      </c>
      <c r="AD163" s="12">
        <v>18.71</v>
      </c>
      <c r="AE163" s="12">
        <v>4.57</v>
      </c>
      <c r="AF163" s="12">
        <v>79.95</v>
      </c>
      <c r="AG163" s="12">
        <v>-31.13</v>
      </c>
    </row>
    <row r="164">
      <c r="A164" s="8" t="s">
        <v>223</v>
      </c>
      <c r="B164" s="9">
        <v>706529.16</v>
      </c>
      <c r="C164" s="9">
        <v>97423.37</v>
      </c>
      <c r="D164" s="9">
        <v>200007.52</v>
      </c>
      <c r="E164" s="9">
        <v>608527.4</v>
      </c>
      <c r="F164" s="9">
        <v>295373.08</v>
      </c>
      <c r="G164" s="9">
        <v>293432.05</v>
      </c>
      <c r="H164" s="9">
        <v>17494.74</v>
      </c>
      <c r="I164" s="9">
        <v>1833.03</v>
      </c>
      <c r="J164" s="9">
        <v>-3703.14</v>
      </c>
      <c r="K164" s="12" t="s">
        <v>46</v>
      </c>
      <c r="L164" s="9">
        <v>29261.45</v>
      </c>
      <c r="M164" s="9">
        <v>-22810.9</v>
      </c>
      <c r="N164" s="9">
        <v>-2102.51</v>
      </c>
      <c r="O164" s="9">
        <v>4348.04</v>
      </c>
      <c r="P164" s="12">
        <v>-0.61</v>
      </c>
      <c r="Q164" s="12">
        <v>0.25</v>
      </c>
      <c r="R164" s="12">
        <v>27.5</v>
      </c>
      <c r="S164" s="12">
        <v>-1.52</v>
      </c>
      <c r="T164" s="12">
        <v>0.62</v>
      </c>
      <c r="U164" s="12">
        <v>0.16</v>
      </c>
      <c r="V164" s="12">
        <v>1.47</v>
      </c>
      <c r="W164" s="12">
        <v>2.57</v>
      </c>
      <c r="X164" s="12">
        <v>1.51</v>
      </c>
      <c r="Y164" s="12">
        <v>0.75</v>
      </c>
      <c r="Z164" s="12">
        <v>0.4</v>
      </c>
      <c r="AA164" s="12">
        <v>4.29</v>
      </c>
      <c r="AB164" s="12">
        <v>85.01</v>
      </c>
      <c r="AC164" s="12">
        <v>3.66</v>
      </c>
      <c r="AD164" s="12">
        <v>99.68</v>
      </c>
      <c r="AE164" s="12">
        <v>3.69</v>
      </c>
      <c r="AF164" s="12">
        <v>98.84</v>
      </c>
      <c r="AG164" s="12">
        <v>85.85</v>
      </c>
    </row>
    <row r="165">
      <c r="A165" s="8" t="s">
        <v>225</v>
      </c>
      <c r="B165" s="9">
        <v>836261.92</v>
      </c>
      <c r="C165" s="9">
        <v>361444.02</v>
      </c>
      <c r="D165" s="9">
        <v>227999.99</v>
      </c>
      <c r="E165" s="9">
        <v>474817.9</v>
      </c>
      <c r="F165" s="9">
        <v>1030643.44</v>
      </c>
      <c r="G165" s="9">
        <v>898791.94</v>
      </c>
      <c r="H165" s="9">
        <v>160931.83</v>
      </c>
      <c r="I165" s="9">
        <v>143352.28</v>
      </c>
      <c r="J165" s="9">
        <v>120016.58</v>
      </c>
      <c r="K165" s="12">
        <v>0.53</v>
      </c>
      <c r="L165" s="9">
        <v>139974.07</v>
      </c>
      <c r="M165" s="9">
        <v>-23126.74</v>
      </c>
      <c r="N165" s="9">
        <v>-59994.43</v>
      </c>
      <c r="O165" s="9">
        <v>56852.9</v>
      </c>
      <c r="P165" s="12">
        <v>26.01</v>
      </c>
      <c r="Q165" s="12">
        <v>18.3</v>
      </c>
      <c r="R165" s="12">
        <v>34.76</v>
      </c>
      <c r="S165" s="12">
        <v>11.64</v>
      </c>
      <c r="T165" s="12">
        <v>13.91</v>
      </c>
      <c r="U165" s="12">
        <v>0.76</v>
      </c>
      <c r="V165" s="12">
        <v>35.97</v>
      </c>
      <c r="W165" s="12">
        <v>1.71</v>
      </c>
      <c r="X165" s="12">
        <v>1.07</v>
      </c>
      <c r="Y165" s="12">
        <v>4.4</v>
      </c>
      <c r="Z165" s="12">
        <v>1.32</v>
      </c>
      <c r="AA165" s="12">
        <v>3.79</v>
      </c>
      <c r="AB165" s="12">
        <v>96.4</v>
      </c>
      <c r="AC165" s="12">
        <v>3.36</v>
      </c>
      <c r="AD165" s="12">
        <v>108.69</v>
      </c>
      <c r="AE165" s="12">
        <v>4.41</v>
      </c>
      <c r="AF165" s="12">
        <v>82.76</v>
      </c>
      <c r="AG165" s="12">
        <v>122.33</v>
      </c>
    </row>
    <row r="166">
      <c r="A166" s="8" t="s">
        <v>226</v>
      </c>
      <c r="B166" s="9">
        <v>1474853.0</v>
      </c>
      <c r="C166" s="9">
        <v>159391.0</v>
      </c>
      <c r="D166" s="9">
        <v>142628.0</v>
      </c>
      <c r="E166" s="9">
        <v>1315462.0</v>
      </c>
      <c r="F166" s="9">
        <v>798648.0</v>
      </c>
      <c r="G166" s="9">
        <v>757043.0</v>
      </c>
      <c r="H166" s="9">
        <v>87246.0</v>
      </c>
      <c r="I166" s="9">
        <v>42647.0</v>
      </c>
      <c r="J166" s="9">
        <v>35875.0</v>
      </c>
      <c r="K166" s="12">
        <v>0.06</v>
      </c>
      <c r="L166" s="9">
        <v>129518.0</v>
      </c>
      <c r="M166" s="12">
        <v>507.0</v>
      </c>
      <c r="N166" s="9">
        <v>-29249.0</v>
      </c>
      <c r="O166" s="9">
        <v>100776.0</v>
      </c>
      <c r="P166" s="12">
        <v>2.73</v>
      </c>
      <c r="Q166" s="12">
        <v>2.81</v>
      </c>
      <c r="R166" s="12">
        <v>15.33</v>
      </c>
      <c r="S166" s="12">
        <v>4.49</v>
      </c>
      <c r="T166" s="12">
        <v>5.34</v>
      </c>
      <c r="U166" s="12">
        <v>0.12</v>
      </c>
      <c r="V166" s="12">
        <v>341.18</v>
      </c>
      <c r="W166" s="12">
        <v>9.24</v>
      </c>
      <c r="X166" s="12">
        <v>5.88</v>
      </c>
      <c r="Y166" s="12">
        <v>1.45</v>
      </c>
      <c r="Z166" s="12">
        <v>0.53</v>
      </c>
      <c r="AA166" s="12">
        <v>4.3</v>
      </c>
      <c r="AB166" s="12">
        <v>84.95</v>
      </c>
      <c r="AC166" s="12">
        <v>5.55</v>
      </c>
      <c r="AD166" s="12">
        <v>65.73</v>
      </c>
      <c r="AE166" s="12">
        <v>6.91</v>
      </c>
      <c r="AF166" s="12">
        <v>52.79</v>
      </c>
      <c r="AG166" s="12">
        <v>97.88</v>
      </c>
    </row>
    <row r="167">
      <c r="A167" s="8" t="s">
        <v>227</v>
      </c>
      <c r="B167" s="9">
        <v>2024860.17</v>
      </c>
      <c r="C167" s="9">
        <v>803950.3</v>
      </c>
      <c r="D167" s="9">
        <v>309070.34</v>
      </c>
      <c r="E167" s="9">
        <v>1022561.72</v>
      </c>
      <c r="F167" s="9">
        <v>2552883.55</v>
      </c>
      <c r="G167" s="9">
        <v>2412275.37</v>
      </c>
      <c r="H167" s="9">
        <v>187244.61</v>
      </c>
      <c r="I167" s="9">
        <v>144011.49</v>
      </c>
      <c r="J167" s="9">
        <v>97111.49</v>
      </c>
      <c r="K167" s="12">
        <v>0.08</v>
      </c>
      <c r="L167" s="9">
        <v>257494.73</v>
      </c>
      <c r="M167" s="9">
        <v>-9220.32</v>
      </c>
      <c r="N167" s="9">
        <v>-365802.59</v>
      </c>
      <c r="O167" s="9">
        <v>-117528.18</v>
      </c>
      <c r="P167" s="12">
        <v>9.6</v>
      </c>
      <c r="Q167" s="12">
        <v>6.77</v>
      </c>
      <c r="R167" s="12">
        <v>16.17</v>
      </c>
      <c r="S167" s="12">
        <v>3.99</v>
      </c>
      <c r="T167" s="12">
        <v>5.64</v>
      </c>
      <c r="U167" s="12">
        <v>0.66</v>
      </c>
      <c r="V167" s="12">
        <v>12.44</v>
      </c>
      <c r="W167" s="12">
        <v>2.15</v>
      </c>
      <c r="X167" s="12">
        <v>1.64</v>
      </c>
      <c r="Y167" s="12">
        <v>10.19</v>
      </c>
      <c r="Z167" s="12">
        <v>1.2</v>
      </c>
      <c r="AA167" s="12">
        <v>5.99</v>
      </c>
      <c r="AB167" s="12">
        <v>60.96</v>
      </c>
      <c r="AC167" s="12">
        <v>3.75</v>
      </c>
      <c r="AD167" s="12">
        <v>97.33</v>
      </c>
      <c r="AE167" s="12">
        <v>8.14</v>
      </c>
      <c r="AF167" s="12">
        <v>44.83</v>
      </c>
      <c r="AG167" s="12">
        <v>113.46</v>
      </c>
    </row>
    <row r="168">
      <c r="A168" s="8" t="s">
        <v>228</v>
      </c>
      <c r="B168" s="9">
        <v>835016.42</v>
      </c>
      <c r="C168" s="9">
        <v>609438.56</v>
      </c>
      <c r="D168" s="9">
        <v>572599.8</v>
      </c>
      <c r="E168" s="9">
        <v>225577.85</v>
      </c>
      <c r="F168" s="9">
        <v>121742.42</v>
      </c>
      <c r="G168" s="9">
        <v>153160.0</v>
      </c>
      <c r="H168" s="12">
        <v>754.48</v>
      </c>
      <c r="I168" s="9">
        <v>-31249.36</v>
      </c>
      <c r="J168" s="9">
        <v>-56652.12</v>
      </c>
      <c r="K168" s="12">
        <v>-0.08</v>
      </c>
      <c r="L168" s="9">
        <v>-3098.09</v>
      </c>
      <c r="M168" s="9">
        <v>-6912.32</v>
      </c>
      <c r="N168" s="9">
        <v>215679.91</v>
      </c>
      <c r="O168" s="9">
        <v>205669.5</v>
      </c>
      <c r="P168" s="12">
        <v>-39.31</v>
      </c>
      <c r="Q168" s="12">
        <v>-4.23</v>
      </c>
      <c r="R168" s="12">
        <v>11.13</v>
      </c>
      <c r="S168" s="12">
        <v>-46.53</v>
      </c>
      <c r="T168" s="12">
        <v>-25.67</v>
      </c>
      <c r="U168" s="12">
        <v>2.7</v>
      </c>
      <c r="V168" s="12">
        <v>-1.24</v>
      </c>
      <c r="W168" s="12">
        <v>0.47</v>
      </c>
      <c r="X168" s="12">
        <v>0.46</v>
      </c>
      <c r="Y168" s="12">
        <v>0.33</v>
      </c>
      <c r="Z168" s="12">
        <v>0.16</v>
      </c>
      <c r="AA168" s="12">
        <v>10.64</v>
      </c>
      <c r="AB168" s="12">
        <v>34.29</v>
      </c>
      <c r="AC168" s="12">
        <v>4.54</v>
      </c>
      <c r="AD168" s="12">
        <v>80.41</v>
      </c>
      <c r="AE168" s="12">
        <v>2.33</v>
      </c>
      <c r="AF168" s="12">
        <v>156.74</v>
      </c>
      <c r="AG168" s="12">
        <v>-42.04</v>
      </c>
    </row>
    <row r="169">
      <c r="A169" s="8" t="s">
        <v>229</v>
      </c>
      <c r="B169" s="9">
        <v>582981.0</v>
      </c>
      <c r="C169" s="9">
        <v>262190.0</v>
      </c>
      <c r="D169" s="9">
        <v>222439.0</v>
      </c>
      <c r="E169" s="9">
        <v>311618.0</v>
      </c>
      <c r="F169" s="9">
        <v>36216.0</v>
      </c>
      <c r="G169" s="9">
        <v>137769.0</v>
      </c>
      <c r="H169" s="9">
        <v>-80052.0</v>
      </c>
      <c r="I169" s="9">
        <v>-101799.0</v>
      </c>
      <c r="J169" s="9">
        <v>-106086.0</v>
      </c>
      <c r="K169" s="12">
        <v>-0.14</v>
      </c>
      <c r="L169" s="9">
        <v>35663.0</v>
      </c>
      <c r="M169" s="9">
        <v>-257943.0</v>
      </c>
      <c r="N169" s="9">
        <v>210491.0</v>
      </c>
      <c r="O169" s="9">
        <v>-11789.0</v>
      </c>
      <c r="P169" s="12">
        <v>-40.1</v>
      </c>
      <c r="Q169" s="12">
        <v>-22.11</v>
      </c>
      <c r="R169" s="12">
        <v>13.12</v>
      </c>
      <c r="S169" s="12">
        <v>-305.7</v>
      </c>
      <c r="T169" s="12">
        <v>-281.09</v>
      </c>
      <c r="U169" s="12">
        <v>0.82</v>
      </c>
      <c r="V169" s="12">
        <v>-14.83</v>
      </c>
      <c r="W169" s="12">
        <v>0.31</v>
      </c>
      <c r="X169" s="12">
        <v>0.16</v>
      </c>
      <c r="Y169" s="12">
        <v>0.11</v>
      </c>
      <c r="Z169" s="12">
        <v>0.08</v>
      </c>
      <c r="AA169" s="12">
        <v>0.72</v>
      </c>
      <c r="AB169" s="12">
        <v>505.07</v>
      </c>
      <c r="AC169" s="12">
        <v>0.79</v>
      </c>
      <c r="AD169" s="12">
        <v>464.9</v>
      </c>
      <c r="AE169" s="12">
        <v>0.47</v>
      </c>
      <c r="AF169" s="12">
        <v>777.47</v>
      </c>
      <c r="AG169" s="12">
        <v>192.5</v>
      </c>
    </row>
    <row r="170">
      <c r="A170" s="8" t="s">
        <v>230</v>
      </c>
      <c r="B170" s="9">
        <v>1460956.14</v>
      </c>
      <c r="C170" s="9">
        <v>956239.61</v>
      </c>
      <c r="D170" s="9">
        <v>150000.0</v>
      </c>
      <c r="E170" s="9">
        <v>450971.23</v>
      </c>
      <c r="F170" s="9">
        <v>2293705.46</v>
      </c>
      <c r="G170" s="9">
        <v>2163433.08</v>
      </c>
      <c r="H170" s="9">
        <v>151900.9</v>
      </c>
      <c r="I170" s="9">
        <v>129939.25</v>
      </c>
      <c r="J170" s="9">
        <v>89722.09</v>
      </c>
      <c r="K170" s="12">
        <v>0.3</v>
      </c>
      <c r="L170" s="9">
        <v>42081.36</v>
      </c>
      <c r="M170" s="9">
        <v>-117400.14</v>
      </c>
      <c r="N170" s="9">
        <v>99686.57</v>
      </c>
      <c r="O170" s="9">
        <v>24367.79</v>
      </c>
      <c r="P170" s="12">
        <v>20.14</v>
      </c>
      <c r="Q170" s="12">
        <v>9.91</v>
      </c>
      <c r="R170" s="12">
        <v>18.17</v>
      </c>
      <c r="S170" s="12">
        <v>4.62</v>
      </c>
      <c r="T170" s="12">
        <v>5.67</v>
      </c>
      <c r="U170" s="12">
        <v>1.89</v>
      </c>
      <c r="V170" s="12">
        <v>25.82</v>
      </c>
      <c r="W170" s="12">
        <v>1.14</v>
      </c>
      <c r="X170" s="12">
        <v>1.13</v>
      </c>
      <c r="Y170" s="12">
        <v>72.67</v>
      </c>
      <c r="Z170" s="12">
        <v>1.75</v>
      </c>
      <c r="AA170" s="12">
        <v>123.1</v>
      </c>
      <c r="AB170" s="12">
        <v>2.97</v>
      </c>
      <c r="AC170" s="12">
        <v>3.57</v>
      </c>
      <c r="AD170" s="12">
        <v>102.13</v>
      </c>
      <c r="AE170" s="12">
        <v>3.1</v>
      </c>
      <c r="AF170" s="12">
        <v>117.61</v>
      </c>
      <c r="AG170" s="12">
        <v>-12.52</v>
      </c>
    </row>
    <row r="171">
      <c r="A171" s="8" t="s">
        <v>231</v>
      </c>
      <c r="B171" s="9">
        <v>1763669.55</v>
      </c>
      <c r="C171" s="9">
        <v>927071.2</v>
      </c>
      <c r="D171" s="9">
        <v>400000.0</v>
      </c>
      <c r="E171" s="9">
        <v>836598.35</v>
      </c>
      <c r="F171" s="9">
        <v>649051.64</v>
      </c>
      <c r="G171" s="9">
        <v>522178.29</v>
      </c>
      <c r="H171" s="9">
        <v>237893.4</v>
      </c>
      <c r="I171" s="9">
        <v>130615.01</v>
      </c>
      <c r="J171" s="9">
        <v>84400.95</v>
      </c>
      <c r="K171" s="12">
        <v>0.11</v>
      </c>
      <c r="L171" s="9">
        <v>223457.71</v>
      </c>
      <c r="M171" s="9">
        <v>-104446.41</v>
      </c>
      <c r="N171" s="9">
        <v>-214830.09</v>
      </c>
      <c r="O171" s="9">
        <v>-95818.79</v>
      </c>
      <c r="P171" s="12">
        <v>10.41</v>
      </c>
      <c r="Q171" s="12">
        <v>7.0</v>
      </c>
      <c r="R171" s="12">
        <v>26.0</v>
      </c>
      <c r="S171" s="12">
        <v>13.0</v>
      </c>
      <c r="T171" s="12">
        <v>20.12</v>
      </c>
      <c r="U171" s="12">
        <v>1.11</v>
      </c>
      <c r="V171" s="12">
        <v>3.44</v>
      </c>
      <c r="W171" s="12">
        <v>1.9</v>
      </c>
      <c r="X171" s="12">
        <v>1.27</v>
      </c>
      <c r="Y171" s="12">
        <v>0.45</v>
      </c>
      <c r="Z171" s="12">
        <v>0.35</v>
      </c>
      <c r="AA171" s="12">
        <v>26.07</v>
      </c>
      <c r="AB171" s="12">
        <v>14.0</v>
      </c>
      <c r="AC171" s="12">
        <v>9.58</v>
      </c>
      <c r="AD171" s="12">
        <v>38.11</v>
      </c>
      <c r="AE171" s="12">
        <v>12.04</v>
      </c>
      <c r="AF171" s="12">
        <v>30.33</v>
      </c>
      <c r="AG171" s="12">
        <v>21.78</v>
      </c>
    </row>
    <row r="172">
      <c r="A172" s="8" t="s">
        <v>234</v>
      </c>
      <c r="B172" s="9">
        <v>1181145.09</v>
      </c>
      <c r="C172" s="9">
        <v>561896.44</v>
      </c>
      <c r="D172" s="9">
        <v>100000.0</v>
      </c>
      <c r="E172" s="9">
        <v>619248.65</v>
      </c>
      <c r="F172" s="9">
        <v>1698267.33</v>
      </c>
      <c r="G172" s="9">
        <v>1576128.54</v>
      </c>
      <c r="H172" s="9">
        <v>160572.95</v>
      </c>
      <c r="I172" s="9">
        <v>122138.8</v>
      </c>
      <c r="J172" s="9">
        <v>84525.61</v>
      </c>
      <c r="K172" s="12">
        <v>0.21</v>
      </c>
      <c r="L172" s="9">
        <v>155485.73</v>
      </c>
      <c r="M172" s="9">
        <v>-19262.45</v>
      </c>
      <c r="N172" s="9">
        <v>-129736.93</v>
      </c>
      <c r="O172" s="9">
        <v>6486.35</v>
      </c>
      <c r="P172" s="12">
        <v>13.72</v>
      </c>
      <c r="Q172" s="12">
        <v>10.51</v>
      </c>
      <c r="R172" s="12">
        <v>23.53</v>
      </c>
      <c r="S172" s="12">
        <v>4.98</v>
      </c>
      <c r="T172" s="12">
        <v>7.19</v>
      </c>
      <c r="U172" s="12">
        <v>0.91</v>
      </c>
      <c r="V172" s="12">
        <v>12.71</v>
      </c>
      <c r="W172" s="12">
        <v>1.54</v>
      </c>
      <c r="X172" s="12">
        <v>0.84</v>
      </c>
      <c r="Y172" s="12">
        <v>4.92</v>
      </c>
      <c r="Z172" s="12">
        <v>1.46</v>
      </c>
      <c r="AA172" s="12">
        <v>4.46</v>
      </c>
      <c r="AB172" s="12">
        <v>81.88</v>
      </c>
      <c r="AC172" s="12">
        <v>5.31</v>
      </c>
      <c r="AD172" s="12">
        <v>68.72</v>
      </c>
      <c r="AE172" s="12">
        <v>5.19</v>
      </c>
      <c r="AF172" s="12">
        <v>70.35</v>
      </c>
      <c r="AG172" s="12">
        <v>80.24</v>
      </c>
    </row>
    <row r="173">
      <c r="A173" s="8" t="s">
        <v>235</v>
      </c>
      <c r="B173" s="9">
        <v>1244375.3</v>
      </c>
      <c r="C173" s="9">
        <v>217692.78</v>
      </c>
      <c r="D173" s="9">
        <v>212382.19</v>
      </c>
      <c r="E173" s="9">
        <v>1026682.53</v>
      </c>
      <c r="F173" s="9">
        <v>1275104.71</v>
      </c>
      <c r="G173" s="9">
        <v>942733.06</v>
      </c>
      <c r="H173" s="9">
        <v>391682.29</v>
      </c>
      <c r="I173" s="9">
        <v>332709.12</v>
      </c>
      <c r="J173" s="9">
        <v>318481.67</v>
      </c>
      <c r="K173" s="12">
        <v>0.75</v>
      </c>
      <c r="L173" s="9">
        <v>413225.89</v>
      </c>
      <c r="M173" s="9">
        <v>-219669.06</v>
      </c>
      <c r="N173" s="9">
        <v>-121661.29</v>
      </c>
      <c r="O173" s="9">
        <v>71895.54</v>
      </c>
      <c r="P173" s="12">
        <v>34.85</v>
      </c>
      <c r="Q173" s="12">
        <v>30.55</v>
      </c>
      <c r="R173" s="12">
        <v>40.59</v>
      </c>
      <c r="S173" s="12">
        <v>24.98</v>
      </c>
      <c r="T173" s="12">
        <v>26.09</v>
      </c>
      <c r="U173" s="12">
        <v>0.21</v>
      </c>
      <c r="V173" s="12">
        <v>155.44</v>
      </c>
      <c r="W173" s="12">
        <v>3.64</v>
      </c>
      <c r="X173" s="12">
        <v>1.28</v>
      </c>
      <c r="Y173" s="12">
        <v>2.47</v>
      </c>
      <c r="Z173" s="12">
        <v>1.17</v>
      </c>
      <c r="AA173" s="12">
        <v>8.11</v>
      </c>
      <c r="AB173" s="12">
        <v>45.03</v>
      </c>
      <c r="AC173" s="12">
        <v>14.06</v>
      </c>
      <c r="AD173" s="12">
        <v>25.96</v>
      </c>
      <c r="AE173" s="12">
        <v>5.65</v>
      </c>
      <c r="AF173" s="12">
        <v>64.66</v>
      </c>
      <c r="AG173" s="12">
        <v>6.33</v>
      </c>
    </row>
    <row r="174">
      <c r="A174" s="8" t="s">
        <v>312</v>
      </c>
      <c r="B174" s="9">
        <v>395338.87</v>
      </c>
      <c r="C174" s="9">
        <v>33440.7</v>
      </c>
      <c r="D174" s="9">
        <v>90000.0</v>
      </c>
      <c r="E174" s="9">
        <v>361898.17</v>
      </c>
      <c r="F174" s="9">
        <v>228064.35</v>
      </c>
      <c r="G174" s="9">
        <v>169145.17</v>
      </c>
      <c r="H174" s="9">
        <v>75706.54</v>
      </c>
      <c r="I174" s="9">
        <v>57438.41</v>
      </c>
      <c r="J174" s="9">
        <v>56569.57</v>
      </c>
      <c r="K174" s="12">
        <v>0.31</v>
      </c>
      <c r="L174" s="9">
        <v>101511.68</v>
      </c>
      <c r="M174" s="9">
        <v>-158335.54</v>
      </c>
      <c r="N174" s="9">
        <v>-93761.23</v>
      </c>
      <c r="O174" s="9">
        <v>-150585.09</v>
      </c>
      <c r="P174" s="12">
        <v>15.66</v>
      </c>
      <c r="Q174" s="12">
        <v>14.04</v>
      </c>
      <c r="R174" s="12">
        <v>40.85</v>
      </c>
      <c r="S174" s="12">
        <v>24.8</v>
      </c>
      <c r="T174" s="12">
        <v>25.19</v>
      </c>
      <c r="U174" s="12">
        <v>0.09</v>
      </c>
      <c r="V174" s="12">
        <v>49.57</v>
      </c>
      <c r="W174" s="12">
        <v>15.43</v>
      </c>
      <c r="X174" s="12">
        <v>5.12</v>
      </c>
      <c r="Y174" s="12">
        <v>3.96</v>
      </c>
      <c r="Z174" s="12">
        <v>0.56</v>
      </c>
      <c r="AA174" s="9">
        <v>1236.43</v>
      </c>
      <c r="AB174" s="12">
        <v>0.3</v>
      </c>
      <c r="AC174" s="12">
        <v>7.68</v>
      </c>
      <c r="AD174" s="12">
        <v>47.54</v>
      </c>
      <c r="AE174" s="12">
        <v>9.33</v>
      </c>
      <c r="AF174" s="12">
        <v>39.12</v>
      </c>
      <c r="AG174" s="12">
        <v>8.72</v>
      </c>
    </row>
    <row r="175">
      <c r="A175" s="8" t="s">
        <v>238</v>
      </c>
      <c r="B175" s="9">
        <v>1412244.35</v>
      </c>
      <c r="C175" s="9">
        <v>526019.87</v>
      </c>
      <c r="D175" s="9">
        <v>107625.0</v>
      </c>
      <c r="E175" s="9">
        <v>886224.48</v>
      </c>
      <c r="F175" s="9">
        <v>2075546.85</v>
      </c>
      <c r="G175" s="9">
        <v>1878225.75</v>
      </c>
      <c r="H175" s="9">
        <v>243345.82</v>
      </c>
      <c r="I175" s="9">
        <v>197321.1</v>
      </c>
      <c r="J175" s="9">
        <v>158177.31</v>
      </c>
      <c r="K175" s="12">
        <v>1.47</v>
      </c>
      <c r="L175" s="9">
        <v>204995.95</v>
      </c>
      <c r="M175" s="9">
        <v>3416.72</v>
      </c>
      <c r="N175" s="9">
        <v>-41180.32</v>
      </c>
      <c r="O175" s="9">
        <v>167232.35</v>
      </c>
      <c r="P175" s="12">
        <v>19.08</v>
      </c>
      <c r="Q175" s="12">
        <v>14.82</v>
      </c>
      <c r="R175" s="12">
        <v>27.9</v>
      </c>
      <c r="S175" s="12">
        <v>7.62</v>
      </c>
      <c r="T175" s="12">
        <v>9.51</v>
      </c>
      <c r="U175" s="12">
        <v>0.59</v>
      </c>
      <c r="V175" s="12">
        <v>247.83</v>
      </c>
      <c r="W175" s="12">
        <v>2.31</v>
      </c>
      <c r="X175" s="12">
        <v>1.71</v>
      </c>
      <c r="Y175" s="12">
        <v>5.2</v>
      </c>
      <c r="Z175" s="12">
        <v>1.56</v>
      </c>
      <c r="AA175" s="12">
        <v>5.92</v>
      </c>
      <c r="AB175" s="12">
        <v>61.7</v>
      </c>
      <c r="AC175" s="12">
        <v>6.1</v>
      </c>
      <c r="AD175" s="12">
        <v>59.84</v>
      </c>
      <c r="AE175" s="12">
        <v>3.92</v>
      </c>
      <c r="AF175" s="12">
        <v>93.07</v>
      </c>
      <c r="AG175" s="12">
        <v>28.47</v>
      </c>
    </row>
    <row r="176">
      <c r="A176" s="8" t="s">
        <v>332</v>
      </c>
      <c r="B176" s="9">
        <v>1383602.36</v>
      </c>
      <c r="C176" s="9">
        <v>563383.14</v>
      </c>
      <c r="D176" s="9">
        <v>260000.0</v>
      </c>
      <c r="E176" s="9">
        <v>820219.21</v>
      </c>
      <c r="F176" s="9">
        <v>995677.65</v>
      </c>
      <c r="G176" s="9">
        <v>834161.46</v>
      </c>
      <c r="H176" s="9">
        <v>186594.58</v>
      </c>
      <c r="I176" s="9">
        <v>161516.18</v>
      </c>
      <c r="J176" s="9">
        <v>117706.97</v>
      </c>
      <c r="K176" s="12">
        <v>0.23</v>
      </c>
      <c r="L176" s="9">
        <v>10386.76</v>
      </c>
      <c r="M176" s="9">
        <v>-124373.16</v>
      </c>
      <c r="N176" s="9">
        <v>53701.64</v>
      </c>
      <c r="O176" s="9">
        <v>-60284.77</v>
      </c>
      <c r="P176" s="12">
        <v>14.97</v>
      </c>
      <c r="Q176" s="12">
        <v>12.71</v>
      </c>
      <c r="R176" s="12">
        <v>20.57</v>
      </c>
      <c r="S176" s="12">
        <v>11.82</v>
      </c>
      <c r="T176" s="12">
        <v>16.22</v>
      </c>
      <c r="U176" s="12">
        <v>0.69</v>
      </c>
      <c r="V176" s="12">
        <v>9.84</v>
      </c>
      <c r="W176" s="12">
        <v>1.68</v>
      </c>
      <c r="X176" s="12">
        <v>0.88</v>
      </c>
      <c r="Y176" s="12">
        <v>1.6</v>
      </c>
      <c r="Z176" s="12">
        <v>0.78</v>
      </c>
      <c r="AA176" s="12">
        <v>2.81</v>
      </c>
      <c r="AB176" s="12">
        <v>129.93</v>
      </c>
      <c r="AC176" s="12">
        <v>7.81</v>
      </c>
      <c r="AD176" s="12">
        <v>46.75</v>
      </c>
      <c r="AE176" s="12">
        <v>16.75</v>
      </c>
      <c r="AF176" s="12">
        <v>21.79</v>
      </c>
      <c r="AG176" s="12">
        <v>154.9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/>
      <c r="B1" s="3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41" t="s">
        <v>316</v>
      </c>
      <c r="B2" s="42">
        <v>1766506.0</v>
      </c>
      <c r="C2" s="42">
        <v>388841.0</v>
      </c>
      <c r="D2" s="42">
        <v>449999.0</v>
      </c>
      <c r="E2" s="42">
        <v>1379550.0</v>
      </c>
      <c r="F2" s="42">
        <v>5413940.0</v>
      </c>
      <c r="G2" s="42">
        <v>5233808.0</v>
      </c>
      <c r="H2" s="42">
        <v>212118.0</v>
      </c>
      <c r="I2" s="42">
        <v>169895.0</v>
      </c>
      <c r="J2" s="42">
        <v>133382.0</v>
      </c>
      <c r="K2" s="43">
        <v>0.3</v>
      </c>
      <c r="L2" s="42">
        <v>333629.0</v>
      </c>
      <c r="M2" s="42">
        <v>-31320.0</v>
      </c>
      <c r="N2" s="42">
        <v>-232542.0</v>
      </c>
      <c r="O2" s="42">
        <v>69767.0</v>
      </c>
      <c r="P2" s="43">
        <v>9.9</v>
      </c>
      <c r="Q2" s="43">
        <v>9.38</v>
      </c>
      <c r="R2" s="43">
        <v>7.53</v>
      </c>
      <c r="S2" s="43">
        <v>2.46</v>
      </c>
      <c r="T2" s="43">
        <v>3.14</v>
      </c>
      <c r="U2" s="43">
        <v>0.28</v>
      </c>
      <c r="V2" s="43">
        <v>14.89</v>
      </c>
      <c r="W2" s="43">
        <v>3.39</v>
      </c>
      <c r="X2" s="43">
        <v>1.37</v>
      </c>
      <c r="Y2" s="43">
        <v>9.74</v>
      </c>
      <c r="Z2" s="43">
        <v>2.99</v>
      </c>
      <c r="AA2" s="43">
        <v>8.39</v>
      </c>
      <c r="AB2" s="43">
        <v>43.5</v>
      </c>
      <c r="AC2" s="43">
        <v>15.35</v>
      </c>
      <c r="AD2" s="43">
        <v>23.78</v>
      </c>
      <c r="AE2" s="43">
        <v>205.6</v>
      </c>
      <c r="AF2" s="43">
        <v>1.78</v>
      </c>
      <c r="AG2" s="43">
        <v>65.49</v>
      </c>
    </row>
    <row r="3">
      <c r="A3" s="8" t="s">
        <v>42</v>
      </c>
      <c r="B3" s="9">
        <v>1751153.8</v>
      </c>
      <c r="C3" s="9">
        <v>1205497.71</v>
      </c>
      <c r="D3" s="9">
        <v>1123000.0</v>
      </c>
      <c r="E3" s="9">
        <v>534444.16</v>
      </c>
      <c r="F3" s="9">
        <v>513424.9</v>
      </c>
      <c r="G3" s="9">
        <v>445518.02</v>
      </c>
      <c r="H3" s="9">
        <v>70614.77</v>
      </c>
      <c r="I3" s="9">
        <v>67906.88</v>
      </c>
      <c r="J3" s="9">
        <v>43411.97</v>
      </c>
      <c r="K3" s="12">
        <v>0.04</v>
      </c>
      <c r="L3" s="9">
        <v>37560.92</v>
      </c>
      <c r="M3" s="12">
        <v>-125.18</v>
      </c>
      <c r="N3" s="9">
        <v>-104234.92</v>
      </c>
      <c r="O3" s="9">
        <v>-66799.18</v>
      </c>
      <c r="P3" s="12">
        <v>8.55</v>
      </c>
      <c r="Q3" s="12">
        <v>4.0</v>
      </c>
      <c r="R3" s="12">
        <v>28.01</v>
      </c>
      <c r="S3" s="12">
        <v>8.75</v>
      </c>
      <c r="T3" s="12">
        <v>13.23</v>
      </c>
      <c r="U3" s="12">
        <v>2.21</v>
      </c>
      <c r="V3" s="12">
        <v>6.63</v>
      </c>
      <c r="W3" s="12">
        <v>2.3</v>
      </c>
      <c r="X3" s="12">
        <v>0.07</v>
      </c>
      <c r="Y3" s="12">
        <v>81.2</v>
      </c>
      <c r="Z3" s="12">
        <v>0.3</v>
      </c>
      <c r="AA3" s="12">
        <v>0.31</v>
      </c>
      <c r="AB3" s="9">
        <v>1181.46</v>
      </c>
      <c r="AC3" s="12">
        <v>23.46</v>
      </c>
      <c r="AD3" s="12">
        <v>15.56</v>
      </c>
      <c r="AE3" s="12">
        <v>1.99</v>
      </c>
      <c r="AF3" s="12">
        <v>183.76</v>
      </c>
      <c r="AG3" s="9">
        <v>1013.25</v>
      </c>
    </row>
    <row r="4">
      <c r="A4" s="8" t="s">
        <v>295</v>
      </c>
      <c r="B4" s="9">
        <v>1684551.09</v>
      </c>
      <c r="C4" s="9">
        <v>826137.43</v>
      </c>
      <c r="D4" s="9">
        <v>235000.0</v>
      </c>
      <c r="E4" s="9">
        <v>858413.66</v>
      </c>
      <c r="F4" s="9">
        <v>1243841.99</v>
      </c>
      <c r="G4" s="9">
        <v>1078689.97</v>
      </c>
      <c r="H4" s="9">
        <v>181444.42</v>
      </c>
      <c r="I4" s="9">
        <v>105044.8</v>
      </c>
      <c r="J4" s="9">
        <v>57617.71</v>
      </c>
      <c r="K4" s="12">
        <v>0.25</v>
      </c>
      <c r="L4" s="9">
        <v>122695.33</v>
      </c>
      <c r="M4" s="9">
        <v>-187929.79</v>
      </c>
      <c r="N4" s="9">
        <v>59626.25</v>
      </c>
      <c r="O4" s="9">
        <v>-5608.21</v>
      </c>
      <c r="P4" s="12">
        <v>6.9</v>
      </c>
      <c r="Q4" s="12">
        <v>6.79</v>
      </c>
      <c r="R4" s="12">
        <v>16.19</v>
      </c>
      <c r="S4" s="12">
        <v>4.63</v>
      </c>
      <c r="T4" s="12">
        <v>8.45</v>
      </c>
      <c r="U4" s="12">
        <v>0.96</v>
      </c>
      <c r="V4" s="12">
        <v>5.22</v>
      </c>
      <c r="W4" s="12">
        <v>0.98</v>
      </c>
      <c r="X4" s="12">
        <v>0.72</v>
      </c>
      <c r="Y4" s="12">
        <v>1.57</v>
      </c>
      <c r="Z4" s="12">
        <v>0.8</v>
      </c>
      <c r="AA4" s="12">
        <v>8.53</v>
      </c>
      <c r="AB4" s="12">
        <v>42.77</v>
      </c>
      <c r="AC4" s="12">
        <v>5.54</v>
      </c>
      <c r="AD4" s="12">
        <v>65.94</v>
      </c>
      <c r="AE4" s="12">
        <v>6.26</v>
      </c>
      <c r="AF4" s="12">
        <v>58.33</v>
      </c>
      <c r="AG4" s="12">
        <v>50.38</v>
      </c>
    </row>
    <row r="5">
      <c r="A5" s="8" t="s">
        <v>43</v>
      </c>
      <c r="B5" s="9">
        <v>714955.94</v>
      </c>
      <c r="C5" s="9">
        <v>501168.81</v>
      </c>
      <c r="D5" s="9">
        <v>150000.0</v>
      </c>
      <c r="E5" s="9">
        <v>224472.36</v>
      </c>
      <c r="F5" s="9">
        <v>1329868.15</v>
      </c>
      <c r="G5" s="9">
        <v>1343148.73</v>
      </c>
      <c r="H5" s="9">
        <v>7284.58</v>
      </c>
      <c r="I5" s="9">
        <v>-11147.08</v>
      </c>
      <c r="J5" s="9">
        <v>-15656.35</v>
      </c>
      <c r="K5" s="12">
        <v>-0.05</v>
      </c>
      <c r="L5" s="9">
        <v>-53703.75</v>
      </c>
      <c r="M5" s="9">
        <v>-36476.24</v>
      </c>
      <c r="N5" s="9">
        <v>92828.5</v>
      </c>
      <c r="O5" s="9">
        <v>2648.51</v>
      </c>
      <c r="P5" s="12">
        <v>-6.69</v>
      </c>
      <c r="Q5" s="12">
        <v>-1.64</v>
      </c>
      <c r="R5" s="12">
        <v>20.03</v>
      </c>
      <c r="S5" s="12">
        <v>-1.68</v>
      </c>
      <c r="T5" s="12">
        <v>-0.84</v>
      </c>
      <c r="U5" s="12">
        <v>2.34</v>
      </c>
      <c r="V5" s="12">
        <v>-0.88</v>
      </c>
      <c r="W5" s="12">
        <v>0.89</v>
      </c>
      <c r="X5" s="12">
        <v>0.45</v>
      </c>
      <c r="Y5" s="12">
        <v>4.81</v>
      </c>
      <c r="Z5" s="12">
        <v>1.95</v>
      </c>
      <c r="AA5" s="12">
        <v>7.23</v>
      </c>
      <c r="AB5" s="12">
        <v>50.47</v>
      </c>
      <c r="AC5" s="12">
        <v>9.15</v>
      </c>
      <c r="AD5" s="12">
        <v>39.89</v>
      </c>
      <c r="AE5" s="12">
        <v>26.31</v>
      </c>
      <c r="AF5" s="12">
        <v>13.87</v>
      </c>
      <c r="AG5" s="12">
        <v>76.49</v>
      </c>
    </row>
    <row r="6">
      <c r="A6" s="8" t="s">
        <v>45</v>
      </c>
      <c r="B6" s="9">
        <v>4315532.12</v>
      </c>
      <c r="C6" s="9">
        <v>3137803.78</v>
      </c>
      <c r="D6" s="9">
        <v>158205.58</v>
      </c>
      <c r="E6" s="9">
        <v>1094193.22</v>
      </c>
      <c r="F6" s="9">
        <v>342894.02</v>
      </c>
      <c r="G6" s="9">
        <v>340802.89</v>
      </c>
      <c r="H6" s="9">
        <v>11048.73</v>
      </c>
      <c r="I6" s="9">
        <v>2091.13</v>
      </c>
      <c r="J6" s="9">
        <v>-190530.2</v>
      </c>
      <c r="K6" s="12">
        <v>-0.6</v>
      </c>
      <c r="L6" s="9">
        <v>248966.89</v>
      </c>
      <c r="M6" s="9">
        <v>1379.54</v>
      </c>
      <c r="N6" s="9">
        <v>-158803.25</v>
      </c>
      <c r="O6" s="9">
        <v>91543.18</v>
      </c>
      <c r="P6" s="12">
        <v>-17.41</v>
      </c>
      <c r="Q6" s="12">
        <v>0.05</v>
      </c>
      <c r="R6" s="12">
        <v>7.39</v>
      </c>
      <c r="S6" s="12">
        <v>-54.6</v>
      </c>
      <c r="T6" s="12">
        <v>0.61</v>
      </c>
      <c r="U6" s="12">
        <v>2.66</v>
      </c>
      <c r="V6" s="12">
        <v>0.01</v>
      </c>
      <c r="W6" s="12">
        <v>0.26</v>
      </c>
      <c r="X6" s="12">
        <v>0.05</v>
      </c>
      <c r="Y6" s="12" t="s">
        <v>46</v>
      </c>
      <c r="Z6" s="12">
        <v>0.08</v>
      </c>
      <c r="AA6" s="12" t="s">
        <v>47</v>
      </c>
      <c r="AB6" s="12" t="s">
        <v>46</v>
      </c>
      <c r="AC6" s="12" t="s">
        <v>47</v>
      </c>
      <c r="AD6" s="12" t="s">
        <v>46</v>
      </c>
      <c r="AE6" s="12" t="s">
        <v>47</v>
      </c>
      <c r="AF6" s="12" t="s">
        <v>46</v>
      </c>
      <c r="AG6" s="12" t="s">
        <v>46</v>
      </c>
    </row>
    <row r="7">
      <c r="A7" s="8" t="s">
        <v>333</v>
      </c>
      <c r="B7" s="9">
        <v>1569070.84</v>
      </c>
      <c r="C7" s="9">
        <v>915971.97</v>
      </c>
      <c r="D7" s="9">
        <v>300000.0</v>
      </c>
      <c r="E7" s="9">
        <v>651391.8</v>
      </c>
      <c r="F7" s="9">
        <v>3123724.64</v>
      </c>
      <c r="G7" s="9">
        <v>3027652.54</v>
      </c>
      <c r="H7" s="9">
        <v>127312.79</v>
      </c>
      <c r="I7" s="9">
        <v>96072.1</v>
      </c>
      <c r="J7" s="9">
        <v>52995.74</v>
      </c>
      <c r="K7" s="12">
        <v>0.1</v>
      </c>
      <c r="L7" s="9">
        <v>-137352.2</v>
      </c>
      <c r="M7" s="9">
        <v>-111912.51</v>
      </c>
      <c r="N7" s="9">
        <v>236388.14</v>
      </c>
      <c r="O7" s="9">
        <v>-12876.58</v>
      </c>
      <c r="P7" s="12">
        <v>10.24</v>
      </c>
      <c r="Q7" s="12">
        <v>6.91</v>
      </c>
      <c r="R7" s="12">
        <v>6.43</v>
      </c>
      <c r="S7" s="12">
        <v>1.71</v>
      </c>
      <c r="T7" s="12">
        <v>3.08</v>
      </c>
      <c r="U7" s="12">
        <v>1.4</v>
      </c>
      <c r="V7" s="12">
        <v>3.45</v>
      </c>
      <c r="W7" s="12">
        <v>0.88</v>
      </c>
      <c r="X7" s="12">
        <v>0.33</v>
      </c>
      <c r="Y7" s="12">
        <v>4.75</v>
      </c>
      <c r="Z7" s="12">
        <v>2.25</v>
      </c>
      <c r="AA7" s="12">
        <v>8.2</v>
      </c>
      <c r="AB7" s="12">
        <v>44.5</v>
      </c>
      <c r="AC7" s="12">
        <v>23.91</v>
      </c>
      <c r="AD7" s="12">
        <v>15.27</v>
      </c>
      <c r="AE7" s="12">
        <v>16.2</v>
      </c>
      <c r="AF7" s="12">
        <v>22.54</v>
      </c>
      <c r="AG7" s="12">
        <v>37.23</v>
      </c>
    </row>
    <row r="8">
      <c r="A8" s="8" t="s">
        <v>48</v>
      </c>
      <c r="B8" s="9">
        <v>1253647.89</v>
      </c>
      <c r="C8" s="9">
        <v>672239.65</v>
      </c>
      <c r="D8" s="9">
        <v>300000.0</v>
      </c>
      <c r="E8" s="9">
        <v>581408.24</v>
      </c>
      <c r="F8" s="9">
        <v>1370503.29</v>
      </c>
      <c r="G8" s="9">
        <v>1358546.59</v>
      </c>
      <c r="H8" s="9">
        <v>62224.79</v>
      </c>
      <c r="I8" s="9">
        <v>17514.81</v>
      </c>
      <c r="J8" s="9">
        <v>3263.14</v>
      </c>
      <c r="K8" s="12">
        <v>0.01</v>
      </c>
      <c r="L8" s="9">
        <v>111339.37</v>
      </c>
      <c r="M8" s="9">
        <v>-51800.71</v>
      </c>
      <c r="N8" s="9">
        <v>-40707.02</v>
      </c>
      <c r="O8" s="9">
        <v>18831.64</v>
      </c>
      <c r="P8" s="12">
        <v>0.56</v>
      </c>
      <c r="Q8" s="12">
        <v>1.4</v>
      </c>
      <c r="R8" s="12">
        <v>13.44</v>
      </c>
      <c r="S8" s="12">
        <v>0.24</v>
      </c>
      <c r="T8" s="12">
        <v>1.28</v>
      </c>
      <c r="U8" s="12">
        <v>1.16</v>
      </c>
      <c r="V8" s="12">
        <v>1.25</v>
      </c>
      <c r="W8" s="12">
        <v>1.28</v>
      </c>
      <c r="X8" s="12">
        <v>0.8</v>
      </c>
      <c r="Y8" s="12">
        <v>2.54</v>
      </c>
      <c r="Z8" s="12">
        <v>1.09</v>
      </c>
      <c r="AA8" s="12">
        <v>4.17</v>
      </c>
      <c r="AB8" s="12">
        <v>87.55</v>
      </c>
      <c r="AC8" s="12">
        <v>3.61</v>
      </c>
      <c r="AD8" s="12">
        <v>101.24</v>
      </c>
      <c r="AE8" s="12">
        <v>4.91</v>
      </c>
      <c r="AF8" s="12">
        <v>74.28</v>
      </c>
      <c r="AG8" s="12">
        <v>114.51</v>
      </c>
    </row>
    <row r="9">
      <c r="A9" s="8" t="s">
        <v>50</v>
      </c>
      <c r="B9" s="9">
        <v>2556464.78</v>
      </c>
      <c r="C9" s="9">
        <v>2028086.13</v>
      </c>
      <c r="D9" s="9">
        <v>400000.0</v>
      </c>
      <c r="E9" s="9">
        <v>528378.65</v>
      </c>
      <c r="F9" s="9">
        <v>230605.83</v>
      </c>
      <c r="G9" s="9">
        <v>127080.6</v>
      </c>
      <c r="H9" s="9">
        <v>108478.59</v>
      </c>
      <c r="I9" s="9">
        <v>103525.23</v>
      </c>
      <c r="J9" s="9">
        <v>42158.88</v>
      </c>
      <c r="K9" s="12">
        <v>0.03</v>
      </c>
      <c r="L9" s="9">
        <v>18220.95</v>
      </c>
      <c r="M9" s="12">
        <v>-135.91</v>
      </c>
      <c r="N9" s="9">
        <v>-68056.6</v>
      </c>
      <c r="O9" s="9">
        <v>-49971.57</v>
      </c>
      <c r="P9" s="12">
        <v>7.98</v>
      </c>
      <c r="Q9" s="12">
        <v>4.05</v>
      </c>
      <c r="R9" s="12">
        <v>75.6</v>
      </c>
      <c r="S9" s="12">
        <v>18.28</v>
      </c>
      <c r="T9" s="12">
        <v>44.89</v>
      </c>
      <c r="U9" s="12">
        <v>3.84</v>
      </c>
      <c r="V9" s="12">
        <v>1.89</v>
      </c>
      <c r="W9" s="12">
        <v>1.24</v>
      </c>
      <c r="X9" s="12">
        <v>0.03</v>
      </c>
      <c r="Y9" s="12" t="s">
        <v>46</v>
      </c>
      <c r="Z9" s="12">
        <v>0.09</v>
      </c>
      <c r="AA9" s="12" t="s">
        <v>47</v>
      </c>
      <c r="AB9" s="12" t="s">
        <v>46</v>
      </c>
      <c r="AC9" s="12" t="s">
        <v>47</v>
      </c>
      <c r="AD9" s="12" t="s">
        <v>46</v>
      </c>
      <c r="AE9" s="12" t="s">
        <v>47</v>
      </c>
      <c r="AF9" s="12" t="s">
        <v>46</v>
      </c>
      <c r="AG9" s="12" t="s">
        <v>46</v>
      </c>
    </row>
    <row r="10">
      <c r="A10" s="8" t="s">
        <v>334</v>
      </c>
      <c r="B10" s="9">
        <v>4732075.08</v>
      </c>
      <c r="C10" s="9">
        <v>2916459.48</v>
      </c>
      <c r="D10" s="9">
        <v>483446.87</v>
      </c>
      <c r="E10" s="9">
        <v>1814513.46</v>
      </c>
      <c r="F10" s="9">
        <v>6209526.66</v>
      </c>
      <c r="G10" s="9">
        <v>5884629.56</v>
      </c>
      <c r="H10" s="9">
        <v>435019.5</v>
      </c>
      <c r="I10" s="9">
        <v>350634.22</v>
      </c>
      <c r="J10" s="9">
        <v>272787.28</v>
      </c>
      <c r="K10" s="12">
        <v>0.14</v>
      </c>
      <c r="L10" s="9">
        <v>730874.51</v>
      </c>
      <c r="M10" s="9">
        <v>-218876.02</v>
      </c>
      <c r="N10" s="9">
        <v>-384790.81</v>
      </c>
      <c r="O10" s="9">
        <v>127207.68</v>
      </c>
      <c r="P10" s="12">
        <v>16.25</v>
      </c>
      <c r="Q10" s="12">
        <v>7.25</v>
      </c>
      <c r="R10" s="12">
        <v>13.02</v>
      </c>
      <c r="S10" s="12">
        <v>4.44</v>
      </c>
      <c r="T10" s="12">
        <v>5.65</v>
      </c>
      <c r="U10" s="12">
        <v>1.61</v>
      </c>
      <c r="V10" s="12">
        <v>7.28</v>
      </c>
      <c r="W10" s="12">
        <v>1.19</v>
      </c>
      <c r="X10" s="12">
        <v>0.55</v>
      </c>
      <c r="Y10" s="12">
        <v>3.94</v>
      </c>
      <c r="Z10" s="12">
        <v>1.28</v>
      </c>
      <c r="AA10" s="12">
        <v>3.61</v>
      </c>
      <c r="AB10" s="12">
        <v>101.15</v>
      </c>
      <c r="AC10" s="12">
        <v>4.57</v>
      </c>
      <c r="AD10" s="12">
        <v>79.86</v>
      </c>
      <c r="AE10" s="12">
        <v>10.12</v>
      </c>
      <c r="AF10" s="12">
        <v>36.05</v>
      </c>
      <c r="AG10" s="12">
        <v>144.96</v>
      </c>
    </row>
    <row r="11">
      <c r="A11" s="8" t="s">
        <v>317</v>
      </c>
      <c r="B11" s="9">
        <v>2326388.9</v>
      </c>
      <c r="C11" s="9">
        <v>643098.32</v>
      </c>
      <c r="D11" s="9">
        <v>1308072.98</v>
      </c>
      <c r="E11" s="9">
        <v>1683290.58</v>
      </c>
      <c r="F11" s="9">
        <v>1997193.37</v>
      </c>
      <c r="G11" s="9">
        <v>2145578.68</v>
      </c>
      <c r="H11" s="9">
        <v>-61777.31</v>
      </c>
      <c r="I11" s="9">
        <v>-148385.3</v>
      </c>
      <c r="J11" s="9">
        <v>-156496.22</v>
      </c>
      <c r="K11" s="12">
        <v>-0.03</v>
      </c>
      <c r="L11" s="9">
        <v>-227698.1</v>
      </c>
      <c r="M11" s="9">
        <v>-57652.53</v>
      </c>
      <c r="N11" s="9">
        <v>289851.94</v>
      </c>
      <c r="O11" s="9">
        <v>4501.31</v>
      </c>
      <c r="P11" s="12">
        <v>-8.88</v>
      </c>
      <c r="Q11" s="12">
        <v>-6.9</v>
      </c>
      <c r="R11" s="12">
        <v>-3.31</v>
      </c>
      <c r="S11" s="12">
        <v>-7.84</v>
      </c>
      <c r="T11" s="12">
        <v>-7.43</v>
      </c>
      <c r="U11" s="12">
        <v>0.38</v>
      </c>
      <c r="V11" s="12">
        <v>-40.04</v>
      </c>
      <c r="W11" s="12">
        <v>1.2</v>
      </c>
      <c r="X11" s="12">
        <v>0.69</v>
      </c>
      <c r="Y11" s="12">
        <v>1.34</v>
      </c>
      <c r="Z11" s="12">
        <v>0.93</v>
      </c>
      <c r="AA11" s="12">
        <v>7.62</v>
      </c>
      <c r="AB11" s="12">
        <v>47.91</v>
      </c>
      <c r="AC11" s="12">
        <v>8.49</v>
      </c>
      <c r="AD11" s="12">
        <v>43.01</v>
      </c>
      <c r="AE11" s="12">
        <v>8.82</v>
      </c>
      <c r="AF11" s="12">
        <v>41.37</v>
      </c>
      <c r="AG11" s="12">
        <v>49.54</v>
      </c>
    </row>
    <row r="12">
      <c r="A12" s="8" t="s">
        <v>51</v>
      </c>
      <c r="B12" s="9">
        <v>9064208.52</v>
      </c>
      <c r="C12" s="9">
        <v>4425856.29</v>
      </c>
      <c r="D12" s="9">
        <v>1578719.63</v>
      </c>
      <c r="E12" s="9">
        <v>3829429.06</v>
      </c>
      <c r="F12" s="9">
        <v>775754.29</v>
      </c>
      <c r="G12" s="9">
        <v>733640.36</v>
      </c>
      <c r="H12" s="9">
        <v>6706.2</v>
      </c>
      <c r="I12" s="9">
        <v>-57621.68</v>
      </c>
      <c r="J12" s="9">
        <v>-164960.13</v>
      </c>
      <c r="K12" s="12">
        <v>-0.03</v>
      </c>
      <c r="L12" s="9">
        <v>-89373.89</v>
      </c>
      <c r="M12" s="9">
        <v>-881594.99</v>
      </c>
      <c r="N12" s="9">
        <v>1000901.42</v>
      </c>
      <c r="O12" s="9">
        <v>29932.54</v>
      </c>
      <c r="P12" s="12">
        <v>-4.31</v>
      </c>
      <c r="Q12" s="12">
        <v>-0.64</v>
      </c>
      <c r="R12" s="12">
        <v>77.29</v>
      </c>
      <c r="S12" s="12">
        <v>-22.34</v>
      </c>
      <c r="T12" s="12">
        <v>-7.43</v>
      </c>
      <c r="U12" s="12">
        <v>0.95</v>
      </c>
      <c r="V12" s="12">
        <v>-0.53</v>
      </c>
      <c r="W12" s="12">
        <v>1.44</v>
      </c>
      <c r="X12" s="12">
        <v>0.17</v>
      </c>
      <c r="Y12" s="12" t="s">
        <v>46</v>
      </c>
      <c r="Z12" s="12">
        <v>0.09</v>
      </c>
      <c r="AA12" s="12" t="s">
        <v>47</v>
      </c>
      <c r="AB12" s="12" t="s">
        <v>46</v>
      </c>
      <c r="AC12" s="12" t="s">
        <v>47</v>
      </c>
      <c r="AD12" s="12" t="s">
        <v>46</v>
      </c>
      <c r="AE12" s="12" t="s">
        <v>47</v>
      </c>
      <c r="AF12" s="12" t="s">
        <v>46</v>
      </c>
      <c r="AG12" s="12" t="s">
        <v>46</v>
      </c>
    </row>
    <row r="13">
      <c r="A13" s="8" t="s">
        <v>52</v>
      </c>
      <c r="B13" s="9">
        <v>631252.78</v>
      </c>
      <c r="C13" s="9">
        <v>97757.99</v>
      </c>
      <c r="D13" s="9">
        <v>202000.0</v>
      </c>
      <c r="E13" s="9">
        <v>533494.79</v>
      </c>
      <c r="F13" s="9">
        <v>432917.31</v>
      </c>
      <c r="G13" s="9">
        <v>397449.9</v>
      </c>
      <c r="H13" s="9">
        <v>77396.33</v>
      </c>
      <c r="I13" s="9">
        <v>39830.34</v>
      </c>
      <c r="J13" s="9">
        <v>31298.61</v>
      </c>
      <c r="K13" s="12">
        <v>0.08</v>
      </c>
      <c r="L13" s="9">
        <v>61622.5</v>
      </c>
      <c r="M13" s="9">
        <v>-226148.86</v>
      </c>
      <c r="N13" s="9">
        <v>-29087.28</v>
      </c>
      <c r="O13" s="9">
        <v>-193613.64</v>
      </c>
      <c r="P13" s="12">
        <v>5.89</v>
      </c>
      <c r="Q13" s="12">
        <v>6.27</v>
      </c>
      <c r="R13" s="12">
        <v>21.44</v>
      </c>
      <c r="S13" s="12">
        <v>7.23</v>
      </c>
      <c r="T13" s="12">
        <v>9.2</v>
      </c>
      <c r="U13" s="12">
        <v>0.18</v>
      </c>
      <c r="V13" s="12">
        <v>80.92</v>
      </c>
      <c r="W13" s="12">
        <v>4.06</v>
      </c>
      <c r="X13" s="12">
        <v>3.92</v>
      </c>
      <c r="Y13" s="12">
        <v>14.23</v>
      </c>
      <c r="Z13" s="12">
        <v>0.68</v>
      </c>
      <c r="AA13" s="12" t="s">
        <v>47</v>
      </c>
      <c r="AB13" s="12" t="s">
        <v>46</v>
      </c>
      <c r="AC13" s="12">
        <v>3.27</v>
      </c>
      <c r="AD13" s="12">
        <v>111.78</v>
      </c>
      <c r="AE13" s="12">
        <v>4.97</v>
      </c>
      <c r="AF13" s="12">
        <v>73.44</v>
      </c>
      <c r="AG13" s="12">
        <v>38.34</v>
      </c>
    </row>
    <row r="14">
      <c r="A14" s="8" t="s">
        <v>53</v>
      </c>
      <c r="B14" s="9">
        <v>7631619.86</v>
      </c>
      <c r="C14" s="9">
        <v>5651597.95</v>
      </c>
      <c r="D14" s="9">
        <v>560000.0</v>
      </c>
      <c r="E14" s="9">
        <v>1980004.79</v>
      </c>
      <c r="F14" s="9">
        <v>2918216.96</v>
      </c>
      <c r="G14" s="9">
        <v>2161675.09</v>
      </c>
      <c r="H14" s="9">
        <v>744980.42</v>
      </c>
      <c r="I14" s="9">
        <v>695907.86</v>
      </c>
      <c r="J14" s="9">
        <v>501091.31</v>
      </c>
      <c r="K14" s="12">
        <v>0.98</v>
      </c>
      <c r="L14" s="9">
        <v>354197.22</v>
      </c>
      <c r="M14" s="9">
        <v>-602902.97</v>
      </c>
      <c r="N14" s="9">
        <v>351669.75</v>
      </c>
      <c r="O14" s="9">
        <v>102964.0</v>
      </c>
      <c r="P14" s="12">
        <v>36.41</v>
      </c>
      <c r="Q14" s="12">
        <v>10.2</v>
      </c>
      <c r="R14" s="12">
        <v>33.9</v>
      </c>
      <c r="S14" s="12">
        <v>17.17</v>
      </c>
      <c r="T14" s="12">
        <v>23.85</v>
      </c>
      <c r="U14" s="12">
        <v>2.85</v>
      </c>
      <c r="V14" s="12">
        <v>11.44</v>
      </c>
      <c r="W14" s="12">
        <v>1.3</v>
      </c>
      <c r="X14" s="12">
        <v>0.18</v>
      </c>
      <c r="Y14" s="12">
        <v>35.87</v>
      </c>
      <c r="Z14" s="12">
        <v>0.43</v>
      </c>
      <c r="AA14" s="12">
        <v>0.39</v>
      </c>
      <c r="AB14" s="12">
        <v>944.72</v>
      </c>
      <c r="AC14" s="12">
        <v>17.41</v>
      </c>
      <c r="AD14" s="12">
        <v>20.96</v>
      </c>
      <c r="AE14" s="12">
        <v>3.52</v>
      </c>
      <c r="AF14" s="12">
        <v>103.67</v>
      </c>
      <c r="AG14" s="12">
        <v>862.01</v>
      </c>
    </row>
    <row r="15">
      <c r="A15" s="8" t="s">
        <v>54</v>
      </c>
      <c r="B15" s="9">
        <v>987986.12</v>
      </c>
      <c r="C15" s="9">
        <v>410957.04</v>
      </c>
      <c r="D15" s="9">
        <v>301612.26</v>
      </c>
      <c r="E15" s="9">
        <v>471949.5</v>
      </c>
      <c r="F15" s="9">
        <v>1808489.53</v>
      </c>
      <c r="G15" s="9">
        <v>1837532.73</v>
      </c>
      <c r="H15" s="9">
        <v>-22403.36</v>
      </c>
      <c r="I15" s="9">
        <v>-29043.21</v>
      </c>
      <c r="J15" s="12">
        <v>-30.06</v>
      </c>
      <c r="K15" s="12" t="s">
        <v>46</v>
      </c>
      <c r="L15" s="9">
        <v>23309.28</v>
      </c>
      <c r="M15" s="9">
        <v>-81448.92</v>
      </c>
      <c r="N15" s="9">
        <v>-9235.84</v>
      </c>
      <c r="O15" s="9">
        <v>-67375.48</v>
      </c>
      <c r="P15" s="12">
        <v>-0.01</v>
      </c>
      <c r="Q15" s="12">
        <v>-3.65</v>
      </c>
      <c r="R15" s="12">
        <v>3.82</v>
      </c>
      <c r="S15" s="12">
        <v>-0.29</v>
      </c>
      <c r="T15" s="12">
        <v>-1.61</v>
      </c>
      <c r="U15" s="12">
        <v>0.71</v>
      </c>
      <c r="V15" s="12">
        <v>90.8</v>
      </c>
      <c r="W15" s="12">
        <v>4.08</v>
      </c>
      <c r="X15" s="12">
        <v>0.6</v>
      </c>
      <c r="Y15" s="12">
        <v>284.69</v>
      </c>
      <c r="Z15" s="12">
        <v>2.28</v>
      </c>
      <c r="AA15" s="12">
        <v>4.33</v>
      </c>
      <c r="AB15" s="12">
        <v>84.22</v>
      </c>
      <c r="AC15" s="12">
        <v>16.14</v>
      </c>
      <c r="AD15" s="12">
        <v>22.62</v>
      </c>
      <c r="AE15" s="12">
        <v>51.21</v>
      </c>
      <c r="AF15" s="12">
        <v>7.13</v>
      </c>
      <c r="AG15" s="12">
        <v>99.71</v>
      </c>
    </row>
    <row r="16">
      <c r="A16" s="8" t="s">
        <v>55</v>
      </c>
      <c r="B16" s="9">
        <v>3397041.08</v>
      </c>
      <c r="C16" s="9">
        <v>1328974.3</v>
      </c>
      <c r="D16" s="9">
        <v>258958.39</v>
      </c>
      <c r="E16" s="9">
        <v>2068064.64</v>
      </c>
      <c r="F16" s="9">
        <v>1909332.78</v>
      </c>
      <c r="G16" s="9">
        <v>1636638.37</v>
      </c>
      <c r="H16" s="9">
        <v>539418.72</v>
      </c>
      <c r="I16" s="9">
        <v>269764.73</v>
      </c>
      <c r="J16" s="9">
        <v>180519.63</v>
      </c>
      <c r="K16" s="12">
        <v>0.35</v>
      </c>
      <c r="L16" s="9">
        <v>465084.04</v>
      </c>
      <c r="M16" s="9">
        <v>-115004.8</v>
      </c>
      <c r="N16" s="9">
        <v>-508125.47</v>
      </c>
      <c r="O16" s="9">
        <v>-158046.23</v>
      </c>
      <c r="P16" s="12">
        <v>8.76</v>
      </c>
      <c r="Q16" s="12">
        <v>7.64</v>
      </c>
      <c r="R16" s="12">
        <v>21.59</v>
      </c>
      <c r="S16" s="12">
        <v>9.45</v>
      </c>
      <c r="T16" s="12">
        <v>14.13</v>
      </c>
      <c r="U16" s="12">
        <v>0.64</v>
      </c>
      <c r="V16" s="12">
        <v>4.31</v>
      </c>
      <c r="W16" s="12">
        <v>0.51</v>
      </c>
      <c r="X16" s="12">
        <v>0.39</v>
      </c>
      <c r="Y16" s="12">
        <v>0.61</v>
      </c>
      <c r="Z16" s="12">
        <v>0.54</v>
      </c>
      <c r="AA16" s="12">
        <v>21.83</v>
      </c>
      <c r="AB16" s="12">
        <v>16.72</v>
      </c>
      <c r="AC16" s="12">
        <v>13.32</v>
      </c>
      <c r="AD16" s="12">
        <v>27.41</v>
      </c>
      <c r="AE16" s="12">
        <v>11.73</v>
      </c>
      <c r="AF16" s="12">
        <v>31.12</v>
      </c>
      <c r="AG16" s="12">
        <v>13.01</v>
      </c>
    </row>
    <row r="17">
      <c r="A17" s="8" t="s">
        <v>57</v>
      </c>
      <c r="B17" s="9">
        <v>615451.96</v>
      </c>
      <c r="C17" s="9">
        <v>292020.76</v>
      </c>
      <c r="D17" s="9">
        <v>140000.0</v>
      </c>
      <c r="E17" s="9">
        <v>323933.12</v>
      </c>
      <c r="F17" s="9">
        <v>734973.54</v>
      </c>
      <c r="G17" s="9">
        <v>662765.76</v>
      </c>
      <c r="H17" s="9">
        <v>85122.23</v>
      </c>
      <c r="I17" s="9">
        <v>72207.78</v>
      </c>
      <c r="J17" s="9">
        <v>57482.1</v>
      </c>
      <c r="K17" s="12">
        <v>0.28</v>
      </c>
      <c r="L17" s="9">
        <v>86381.04</v>
      </c>
      <c r="M17" s="9">
        <v>-26593.62</v>
      </c>
      <c r="N17" s="9">
        <v>178349.72</v>
      </c>
      <c r="O17" s="9">
        <v>238137.15</v>
      </c>
      <c r="P17" s="12">
        <v>27.58</v>
      </c>
      <c r="Q17" s="12">
        <v>14.52</v>
      </c>
      <c r="R17" s="12">
        <v>47.69</v>
      </c>
      <c r="S17" s="12">
        <v>7.84</v>
      </c>
      <c r="T17" s="12">
        <v>9.82</v>
      </c>
      <c r="U17" s="12">
        <v>0.9</v>
      </c>
      <c r="V17" s="9">
        <v>10572.15</v>
      </c>
      <c r="W17" s="12">
        <v>1.99</v>
      </c>
      <c r="X17" s="12">
        <v>1.64</v>
      </c>
      <c r="Y17" s="12">
        <v>8.9</v>
      </c>
      <c r="Z17" s="12">
        <v>1.48</v>
      </c>
      <c r="AA17" s="12">
        <v>15.19</v>
      </c>
      <c r="AB17" s="12">
        <v>24.03</v>
      </c>
      <c r="AC17" s="12">
        <v>9.64</v>
      </c>
      <c r="AD17" s="12">
        <v>37.85</v>
      </c>
      <c r="AE17" s="12">
        <v>4.4</v>
      </c>
      <c r="AF17" s="12">
        <v>82.91</v>
      </c>
      <c r="AG17" s="12">
        <v>-21.03</v>
      </c>
    </row>
    <row r="18">
      <c r="A18" s="8" t="s">
        <v>58</v>
      </c>
      <c r="B18" s="9">
        <v>1016727.42</v>
      </c>
      <c r="C18" s="9">
        <v>537218.24</v>
      </c>
      <c r="D18" s="9">
        <v>300000.0</v>
      </c>
      <c r="E18" s="9">
        <v>479509.18</v>
      </c>
      <c r="F18" s="9">
        <v>162190.45</v>
      </c>
      <c r="G18" s="9">
        <v>160922.87</v>
      </c>
      <c r="H18" s="9">
        <v>7519.47</v>
      </c>
      <c r="I18" s="9">
        <v>1267.58</v>
      </c>
      <c r="J18" s="9">
        <v>-14120.83</v>
      </c>
      <c r="K18" s="12">
        <v>-0.03</v>
      </c>
      <c r="L18" s="9">
        <v>-155783.86</v>
      </c>
      <c r="M18" s="9">
        <v>-1904.26</v>
      </c>
      <c r="N18" s="9">
        <v>162897.4</v>
      </c>
      <c r="O18" s="9">
        <v>5209.28</v>
      </c>
      <c r="P18" s="12">
        <v>-3.81</v>
      </c>
      <c r="Q18" s="12">
        <v>0.13</v>
      </c>
      <c r="R18" s="12">
        <v>29.5</v>
      </c>
      <c r="S18" s="12">
        <v>-8.71</v>
      </c>
      <c r="T18" s="12">
        <v>0.78</v>
      </c>
      <c r="U18" s="12">
        <v>1.12</v>
      </c>
      <c r="V18" s="12">
        <v>0.06</v>
      </c>
      <c r="W18" s="12">
        <v>1.54</v>
      </c>
      <c r="X18" s="12">
        <v>0.03</v>
      </c>
      <c r="Y18" s="12">
        <v>9.42</v>
      </c>
      <c r="Z18" s="12">
        <v>0.17</v>
      </c>
      <c r="AA18" s="12">
        <v>0.15</v>
      </c>
      <c r="AB18" s="9">
        <v>2357.19</v>
      </c>
      <c r="AC18" s="12">
        <v>13.66</v>
      </c>
      <c r="AD18" s="12">
        <v>26.72</v>
      </c>
      <c r="AE18" s="12">
        <v>1.08</v>
      </c>
      <c r="AF18" s="12">
        <v>338.17</v>
      </c>
      <c r="AG18" s="9">
        <v>2045.75</v>
      </c>
    </row>
    <row r="19">
      <c r="A19" s="8" t="s">
        <v>59</v>
      </c>
      <c r="B19" s="9">
        <v>234721.57</v>
      </c>
      <c r="C19" s="9">
        <v>27914.02</v>
      </c>
      <c r="D19" s="9">
        <v>116500.0</v>
      </c>
      <c r="E19" s="9">
        <v>206807.56</v>
      </c>
      <c r="F19" s="9">
        <v>165957.7</v>
      </c>
      <c r="G19" s="9">
        <v>162759.26</v>
      </c>
      <c r="H19" s="9">
        <v>6470.85</v>
      </c>
      <c r="I19" s="9">
        <v>3198.44</v>
      </c>
      <c r="J19" s="9">
        <v>1328.0</v>
      </c>
      <c r="K19" s="12" t="s">
        <v>46</v>
      </c>
      <c r="L19" s="9">
        <v>-21993.56</v>
      </c>
      <c r="M19" s="9">
        <v>-9512.68</v>
      </c>
      <c r="N19" s="12">
        <v>-432.0</v>
      </c>
      <c r="O19" s="9">
        <v>-31938.24</v>
      </c>
      <c r="P19" s="12">
        <v>0.64</v>
      </c>
      <c r="Q19" s="12">
        <v>1.37</v>
      </c>
      <c r="R19" s="12">
        <v>27.95</v>
      </c>
      <c r="S19" s="12">
        <v>0.8</v>
      </c>
      <c r="T19" s="12">
        <v>1.93</v>
      </c>
      <c r="U19" s="12">
        <v>0.13</v>
      </c>
      <c r="V19" s="12">
        <v>27.33</v>
      </c>
      <c r="W19" s="12">
        <v>7.07</v>
      </c>
      <c r="X19" s="12">
        <v>6.18</v>
      </c>
      <c r="Y19" s="12">
        <v>3.54</v>
      </c>
      <c r="Z19" s="12">
        <v>0.71</v>
      </c>
      <c r="AA19" s="12">
        <v>595.61</v>
      </c>
      <c r="AB19" s="12">
        <v>0.61</v>
      </c>
      <c r="AC19" s="12">
        <v>3.42</v>
      </c>
      <c r="AD19" s="12">
        <v>106.72</v>
      </c>
      <c r="AE19" s="12">
        <v>6.96</v>
      </c>
      <c r="AF19" s="12">
        <v>52.41</v>
      </c>
      <c r="AG19" s="12">
        <v>54.92</v>
      </c>
    </row>
    <row r="20">
      <c r="A20" s="8" t="s">
        <v>60</v>
      </c>
      <c r="B20" s="9">
        <v>1566303.83</v>
      </c>
      <c r="C20" s="9">
        <v>378612.04</v>
      </c>
      <c r="D20" s="9">
        <v>254910.39</v>
      </c>
      <c r="E20" s="9">
        <v>1204958.93</v>
      </c>
      <c r="F20" s="9">
        <v>1467228.54</v>
      </c>
      <c r="G20" s="9">
        <v>1244759.75</v>
      </c>
      <c r="H20" s="9">
        <v>260378.7</v>
      </c>
      <c r="I20" s="9">
        <v>222440.9</v>
      </c>
      <c r="J20" s="9">
        <v>205469.92</v>
      </c>
      <c r="K20" s="12">
        <v>0.81</v>
      </c>
      <c r="L20" s="9">
        <v>137353.87</v>
      </c>
      <c r="M20" s="9">
        <v>-50834.15</v>
      </c>
      <c r="N20" s="9">
        <v>-102179.83</v>
      </c>
      <c r="O20" s="9">
        <v>-15660.1</v>
      </c>
      <c r="P20" s="12">
        <v>17.76</v>
      </c>
      <c r="Q20" s="12">
        <v>14.63</v>
      </c>
      <c r="R20" s="12">
        <v>25.64</v>
      </c>
      <c r="S20" s="12">
        <v>12.77</v>
      </c>
      <c r="T20" s="12">
        <v>15.16</v>
      </c>
      <c r="U20" s="12">
        <v>0.32</v>
      </c>
      <c r="V20" s="12">
        <v>28.39</v>
      </c>
      <c r="W20" s="12">
        <v>3.19</v>
      </c>
      <c r="X20" s="12">
        <v>1.39</v>
      </c>
      <c r="Y20" s="12">
        <v>3.15</v>
      </c>
      <c r="Z20" s="12">
        <v>0.97</v>
      </c>
      <c r="AA20" s="12">
        <v>2.23</v>
      </c>
      <c r="AB20" s="12">
        <v>163.96</v>
      </c>
      <c r="AC20" s="12">
        <v>3.71</v>
      </c>
      <c r="AD20" s="12">
        <v>98.5</v>
      </c>
      <c r="AE20" s="12">
        <v>8.83</v>
      </c>
      <c r="AF20" s="12">
        <v>41.33</v>
      </c>
      <c r="AG20" s="12">
        <v>221.13</v>
      </c>
    </row>
    <row r="21">
      <c r="A21" s="8" t="s">
        <v>61</v>
      </c>
      <c r="B21" s="9">
        <v>326508.89</v>
      </c>
      <c r="C21" s="9">
        <v>43661.36</v>
      </c>
      <c r="D21" s="9">
        <v>65000.0</v>
      </c>
      <c r="E21" s="9">
        <v>282847.53</v>
      </c>
      <c r="F21" s="9">
        <v>159613.44</v>
      </c>
      <c r="G21" s="9">
        <v>121357.45</v>
      </c>
      <c r="H21" s="9">
        <v>44018.56</v>
      </c>
      <c r="I21" s="9">
        <v>38255.99</v>
      </c>
      <c r="J21" s="9">
        <v>30548.85</v>
      </c>
      <c r="K21" s="12">
        <v>0.2</v>
      </c>
      <c r="L21" s="9">
        <v>10587.65</v>
      </c>
      <c r="M21" s="9">
        <v>5744.84</v>
      </c>
      <c r="N21" s="12" t="s">
        <v>46</v>
      </c>
      <c r="O21" s="9">
        <v>16332.48</v>
      </c>
      <c r="P21" s="12">
        <v>11.4</v>
      </c>
      <c r="Q21" s="12">
        <v>12.44</v>
      </c>
      <c r="R21" s="12">
        <v>47.11</v>
      </c>
      <c r="S21" s="12">
        <v>19.14</v>
      </c>
      <c r="T21" s="12">
        <v>23.97</v>
      </c>
      <c r="U21" s="12">
        <v>0.15</v>
      </c>
      <c r="V21" s="12" t="s">
        <v>47</v>
      </c>
      <c r="W21" s="12">
        <v>5.59</v>
      </c>
      <c r="X21" s="12">
        <v>3.56</v>
      </c>
      <c r="Y21" s="12">
        <v>13.4</v>
      </c>
      <c r="Z21" s="12">
        <v>0.52</v>
      </c>
      <c r="AA21" s="12" t="s">
        <v>47</v>
      </c>
      <c r="AB21" s="12" t="s">
        <v>46</v>
      </c>
      <c r="AC21" s="12">
        <v>4.9</v>
      </c>
      <c r="AD21" s="12">
        <v>74.43</v>
      </c>
      <c r="AE21" s="12">
        <v>2.87</v>
      </c>
      <c r="AF21" s="12">
        <v>127.12</v>
      </c>
      <c r="AG21" s="12">
        <v>-52.69</v>
      </c>
    </row>
    <row r="22">
      <c r="A22" s="8" t="s">
        <v>62</v>
      </c>
      <c r="B22" s="9">
        <v>755388.53</v>
      </c>
      <c r="C22" s="9">
        <v>349797.24</v>
      </c>
      <c r="D22" s="9">
        <v>154327.51</v>
      </c>
      <c r="E22" s="9">
        <v>405591.29</v>
      </c>
      <c r="F22" s="9">
        <v>458891.33</v>
      </c>
      <c r="G22" s="9">
        <v>391290.19</v>
      </c>
      <c r="H22" s="9">
        <v>125198.52</v>
      </c>
      <c r="I22" s="9">
        <v>67601.14</v>
      </c>
      <c r="J22" s="9">
        <v>46820.89</v>
      </c>
      <c r="K22" s="12">
        <v>0.08</v>
      </c>
      <c r="L22" s="9">
        <v>113106.66</v>
      </c>
      <c r="M22" s="9">
        <v>-41453.16</v>
      </c>
      <c r="N22" s="9">
        <v>-68811.66</v>
      </c>
      <c r="O22" s="9">
        <v>2841.83</v>
      </c>
      <c r="P22" s="12">
        <v>12.64</v>
      </c>
      <c r="Q22" s="12">
        <v>9.12</v>
      </c>
      <c r="R22" s="12">
        <v>25.69</v>
      </c>
      <c r="S22" s="12">
        <v>10.2</v>
      </c>
      <c r="T22" s="12">
        <v>14.73</v>
      </c>
      <c r="U22" s="12">
        <v>0.86</v>
      </c>
      <c r="V22" s="12">
        <v>5.24</v>
      </c>
      <c r="W22" s="12">
        <v>0.81</v>
      </c>
      <c r="X22" s="12">
        <v>0.67</v>
      </c>
      <c r="Y22" s="12">
        <v>0.74</v>
      </c>
      <c r="Z22" s="12">
        <v>0.62</v>
      </c>
      <c r="AA22" s="12">
        <v>433.09</v>
      </c>
      <c r="AB22" s="12">
        <v>0.84</v>
      </c>
      <c r="AC22" s="12">
        <v>7.77</v>
      </c>
      <c r="AD22" s="12">
        <v>47.0</v>
      </c>
      <c r="AE22" s="12">
        <v>8.61</v>
      </c>
      <c r="AF22" s="12">
        <v>42.38</v>
      </c>
      <c r="AG22" s="12">
        <v>5.46</v>
      </c>
    </row>
    <row r="23">
      <c r="A23" s="8" t="s">
        <v>63</v>
      </c>
      <c r="B23" s="9">
        <v>1200226.66</v>
      </c>
      <c r="C23" s="9">
        <v>161634.53</v>
      </c>
      <c r="D23" s="9">
        <v>81562.36</v>
      </c>
      <c r="E23" s="9">
        <v>1038592.14</v>
      </c>
      <c r="F23" s="9">
        <v>1205251.39</v>
      </c>
      <c r="G23" s="9">
        <v>911889.96</v>
      </c>
      <c r="H23" s="9">
        <v>365411.49</v>
      </c>
      <c r="I23" s="9">
        <v>293361.43</v>
      </c>
      <c r="J23" s="9">
        <v>237082.95</v>
      </c>
      <c r="K23" s="12">
        <v>0.29</v>
      </c>
      <c r="L23" s="9">
        <v>337003.95</v>
      </c>
      <c r="M23" s="9">
        <v>-160460.83</v>
      </c>
      <c r="N23" s="9">
        <v>-155101.08</v>
      </c>
      <c r="O23" s="9">
        <v>21442.03</v>
      </c>
      <c r="P23" s="12">
        <v>23.76</v>
      </c>
      <c r="Q23" s="12">
        <v>25.54</v>
      </c>
      <c r="R23" s="12">
        <v>64.68</v>
      </c>
      <c r="S23" s="12">
        <v>19.67</v>
      </c>
      <c r="T23" s="12">
        <v>24.34</v>
      </c>
      <c r="U23" s="12">
        <v>0.16</v>
      </c>
      <c r="V23" s="9">
        <v>1327.07</v>
      </c>
      <c r="W23" s="12">
        <v>4.4</v>
      </c>
      <c r="X23" s="12">
        <v>4.03</v>
      </c>
      <c r="Y23" s="12">
        <v>2.19</v>
      </c>
      <c r="Z23" s="12">
        <v>1.05</v>
      </c>
      <c r="AA23" s="12">
        <v>11.68</v>
      </c>
      <c r="AB23" s="12">
        <v>31.25</v>
      </c>
      <c r="AC23" s="12">
        <v>91.56</v>
      </c>
      <c r="AD23" s="12">
        <v>3.99</v>
      </c>
      <c r="AE23" s="12">
        <v>5.44</v>
      </c>
      <c r="AF23" s="12">
        <v>67.13</v>
      </c>
      <c r="AG23" s="12">
        <v>-31.89</v>
      </c>
    </row>
    <row r="24">
      <c r="A24" s="8" t="s">
        <v>64</v>
      </c>
      <c r="B24" s="9">
        <v>845191.14</v>
      </c>
      <c r="C24" s="9">
        <v>327911.0</v>
      </c>
      <c r="D24" s="9">
        <v>137500.0</v>
      </c>
      <c r="E24" s="9">
        <v>517280.14</v>
      </c>
      <c r="F24" s="9">
        <v>811869.51</v>
      </c>
      <c r="G24" s="9">
        <v>519199.79</v>
      </c>
      <c r="H24" s="9">
        <v>341841.07</v>
      </c>
      <c r="I24" s="9">
        <v>293384.16</v>
      </c>
      <c r="J24" s="9">
        <v>234245.76</v>
      </c>
      <c r="K24" s="12">
        <v>0.43</v>
      </c>
      <c r="L24" s="9">
        <v>304951.07</v>
      </c>
      <c r="M24" s="9">
        <v>-151010.94</v>
      </c>
      <c r="N24" s="9">
        <v>-192464.8</v>
      </c>
      <c r="O24" s="9">
        <v>-38524.68</v>
      </c>
      <c r="P24" s="12">
        <v>47.19</v>
      </c>
      <c r="Q24" s="12">
        <v>37.0</v>
      </c>
      <c r="R24" s="12">
        <v>52.95</v>
      </c>
      <c r="S24" s="12">
        <v>28.85</v>
      </c>
      <c r="T24" s="12">
        <v>36.14</v>
      </c>
      <c r="U24" s="12">
        <v>0.63</v>
      </c>
      <c r="V24" s="12" t="s">
        <v>47</v>
      </c>
      <c r="W24" s="12">
        <v>2.03</v>
      </c>
      <c r="X24" s="12">
        <v>2.02</v>
      </c>
      <c r="Y24" s="12">
        <v>3.39</v>
      </c>
      <c r="Z24" s="12">
        <v>1.02</v>
      </c>
      <c r="AA24" s="12" t="s">
        <v>47</v>
      </c>
      <c r="AB24" s="12" t="s">
        <v>46</v>
      </c>
      <c r="AC24" s="12">
        <v>6.2</v>
      </c>
      <c r="AD24" s="12">
        <v>58.85</v>
      </c>
      <c r="AE24" s="12">
        <v>1.78</v>
      </c>
      <c r="AF24" s="12">
        <v>205.44</v>
      </c>
      <c r="AG24" s="12">
        <v>-146.58</v>
      </c>
    </row>
    <row r="25">
      <c r="A25" s="8" t="s">
        <v>66</v>
      </c>
      <c r="B25" s="9">
        <v>3845004.62</v>
      </c>
      <c r="C25" s="9">
        <v>2747057.06</v>
      </c>
      <c r="D25" s="9">
        <v>507000.0</v>
      </c>
      <c r="E25" s="9">
        <v>963529.12</v>
      </c>
      <c r="F25" s="9">
        <v>272114.17</v>
      </c>
      <c r="G25" s="9">
        <v>472382.69</v>
      </c>
      <c r="H25" s="9">
        <v>384763.11</v>
      </c>
      <c r="I25" s="9">
        <v>329039.51</v>
      </c>
      <c r="J25" s="9">
        <v>-71595.01</v>
      </c>
      <c r="K25" s="12">
        <v>-0.2</v>
      </c>
      <c r="L25" s="9">
        <v>-148760.98</v>
      </c>
      <c r="M25" s="9">
        <v>280629.33</v>
      </c>
      <c r="N25" s="9">
        <v>130855.2</v>
      </c>
      <c r="O25" s="9">
        <v>262723.55</v>
      </c>
      <c r="P25" s="12">
        <v>-9.67</v>
      </c>
      <c r="Q25" s="12">
        <v>8.97</v>
      </c>
      <c r="R25" s="12">
        <v>57.24</v>
      </c>
      <c r="S25" s="12">
        <v>54.97</v>
      </c>
      <c r="T25" s="12">
        <v>120.92</v>
      </c>
      <c r="U25" s="12">
        <v>2.5</v>
      </c>
      <c r="V25" s="12">
        <v>2.5</v>
      </c>
      <c r="W25" s="12">
        <v>1.16</v>
      </c>
      <c r="X25" s="12">
        <v>1.13</v>
      </c>
      <c r="Y25" s="12">
        <v>0.1</v>
      </c>
      <c r="Z25" s="12">
        <v>0.07</v>
      </c>
      <c r="AA25" s="12">
        <v>99.45</v>
      </c>
      <c r="AB25" s="12">
        <v>3.67</v>
      </c>
      <c r="AC25" s="12">
        <v>3.14</v>
      </c>
      <c r="AD25" s="12">
        <v>116.21</v>
      </c>
      <c r="AE25" s="12">
        <v>0.49</v>
      </c>
      <c r="AF25" s="12">
        <v>743.02</v>
      </c>
      <c r="AG25" s="12">
        <v>-623.14</v>
      </c>
    </row>
    <row r="26">
      <c r="A26" s="8" t="s">
        <v>68</v>
      </c>
      <c r="B26" s="9">
        <v>590319.0</v>
      </c>
      <c r="C26" s="9">
        <v>144342.0</v>
      </c>
      <c r="D26" s="9">
        <v>181760.0</v>
      </c>
      <c r="E26" s="9">
        <v>445977.0</v>
      </c>
      <c r="F26" s="9">
        <v>586425.0</v>
      </c>
      <c r="G26" s="9">
        <v>629685.0</v>
      </c>
      <c r="H26" s="9">
        <v>-12617.0</v>
      </c>
      <c r="I26" s="9">
        <v>-42188.0</v>
      </c>
      <c r="J26" s="9">
        <v>-42029.0</v>
      </c>
      <c r="K26" s="12">
        <v>-0.12</v>
      </c>
      <c r="L26" s="9">
        <v>-20218.0</v>
      </c>
      <c r="M26" s="9">
        <v>31001.0</v>
      </c>
      <c r="N26" s="9">
        <v>-18638.0</v>
      </c>
      <c r="O26" s="9">
        <v>-7855.0</v>
      </c>
      <c r="P26" s="12">
        <v>-9.0</v>
      </c>
      <c r="Q26" s="12">
        <v>-7.04</v>
      </c>
      <c r="R26" s="12">
        <v>48.78</v>
      </c>
      <c r="S26" s="12">
        <v>-7.17</v>
      </c>
      <c r="T26" s="12">
        <v>-7.19</v>
      </c>
      <c r="U26" s="12">
        <v>0.32</v>
      </c>
      <c r="V26" s="12">
        <v>-25.74</v>
      </c>
      <c r="W26" s="12">
        <v>2.99</v>
      </c>
      <c r="X26" s="12">
        <v>0.65</v>
      </c>
      <c r="Y26" s="12">
        <v>3.07</v>
      </c>
      <c r="Z26" s="12">
        <v>0.98</v>
      </c>
      <c r="AA26" s="12">
        <v>1.44</v>
      </c>
      <c r="AB26" s="12">
        <v>252.78</v>
      </c>
      <c r="AC26" s="12">
        <v>23.55</v>
      </c>
      <c r="AD26" s="12">
        <v>15.5</v>
      </c>
      <c r="AE26" s="12">
        <v>5.19</v>
      </c>
      <c r="AF26" s="12">
        <v>70.31</v>
      </c>
      <c r="AG26" s="12">
        <v>197.98</v>
      </c>
    </row>
    <row r="27">
      <c r="A27" s="8" t="s">
        <v>301</v>
      </c>
      <c r="B27" s="9">
        <v>1656571.56</v>
      </c>
      <c r="C27" s="9">
        <v>1012192.19</v>
      </c>
      <c r="D27" s="9">
        <v>200000.0</v>
      </c>
      <c r="E27" s="9">
        <v>587258.24</v>
      </c>
      <c r="F27" s="9">
        <v>732999.09</v>
      </c>
      <c r="G27" s="9">
        <v>617823.3</v>
      </c>
      <c r="H27" s="9">
        <v>124070.34</v>
      </c>
      <c r="I27" s="9">
        <v>116179.57</v>
      </c>
      <c r="J27" s="9">
        <v>91461.78</v>
      </c>
      <c r="K27" s="12">
        <v>0.23</v>
      </c>
      <c r="L27" s="9">
        <v>-158088.21</v>
      </c>
      <c r="M27" s="9">
        <v>-286688.2</v>
      </c>
      <c r="N27" s="9">
        <v>427920.26</v>
      </c>
      <c r="O27" s="9">
        <v>-16856.15</v>
      </c>
      <c r="P27" s="12">
        <v>15.92</v>
      </c>
      <c r="Q27" s="12">
        <v>8.94</v>
      </c>
      <c r="R27" s="12">
        <v>25.43</v>
      </c>
      <c r="S27" s="12">
        <v>11.02</v>
      </c>
      <c r="T27" s="12">
        <v>15.85</v>
      </c>
      <c r="U27" s="12">
        <v>1.57</v>
      </c>
      <c r="V27" s="12">
        <v>15.42</v>
      </c>
      <c r="W27" s="12">
        <v>1.59</v>
      </c>
      <c r="X27" s="12">
        <v>0.54</v>
      </c>
      <c r="Y27" s="12">
        <v>2.68</v>
      </c>
      <c r="Z27" s="12">
        <v>0.56</v>
      </c>
      <c r="AA27" s="12">
        <v>1.15</v>
      </c>
      <c r="AB27" s="12">
        <v>318.4</v>
      </c>
      <c r="AC27" s="12">
        <v>3.24</v>
      </c>
      <c r="AD27" s="12">
        <v>112.55</v>
      </c>
      <c r="AE27" s="12">
        <v>2.01</v>
      </c>
      <c r="AF27" s="12">
        <v>181.4</v>
      </c>
      <c r="AG27" s="12">
        <v>249.55</v>
      </c>
    </row>
    <row r="28">
      <c r="A28" s="8" t="s">
        <v>335</v>
      </c>
      <c r="B28" s="9">
        <v>1113222.45</v>
      </c>
      <c r="C28" s="9">
        <v>421250.79</v>
      </c>
      <c r="D28" s="9">
        <v>220000.0</v>
      </c>
      <c r="E28" s="9">
        <v>691971.66</v>
      </c>
      <c r="F28" s="9">
        <v>913337.87</v>
      </c>
      <c r="G28" s="9">
        <v>830863.84</v>
      </c>
      <c r="H28" s="9">
        <v>99960.38</v>
      </c>
      <c r="I28" s="9">
        <v>57222.34</v>
      </c>
      <c r="J28" s="9">
        <v>36010.37</v>
      </c>
      <c r="K28" s="12">
        <v>0.08</v>
      </c>
      <c r="L28" s="9">
        <v>102132.97</v>
      </c>
      <c r="M28" s="9">
        <v>-108448.04</v>
      </c>
      <c r="N28" s="9">
        <v>8724.64</v>
      </c>
      <c r="O28" s="9">
        <v>2409.58</v>
      </c>
      <c r="P28" s="12">
        <v>5.21</v>
      </c>
      <c r="Q28" s="12">
        <v>5.21</v>
      </c>
      <c r="R28" s="12">
        <v>21.66</v>
      </c>
      <c r="S28" s="12">
        <v>3.94</v>
      </c>
      <c r="T28" s="12">
        <v>6.27</v>
      </c>
      <c r="U28" s="12">
        <v>0.61</v>
      </c>
      <c r="V28" s="12">
        <v>6.48</v>
      </c>
      <c r="W28" s="12">
        <v>0.97</v>
      </c>
      <c r="X28" s="12">
        <v>0.65</v>
      </c>
      <c r="Y28" s="12">
        <v>1.48</v>
      </c>
      <c r="Z28" s="12">
        <v>0.83</v>
      </c>
      <c r="AA28" s="12">
        <v>6.92</v>
      </c>
      <c r="AB28" s="12">
        <v>52.78</v>
      </c>
      <c r="AC28" s="12">
        <v>4.19</v>
      </c>
      <c r="AD28" s="12">
        <v>87.09</v>
      </c>
      <c r="AE28" s="12">
        <v>3.89</v>
      </c>
      <c r="AF28" s="12">
        <v>93.78</v>
      </c>
      <c r="AG28" s="12">
        <v>46.1</v>
      </c>
    </row>
    <row r="29">
      <c r="A29" s="8" t="s">
        <v>72</v>
      </c>
      <c r="B29" s="9">
        <v>684237.47</v>
      </c>
      <c r="C29" s="9">
        <v>183296.05</v>
      </c>
      <c r="D29" s="9">
        <v>82050.55</v>
      </c>
      <c r="E29" s="9">
        <v>500941.42</v>
      </c>
      <c r="F29" s="9">
        <v>538120.37</v>
      </c>
      <c r="G29" s="9">
        <v>386375.64</v>
      </c>
      <c r="H29" s="9">
        <v>178913.98</v>
      </c>
      <c r="I29" s="9">
        <v>151859.52</v>
      </c>
      <c r="J29" s="9">
        <v>143911.63</v>
      </c>
      <c r="K29" s="12">
        <v>0.18</v>
      </c>
      <c r="L29" s="9">
        <v>225748.31</v>
      </c>
      <c r="M29" s="9">
        <v>-64222.93</v>
      </c>
      <c r="N29" s="9">
        <v>-147646.63</v>
      </c>
      <c r="O29" s="9">
        <v>13878.76</v>
      </c>
      <c r="P29" s="12">
        <v>28.61</v>
      </c>
      <c r="Q29" s="12">
        <v>22.05</v>
      </c>
      <c r="R29" s="12">
        <v>58.08</v>
      </c>
      <c r="S29" s="12">
        <v>26.74</v>
      </c>
      <c r="T29" s="12">
        <v>28.22</v>
      </c>
      <c r="U29" s="12">
        <v>0.37</v>
      </c>
      <c r="V29" s="12" t="s">
        <v>47</v>
      </c>
      <c r="W29" s="12">
        <v>2.54</v>
      </c>
      <c r="X29" s="12">
        <v>2.26</v>
      </c>
      <c r="Y29" s="12">
        <v>14.97</v>
      </c>
      <c r="Z29" s="12">
        <v>0.78</v>
      </c>
      <c r="AA29" s="12" t="s">
        <v>47</v>
      </c>
      <c r="AB29" s="12" t="s">
        <v>46</v>
      </c>
      <c r="AC29" s="12">
        <v>2.99</v>
      </c>
      <c r="AD29" s="12">
        <v>122.07</v>
      </c>
      <c r="AE29" s="12">
        <v>1.68</v>
      </c>
      <c r="AF29" s="12">
        <v>217.25</v>
      </c>
      <c r="AG29" s="12">
        <v>-95.18</v>
      </c>
    </row>
    <row r="30">
      <c r="A30" s="8" t="s">
        <v>73</v>
      </c>
      <c r="B30" s="9">
        <v>3433799.78</v>
      </c>
      <c r="C30" s="9">
        <v>860591.86</v>
      </c>
      <c r="D30" s="9">
        <v>704952.77</v>
      </c>
      <c r="E30" s="9">
        <v>2497757.29</v>
      </c>
      <c r="F30" s="9">
        <v>1125816.0</v>
      </c>
      <c r="G30" s="9">
        <v>624130.64</v>
      </c>
      <c r="H30" s="9">
        <v>923841.74</v>
      </c>
      <c r="I30" s="9">
        <v>920194.51</v>
      </c>
      <c r="J30" s="9">
        <v>736478.72</v>
      </c>
      <c r="K30" s="12">
        <v>0.13</v>
      </c>
      <c r="L30" s="9">
        <v>988603.98</v>
      </c>
      <c r="M30" s="9">
        <v>66176.68</v>
      </c>
      <c r="N30" s="9">
        <v>-486812.08</v>
      </c>
      <c r="O30" s="9">
        <v>567968.58</v>
      </c>
      <c r="P30" s="12">
        <v>31.94</v>
      </c>
      <c r="Q30" s="12">
        <v>29.69</v>
      </c>
      <c r="R30" s="12">
        <v>46.97</v>
      </c>
      <c r="S30" s="12">
        <v>65.46</v>
      </c>
      <c r="T30" s="12">
        <v>81.74</v>
      </c>
      <c r="U30" s="12">
        <v>0.33</v>
      </c>
      <c r="V30" s="12">
        <v>65.18</v>
      </c>
      <c r="W30" s="12">
        <v>3.03</v>
      </c>
      <c r="X30" s="12">
        <v>2.62</v>
      </c>
      <c r="Y30" s="12">
        <v>35.01</v>
      </c>
      <c r="Z30" s="12">
        <v>0.36</v>
      </c>
      <c r="AA30" s="12" t="s">
        <v>47</v>
      </c>
      <c r="AB30" s="12" t="s">
        <v>46</v>
      </c>
      <c r="AC30" s="12">
        <v>4.31</v>
      </c>
      <c r="AD30" s="12">
        <v>84.59</v>
      </c>
      <c r="AE30" s="12">
        <v>3.36</v>
      </c>
      <c r="AF30" s="12">
        <v>108.66</v>
      </c>
      <c r="AG30" s="12">
        <v>-24.07</v>
      </c>
    </row>
    <row r="31">
      <c r="A31" s="8" t="s">
        <v>74</v>
      </c>
      <c r="B31" s="9">
        <v>1902070.6</v>
      </c>
      <c r="C31" s="9">
        <v>1249616.76</v>
      </c>
      <c r="D31" s="9">
        <v>213050.62</v>
      </c>
      <c r="E31" s="9">
        <v>652455.63</v>
      </c>
      <c r="F31" s="9">
        <v>854038.7</v>
      </c>
      <c r="G31" s="9">
        <v>823868.96</v>
      </c>
      <c r="H31" s="9">
        <v>54114.78</v>
      </c>
      <c r="I31" s="9">
        <v>40698.25</v>
      </c>
      <c r="J31" s="9">
        <v>24928.84</v>
      </c>
      <c r="K31" s="12">
        <v>0.01</v>
      </c>
      <c r="L31" s="9">
        <v>-72233.49</v>
      </c>
      <c r="M31" s="9">
        <v>-352852.24</v>
      </c>
      <c r="N31" s="9">
        <v>272460.95</v>
      </c>
      <c r="O31" s="9">
        <v>-152624.77</v>
      </c>
      <c r="P31" s="12">
        <v>3.81</v>
      </c>
      <c r="Q31" s="12">
        <v>2.39</v>
      </c>
      <c r="R31" s="12">
        <v>26.4</v>
      </c>
      <c r="S31" s="12">
        <v>2.92</v>
      </c>
      <c r="T31" s="12">
        <v>4.77</v>
      </c>
      <c r="U31" s="12">
        <v>1.92</v>
      </c>
      <c r="V31" s="12">
        <v>4.29</v>
      </c>
      <c r="W31" s="12">
        <v>1.25</v>
      </c>
      <c r="X31" s="12">
        <v>0.19</v>
      </c>
      <c r="Y31" s="12">
        <v>21.77</v>
      </c>
      <c r="Z31" s="12">
        <v>0.5</v>
      </c>
      <c r="AA31" s="12">
        <v>0.82</v>
      </c>
      <c r="AB31" s="12">
        <v>445.18</v>
      </c>
      <c r="AC31" s="12">
        <v>6.4</v>
      </c>
      <c r="AD31" s="12">
        <v>57.05</v>
      </c>
      <c r="AE31" s="12">
        <v>3.27</v>
      </c>
      <c r="AF31" s="12">
        <v>111.48</v>
      </c>
      <c r="AG31" s="12">
        <v>390.75</v>
      </c>
    </row>
    <row r="32">
      <c r="A32" s="8" t="s">
        <v>75</v>
      </c>
      <c r="B32" s="9">
        <v>1920790.31</v>
      </c>
      <c r="C32" s="9">
        <v>801726.31</v>
      </c>
      <c r="D32" s="9">
        <v>378000.0</v>
      </c>
      <c r="E32" s="9">
        <v>1118921.49</v>
      </c>
      <c r="F32" s="9">
        <v>1440994.76</v>
      </c>
      <c r="G32" s="9">
        <v>1622018.29</v>
      </c>
      <c r="H32" s="9">
        <v>-114027.24</v>
      </c>
      <c r="I32" s="9">
        <v>-181023.52</v>
      </c>
      <c r="J32" s="9">
        <v>-197720.4</v>
      </c>
      <c r="K32" s="12">
        <v>-0.26</v>
      </c>
      <c r="L32" s="9">
        <v>-295898.34</v>
      </c>
      <c r="M32" s="9">
        <v>-46958.66</v>
      </c>
      <c r="N32" s="9">
        <v>328030.1</v>
      </c>
      <c r="O32" s="9">
        <v>-14826.9</v>
      </c>
      <c r="P32" s="12">
        <v>-16.06</v>
      </c>
      <c r="Q32" s="12">
        <v>-9.88</v>
      </c>
      <c r="R32" s="12">
        <v>-8.19</v>
      </c>
      <c r="S32" s="12">
        <v>-13.8</v>
      </c>
      <c r="T32" s="12">
        <v>-12.56</v>
      </c>
      <c r="U32" s="12">
        <v>0.72</v>
      </c>
      <c r="V32" s="12">
        <v>-11.66</v>
      </c>
      <c r="W32" s="12">
        <v>1.63</v>
      </c>
      <c r="X32" s="12">
        <v>0.58</v>
      </c>
      <c r="Y32" s="12">
        <v>2.31</v>
      </c>
      <c r="Z32" s="12">
        <v>0.79</v>
      </c>
      <c r="AA32" s="12">
        <v>4.81</v>
      </c>
      <c r="AB32" s="12">
        <v>75.88</v>
      </c>
      <c r="AC32" s="12">
        <v>3.94</v>
      </c>
      <c r="AD32" s="12">
        <v>92.56</v>
      </c>
      <c r="AE32" s="12">
        <v>8.47</v>
      </c>
      <c r="AF32" s="12">
        <v>43.08</v>
      </c>
      <c r="AG32" s="12">
        <v>125.36</v>
      </c>
    </row>
    <row r="33">
      <c r="A33" s="8" t="s">
        <v>76</v>
      </c>
      <c r="B33" s="9">
        <v>1487602.74</v>
      </c>
      <c r="C33" s="9">
        <v>993327.32</v>
      </c>
      <c r="D33" s="9">
        <v>140000.0</v>
      </c>
      <c r="E33" s="9">
        <v>491020.48</v>
      </c>
      <c r="F33" s="9">
        <v>2040650.53</v>
      </c>
      <c r="G33" s="9">
        <v>1929896.33</v>
      </c>
      <c r="H33" s="9">
        <v>155560.78</v>
      </c>
      <c r="I33" s="9">
        <v>110754.2</v>
      </c>
      <c r="J33" s="9">
        <v>75461.4</v>
      </c>
      <c r="K33" s="12">
        <v>0.27</v>
      </c>
      <c r="L33" s="9">
        <v>-222736.31</v>
      </c>
      <c r="M33" s="9">
        <v>-186368.08</v>
      </c>
      <c r="N33" s="9">
        <v>388509.49</v>
      </c>
      <c r="O33" s="9">
        <v>-20594.9</v>
      </c>
      <c r="P33" s="12">
        <v>23.26</v>
      </c>
      <c r="Q33" s="12">
        <v>8.4</v>
      </c>
      <c r="R33" s="12">
        <v>8.97</v>
      </c>
      <c r="S33" s="12">
        <v>3.68</v>
      </c>
      <c r="T33" s="12">
        <v>5.43</v>
      </c>
      <c r="U33" s="12">
        <v>2.01</v>
      </c>
      <c r="V33" s="12">
        <v>7.23</v>
      </c>
      <c r="W33" s="12">
        <v>0.97</v>
      </c>
      <c r="X33" s="12">
        <v>0.25</v>
      </c>
      <c r="Y33" s="12">
        <v>4.61</v>
      </c>
      <c r="Z33" s="12">
        <v>1.55</v>
      </c>
      <c r="AA33" s="12">
        <v>25.43</v>
      </c>
      <c r="AB33" s="12">
        <v>14.35</v>
      </c>
      <c r="AC33" s="12">
        <v>10.31</v>
      </c>
      <c r="AD33" s="12">
        <v>35.39</v>
      </c>
      <c r="AE33" s="12">
        <v>6.03</v>
      </c>
      <c r="AF33" s="12">
        <v>60.48</v>
      </c>
      <c r="AG33" s="12">
        <v>-10.74</v>
      </c>
    </row>
    <row r="34">
      <c r="A34" s="8" t="s">
        <v>336</v>
      </c>
      <c r="B34" s="9">
        <v>1824821.17</v>
      </c>
      <c r="C34" s="9">
        <v>822870.58</v>
      </c>
      <c r="D34" s="9">
        <v>314999.99</v>
      </c>
      <c r="E34" s="9">
        <v>987355.5</v>
      </c>
      <c r="F34" s="9">
        <v>317910.78</v>
      </c>
      <c r="G34" s="9">
        <v>168785.39</v>
      </c>
      <c r="H34" s="9">
        <v>154627.05</v>
      </c>
      <c r="I34" s="9">
        <v>149125.39</v>
      </c>
      <c r="J34" s="9">
        <v>111427.41</v>
      </c>
      <c r="K34" s="12">
        <v>0.18</v>
      </c>
      <c r="L34" s="9">
        <v>-349203.16</v>
      </c>
      <c r="M34" s="9">
        <v>-110622.56</v>
      </c>
      <c r="N34" s="9">
        <v>671041.05</v>
      </c>
      <c r="O34" s="9">
        <v>211215.33</v>
      </c>
      <c r="P34" s="12">
        <v>12.84</v>
      </c>
      <c r="Q34" s="12">
        <v>11.24</v>
      </c>
      <c r="R34" s="12">
        <v>63.73</v>
      </c>
      <c r="S34" s="12">
        <v>34.93</v>
      </c>
      <c r="T34" s="12">
        <v>46.91</v>
      </c>
      <c r="U34" s="12">
        <v>0.82</v>
      </c>
      <c r="V34" s="12">
        <v>16.35</v>
      </c>
      <c r="W34" s="12">
        <v>1.44</v>
      </c>
      <c r="X34" s="12">
        <v>0.93</v>
      </c>
      <c r="Y34" s="12" t="s">
        <v>46</v>
      </c>
      <c r="Z34" s="12">
        <v>0.24</v>
      </c>
      <c r="AA34" s="12" t="s">
        <v>47</v>
      </c>
      <c r="AB34" s="12" t="s">
        <v>46</v>
      </c>
      <c r="AC34" s="12" t="s">
        <v>47</v>
      </c>
      <c r="AD34" s="12" t="s">
        <v>46</v>
      </c>
      <c r="AE34" s="12" t="s">
        <v>47</v>
      </c>
      <c r="AF34" s="12" t="s">
        <v>46</v>
      </c>
      <c r="AG34" s="12" t="s">
        <v>46</v>
      </c>
    </row>
    <row r="35">
      <c r="A35" s="8" t="s">
        <v>78</v>
      </c>
      <c r="B35" s="9">
        <v>6404309.99</v>
      </c>
      <c r="C35" s="9">
        <v>4663864.29</v>
      </c>
      <c r="D35" s="9">
        <v>1275027.88</v>
      </c>
      <c r="E35" s="9">
        <v>1740445.7</v>
      </c>
      <c r="F35" s="9">
        <v>1154367.47</v>
      </c>
      <c r="G35" s="9">
        <v>1194392.46</v>
      </c>
      <c r="H35" s="9">
        <v>-4487.23</v>
      </c>
      <c r="I35" s="9">
        <v>-45072.25</v>
      </c>
      <c r="J35" s="9">
        <v>-55064.5</v>
      </c>
      <c r="K35" s="12">
        <v>-0.04</v>
      </c>
      <c r="L35" s="9">
        <v>-1919182.8</v>
      </c>
      <c r="M35" s="9">
        <v>-109391.18</v>
      </c>
      <c r="N35" s="9">
        <v>1557568.26</v>
      </c>
      <c r="O35" s="9">
        <v>-471005.72</v>
      </c>
      <c r="P35" s="12">
        <v>-3.07</v>
      </c>
      <c r="Q35" s="12">
        <v>-0.83</v>
      </c>
      <c r="R35" s="12">
        <v>26.77</v>
      </c>
      <c r="S35" s="12">
        <v>-4.77</v>
      </c>
      <c r="T35" s="12">
        <v>-3.9</v>
      </c>
      <c r="U35" s="12">
        <v>2.68</v>
      </c>
      <c r="V35" s="12">
        <v>-1.98</v>
      </c>
      <c r="W35" s="12">
        <v>1.51</v>
      </c>
      <c r="X35" s="12">
        <v>0.01</v>
      </c>
      <c r="Y35" s="12">
        <v>61.98</v>
      </c>
      <c r="Z35" s="12">
        <v>0.21</v>
      </c>
      <c r="AA35" s="12">
        <v>0.19</v>
      </c>
      <c r="AB35" s="9">
        <v>1934.31</v>
      </c>
      <c r="AC35" s="12">
        <v>76.55</v>
      </c>
      <c r="AD35" s="12">
        <v>4.77</v>
      </c>
      <c r="AE35" s="12">
        <v>3.87</v>
      </c>
      <c r="AF35" s="12">
        <v>94.32</v>
      </c>
      <c r="AG35" s="9">
        <v>1844.76</v>
      </c>
    </row>
    <row r="36">
      <c r="A36" s="8" t="s">
        <v>80</v>
      </c>
      <c r="B36" s="9">
        <v>3251787.0</v>
      </c>
      <c r="C36" s="9">
        <v>2293605.0</v>
      </c>
      <c r="D36" s="9">
        <v>327222.0</v>
      </c>
      <c r="E36" s="9">
        <v>958180.0</v>
      </c>
      <c r="F36" s="9">
        <v>1609206.0</v>
      </c>
      <c r="G36" s="9">
        <v>1388652.0</v>
      </c>
      <c r="H36" s="9">
        <v>278212.0</v>
      </c>
      <c r="I36" s="9">
        <v>220461.0</v>
      </c>
      <c r="J36" s="9">
        <v>65858.0</v>
      </c>
      <c r="K36" s="12">
        <v>0.05</v>
      </c>
      <c r="L36" s="9">
        <v>456122.0</v>
      </c>
      <c r="M36" s="9">
        <v>-105366.0</v>
      </c>
      <c r="N36" s="9">
        <v>-341536.0</v>
      </c>
      <c r="O36" s="9">
        <v>9220.0</v>
      </c>
      <c r="P36" s="12">
        <v>7.13</v>
      </c>
      <c r="Q36" s="12">
        <v>6.4</v>
      </c>
      <c r="R36" s="12">
        <v>21.57</v>
      </c>
      <c r="S36" s="12">
        <v>4.09</v>
      </c>
      <c r="T36" s="12">
        <v>13.7</v>
      </c>
      <c r="U36" s="12">
        <v>2.39</v>
      </c>
      <c r="V36" s="12">
        <v>1.51</v>
      </c>
      <c r="W36" s="12">
        <v>1.22</v>
      </c>
      <c r="X36" s="12">
        <v>0.34</v>
      </c>
      <c r="Y36" s="12">
        <v>1.46</v>
      </c>
      <c r="Z36" s="12">
        <v>0.47</v>
      </c>
      <c r="AA36" s="12">
        <v>1.62</v>
      </c>
      <c r="AB36" s="12">
        <v>225.98</v>
      </c>
      <c r="AC36" s="12">
        <v>1.73</v>
      </c>
      <c r="AD36" s="12">
        <v>210.64</v>
      </c>
      <c r="AE36" s="12">
        <v>3.72</v>
      </c>
      <c r="AF36" s="12">
        <v>98.23</v>
      </c>
      <c r="AG36" s="12">
        <v>338.38</v>
      </c>
    </row>
    <row r="37">
      <c r="A37" s="8" t="s">
        <v>81</v>
      </c>
      <c r="B37" s="9">
        <v>1.028100454E7</v>
      </c>
      <c r="C37" s="9">
        <v>9132907.78</v>
      </c>
      <c r="D37" s="9">
        <v>800000.0</v>
      </c>
      <c r="E37" s="9">
        <v>1035785.22</v>
      </c>
      <c r="F37" s="9">
        <v>1366196.7</v>
      </c>
      <c r="G37" s="9">
        <v>1320404.45</v>
      </c>
      <c r="H37" s="9">
        <v>627137.01</v>
      </c>
      <c r="I37" s="9">
        <v>233785.02</v>
      </c>
      <c r="J37" s="9">
        <v>-198257.74</v>
      </c>
      <c r="K37" s="12">
        <v>-0.25</v>
      </c>
      <c r="L37" s="9">
        <v>360329.42</v>
      </c>
      <c r="M37" s="9">
        <v>811942.43</v>
      </c>
      <c r="N37" s="9">
        <v>-2221944.33</v>
      </c>
      <c r="O37" s="9">
        <v>-1049672.47</v>
      </c>
      <c r="P37" s="12">
        <v>-16.8</v>
      </c>
      <c r="Q37" s="12">
        <v>1.99</v>
      </c>
      <c r="R37" s="12">
        <v>18.04</v>
      </c>
      <c r="S37" s="12">
        <v>-14.37</v>
      </c>
      <c r="T37" s="12">
        <v>17.11</v>
      </c>
      <c r="U37" s="12">
        <v>7.95</v>
      </c>
      <c r="V37" s="12">
        <v>0.56</v>
      </c>
      <c r="W37" s="12">
        <v>0.71</v>
      </c>
      <c r="X37" s="12">
        <v>0.55</v>
      </c>
      <c r="Y37" s="12">
        <v>0.21</v>
      </c>
      <c r="Z37" s="12">
        <v>0.12</v>
      </c>
      <c r="AA37" s="12">
        <v>1.86</v>
      </c>
      <c r="AB37" s="12">
        <v>196.25</v>
      </c>
      <c r="AC37" s="12">
        <v>1.74</v>
      </c>
      <c r="AD37" s="12">
        <v>210.14</v>
      </c>
      <c r="AE37" s="12">
        <v>2.32</v>
      </c>
      <c r="AF37" s="12">
        <v>157.54</v>
      </c>
      <c r="AG37" s="12">
        <v>248.85</v>
      </c>
    </row>
    <row r="38">
      <c r="A38" s="8" t="s">
        <v>82</v>
      </c>
      <c r="B38" s="9">
        <v>1021746.14</v>
      </c>
      <c r="C38" s="9">
        <v>528610.67</v>
      </c>
      <c r="D38" s="9">
        <v>432393.39</v>
      </c>
      <c r="E38" s="9">
        <v>493135.47</v>
      </c>
      <c r="F38" s="9">
        <v>1555747.35</v>
      </c>
      <c r="G38" s="9">
        <v>1730581.88</v>
      </c>
      <c r="H38" s="9">
        <v>-137760.29</v>
      </c>
      <c r="I38" s="9">
        <v>-195938.4</v>
      </c>
      <c r="J38" s="9">
        <v>-198572.98</v>
      </c>
      <c r="K38" s="12">
        <v>-0.23</v>
      </c>
      <c r="L38" s="9">
        <v>-157773.38</v>
      </c>
      <c r="M38" s="9">
        <v>110244.99</v>
      </c>
      <c r="N38" s="9">
        <v>36866.61</v>
      </c>
      <c r="O38" s="9">
        <v>-10661.78</v>
      </c>
      <c r="P38" s="12">
        <v>-32.95</v>
      </c>
      <c r="Q38" s="12">
        <v>-17.79</v>
      </c>
      <c r="R38" s="12">
        <v>4.19</v>
      </c>
      <c r="S38" s="12">
        <v>-12.76</v>
      </c>
      <c r="T38" s="12">
        <v>-12.59</v>
      </c>
      <c r="U38" s="12">
        <v>1.07</v>
      </c>
      <c r="V38" s="12">
        <v>-10.25</v>
      </c>
      <c r="W38" s="12">
        <v>1.01</v>
      </c>
      <c r="X38" s="12">
        <v>0.46</v>
      </c>
      <c r="Y38" s="12">
        <v>3.67</v>
      </c>
      <c r="Z38" s="12">
        <v>1.41</v>
      </c>
      <c r="AA38" s="12">
        <v>9.26</v>
      </c>
      <c r="AB38" s="12">
        <v>39.42</v>
      </c>
      <c r="AC38" s="12">
        <v>7.41</v>
      </c>
      <c r="AD38" s="12">
        <v>49.27</v>
      </c>
      <c r="AE38" s="12">
        <v>5.26</v>
      </c>
      <c r="AF38" s="12">
        <v>69.44</v>
      </c>
      <c r="AG38" s="12">
        <v>19.25</v>
      </c>
    </row>
    <row r="39">
      <c r="A39" s="8" t="s">
        <v>318</v>
      </c>
      <c r="B39" s="9">
        <v>5196586.18</v>
      </c>
      <c r="C39" s="9">
        <v>2586191.49</v>
      </c>
      <c r="D39" s="9">
        <v>1000000.0</v>
      </c>
      <c r="E39" s="9">
        <v>2610394.7</v>
      </c>
      <c r="F39" s="9">
        <v>1429291.6</v>
      </c>
      <c r="G39" s="9">
        <v>1325364.54</v>
      </c>
      <c r="H39" s="9">
        <v>130229.57</v>
      </c>
      <c r="I39" s="9">
        <v>103927.06</v>
      </c>
      <c r="J39" s="9">
        <v>24144.06</v>
      </c>
      <c r="K39" s="12">
        <v>0.02</v>
      </c>
      <c r="L39" s="9">
        <v>139484.03</v>
      </c>
      <c r="M39" s="9">
        <v>40249.45</v>
      </c>
      <c r="N39" s="9">
        <v>-236498.27</v>
      </c>
      <c r="O39" s="9">
        <v>-56764.79</v>
      </c>
      <c r="P39" s="12">
        <v>0.92</v>
      </c>
      <c r="Q39" s="12">
        <v>1.99</v>
      </c>
      <c r="R39" s="12">
        <v>38.56</v>
      </c>
      <c r="S39" s="12">
        <v>1.69</v>
      </c>
      <c r="T39" s="12">
        <v>7.27</v>
      </c>
      <c r="U39" s="12">
        <v>0.99</v>
      </c>
      <c r="V39" s="12">
        <v>1.87</v>
      </c>
      <c r="W39" s="12">
        <v>2.78</v>
      </c>
      <c r="X39" s="12">
        <v>0.14</v>
      </c>
      <c r="Y39" s="12">
        <v>6.48</v>
      </c>
      <c r="Z39" s="12">
        <v>0.27</v>
      </c>
      <c r="AA39" s="12">
        <v>0.25</v>
      </c>
      <c r="AB39" s="9">
        <v>1466.65</v>
      </c>
      <c r="AC39" s="12">
        <v>16.66</v>
      </c>
      <c r="AD39" s="12">
        <v>21.9</v>
      </c>
      <c r="AE39" s="12">
        <v>2.89</v>
      </c>
      <c r="AF39" s="12">
        <v>126.27</v>
      </c>
      <c r="AG39" s="9">
        <v>1362.29</v>
      </c>
    </row>
    <row r="40">
      <c r="A40" s="8" t="s">
        <v>83</v>
      </c>
      <c r="B40" s="9">
        <v>1185752.2</v>
      </c>
      <c r="C40" s="9">
        <v>629596.82</v>
      </c>
      <c r="D40" s="9">
        <v>255462.73</v>
      </c>
      <c r="E40" s="9">
        <v>524830.04</v>
      </c>
      <c r="F40" s="9">
        <v>1369526.72</v>
      </c>
      <c r="G40" s="9">
        <v>1271595.93</v>
      </c>
      <c r="H40" s="9">
        <v>251614.26</v>
      </c>
      <c r="I40" s="9">
        <v>143645.23</v>
      </c>
      <c r="J40" s="9">
        <v>98612.73</v>
      </c>
      <c r="K40" s="12">
        <v>0.39</v>
      </c>
      <c r="L40" s="9">
        <v>147920.08</v>
      </c>
      <c r="M40" s="9">
        <v>-36697.59</v>
      </c>
      <c r="N40" s="9">
        <v>-99202.68</v>
      </c>
      <c r="O40" s="9">
        <v>12019.81</v>
      </c>
      <c r="P40" s="12">
        <v>19.58</v>
      </c>
      <c r="Q40" s="12">
        <v>12.26</v>
      </c>
      <c r="R40" s="12">
        <v>21.02</v>
      </c>
      <c r="S40" s="12">
        <v>8.01</v>
      </c>
      <c r="T40" s="12">
        <v>10.49</v>
      </c>
      <c r="U40" s="12">
        <v>1.13</v>
      </c>
      <c r="V40" s="12">
        <v>6.45</v>
      </c>
      <c r="W40" s="12">
        <v>0.75</v>
      </c>
      <c r="X40" s="12">
        <v>0.71</v>
      </c>
      <c r="Y40" s="12">
        <v>2.19</v>
      </c>
      <c r="Z40" s="12">
        <v>1.17</v>
      </c>
      <c r="AA40" s="12">
        <v>69.18</v>
      </c>
      <c r="AB40" s="12">
        <v>5.28</v>
      </c>
      <c r="AC40" s="12">
        <v>4.17</v>
      </c>
      <c r="AD40" s="12">
        <v>87.57</v>
      </c>
      <c r="AE40" s="12">
        <v>5.78</v>
      </c>
      <c r="AF40" s="12">
        <v>63.16</v>
      </c>
      <c r="AG40" s="12">
        <v>29.69</v>
      </c>
    </row>
    <row r="41">
      <c r="A41" s="8" t="s">
        <v>84</v>
      </c>
      <c r="B41" s="9">
        <v>1260302.5</v>
      </c>
      <c r="C41" s="9">
        <v>518477.97</v>
      </c>
      <c r="D41" s="9">
        <v>588964.62</v>
      </c>
      <c r="E41" s="9">
        <v>741824.53</v>
      </c>
      <c r="F41" s="9">
        <v>1058565.9</v>
      </c>
      <c r="G41" s="9">
        <v>1019437.92</v>
      </c>
      <c r="H41" s="9">
        <v>98285.52</v>
      </c>
      <c r="I41" s="9">
        <v>39127.98</v>
      </c>
      <c r="J41" s="9">
        <v>27940.57</v>
      </c>
      <c r="K41" s="12">
        <v>0.05</v>
      </c>
      <c r="L41" s="9">
        <v>94264.73</v>
      </c>
      <c r="M41" s="9">
        <v>-43346.2</v>
      </c>
      <c r="N41" s="9">
        <v>-48376.74</v>
      </c>
      <c r="O41" s="9">
        <v>2541.79</v>
      </c>
      <c r="P41" s="12">
        <v>3.78</v>
      </c>
      <c r="Q41" s="12">
        <v>3.05</v>
      </c>
      <c r="R41" s="12">
        <v>17.96</v>
      </c>
      <c r="S41" s="12">
        <v>2.64</v>
      </c>
      <c r="T41" s="12">
        <v>3.7</v>
      </c>
      <c r="U41" s="12">
        <v>0.7</v>
      </c>
      <c r="V41" s="12">
        <v>2.92</v>
      </c>
      <c r="W41" s="12">
        <v>1.09</v>
      </c>
      <c r="X41" s="12">
        <v>0.51</v>
      </c>
      <c r="Y41" s="12">
        <v>1.47</v>
      </c>
      <c r="Z41" s="12">
        <v>0.83</v>
      </c>
      <c r="AA41" s="12">
        <v>3.2</v>
      </c>
      <c r="AB41" s="12">
        <v>114.2</v>
      </c>
      <c r="AC41" s="12">
        <v>4.5</v>
      </c>
      <c r="AD41" s="12">
        <v>81.05</v>
      </c>
      <c r="AE41" s="12">
        <v>5.02</v>
      </c>
      <c r="AF41" s="12">
        <v>72.68</v>
      </c>
      <c r="AG41" s="12">
        <v>122.56</v>
      </c>
    </row>
    <row r="42">
      <c r="A42" s="8" t="s">
        <v>85</v>
      </c>
      <c r="B42" s="9">
        <v>537964.03</v>
      </c>
      <c r="C42" s="9">
        <v>71436.99</v>
      </c>
      <c r="D42" s="9">
        <v>67000.0</v>
      </c>
      <c r="E42" s="9">
        <v>438805.0</v>
      </c>
      <c r="F42" s="9">
        <v>205261.23</v>
      </c>
      <c r="G42" s="9">
        <v>189465.86</v>
      </c>
      <c r="H42" s="9">
        <v>23769.4</v>
      </c>
      <c r="I42" s="9">
        <v>15795.36</v>
      </c>
      <c r="J42" s="9">
        <v>2315.28</v>
      </c>
      <c r="K42" s="12">
        <v>0.02</v>
      </c>
      <c r="L42" s="9">
        <v>32468.01</v>
      </c>
      <c r="M42" s="9">
        <v>-148316.3</v>
      </c>
      <c r="N42" s="9">
        <v>-17799.47</v>
      </c>
      <c r="O42" s="9">
        <v>-133647.75</v>
      </c>
      <c r="P42" s="12">
        <v>0.52</v>
      </c>
      <c r="Q42" s="12">
        <v>2.99</v>
      </c>
      <c r="R42" s="12">
        <v>54.28</v>
      </c>
      <c r="S42" s="12">
        <v>5.57</v>
      </c>
      <c r="T42" s="12">
        <v>7.7</v>
      </c>
      <c r="U42" s="12">
        <v>0.15</v>
      </c>
      <c r="V42" s="9">
        <v>2430.06</v>
      </c>
      <c r="W42" s="12">
        <v>8.76</v>
      </c>
      <c r="X42" s="12">
        <v>8.56</v>
      </c>
      <c r="Y42" s="12">
        <v>39.96</v>
      </c>
      <c r="Z42" s="12">
        <v>0.39</v>
      </c>
      <c r="AA42" s="12">
        <v>37.16</v>
      </c>
      <c r="AB42" s="12">
        <v>9.82</v>
      </c>
      <c r="AC42" s="12">
        <v>8.11</v>
      </c>
      <c r="AD42" s="12">
        <v>44.99</v>
      </c>
      <c r="AE42" s="12">
        <v>2.4</v>
      </c>
      <c r="AF42" s="12">
        <v>152.06</v>
      </c>
      <c r="AG42" s="12">
        <v>-97.25</v>
      </c>
    </row>
    <row r="43">
      <c r="A43" s="8" t="s">
        <v>87</v>
      </c>
      <c r="B43" s="9">
        <v>636490.44</v>
      </c>
      <c r="C43" s="9">
        <v>89969.58</v>
      </c>
      <c r="D43" s="9">
        <v>199000.0</v>
      </c>
      <c r="E43" s="9">
        <v>539216.71</v>
      </c>
      <c r="F43" s="9">
        <v>578199.08</v>
      </c>
      <c r="G43" s="9">
        <v>490717.52</v>
      </c>
      <c r="H43" s="9">
        <v>117671.09</v>
      </c>
      <c r="I43" s="9">
        <v>90683.96</v>
      </c>
      <c r="J43" s="9">
        <v>72969.24</v>
      </c>
      <c r="K43" s="12">
        <v>0.37</v>
      </c>
      <c r="L43" s="9">
        <v>93516.94</v>
      </c>
      <c r="M43" s="9">
        <v>-22803.15</v>
      </c>
      <c r="N43" s="9">
        <v>-285068.58</v>
      </c>
      <c r="O43" s="9">
        <v>-214354.79</v>
      </c>
      <c r="P43" s="12">
        <v>11.31</v>
      </c>
      <c r="Q43" s="12">
        <v>12.16</v>
      </c>
      <c r="R43" s="12">
        <v>20.03</v>
      </c>
      <c r="S43" s="12">
        <v>12.68</v>
      </c>
      <c r="T43" s="12">
        <v>15.68</v>
      </c>
      <c r="U43" s="12">
        <v>0.16</v>
      </c>
      <c r="V43" s="12">
        <v>447.78</v>
      </c>
      <c r="W43" s="12">
        <v>4.96</v>
      </c>
      <c r="X43" s="12">
        <v>3.82</v>
      </c>
      <c r="Y43" s="12">
        <v>3.99</v>
      </c>
      <c r="Z43" s="12">
        <v>0.78</v>
      </c>
      <c r="AA43" s="12">
        <v>6.03</v>
      </c>
      <c r="AB43" s="12">
        <v>60.56</v>
      </c>
      <c r="AC43" s="12">
        <v>5.18</v>
      </c>
      <c r="AD43" s="12">
        <v>70.52</v>
      </c>
      <c r="AE43" s="12">
        <v>6.92</v>
      </c>
      <c r="AF43" s="12">
        <v>52.72</v>
      </c>
      <c r="AG43" s="12">
        <v>78.36</v>
      </c>
    </row>
    <row r="44">
      <c r="A44" s="8" t="s">
        <v>319</v>
      </c>
      <c r="B44" s="9">
        <v>956984.74</v>
      </c>
      <c r="C44" s="9">
        <v>508955.01</v>
      </c>
      <c r="D44" s="9">
        <v>250000.0</v>
      </c>
      <c r="E44" s="9">
        <v>448029.73</v>
      </c>
      <c r="F44" s="9">
        <v>1388707.2</v>
      </c>
      <c r="G44" s="9">
        <v>1407323.24</v>
      </c>
      <c r="H44" s="9">
        <v>1101.24</v>
      </c>
      <c r="I44" s="9">
        <v>-17262.56</v>
      </c>
      <c r="J44" s="9">
        <v>-22240.36</v>
      </c>
      <c r="K44" s="12">
        <v>-0.04</v>
      </c>
      <c r="L44" s="9">
        <v>-148020.25</v>
      </c>
      <c r="M44" s="9">
        <v>22247.35</v>
      </c>
      <c r="N44" s="9">
        <v>110781.61</v>
      </c>
      <c r="O44" s="9">
        <v>-14991.29</v>
      </c>
      <c r="P44" s="12">
        <v>-4.76</v>
      </c>
      <c r="Q44" s="12">
        <v>-1.85</v>
      </c>
      <c r="R44" s="12">
        <v>0.54</v>
      </c>
      <c r="S44" s="12">
        <v>-1.6</v>
      </c>
      <c r="T44" s="12">
        <v>-1.24</v>
      </c>
      <c r="U44" s="12">
        <v>1.14</v>
      </c>
      <c r="V44" s="12">
        <v>-2.04</v>
      </c>
      <c r="W44" s="12">
        <v>1.38</v>
      </c>
      <c r="X44" s="12">
        <v>0.79</v>
      </c>
      <c r="Y44" s="12">
        <v>8.83</v>
      </c>
      <c r="Z44" s="12">
        <v>1.49</v>
      </c>
      <c r="AA44" s="12">
        <v>25.42</v>
      </c>
      <c r="AB44" s="12">
        <v>14.36</v>
      </c>
      <c r="AC44" s="12">
        <v>4.8</v>
      </c>
      <c r="AD44" s="12">
        <v>76.04</v>
      </c>
      <c r="AE44" s="12">
        <v>7.03</v>
      </c>
      <c r="AF44" s="12">
        <v>51.9</v>
      </c>
      <c r="AG44" s="12">
        <v>38.5</v>
      </c>
    </row>
    <row r="45">
      <c r="A45" s="8" t="s">
        <v>89</v>
      </c>
      <c r="B45" s="9">
        <v>1076295.39</v>
      </c>
      <c r="C45" s="9">
        <v>687252.56</v>
      </c>
      <c r="D45" s="9">
        <v>100000.0</v>
      </c>
      <c r="E45" s="9">
        <v>389038.33</v>
      </c>
      <c r="F45" s="9">
        <v>781475.56</v>
      </c>
      <c r="G45" s="9">
        <v>777355.0</v>
      </c>
      <c r="H45" s="9">
        <v>41223.81</v>
      </c>
      <c r="I45" s="9">
        <v>4120.56</v>
      </c>
      <c r="J45" s="9">
        <v>-15587.39</v>
      </c>
      <c r="K45" s="12">
        <v>-0.08</v>
      </c>
      <c r="L45" s="9">
        <v>23561.4</v>
      </c>
      <c r="M45" s="9">
        <v>-144691.14</v>
      </c>
      <c r="N45" s="9">
        <v>106670.23</v>
      </c>
      <c r="O45" s="9">
        <v>-14459.51</v>
      </c>
      <c r="P45" s="12">
        <v>-3.93</v>
      </c>
      <c r="Q45" s="12">
        <v>0.41</v>
      </c>
      <c r="R45" s="12">
        <v>28.38</v>
      </c>
      <c r="S45" s="12">
        <v>-1.99</v>
      </c>
      <c r="T45" s="12">
        <v>0.53</v>
      </c>
      <c r="U45" s="12">
        <v>1.77</v>
      </c>
      <c r="V45" s="12">
        <v>0.25</v>
      </c>
      <c r="W45" s="12">
        <v>0.73</v>
      </c>
      <c r="X45" s="12">
        <v>0.27</v>
      </c>
      <c r="Y45" s="12">
        <v>1.34</v>
      </c>
      <c r="Z45" s="12">
        <v>0.77</v>
      </c>
      <c r="AA45" s="12">
        <v>3.11</v>
      </c>
      <c r="AB45" s="12">
        <v>117.2</v>
      </c>
      <c r="AC45" s="12">
        <v>7.53</v>
      </c>
      <c r="AD45" s="12">
        <v>48.44</v>
      </c>
      <c r="AE45" s="12">
        <v>4.63</v>
      </c>
      <c r="AF45" s="12">
        <v>78.86</v>
      </c>
      <c r="AG45" s="12">
        <v>86.78</v>
      </c>
    </row>
    <row r="46">
      <c r="A46" s="8" t="s">
        <v>91</v>
      </c>
      <c r="B46" s="9">
        <v>397467.73</v>
      </c>
      <c r="C46" s="9">
        <v>174164.89</v>
      </c>
      <c r="D46" s="9">
        <v>268953.8</v>
      </c>
      <c r="E46" s="9">
        <v>223302.84</v>
      </c>
      <c r="F46" s="9">
        <v>326427.2</v>
      </c>
      <c r="G46" s="9">
        <v>432660.02</v>
      </c>
      <c r="H46" s="9">
        <v>-102076.52</v>
      </c>
      <c r="I46" s="9">
        <v>-106232.82</v>
      </c>
      <c r="J46" s="9">
        <v>-115860.94</v>
      </c>
      <c r="K46" s="12">
        <v>-0.23</v>
      </c>
      <c r="L46" s="9">
        <v>24936.41</v>
      </c>
      <c r="M46" s="9">
        <v>-14250.4</v>
      </c>
      <c r="N46" s="9">
        <v>2001.85</v>
      </c>
      <c r="O46" s="9">
        <v>12687.87</v>
      </c>
      <c r="P46" s="12">
        <v>-41.2</v>
      </c>
      <c r="Q46" s="12">
        <v>-25.74</v>
      </c>
      <c r="R46" s="12">
        <v>22.77</v>
      </c>
      <c r="S46" s="12">
        <v>-35.49</v>
      </c>
      <c r="T46" s="12">
        <v>-32.54</v>
      </c>
      <c r="U46" s="12">
        <v>0.78</v>
      </c>
      <c r="V46" s="12">
        <v>-399.63</v>
      </c>
      <c r="W46" s="12">
        <v>1.37</v>
      </c>
      <c r="X46" s="12">
        <v>0.82</v>
      </c>
      <c r="Y46" s="12">
        <v>7.56</v>
      </c>
      <c r="Z46" s="12">
        <v>0.79</v>
      </c>
      <c r="AA46" s="12">
        <v>7.19</v>
      </c>
      <c r="AB46" s="12">
        <v>50.79</v>
      </c>
      <c r="AC46" s="12">
        <v>3.68</v>
      </c>
      <c r="AD46" s="12">
        <v>99.2</v>
      </c>
      <c r="AE46" s="12">
        <v>3.11</v>
      </c>
      <c r="AF46" s="12">
        <v>117.34</v>
      </c>
      <c r="AG46" s="12">
        <v>32.64</v>
      </c>
    </row>
    <row r="47">
      <c r="A47" s="8" t="s">
        <v>93</v>
      </c>
      <c r="B47" s="9">
        <v>1574612.89</v>
      </c>
      <c r="C47" s="9">
        <v>336349.96</v>
      </c>
      <c r="D47" s="9">
        <v>205000.0</v>
      </c>
      <c r="E47" s="9">
        <v>1219355.05</v>
      </c>
      <c r="F47" s="9">
        <v>797499.61</v>
      </c>
      <c r="G47" s="9">
        <v>709709.28</v>
      </c>
      <c r="H47" s="9">
        <v>142262.42</v>
      </c>
      <c r="I47" s="9">
        <v>87790.33</v>
      </c>
      <c r="J47" s="9">
        <v>86706.95</v>
      </c>
      <c r="K47" s="12">
        <v>0.21</v>
      </c>
      <c r="L47" s="9">
        <v>-42766.43</v>
      </c>
      <c r="M47" s="9">
        <v>63943.67</v>
      </c>
      <c r="N47" s="9">
        <v>-75557.6</v>
      </c>
      <c r="O47" s="9">
        <v>-54380.36</v>
      </c>
      <c r="P47" s="12">
        <v>7.21</v>
      </c>
      <c r="Q47" s="12">
        <v>5.89</v>
      </c>
      <c r="R47" s="12">
        <v>51.89</v>
      </c>
      <c r="S47" s="12">
        <v>9.22</v>
      </c>
      <c r="T47" s="12">
        <v>11.01</v>
      </c>
      <c r="U47" s="12">
        <v>0.27</v>
      </c>
      <c r="V47" s="12">
        <v>9.19</v>
      </c>
      <c r="W47" s="12">
        <v>1.52</v>
      </c>
      <c r="X47" s="12">
        <v>1.09</v>
      </c>
      <c r="Y47" s="12">
        <v>1.49</v>
      </c>
      <c r="Z47" s="12">
        <v>0.54</v>
      </c>
      <c r="AA47" s="12">
        <v>5.46</v>
      </c>
      <c r="AB47" s="12">
        <v>66.82</v>
      </c>
      <c r="AC47" s="12">
        <v>5.2</v>
      </c>
      <c r="AD47" s="12">
        <v>70.16</v>
      </c>
      <c r="AE47" s="12">
        <v>2.25</v>
      </c>
      <c r="AF47" s="12">
        <v>162.21</v>
      </c>
      <c r="AG47" s="12">
        <v>-25.23</v>
      </c>
    </row>
    <row r="48">
      <c r="A48" s="8" t="s">
        <v>95</v>
      </c>
      <c r="B48" s="9">
        <v>532981.33</v>
      </c>
      <c r="C48" s="9">
        <v>45956.38</v>
      </c>
      <c r="D48" s="9">
        <v>1430416.19</v>
      </c>
      <c r="E48" s="9">
        <v>487024.95</v>
      </c>
      <c r="F48" s="9">
        <v>55051.33</v>
      </c>
      <c r="G48" s="9">
        <v>220709.51</v>
      </c>
      <c r="H48" s="9">
        <v>-266407.47</v>
      </c>
      <c r="I48" s="9">
        <v>-272827.2</v>
      </c>
      <c r="J48" s="9">
        <v>-272971.03</v>
      </c>
      <c r="K48" s="12">
        <v>-0.26</v>
      </c>
      <c r="L48" s="9">
        <v>-176365.95</v>
      </c>
      <c r="M48" s="9">
        <v>-249080.7</v>
      </c>
      <c r="N48" s="9">
        <v>420348.6</v>
      </c>
      <c r="O48" s="9">
        <v>-5098.05</v>
      </c>
      <c r="P48" s="12">
        <v>-64.8</v>
      </c>
      <c r="Q48" s="12">
        <v>-57.24</v>
      </c>
      <c r="R48" s="12">
        <v>-4.48</v>
      </c>
      <c r="S48" s="12">
        <v>-495.85</v>
      </c>
      <c r="T48" s="12">
        <v>-495.59</v>
      </c>
      <c r="U48" s="12">
        <v>0.09</v>
      </c>
      <c r="V48" s="9">
        <v>-1896.74</v>
      </c>
      <c r="W48" s="12">
        <v>12.24</v>
      </c>
      <c r="X48" s="12">
        <v>11.91</v>
      </c>
      <c r="Y48" s="12">
        <v>3.23</v>
      </c>
      <c r="Z48" s="12">
        <v>0.12</v>
      </c>
      <c r="AA48" s="12">
        <v>3.39</v>
      </c>
      <c r="AB48" s="12">
        <v>107.54</v>
      </c>
      <c r="AC48" s="12">
        <v>0.52</v>
      </c>
      <c r="AD48" s="12">
        <v>700.19</v>
      </c>
      <c r="AE48" s="12">
        <v>4.08</v>
      </c>
      <c r="AF48" s="12">
        <v>89.44</v>
      </c>
      <c r="AG48" s="12">
        <v>718.3</v>
      </c>
    </row>
    <row r="49">
      <c r="A49" s="8" t="s">
        <v>96</v>
      </c>
      <c r="B49" s="9">
        <v>3590973.96</v>
      </c>
      <c r="C49" s="9">
        <v>2136564.92</v>
      </c>
      <c r="D49" s="9">
        <v>239871.89</v>
      </c>
      <c r="E49" s="9">
        <v>1434042.01</v>
      </c>
      <c r="F49" s="9">
        <v>1290556.12</v>
      </c>
      <c r="G49" s="9">
        <v>1144372.93</v>
      </c>
      <c r="H49" s="9">
        <v>231758.06</v>
      </c>
      <c r="I49" s="9">
        <v>157284.4</v>
      </c>
      <c r="J49" s="9">
        <v>40285.62</v>
      </c>
      <c r="K49" s="12">
        <v>0.04</v>
      </c>
      <c r="L49" s="9">
        <v>-58893.5</v>
      </c>
      <c r="M49" s="9">
        <v>-95836.41</v>
      </c>
      <c r="N49" s="9">
        <v>106431.51</v>
      </c>
      <c r="O49" s="9">
        <v>-48298.4</v>
      </c>
      <c r="P49" s="12">
        <v>2.82</v>
      </c>
      <c r="Q49" s="12">
        <v>4.5</v>
      </c>
      <c r="R49" s="12">
        <v>29.46</v>
      </c>
      <c r="S49" s="12">
        <v>3.04</v>
      </c>
      <c r="T49" s="12">
        <v>12.19</v>
      </c>
      <c r="U49" s="12">
        <v>1.47</v>
      </c>
      <c r="V49" s="12">
        <v>1.36</v>
      </c>
      <c r="W49" s="12">
        <v>1.1</v>
      </c>
      <c r="X49" s="12">
        <v>0.25</v>
      </c>
      <c r="Y49" s="12">
        <v>2.74</v>
      </c>
      <c r="Z49" s="12">
        <v>0.37</v>
      </c>
      <c r="AA49" s="12">
        <v>0.69</v>
      </c>
      <c r="AB49" s="12">
        <v>526.33</v>
      </c>
      <c r="AC49" s="12">
        <v>3.71</v>
      </c>
      <c r="AD49" s="12">
        <v>98.38</v>
      </c>
      <c r="AE49" s="12">
        <v>3.13</v>
      </c>
      <c r="AF49" s="12">
        <v>116.74</v>
      </c>
      <c r="AG49" s="12">
        <v>507.98</v>
      </c>
    </row>
    <row r="50">
      <c r="A50" s="8" t="s">
        <v>97</v>
      </c>
      <c r="B50" s="9">
        <v>2443685.0</v>
      </c>
      <c r="C50" s="9">
        <v>2548258.0</v>
      </c>
      <c r="D50" s="9">
        <v>2416264.0</v>
      </c>
      <c r="E50" s="9">
        <v>324140.0</v>
      </c>
      <c r="F50" s="9">
        <v>1994081.0</v>
      </c>
      <c r="G50" s="9">
        <v>2552121.0</v>
      </c>
      <c r="H50" s="9">
        <v>-456635.0</v>
      </c>
      <c r="I50" s="9">
        <v>-558040.0</v>
      </c>
      <c r="J50" s="9">
        <v>-272672.0</v>
      </c>
      <c r="K50" s="12">
        <v>-0.01</v>
      </c>
      <c r="L50" s="9">
        <v>34977.0</v>
      </c>
      <c r="M50" s="9">
        <v>-44777.0</v>
      </c>
      <c r="N50" s="9">
        <v>-34929.0</v>
      </c>
      <c r="O50" s="9">
        <v>-44729.0</v>
      </c>
      <c r="P50" s="12">
        <v>-71.14</v>
      </c>
      <c r="Q50" s="12">
        <v>-19.72</v>
      </c>
      <c r="R50" s="12">
        <v>30.19</v>
      </c>
      <c r="S50" s="12">
        <v>-29.62</v>
      </c>
      <c r="T50" s="12">
        <v>-27.98</v>
      </c>
      <c r="U50" s="12" t="s">
        <v>46</v>
      </c>
      <c r="V50" s="12">
        <v>-6.77</v>
      </c>
      <c r="W50" s="12">
        <v>0.55</v>
      </c>
      <c r="X50" s="12">
        <v>0.25</v>
      </c>
      <c r="Y50" s="12">
        <v>5.4</v>
      </c>
      <c r="Z50" s="12">
        <v>0.7</v>
      </c>
      <c r="AA50" s="12">
        <v>2.2</v>
      </c>
      <c r="AB50" s="12">
        <v>165.84</v>
      </c>
      <c r="AC50" s="12">
        <v>3.01</v>
      </c>
      <c r="AD50" s="12">
        <v>121.25</v>
      </c>
      <c r="AE50" s="12">
        <v>1.92</v>
      </c>
      <c r="AF50" s="12">
        <v>190.42</v>
      </c>
      <c r="AG50" s="12">
        <v>96.68</v>
      </c>
    </row>
    <row r="51">
      <c r="A51" s="8" t="s">
        <v>98</v>
      </c>
      <c r="B51" s="9">
        <v>2190315.83</v>
      </c>
      <c r="C51" s="9">
        <v>1363313.65</v>
      </c>
      <c r="D51" s="9">
        <v>280000.0</v>
      </c>
      <c r="E51" s="9">
        <v>820850.69</v>
      </c>
      <c r="F51" s="9">
        <v>1845273.05</v>
      </c>
      <c r="G51" s="9">
        <v>1753366.64</v>
      </c>
      <c r="H51" s="9">
        <v>139817.53</v>
      </c>
      <c r="I51" s="9">
        <v>91906.41</v>
      </c>
      <c r="J51" s="9">
        <v>28606.51</v>
      </c>
      <c r="K51" s="12">
        <v>0.05</v>
      </c>
      <c r="L51" s="9">
        <v>-15809.03</v>
      </c>
      <c r="M51" s="9">
        <v>-26764.78</v>
      </c>
      <c r="N51" s="9">
        <v>37819.83</v>
      </c>
      <c r="O51" s="9">
        <v>-4753.98</v>
      </c>
      <c r="P51" s="12">
        <v>3.54</v>
      </c>
      <c r="Q51" s="12">
        <v>4.26</v>
      </c>
      <c r="R51" s="12">
        <v>11.34</v>
      </c>
      <c r="S51" s="12">
        <v>1.73</v>
      </c>
      <c r="T51" s="12">
        <v>4.98</v>
      </c>
      <c r="U51" s="12">
        <v>1.65</v>
      </c>
      <c r="V51" s="12">
        <v>1.77</v>
      </c>
      <c r="W51" s="12">
        <v>1.25</v>
      </c>
      <c r="X51" s="12">
        <v>1.12</v>
      </c>
      <c r="Y51" s="12">
        <v>1.84</v>
      </c>
      <c r="Z51" s="12">
        <v>0.85</v>
      </c>
      <c r="AA51" s="12">
        <v>17.72</v>
      </c>
      <c r="AB51" s="12">
        <v>20.6</v>
      </c>
      <c r="AC51" s="12">
        <v>2.42</v>
      </c>
      <c r="AD51" s="12">
        <v>150.61</v>
      </c>
      <c r="AE51" s="12">
        <v>6.11</v>
      </c>
      <c r="AF51" s="12">
        <v>59.73</v>
      </c>
      <c r="AG51" s="12">
        <v>111.47</v>
      </c>
    </row>
    <row r="52">
      <c r="A52" s="8" t="s">
        <v>302</v>
      </c>
      <c r="B52" s="9">
        <v>506621.95</v>
      </c>
      <c r="C52" s="9">
        <v>77189.64</v>
      </c>
      <c r="D52" s="9">
        <v>180000.0</v>
      </c>
      <c r="E52" s="9">
        <v>429432.31</v>
      </c>
      <c r="F52" s="9">
        <v>374541.07</v>
      </c>
      <c r="G52" s="9">
        <v>334459.09</v>
      </c>
      <c r="H52" s="9">
        <v>42748.29</v>
      </c>
      <c r="I52" s="9">
        <v>40081.98</v>
      </c>
      <c r="J52" s="9">
        <v>32861.15</v>
      </c>
      <c r="K52" s="12">
        <v>0.09</v>
      </c>
      <c r="L52" s="9">
        <v>44672.55</v>
      </c>
      <c r="M52" s="9">
        <v>-37057.09</v>
      </c>
      <c r="N52" s="9">
        <v>-36000.54</v>
      </c>
      <c r="O52" s="9">
        <v>-28385.08</v>
      </c>
      <c r="P52" s="12">
        <v>7.63</v>
      </c>
      <c r="Q52" s="12">
        <v>7.44</v>
      </c>
      <c r="R52" s="12">
        <v>21.7</v>
      </c>
      <c r="S52" s="12">
        <v>8.77</v>
      </c>
      <c r="T52" s="12">
        <v>10.7</v>
      </c>
      <c r="U52" s="12">
        <v>0.18</v>
      </c>
      <c r="V52" s="12" t="s">
        <v>47</v>
      </c>
      <c r="W52" s="12">
        <v>5.87</v>
      </c>
      <c r="X52" s="12">
        <v>5.34</v>
      </c>
      <c r="Y52" s="12">
        <v>4.36</v>
      </c>
      <c r="Z52" s="12">
        <v>0.7</v>
      </c>
      <c r="AA52" s="12">
        <v>25.78</v>
      </c>
      <c r="AB52" s="12">
        <v>14.16</v>
      </c>
      <c r="AC52" s="12">
        <v>7.37</v>
      </c>
      <c r="AD52" s="12">
        <v>49.52</v>
      </c>
      <c r="AE52" s="12">
        <v>3.36</v>
      </c>
      <c r="AF52" s="12">
        <v>108.6</v>
      </c>
      <c r="AG52" s="12">
        <v>-44.92</v>
      </c>
    </row>
    <row r="53">
      <c r="A53" s="8" t="s">
        <v>337</v>
      </c>
      <c r="B53" s="9">
        <v>2758070.28</v>
      </c>
      <c r="C53" s="9">
        <v>1142509.1</v>
      </c>
      <c r="D53" s="9">
        <v>378257.48</v>
      </c>
      <c r="E53" s="9">
        <v>1615561.18</v>
      </c>
      <c r="F53" s="9">
        <v>2072182.81</v>
      </c>
      <c r="G53" s="9">
        <v>1824083.8</v>
      </c>
      <c r="H53" s="9">
        <v>455263.88</v>
      </c>
      <c r="I53" s="9">
        <v>243802.35</v>
      </c>
      <c r="J53" s="9">
        <v>186789.93</v>
      </c>
      <c r="K53" s="12">
        <v>0.13</v>
      </c>
      <c r="L53" s="9">
        <v>419464.89</v>
      </c>
      <c r="M53" s="9">
        <v>-293832.89</v>
      </c>
      <c r="N53" s="9">
        <v>-28684.28</v>
      </c>
      <c r="O53" s="9">
        <v>96947.73</v>
      </c>
      <c r="P53" s="12">
        <v>11.34</v>
      </c>
      <c r="Q53" s="12">
        <v>9.18</v>
      </c>
      <c r="R53" s="12">
        <v>19.83</v>
      </c>
      <c r="S53" s="12">
        <v>9.01</v>
      </c>
      <c r="T53" s="12">
        <v>11.77</v>
      </c>
      <c r="U53" s="12">
        <v>0.71</v>
      </c>
      <c r="V53" s="12">
        <v>11.76</v>
      </c>
      <c r="W53" s="12">
        <v>1.33</v>
      </c>
      <c r="X53" s="12">
        <v>0.9</v>
      </c>
      <c r="Y53" s="12">
        <v>1.99</v>
      </c>
      <c r="Z53" s="12">
        <v>0.78</v>
      </c>
      <c r="AA53" s="12">
        <v>3.92</v>
      </c>
      <c r="AB53" s="12">
        <v>93.19</v>
      </c>
      <c r="AC53" s="12">
        <v>2.91</v>
      </c>
      <c r="AD53" s="12">
        <v>125.34</v>
      </c>
      <c r="AE53" s="12">
        <v>5.79</v>
      </c>
      <c r="AF53" s="12">
        <v>63.03</v>
      </c>
      <c r="AG53" s="12">
        <v>155.51</v>
      </c>
    </row>
    <row r="54">
      <c r="A54" s="8" t="s">
        <v>101</v>
      </c>
      <c r="B54" s="9">
        <v>3520174.79</v>
      </c>
      <c r="C54" s="9">
        <v>2184602.91</v>
      </c>
      <c r="D54" s="9">
        <v>400000.0</v>
      </c>
      <c r="E54" s="9">
        <v>1330448.47</v>
      </c>
      <c r="F54" s="9">
        <v>3419245.66</v>
      </c>
      <c r="G54" s="9">
        <v>2716956.81</v>
      </c>
      <c r="H54" s="9">
        <v>1236302.77</v>
      </c>
      <c r="I54" s="9">
        <v>702288.85</v>
      </c>
      <c r="J54" s="9">
        <v>584226.39</v>
      </c>
      <c r="K54" s="12">
        <v>0.75</v>
      </c>
      <c r="L54" s="9">
        <v>968068.38</v>
      </c>
      <c r="M54" s="9">
        <v>-241956.48</v>
      </c>
      <c r="N54" s="9">
        <v>-804267.34</v>
      </c>
      <c r="O54" s="9">
        <v>-78155.44</v>
      </c>
      <c r="P54" s="12">
        <v>45.36</v>
      </c>
      <c r="Q54" s="12">
        <v>18.89</v>
      </c>
      <c r="R54" s="12">
        <v>20.3</v>
      </c>
      <c r="S54" s="12">
        <v>17.06</v>
      </c>
      <c r="T54" s="12">
        <v>20.54</v>
      </c>
      <c r="U54" s="12">
        <v>1.64</v>
      </c>
      <c r="V54" s="12">
        <v>16.95</v>
      </c>
      <c r="W54" s="12">
        <v>0.64</v>
      </c>
      <c r="X54" s="12">
        <v>0.12</v>
      </c>
      <c r="Y54" s="12">
        <v>1.58</v>
      </c>
      <c r="Z54" s="12">
        <v>0.92</v>
      </c>
      <c r="AA54" s="12">
        <v>29.01</v>
      </c>
      <c r="AB54" s="12">
        <v>12.58</v>
      </c>
      <c r="AC54" s="12" t="s">
        <v>47</v>
      </c>
      <c r="AD54" s="12" t="s">
        <v>46</v>
      </c>
      <c r="AE54" s="12">
        <v>3.64</v>
      </c>
      <c r="AF54" s="12">
        <v>100.22</v>
      </c>
      <c r="AG54" s="12">
        <v>-87.64</v>
      </c>
    </row>
    <row r="55">
      <c r="A55" s="8" t="s">
        <v>102</v>
      </c>
      <c r="B55" s="9">
        <v>772518.57</v>
      </c>
      <c r="C55" s="9">
        <v>361952.16</v>
      </c>
      <c r="D55" s="9">
        <v>282571.27</v>
      </c>
      <c r="E55" s="9">
        <v>395554.94</v>
      </c>
      <c r="F55" s="9">
        <v>822410.15</v>
      </c>
      <c r="G55" s="9">
        <v>1039925.91</v>
      </c>
      <c r="H55" s="9">
        <v>-189946.06</v>
      </c>
      <c r="I55" s="9">
        <v>-217515.75</v>
      </c>
      <c r="J55" s="9">
        <v>-252266.29</v>
      </c>
      <c r="K55" s="12">
        <v>-0.45</v>
      </c>
      <c r="L55" s="9">
        <v>28961.94</v>
      </c>
      <c r="M55" s="9">
        <v>-25142.58</v>
      </c>
      <c r="N55" s="9">
        <v>-3582.99</v>
      </c>
      <c r="O55" s="12">
        <v>236.35</v>
      </c>
      <c r="P55" s="12">
        <v>-47.96</v>
      </c>
      <c r="Q55" s="12">
        <v>-25.19</v>
      </c>
      <c r="R55" s="12">
        <v>22.21</v>
      </c>
      <c r="S55" s="12">
        <v>-30.64</v>
      </c>
      <c r="T55" s="12">
        <v>-26.45</v>
      </c>
      <c r="U55" s="12">
        <v>0.88</v>
      </c>
      <c r="V55" s="12">
        <v>-17.41</v>
      </c>
      <c r="W55" s="12">
        <v>1.56</v>
      </c>
      <c r="X55" s="12">
        <v>0.85</v>
      </c>
      <c r="Y55" s="12">
        <v>2.74</v>
      </c>
      <c r="Z55" s="12">
        <v>0.95</v>
      </c>
      <c r="AA55" s="12">
        <v>3.63</v>
      </c>
      <c r="AB55" s="12">
        <v>100.46</v>
      </c>
      <c r="AC55" s="12">
        <v>3.73</v>
      </c>
      <c r="AD55" s="12">
        <v>97.92</v>
      </c>
      <c r="AE55" s="12">
        <v>4.31</v>
      </c>
      <c r="AF55" s="12">
        <v>84.7</v>
      </c>
      <c r="AG55" s="12">
        <v>113.69</v>
      </c>
    </row>
    <row r="56">
      <c r="A56" s="8" t="s">
        <v>103</v>
      </c>
      <c r="B56" s="9">
        <v>2716528.85</v>
      </c>
      <c r="C56" s="9">
        <v>2167101.88</v>
      </c>
      <c r="D56" s="9">
        <v>150000.0</v>
      </c>
      <c r="E56" s="9">
        <v>549426.97</v>
      </c>
      <c r="F56" s="9">
        <v>358631.56</v>
      </c>
      <c r="G56" s="9">
        <v>171843.53</v>
      </c>
      <c r="H56" s="9">
        <v>188592.55</v>
      </c>
      <c r="I56" s="9">
        <v>182862.68</v>
      </c>
      <c r="J56" s="9">
        <v>53080.6</v>
      </c>
      <c r="K56" s="12">
        <v>0.19</v>
      </c>
      <c r="L56" s="9">
        <v>-342568.28</v>
      </c>
      <c r="M56" s="9">
        <v>-34850.54</v>
      </c>
      <c r="N56" s="9">
        <v>602456.22</v>
      </c>
      <c r="O56" s="9">
        <v>225037.4</v>
      </c>
      <c r="P56" s="12">
        <v>11.82</v>
      </c>
      <c r="Q56" s="12">
        <v>7.61</v>
      </c>
      <c r="R56" s="12">
        <v>66.67</v>
      </c>
      <c r="S56" s="12">
        <v>14.8</v>
      </c>
      <c r="T56" s="12">
        <v>50.99</v>
      </c>
      <c r="U56" s="12">
        <v>3.94</v>
      </c>
      <c r="V56" s="12">
        <v>1.57</v>
      </c>
      <c r="W56" s="12">
        <v>1.24</v>
      </c>
      <c r="X56" s="12">
        <v>0.25</v>
      </c>
      <c r="Y56" s="12" t="s">
        <v>46</v>
      </c>
      <c r="Z56" s="12">
        <v>0.15</v>
      </c>
      <c r="AA56" s="12" t="s">
        <v>47</v>
      </c>
      <c r="AB56" s="12" t="s">
        <v>46</v>
      </c>
      <c r="AC56" s="12" t="s">
        <v>47</v>
      </c>
      <c r="AD56" s="12" t="s">
        <v>46</v>
      </c>
      <c r="AE56" s="12" t="s">
        <v>47</v>
      </c>
      <c r="AF56" s="12" t="s">
        <v>46</v>
      </c>
      <c r="AG56" s="12" t="s">
        <v>46</v>
      </c>
    </row>
    <row r="57">
      <c r="A57" s="8" t="s">
        <v>321</v>
      </c>
      <c r="B57" s="9">
        <v>248332.0</v>
      </c>
      <c r="C57" s="9">
        <v>16290.0</v>
      </c>
      <c r="D57" s="9">
        <v>125000.0</v>
      </c>
      <c r="E57" s="9">
        <v>232042.0</v>
      </c>
      <c r="F57" s="9">
        <v>146635.0</v>
      </c>
      <c r="G57" s="9">
        <v>133665.0</v>
      </c>
      <c r="H57" s="9">
        <v>17746.0</v>
      </c>
      <c r="I57" s="9">
        <v>13947.0</v>
      </c>
      <c r="J57" s="9">
        <v>12302.0</v>
      </c>
      <c r="K57" s="12">
        <v>0.05</v>
      </c>
      <c r="L57" s="9">
        <v>9917.0</v>
      </c>
      <c r="M57" s="9">
        <v>-142168.0</v>
      </c>
      <c r="N57" s="9">
        <v>134033.0</v>
      </c>
      <c r="O57" s="9">
        <v>1782.0</v>
      </c>
      <c r="P57" s="12">
        <v>7.75</v>
      </c>
      <c r="Q57" s="12">
        <v>7.96</v>
      </c>
      <c r="R57" s="12">
        <v>31.51</v>
      </c>
      <c r="S57" s="12">
        <v>8.39</v>
      </c>
      <c r="T57" s="12">
        <v>9.51</v>
      </c>
      <c r="U57" s="12">
        <v>0.07</v>
      </c>
      <c r="V57" s="9">
        <v>1267.91</v>
      </c>
      <c r="W57" s="12">
        <v>19.42</v>
      </c>
      <c r="X57" s="12">
        <v>18.94</v>
      </c>
      <c r="Y57" s="12">
        <v>22.08</v>
      </c>
      <c r="Z57" s="12">
        <v>0.84</v>
      </c>
      <c r="AA57" s="12" t="s">
        <v>47</v>
      </c>
      <c r="AB57" s="12" t="s">
        <v>46</v>
      </c>
      <c r="AC57" s="12">
        <v>5.06</v>
      </c>
      <c r="AD57" s="12">
        <v>72.2</v>
      </c>
      <c r="AE57" s="9">
        <v>12794.39</v>
      </c>
      <c r="AF57" s="12">
        <v>0.03</v>
      </c>
      <c r="AG57" s="12">
        <v>72.17</v>
      </c>
    </row>
    <row r="58">
      <c r="A58" s="8" t="s">
        <v>106</v>
      </c>
      <c r="B58" s="9">
        <v>1127770.57</v>
      </c>
      <c r="C58" s="9">
        <v>380472.81</v>
      </c>
      <c r="D58" s="9">
        <v>240000.0</v>
      </c>
      <c r="E58" s="9">
        <v>747296.69</v>
      </c>
      <c r="F58" s="9">
        <v>1409426.7</v>
      </c>
      <c r="G58" s="9">
        <v>1309240.56</v>
      </c>
      <c r="H58" s="9">
        <v>128690.86</v>
      </c>
      <c r="I58" s="9">
        <v>99949.66</v>
      </c>
      <c r="J58" s="9">
        <v>82527.16</v>
      </c>
      <c r="K58" s="12">
        <v>0.09</v>
      </c>
      <c r="L58" s="9">
        <v>101649.91</v>
      </c>
      <c r="M58" s="9">
        <v>-10119.01</v>
      </c>
      <c r="N58" s="9">
        <v>-14929.42</v>
      </c>
      <c r="O58" s="9">
        <v>76601.49</v>
      </c>
      <c r="P58" s="12">
        <v>12.18</v>
      </c>
      <c r="Q58" s="12">
        <v>10.08</v>
      </c>
      <c r="R58" s="12">
        <v>16.39</v>
      </c>
      <c r="S58" s="12">
        <v>5.86</v>
      </c>
      <c r="T58" s="12">
        <v>7.09</v>
      </c>
      <c r="U58" s="12">
        <v>0.51</v>
      </c>
      <c r="V58" s="12">
        <v>48.22</v>
      </c>
      <c r="W58" s="12">
        <v>2.21</v>
      </c>
      <c r="X58" s="12">
        <v>1.06</v>
      </c>
      <c r="Y58" s="12">
        <v>5.85</v>
      </c>
      <c r="Z58" s="12">
        <v>1.42</v>
      </c>
      <c r="AA58" s="12">
        <v>11.52</v>
      </c>
      <c r="AB58" s="12">
        <v>31.68</v>
      </c>
      <c r="AC58" s="12">
        <v>8.58</v>
      </c>
      <c r="AD58" s="12">
        <v>42.53</v>
      </c>
      <c r="AE58" s="12">
        <v>5.89</v>
      </c>
      <c r="AF58" s="12">
        <v>61.93</v>
      </c>
      <c r="AG58" s="12">
        <v>12.28</v>
      </c>
    </row>
    <row r="59">
      <c r="A59" s="8" t="s">
        <v>107</v>
      </c>
      <c r="B59" s="9">
        <v>2669927.88</v>
      </c>
      <c r="C59" s="9">
        <v>145546.95</v>
      </c>
      <c r="D59" s="9">
        <v>3335000.09</v>
      </c>
      <c r="E59" s="9">
        <v>2524170.4</v>
      </c>
      <c r="F59" s="9">
        <v>76866.43</v>
      </c>
      <c r="G59" s="9">
        <v>126978.11</v>
      </c>
      <c r="H59" s="9">
        <v>-37425.93</v>
      </c>
      <c r="I59" s="9">
        <v>-59366.58</v>
      </c>
      <c r="J59" s="9">
        <v>-63688.36</v>
      </c>
      <c r="K59" s="12">
        <v>-0.01</v>
      </c>
      <c r="L59" s="9">
        <v>-436972.59</v>
      </c>
      <c r="M59" s="9">
        <v>362298.72</v>
      </c>
      <c r="N59" s="9">
        <v>-5354.27</v>
      </c>
      <c r="O59" s="9">
        <v>-80028.15</v>
      </c>
      <c r="P59" s="12">
        <v>-2.49</v>
      </c>
      <c r="Q59" s="12">
        <v>-2.18</v>
      </c>
      <c r="R59" s="12">
        <v>49.24</v>
      </c>
      <c r="S59" s="12">
        <v>-83.04</v>
      </c>
      <c r="T59" s="12">
        <v>-77.23</v>
      </c>
      <c r="U59" s="12">
        <v>0.06</v>
      </c>
      <c r="V59" s="12">
        <v>-124.7</v>
      </c>
      <c r="W59" s="12">
        <v>16.73</v>
      </c>
      <c r="X59" s="12">
        <v>11.96</v>
      </c>
      <c r="Y59" s="12">
        <v>0.17</v>
      </c>
      <c r="Z59" s="12">
        <v>0.03</v>
      </c>
      <c r="AA59" s="12">
        <v>0.05</v>
      </c>
      <c r="AB59" s="9">
        <v>7832.48</v>
      </c>
      <c r="AC59" s="12">
        <v>0.08</v>
      </c>
      <c r="AD59" s="9">
        <v>4325.23</v>
      </c>
      <c r="AE59" s="12">
        <v>0.19</v>
      </c>
      <c r="AF59" s="9">
        <v>1874.68</v>
      </c>
      <c r="AG59" s="9">
        <v>10283.02</v>
      </c>
    </row>
    <row r="60">
      <c r="A60" s="8" t="s">
        <v>108</v>
      </c>
      <c r="B60" s="9">
        <v>1596297.52</v>
      </c>
      <c r="C60" s="9">
        <v>274635.15</v>
      </c>
      <c r="D60" s="9">
        <v>292250.0</v>
      </c>
      <c r="E60" s="9">
        <v>1321662.37</v>
      </c>
      <c r="F60" s="9">
        <v>1393974.1</v>
      </c>
      <c r="G60" s="9">
        <v>1207028.82</v>
      </c>
      <c r="H60" s="9">
        <v>218567.88</v>
      </c>
      <c r="I60" s="9">
        <v>186945.27</v>
      </c>
      <c r="J60" s="9">
        <v>149619.4</v>
      </c>
      <c r="K60" s="12">
        <v>0.26</v>
      </c>
      <c r="L60" s="9">
        <v>150996.41</v>
      </c>
      <c r="M60" s="9">
        <v>40366.35</v>
      </c>
      <c r="N60" s="9">
        <v>-93519.94</v>
      </c>
      <c r="O60" s="9">
        <v>97842.82</v>
      </c>
      <c r="P60" s="12">
        <v>11.56</v>
      </c>
      <c r="Q60" s="12">
        <v>11.89</v>
      </c>
      <c r="R60" s="12">
        <v>30.59</v>
      </c>
      <c r="S60" s="12">
        <v>10.73</v>
      </c>
      <c r="T60" s="12">
        <v>13.41</v>
      </c>
      <c r="U60" s="12">
        <v>0.21</v>
      </c>
      <c r="V60" s="12" t="s">
        <v>47</v>
      </c>
      <c r="W60" s="12">
        <v>3.98</v>
      </c>
      <c r="X60" s="12">
        <v>2.54</v>
      </c>
      <c r="Y60" s="12">
        <v>44.01</v>
      </c>
      <c r="Z60" s="12">
        <v>0.89</v>
      </c>
      <c r="AA60" s="12">
        <v>3.11</v>
      </c>
      <c r="AB60" s="12">
        <v>117.25</v>
      </c>
      <c r="AC60" s="12">
        <v>4.55</v>
      </c>
      <c r="AD60" s="12">
        <v>80.2</v>
      </c>
      <c r="AE60" s="12">
        <v>4.69</v>
      </c>
      <c r="AF60" s="12">
        <v>77.83</v>
      </c>
      <c r="AG60" s="12">
        <v>119.61</v>
      </c>
    </row>
    <row r="61">
      <c r="A61" s="8" t="s">
        <v>109</v>
      </c>
      <c r="B61" s="9">
        <v>95135.45</v>
      </c>
      <c r="C61" s="9">
        <v>92617.73</v>
      </c>
      <c r="D61" s="9">
        <v>977753.68</v>
      </c>
      <c r="E61" s="9">
        <v>2504.59</v>
      </c>
      <c r="F61" s="9">
        <v>147668.93</v>
      </c>
      <c r="G61" s="9">
        <v>202575.29</v>
      </c>
      <c r="H61" s="9">
        <v>-30079.45</v>
      </c>
      <c r="I61" s="9">
        <v>-44156.29</v>
      </c>
      <c r="J61" s="9">
        <v>-44776.5</v>
      </c>
      <c r="K61" s="12">
        <v>-0.05</v>
      </c>
      <c r="L61" s="9">
        <v>-5994.51</v>
      </c>
      <c r="M61" s="9">
        <v>27089.21</v>
      </c>
      <c r="N61" s="9">
        <v>-2895.51</v>
      </c>
      <c r="O61" s="9">
        <v>18199.19</v>
      </c>
      <c r="P61" s="12">
        <v>-179.88</v>
      </c>
      <c r="Q61" s="12">
        <v>-36.69</v>
      </c>
      <c r="R61" s="12">
        <v>17.11</v>
      </c>
      <c r="S61" s="12">
        <v>-30.32</v>
      </c>
      <c r="T61" s="12">
        <v>-29.9</v>
      </c>
      <c r="U61" s="12">
        <v>36.79</v>
      </c>
      <c r="V61" s="12">
        <v>-71.2</v>
      </c>
      <c r="W61" s="12">
        <v>0.78</v>
      </c>
      <c r="X61" s="12">
        <v>0.37</v>
      </c>
      <c r="Y61" s="12">
        <v>2.83</v>
      </c>
      <c r="Z61" s="12">
        <v>1.23</v>
      </c>
      <c r="AA61" s="12">
        <v>2.4</v>
      </c>
      <c r="AB61" s="12">
        <v>151.9</v>
      </c>
      <c r="AC61" s="12">
        <v>55.82</v>
      </c>
      <c r="AD61" s="12">
        <v>6.54</v>
      </c>
      <c r="AE61" s="12">
        <v>1.51</v>
      </c>
      <c r="AF61" s="12">
        <v>241.38</v>
      </c>
      <c r="AG61" s="12">
        <v>-82.93</v>
      </c>
    </row>
    <row r="62">
      <c r="A62" s="8" t="s">
        <v>111</v>
      </c>
      <c r="B62" s="9">
        <v>295586.67</v>
      </c>
      <c r="C62" s="9">
        <v>43768.59</v>
      </c>
      <c r="D62" s="9">
        <v>138124.83</v>
      </c>
      <c r="E62" s="9">
        <v>251074.46</v>
      </c>
      <c r="F62" s="9">
        <v>198088.02</v>
      </c>
      <c r="G62" s="9">
        <v>185173.72</v>
      </c>
      <c r="H62" s="9">
        <v>30399.76</v>
      </c>
      <c r="I62" s="9">
        <v>12914.3</v>
      </c>
      <c r="J62" s="9">
        <v>12658.63</v>
      </c>
      <c r="K62" s="12">
        <v>0.02</v>
      </c>
      <c r="L62" s="9">
        <v>25898.23</v>
      </c>
      <c r="M62" s="9">
        <v>-13779.27</v>
      </c>
      <c r="N62" s="9">
        <v>-4417.85</v>
      </c>
      <c r="O62" s="9">
        <v>7701.11</v>
      </c>
      <c r="P62" s="12">
        <v>5.06</v>
      </c>
      <c r="Q62" s="12">
        <v>4.48</v>
      </c>
      <c r="R62" s="12">
        <v>28.84</v>
      </c>
      <c r="S62" s="12">
        <v>6.42</v>
      </c>
      <c r="T62" s="12">
        <v>6.52</v>
      </c>
      <c r="U62" s="12">
        <v>0.17</v>
      </c>
      <c r="V62" s="12">
        <v>24.08</v>
      </c>
      <c r="W62" s="12">
        <v>3.81</v>
      </c>
      <c r="X62" s="12">
        <v>1.52</v>
      </c>
      <c r="Y62" s="12">
        <v>1.18</v>
      </c>
      <c r="Z62" s="12">
        <v>0.69</v>
      </c>
      <c r="AA62" s="12">
        <v>1.89</v>
      </c>
      <c r="AB62" s="12">
        <v>192.73</v>
      </c>
      <c r="AC62" s="12">
        <v>6.4</v>
      </c>
      <c r="AD62" s="12">
        <v>56.99</v>
      </c>
      <c r="AE62" s="12">
        <v>5.31</v>
      </c>
      <c r="AF62" s="12">
        <v>68.7</v>
      </c>
      <c r="AG62" s="12">
        <v>181.02</v>
      </c>
    </row>
    <row r="63">
      <c r="A63" s="8" t="s">
        <v>112</v>
      </c>
      <c r="B63" s="9">
        <v>408605.8</v>
      </c>
      <c r="C63" s="9">
        <v>434671.33</v>
      </c>
      <c r="D63" s="9">
        <v>784968.76</v>
      </c>
      <c r="E63" s="9">
        <v>-26385.82</v>
      </c>
      <c r="F63" s="9">
        <v>280421.41</v>
      </c>
      <c r="G63" s="9">
        <v>551609.13</v>
      </c>
      <c r="H63" s="9">
        <v>-267061.84</v>
      </c>
      <c r="I63" s="9">
        <v>-274277.33</v>
      </c>
      <c r="J63" s="9">
        <v>-277589.81</v>
      </c>
      <c r="K63" s="12">
        <v>-0.35</v>
      </c>
      <c r="L63" s="9">
        <v>-39792.45</v>
      </c>
      <c r="M63" s="9">
        <v>33718.65</v>
      </c>
      <c r="N63" s="9">
        <v>-6328.75</v>
      </c>
      <c r="O63" s="9">
        <v>-12402.55</v>
      </c>
      <c r="P63" s="12">
        <v>-246.48</v>
      </c>
      <c r="Q63" s="12">
        <v>-31.3</v>
      </c>
      <c r="R63" s="12">
        <v>-17.27</v>
      </c>
      <c r="S63" s="12">
        <v>-105.55</v>
      </c>
      <c r="T63" s="12">
        <v>-97.81</v>
      </c>
      <c r="U63" s="12" t="s">
        <v>46</v>
      </c>
      <c r="V63" s="12">
        <v>-10.89</v>
      </c>
      <c r="W63" s="12">
        <v>0.68</v>
      </c>
      <c r="X63" s="12">
        <v>0.52</v>
      </c>
      <c r="Y63" s="12">
        <v>2.72</v>
      </c>
      <c r="Z63" s="12">
        <v>0.32</v>
      </c>
      <c r="AA63" s="12">
        <v>33.73</v>
      </c>
      <c r="AB63" s="12">
        <v>10.82</v>
      </c>
      <c r="AC63" s="12">
        <v>1.67</v>
      </c>
      <c r="AD63" s="12">
        <v>218.29</v>
      </c>
      <c r="AE63" s="12">
        <v>1.64</v>
      </c>
      <c r="AF63" s="12">
        <v>223.21</v>
      </c>
      <c r="AG63" s="12">
        <v>5.9</v>
      </c>
    </row>
    <row r="64">
      <c r="A64" s="8" t="s">
        <v>113</v>
      </c>
      <c r="B64" s="9">
        <v>1207114.66</v>
      </c>
      <c r="C64" s="9">
        <v>634000.91</v>
      </c>
      <c r="D64" s="9">
        <v>225000.0</v>
      </c>
      <c r="E64" s="9">
        <v>552038.78</v>
      </c>
      <c r="F64" s="9">
        <v>1201266.2</v>
      </c>
      <c r="G64" s="9">
        <v>1082888.05</v>
      </c>
      <c r="H64" s="9">
        <v>122958.79</v>
      </c>
      <c r="I64" s="9">
        <v>118378.15</v>
      </c>
      <c r="J64" s="9">
        <v>93674.48</v>
      </c>
      <c r="K64" s="12">
        <v>0.21</v>
      </c>
      <c r="L64" s="9">
        <v>-128175.48</v>
      </c>
      <c r="M64" s="9">
        <v>1005.6</v>
      </c>
      <c r="N64" s="9">
        <v>61604.99</v>
      </c>
      <c r="O64" s="9">
        <v>-65564.9</v>
      </c>
      <c r="P64" s="12">
        <v>17.49</v>
      </c>
      <c r="Q64" s="12">
        <v>11.49</v>
      </c>
      <c r="R64" s="12">
        <v>15.87</v>
      </c>
      <c r="S64" s="12">
        <v>7.85</v>
      </c>
      <c r="T64" s="12">
        <v>9.85</v>
      </c>
      <c r="U64" s="12">
        <v>1.11</v>
      </c>
      <c r="V64" s="12" t="s">
        <v>47</v>
      </c>
      <c r="W64" s="12">
        <v>1.71</v>
      </c>
      <c r="X64" s="12">
        <v>0.87</v>
      </c>
      <c r="Y64" s="12">
        <v>163.69</v>
      </c>
      <c r="Z64" s="12">
        <v>1.17</v>
      </c>
      <c r="AA64" s="12">
        <v>9.32</v>
      </c>
      <c r="AB64" s="12">
        <v>39.18</v>
      </c>
      <c r="AC64" s="12">
        <v>5.95</v>
      </c>
      <c r="AD64" s="12">
        <v>61.38</v>
      </c>
      <c r="AE64" s="12">
        <v>2.81</v>
      </c>
      <c r="AF64" s="12">
        <v>129.71</v>
      </c>
      <c r="AG64" s="12">
        <v>-29.15</v>
      </c>
    </row>
    <row r="65">
      <c r="A65" s="8" t="s">
        <v>115</v>
      </c>
      <c r="B65" s="9">
        <v>535156.15</v>
      </c>
      <c r="C65" s="9">
        <v>83564.63</v>
      </c>
      <c r="D65" s="9">
        <v>107500.0</v>
      </c>
      <c r="E65" s="9">
        <v>451591.52</v>
      </c>
      <c r="F65" s="9">
        <v>336111.3</v>
      </c>
      <c r="G65" s="9">
        <v>321932.71</v>
      </c>
      <c r="H65" s="9">
        <v>33304.91</v>
      </c>
      <c r="I65" s="9">
        <v>14678.59</v>
      </c>
      <c r="J65" s="9">
        <v>10498.57</v>
      </c>
      <c r="K65" s="12">
        <v>0.07</v>
      </c>
      <c r="L65" s="9">
        <v>26776.96</v>
      </c>
      <c r="M65" s="9">
        <v>-171163.84</v>
      </c>
      <c r="N65" s="9">
        <v>210059.52</v>
      </c>
      <c r="O65" s="9">
        <v>65672.64</v>
      </c>
      <c r="P65" s="12">
        <v>3.4</v>
      </c>
      <c r="Q65" s="12">
        <v>3.56</v>
      </c>
      <c r="R65" s="12">
        <v>29.7</v>
      </c>
      <c r="S65" s="12">
        <v>3.12</v>
      </c>
      <c r="T65" s="12">
        <v>4.37</v>
      </c>
      <c r="U65" s="12">
        <v>0.19</v>
      </c>
      <c r="V65" s="12">
        <v>3.84</v>
      </c>
      <c r="W65" s="12">
        <v>5.35</v>
      </c>
      <c r="X65" s="12">
        <v>5.08</v>
      </c>
      <c r="Y65" s="12">
        <v>2.36</v>
      </c>
      <c r="Z65" s="12">
        <v>0.81</v>
      </c>
      <c r="AA65" s="12">
        <v>31.01</v>
      </c>
      <c r="AB65" s="12">
        <v>11.77</v>
      </c>
      <c r="AC65" s="12">
        <v>2.71</v>
      </c>
      <c r="AD65" s="12">
        <v>134.7</v>
      </c>
      <c r="AE65" s="12">
        <v>4.7</v>
      </c>
      <c r="AF65" s="12">
        <v>77.69</v>
      </c>
      <c r="AG65" s="12">
        <v>68.78</v>
      </c>
    </row>
    <row r="66">
      <c r="A66" s="8" t="s">
        <v>304</v>
      </c>
      <c r="B66" s="9">
        <v>1044632.69</v>
      </c>
      <c r="C66" s="9">
        <v>264319.72</v>
      </c>
      <c r="D66" s="9">
        <v>280000.0</v>
      </c>
      <c r="E66" s="9">
        <v>780312.98</v>
      </c>
      <c r="F66" s="9">
        <v>1219965.78</v>
      </c>
      <c r="G66" s="9">
        <v>1071310.32</v>
      </c>
      <c r="H66" s="9">
        <v>151894.97</v>
      </c>
      <c r="I66" s="9">
        <v>148655.46</v>
      </c>
      <c r="J66" s="9">
        <v>120121.21</v>
      </c>
      <c r="K66" s="12">
        <v>0.27</v>
      </c>
      <c r="L66" s="9">
        <v>61226.87</v>
      </c>
      <c r="M66" s="9">
        <v>-298956.06</v>
      </c>
      <c r="N66" s="9">
        <v>286638.7</v>
      </c>
      <c r="O66" s="9">
        <v>48909.51</v>
      </c>
      <c r="P66" s="12">
        <v>21.08</v>
      </c>
      <c r="Q66" s="12">
        <v>18.0</v>
      </c>
      <c r="R66" s="12">
        <v>17.49</v>
      </c>
      <c r="S66" s="12">
        <v>9.85</v>
      </c>
      <c r="T66" s="12">
        <v>12.19</v>
      </c>
      <c r="U66" s="12">
        <v>0.34</v>
      </c>
      <c r="V66" s="12">
        <v>116.97</v>
      </c>
      <c r="W66" s="12">
        <v>4.25</v>
      </c>
      <c r="X66" s="12">
        <v>3.06</v>
      </c>
      <c r="Y66" s="12">
        <v>18.02</v>
      </c>
      <c r="Z66" s="12">
        <v>1.48</v>
      </c>
      <c r="AA66" s="12" t="s">
        <v>47</v>
      </c>
      <c r="AB66" s="12" t="s">
        <v>46</v>
      </c>
      <c r="AC66" s="12">
        <v>10.8</v>
      </c>
      <c r="AD66" s="12">
        <v>33.79</v>
      </c>
      <c r="AE66" s="12">
        <v>5.45</v>
      </c>
      <c r="AF66" s="12">
        <v>67.01</v>
      </c>
      <c r="AG66" s="12">
        <v>-33.21</v>
      </c>
    </row>
    <row r="67">
      <c r="A67" s="8" t="s">
        <v>117</v>
      </c>
      <c r="B67" s="9">
        <v>525877.69</v>
      </c>
      <c r="C67" s="9">
        <v>60134.88</v>
      </c>
      <c r="D67" s="9">
        <v>103000.0</v>
      </c>
      <c r="E67" s="9">
        <v>455709.2</v>
      </c>
      <c r="F67" s="9">
        <v>375883.6</v>
      </c>
      <c r="G67" s="9">
        <v>314115.13</v>
      </c>
      <c r="H67" s="9">
        <v>63610.74</v>
      </c>
      <c r="I67" s="9">
        <v>61543.55</v>
      </c>
      <c r="J67" s="9">
        <v>43471.52</v>
      </c>
      <c r="K67" s="12">
        <v>0.28</v>
      </c>
      <c r="L67" s="9">
        <v>5034.33</v>
      </c>
      <c r="M67" s="9">
        <v>-2045.36</v>
      </c>
      <c r="N67" s="9">
        <v>307208.29</v>
      </c>
      <c r="O67" s="9">
        <v>310197.26</v>
      </c>
      <c r="P67" s="12">
        <v>15.63</v>
      </c>
      <c r="Q67" s="12">
        <v>17.14</v>
      </c>
      <c r="R67" s="12">
        <v>57.61</v>
      </c>
      <c r="S67" s="12">
        <v>12.54</v>
      </c>
      <c r="T67" s="12">
        <v>16.37</v>
      </c>
      <c r="U67" s="12">
        <v>0.13</v>
      </c>
      <c r="V67" s="12">
        <v>104.42</v>
      </c>
      <c r="W67" s="12">
        <v>8.98</v>
      </c>
      <c r="X67" s="12">
        <v>8.08</v>
      </c>
      <c r="Y67" s="12">
        <v>36.84</v>
      </c>
      <c r="Z67" s="12">
        <v>1.05</v>
      </c>
      <c r="AA67" s="12">
        <v>3.02</v>
      </c>
      <c r="AB67" s="12">
        <v>120.98</v>
      </c>
      <c r="AC67" s="12">
        <v>3.8</v>
      </c>
      <c r="AD67" s="12">
        <v>96.17</v>
      </c>
      <c r="AE67" s="12">
        <v>3.06</v>
      </c>
      <c r="AF67" s="12">
        <v>119.12</v>
      </c>
      <c r="AG67" s="12">
        <v>98.02</v>
      </c>
    </row>
    <row r="68">
      <c r="A68" s="8" t="s">
        <v>118</v>
      </c>
      <c r="B68" s="9">
        <v>1079397.73</v>
      </c>
      <c r="C68" s="9">
        <v>887924.35</v>
      </c>
      <c r="D68" s="9">
        <v>254299.75</v>
      </c>
      <c r="E68" s="9">
        <v>211065.87</v>
      </c>
      <c r="F68" s="9">
        <v>952592.59</v>
      </c>
      <c r="G68" s="9">
        <v>993427.15</v>
      </c>
      <c r="H68" s="9">
        <v>-32348.43</v>
      </c>
      <c r="I68" s="9">
        <v>-43442.46</v>
      </c>
      <c r="J68" s="9">
        <v>-101485.87</v>
      </c>
      <c r="K68" s="12">
        <v>-0.4</v>
      </c>
      <c r="L68" s="9">
        <v>-65416.06</v>
      </c>
      <c r="M68" s="9">
        <v>-8650.45</v>
      </c>
      <c r="N68" s="9">
        <v>-76621.21</v>
      </c>
      <c r="O68" s="9">
        <v>-150687.72</v>
      </c>
      <c r="P68" s="12">
        <v>-39.2</v>
      </c>
      <c r="Q68" s="12">
        <v>-3.81</v>
      </c>
      <c r="R68" s="12">
        <v>16.83</v>
      </c>
      <c r="S68" s="12">
        <v>-10.98</v>
      </c>
      <c r="T68" s="12">
        <v>-4.56</v>
      </c>
      <c r="U68" s="12">
        <v>4.64</v>
      </c>
      <c r="V68" s="12">
        <v>-1.4</v>
      </c>
      <c r="W68" s="12">
        <v>0.72</v>
      </c>
      <c r="X68" s="12">
        <v>0.55</v>
      </c>
      <c r="Y68" s="12">
        <v>40.46</v>
      </c>
      <c r="Z68" s="12">
        <v>0.84</v>
      </c>
      <c r="AA68" s="12">
        <v>11.4</v>
      </c>
      <c r="AB68" s="12">
        <v>32.03</v>
      </c>
      <c r="AC68" s="12">
        <v>2.46</v>
      </c>
      <c r="AD68" s="12">
        <v>148.13</v>
      </c>
      <c r="AE68" s="12">
        <v>2.75</v>
      </c>
      <c r="AF68" s="12">
        <v>132.78</v>
      </c>
      <c r="AG68" s="12">
        <v>47.38</v>
      </c>
    </row>
    <row r="69">
      <c r="A69" s="8" t="s">
        <v>322</v>
      </c>
      <c r="B69" s="9">
        <v>6621866.72</v>
      </c>
      <c r="C69" s="9">
        <v>4910166.91</v>
      </c>
      <c r="D69" s="9">
        <v>500000.0</v>
      </c>
      <c r="E69" s="9">
        <v>1711699.81</v>
      </c>
      <c r="F69" s="9">
        <v>2346593.42</v>
      </c>
      <c r="G69" s="9">
        <v>1976935.22</v>
      </c>
      <c r="H69" s="9">
        <v>608312.73</v>
      </c>
      <c r="I69" s="9">
        <v>359571.32</v>
      </c>
      <c r="J69" s="9">
        <v>181000.09</v>
      </c>
      <c r="K69" s="12">
        <v>0.18</v>
      </c>
      <c r="L69" s="9">
        <v>-329782.06</v>
      </c>
      <c r="M69" s="9">
        <v>-623042.91</v>
      </c>
      <c r="N69" s="9">
        <v>1000646.48</v>
      </c>
      <c r="O69" s="9">
        <v>47821.52</v>
      </c>
      <c r="P69" s="12">
        <v>10.94</v>
      </c>
      <c r="Q69" s="12">
        <v>5.97</v>
      </c>
      <c r="R69" s="12">
        <v>20.12</v>
      </c>
      <c r="S69" s="12">
        <v>7.71</v>
      </c>
      <c r="T69" s="12">
        <v>15.32</v>
      </c>
      <c r="U69" s="12">
        <v>2.87</v>
      </c>
      <c r="V69" s="12">
        <v>2.75</v>
      </c>
      <c r="W69" s="12">
        <v>0.74</v>
      </c>
      <c r="X69" s="12">
        <v>0.21</v>
      </c>
      <c r="Y69" s="12">
        <v>0.63</v>
      </c>
      <c r="Z69" s="12">
        <v>0.39</v>
      </c>
      <c r="AA69" s="12">
        <v>17.24</v>
      </c>
      <c r="AB69" s="12">
        <v>21.18</v>
      </c>
      <c r="AC69" s="12">
        <v>6.05</v>
      </c>
      <c r="AD69" s="12">
        <v>60.28</v>
      </c>
      <c r="AE69" s="12">
        <v>2.16</v>
      </c>
      <c r="AF69" s="12">
        <v>168.8</v>
      </c>
      <c r="AG69" s="12">
        <v>-87.33</v>
      </c>
    </row>
    <row r="70">
      <c r="A70" s="8" t="s">
        <v>323</v>
      </c>
      <c r="B70" s="9">
        <v>698491.85</v>
      </c>
      <c r="C70" s="9">
        <v>617174.91</v>
      </c>
      <c r="D70" s="9">
        <v>156319.42</v>
      </c>
      <c r="E70" s="9">
        <v>81316.94</v>
      </c>
      <c r="F70" s="9">
        <v>1397250.98</v>
      </c>
      <c r="G70" s="9">
        <v>1539170.56</v>
      </c>
      <c r="H70" s="9">
        <v>-83380.5</v>
      </c>
      <c r="I70" s="9">
        <v>-141919.59</v>
      </c>
      <c r="J70" s="9">
        <v>-158403.79</v>
      </c>
      <c r="K70" s="12">
        <v>-0.25</v>
      </c>
      <c r="L70" s="9">
        <v>-117898.66</v>
      </c>
      <c r="M70" s="9">
        <v>-47711.44</v>
      </c>
      <c r="N70" s="9">
        <v>156511.38</v>
      </c>
      <c r="O70" s="9">
        <v>-9098.73</v>
      </c>
      <c r="P70" s="12">
        <v>-141.65</v>
      </c>
      <c r="Q70" s="12">
        <v>-22.3</v>
      </c>
      <c r="R70" s="12">
        <v>51.49</v>
      </c>
      <c r="S70" s="12">
        <v>-11.34</v>
      </c>
      <c r="T70" s="12">
        <v>-10.16</v>
      </c>
      <c r="U70" s="12">
        <v>7.59</v>
      </c>
      <c r="V70" s="12">
        <v>-10.19</v>
      </c>
      <c r="W70" s="12">
        <v>0.23</v>
      </c>
      <c r="X70" s="12">
        <v>0.12</v>
      </c>
      <c r="Y70" s="12">
        <v>3.48</v>
      </c>
      <c r="Z70" s="12">
        <v>2.2</v>
      </c>
      <c r="AA70" s="12">
        <v>17.3</v>
      </c>
      <c r="AB70" s="12">
        <v>21.09</v>
      </c>
      <c r="AC70" s="12">
        <v>39.68</v>
      </c>
      <c r="AD70" s="12">
        <v>9.2</v>
      </c>
      <c r="AE70" s="12">
        <v>2.7</v>
      </c>
      <c r="AF70" s="12">
        <v>135.22</v>
      </c>
      <c r="AG70" s="12">
        <v>-104.93</v>
      </c>
    </row>
    <row r="71">
      <c r="A71" s="8" t="s">
        <v>338</v>
      </c>
      <c r="B71" s="9">
        <v>4005661.83</v>
      </c>
      <c r="C71" s="9">
        <v>1790589.52</v>
      </c>
      <c r="D71" s="9">
        <v>270000.0</v>
      </c>
      <c r="E71" s="9">
        <v>2215072.31</v>
      </c>
      <c r="F71" s="9">
        <v>1710751.03</v>
      </c>
      <c r="G71" s="9">
        <v>1297819.47</v>
      </c>
      <c r="H71" s="9">
        <v>1368748.07</v>
      </c>
      <c r="I71" s="9">
        <v>412931.56</v>
      </c>
      <c r="J71" s="9">
        <v>252813.65</v>
      </c>
      <c r="K71" s="12">
        <v>0.42</v>
      </c>
      <c r="L71" s="9">
        <v>461506.51</v>
      </c>
      <c r="M71" s="9">
        <v>-973804.45</v>
      </c>
      <c r="N71" s="9">
        <v>503354.24</v>
      </c>
      <c r="O71" s="9">
        <v>-8943.7</v>
      </c>
      <c r="P71" s="12">
        <v>11.84</v>
      </c>
      <c r="Q71" s="12">
        <v>11.38</v>
      </c>
      <c r="R71" s="12">
        <v>41.05</v>
      </c>
      <c r="S71" s="12">
        <v>14.78</v>
      </c>
      <c r="T71" s="12">
        <v>24.14</v>
      </c>
      <c r="U71" s="12">
        <v>0.81</v>
      </c>
      <c r="V71" s="12">
        <v>4.36</v>
      </c>
      <c r="W71" s="12">
        <v>1.47</v>
      </c>
      <c r="X71" s="12">
        <v>1.41</v>
      </c>
      <c r="Y71" s="12">
        <v>27.59</v>
      </c>
      <c r="Z71" s="12">
        <v>0.47</v>
      </c>
      <c r="AA71" s="12">
        <v>335.59</v>
      </c>
      <c r="AB71" s="12">
        <v>1.09</v>
      </c>
      <c r="AC71" s="12">
        <v>1.16</v>
      </c>
      <c r="AD71" s="12">
        <v>315.91</v>
      </c>
      <c r="AE71" s="12">
        <v>7.48</v>
      </c>
      <c r="AF71" s="12">
        <v>48.77</v>
      </c>
      <c r="AG71" s="12">
        <v>268.22</v>
      </c>
    </row>
    <row r="72">
      <c r="A72" s="8" t="s">
        <v>123</v>
      </c>
      <c r="B72" s="9">
        <v>1488299.4</v>
      </c>
      <c r="C72" s="9">
        <v>428673.41</v>
      </c>
      <c r="D72" s="9">
        <v>174273.13</v>
      </c>
      <c r="E72" s="9">
        <v>1059625.98</v>
      </c>
      <c r="F72" s="9">
        <v>1820271.39</v>
      </c>
      <c r="G72" s="9">
        <v>1493142.0</v>
      </c>
      <c r="H72" s="9">
        <v>348616.11</v>
      </c>
      <c r="I72" s="9">
        <v>327129.4</v>
      </c>
      <c r="J72" s="9">
        <v>262208.88</v>
      </c>
      <c r="K72" s="12">
        <v>1.5</v>
      </c>
      <c r="L72" s="9">
        <v>336785.55</v>
      </c>
      <c r="M72" s="9">
        <v>-125448.52</v>
      </c>
      <c r="N72" s="9">
        <v>-132443.92</v>
      </c>
      <c r="O72" s="9">
        <v>78893.11</v>
      </c>
      <c r="P72" s="12">
        <v>26.36</v>
      </c>
      <c r="Q72" s="12">
        <v>23.97</v>
      </c>
      <c r="R72" s="12">
        <v>46.63</v>
      </c>
      <c r="S72" s="12">
        <v>14.4</v>
      </c>
      <c r="T72" s="12">
        <v>17.97</v>
      </c>
      <c r="U72" s="12">
        <v>0.4</v>
      </c>
      <c r="V72" s="9">
        <v>11176.27</v>
      </c>
      <c r="W72" s="12">
        <v>3.14</v>
      </c>
      <c r="X72" s="12">
        <v>1.58</v>
      </c>
      <c r="Y72" s="12">
        <v>26.54</v>
      </c>
      <c r="Z72" s="12">
        <v>1.33</v>
      </c>
      <c r="AA72" s="12">
        <v>1.57</v>
      </c>
      <c r="AB72" s="12">
        <v>232.0</v>
      </c>
      <c r="AC72" s="12">
        <v>15.13</v>
      </c>
      <c r="AD72" s="12">
        <v>24.13</v>
      </c>
      <c r="AE72" s="12">
        <v>3.4</v>
      </c>
      <c r="AF72" s="12">
        <v>107.28</v>
      </c>
      <c r="AG72" s="12">
        <v>148.85</v>
      </c>
    </row>
    <row r="73">
      <c r="A73" s="8" t="s">
        <v>124</v>
      </c>
      <c r="B73" s="9">
        <v>906728.45</v>
      </c>
      <c r="C73" s="9">
        <v>614686.64</v>
      </c>
      <c r="D73" s="9">
        <v>119999.78</v>
      </c>
      <c r="E73" s="9">
        <v>292041.81</v>
      </c>
      <c r="F73" s="9">
        <v>1009610.52</v>
      </c>
      <c r="G73" s="9">
        <v>1189091.66</v>
      </c>
      <c r="H73" s="9">
        <v>-160341.33</v>
      </c>
      <c r="I73" s="9">
        <v>-178677.24</v>
      </c>
      <c r="J73" s="9">
        <v>-152243.97</v>
      </c>
      <c r="K73" s="12">
        <v>-0.63</v>
      </c>
      <c r="L73" s="9">
        <v>24470.23</v>
      </c>
      <c r="M73" s="9">
        <v>-68741.01</v>
      </c>
      <c r="N73" s="9">
        <v>2577.96</v>
      </c>
      <c r="O73" s="9">
        <v>-41692.82</v>
      </c>
      <c r="P73" s="12">
        <v>-40.0</v>
      </c>
      <c r="Q73" s="12">
        <v>-16.48</v>
      </c>
      <c r="R73" s="12">
        <v>-5.4</v>
      </c>
      <c r="S73" s="12">
        <v>-15.08</v>
      </c>
      <c r="T73" s="12">
        <v>-17.7</v>
      </c>
      <c r="U73" s="12">
        <v>2.1</v>
      </c>
      <c r="V73" s="12">
        <v>-18.89</v>
      </c>
      <c r="W73" s="12">
        <v>0.93</v>
      </c>
      <c r="X73" s="12">
        <v>0.43</v>
      </c>
      <c r="Y73" s="12">
        <v>9.62</v>
      </c>
      <c r="Z73" s="12">
        <v>0.93</v>
      </c>
      <c r="AA73" s="12">
        <v>292.42</v>
      </c>
      <c r="AB73" s="12">
        <v>1.25</v>
      </c>
      <c r="AC73" s="12">
        <v>4.72</v>
      </c>
      <c r="AD73" s="12">
        <v>77.31</v>
      </c>
      <c r="AE73" s="12">
        <v>2.65</v>
      </c>
      <c r="AF73" s="12">
        <v>137.75</v>
      </c>
      <c r="AG73" s="12">
        <v>-59.2</v>
      </c>
    </row>
    <row r="74">
      <c r="A74" s="8" t="s">
        <v>125</v>
      </c>
      <c r="B74" s="9">
        <v>641164.02</v>
      </c>
      <c r="C74" s="9">
        <v>316122.17</v>
      </c>
      <c r="D74" s="9">
        <v>278000.0</v>
      </c>
      <c r="E74" s="9">
        <v>325041.85</v>
      </c>
      <c r="F74" s="9">
        <v>867666.79</v>
      </c>
      <c r="G74" s="9">
        <v>900112.16</v>
      </c>
      <c r="H74" s="9">
        <v>-9070.22</v>
      </c>
      <c r="I74" s="9">
        <v>-26185.1</v>
      </c>
      <c r="J74" s="9">
        <v>-31064.95</v>
      </c>
      <c r="K74" s="12">
        <v>-0.11</v>
      </c>
      <c r="L74" s="9">
        <v>120297.36</v>
      </c>
      <c r="M74" s="9">
        <v>-43014.66</v>
      </c>
      <c r="N74" s="9">
        <v>-37961.48</v>
      </c>
      <c r="O74" s="9">
        <v>39321.22</v>
      </c>
      <c r="P74" s="12">
        <v>-8.98</v>
      </c>
      <c r="Q74" s="12">
        <v>-3.8</v>
      </c>
      <c r="R74" s="12">
        <v>10.43</v>
      </c>
      <c r="S74" s="12">
        <v>-3.58</v>
      </c>
      <c r="T74" s="12">
        <v>-3.02</v>
      </c>
      <c r="U74" s="12">
        <v>0.97</v>
      </c>
      <c r="V74" s="12">
        <v>-5.37</v>
      </c>
      <c r="W74" s="12">
        <v>1.37</v>
      </c>
      <c r="X74" s="12">
        <v>0.65</v>
      </c>
      <c r="Y74" s="12">
        <v>4.13</v>
      </c>
      <c r="Z74" s="12">
        <v>1.26</v>
      </c>
      <c r="AA74" s="12">
        <v>3.1</v>
      </c>
      <c r="AB74" s="12">
        <v>117.71</v>
      </c>
      <c r="AC74" s="12">
        <v>5.18</v>
      </c>
      <c r="AD74" s="12">
        <v>70.43</v>
      </c>
      <c r="AE74" s="12">
        <v>9.2</v>
      </c>
      <c r="AF74" s="12">
        <v>39.69</v>
      </c>
      <c r="AG74" s="12">
        <v>148.45</v>
      </c>
    </row>
    <row r="75">
      <c r="A75" s="8" t="s">
        <v>127</v>
      </c>
      <c r="B75" s="9">
        <v>558161.09</v>
      </c>
      <c r="C75" s="9">
        <v>109686.35</v>
      </c>
      <c r="D75" s="9">
        <v>170000.0</v>
      </c>
      <c r="E75" s="9">
        <v>448474.46</v>
      </c>
      <c r="F75" s="9">
        <v>347419.26</v>
      </c>
      <c r="G75" s="9">
        <v>355940.45</v>
      </c>
      <c r="H75" s="9">
        <v>14936.19</v>
      </c>
      <c r="I75" s="9">
        <v>-9032.09</v>
      </c>
      <c r="J75" s="9">
        <v>-11185.11</v>
      </c>
      <c r="K75" s="12">
        <v>-0.02</v>
      </c>
      <c r="L75" s="9">
        <v>24393.28</v>
      </c>
      <c r="M75" s="9">
        <v>-16087.67</v>
      </c>
      <c r="N75" s="9">
        <v>-4637.37</v>
      </c>
      <c r="O75" s="9">
        <v>3668.23</v>
      </c>
      <c r="P75" s="12">
        <v>-2.46</v>
      </c>
      <c r="Q75" s="12">
        <v>-1.6</v>
      </c>
      <c r="R75" s="12">
        <v>24.24</v>
      </c>
      <c r="S75" s="12">
        <v>-3.22</v>
      </c>
      <c r="T75" s="12">
        <v>-2.6</v>
      </c>
      <c r="U75" s="12">
        <v>0.24</v>
      </c>
      <c r="V75" s="12">
        <v>-3.24</v>
      </c>
      <c r="W75" s="12">
        <v>1.3</v>
      </c>
      <c r="X75" s="12">
        <v>0.33</v>
      </c>
      <c r="Y75" s="12">
        <v>1.42</v>
      </c>
      <c r="Z75" s="12">
        <v>0.62</v>
      </c>
      <c r="AA75" s="12">
        <v>2.55</v>
      </c>
      <c r="AB75" s="12">
        <v>143.2</v>
      </c>
      <c r="AC75" s="12">
        <v>15.11</v>
      </c>
      <c r="AD75" s="12">
        <v>24.16</v>
      </c>
      <c r="AE75" s="12">
        <v>10.6</v>
      </c>
      <c r="AF75" s="12">
        <v>34.42</v>
      </c>
      <c r="AG75" s="12">
        <v>132.94</v>
      </c>
    </row>
    <row r="76">
      <c r="A76" s="8" t="s">
        <v>128</v>
      </c>
      <c r="B76" s="9">
        <v>691126.54</v>
      </c>
      <c r="C76" s="9">
        <v>259241.8</v>
      </c>
      <c r="D76" s="9">
        <v>535436.81</v>
      </c>
      <c r="E76" s="9">
        <v>431884.72</v>
      </c>
      <c r="F76" s="9">
        <v>492823.83</v>
      </c>
      <c r="G76" s="9">
        <v>78513.82</v>
      </c>
      <c r="H76" s="9">
        <v>483004.83</v>
      </c>
      <c r="I76" s="9">
        <v>414310.01</v>
      </c>
      <c r="J76" s="9">
        <v>405245.04</v>
      </c>
      <c r="K76" s="12">
        <v>0.76</v>
      </c>
      <c r="L76" s="9">
        <v>-3659.09</v>
      </c>
      <c r="M76" s="9">
        <v>-126854.91</v>
      </c>
      <c r="N76" s="9">
        <v>38555.95</v>
      </c>
      <c r="O76" s="9">
        <v>-91958.04</v>
      </c>
      <c r="P76" s="12">
        <v>173.72</v>
      </c>
      <c r="Q76" s="12">
        <v>59.07</v>
      </c>
      <c r="R76" s="12">
        <v>12.08</v>
      </c>
      <c r="S76" s="12">
        <v>82.23</v>
      </c>
      <c r="T76" s="12">
        <v>84.07</v>
      </c>
      <c r="U76" s="12">
        <v>0.6</v>
      </c>
      <c r="V76" s="12">
        <v>45.7</v>
      </c>
      <c r="W76" s="12">
        <v>0.94</v>
      </c>
      <c r="X76" s="12">
        <v>0.68</v>
      </c>
      <c r="Y76" s="12">
        <v>6.13</v>
      </c>
      <c r="Z76" s="12">
        <v>0.7</v>
      </c>
      <c r="AA76" s="9">
        <v>3992.47</v>
      </c>
      <c r="AB76" s="12">
        <v>0.09</v>
      </c>
      <c r="AC76" s="12">
        <v>4.85</v>
      </c>
      <c r="AD76" s="12">
        <v>75.29</v>
      </c>
      <c r="AE76" s="12">
        <v>7.91</v>
      </c>
      <c r="AF76" s="12">
        <v>46.13</v>
      </c>
      <c r="AG76" s="12">
        <v>29.25</v>
      </c>
    </row>
    <row r="77">
      <c r="A77" s="8" t="s">
        <v>324</v>
      </c>
      <c r="B77" s="9">
        <v>1226217.38</v>
      </c>
      <c r="C77" s="9">
        <v>104011.99</v>
      </c>
      <c r="D77" s="9">
        <v>280946.34</v>
      </c>
      <c r="E77" s="9">
        <v>1118447.2</v>
      </c>
      <c r="F77" s="9">
        <v>955190.04</v>
      </c>
      <c r="G77" s="9">
        <v>816926.24</v>
      </c>
      <c r="H77" s="9">
        <v>273886.31</v>
      </c>
      <c r="I77" s="9">
        <v>138263.8</v>
      </c>
      <c r="J77" s="9">
        <v>110096.66</v>
      </c>
      <c r="K77" s="12">
        <v>0.04</v>
      </c>
      <c r="L77" s="9">
        <v>288818.03</v>
      </c>
      <c r="M77" s="9">
        <v>-87791.18</v>
      </c>
      <c r="N77" s="9">
        <v>-65197.82</v>
      </c>
      <c r="O77" s="9">
        <v>135829.02</v>
      </c>
      <c r="P77" s="12">
        <v>10.09</v>
      </c>
      <c r="Q77" s="12">
        <v>11.41</v>
      </c>
      <c r="R77" s="12">
        <v>30.22</v>
      </c>
      <c r="S77" s="12">
        <v>11.64</v>
      </c>
      <c r="T77" s="12">
        <v>14.48</v>
      </c>
      <c r="U77" s="12">
        <v>0.09</v>
      </c>
      <c r="V77" s="12">
        <v>88.89</v>
      </c>
      <c r="W77" s="12">
        <v>7.75</v>
      </c>
      <c r="X77" s="12">
        <v>6.95</v>
      </c>
      <c r="Y77" s="12">
        <v>1.63</v>
      </c>
      <c r="Z77" s="12">
        <v>0.79</v>
      </c>
      <c r="AA77" s="12">
        <v>9.21</v>
      </c>
      <c r="AB77" s="12">
        <v>39.63</v>
      </c>
      <c r="AC77" s="12">
        <v>5.33</v>
      </c>
      <c r="AD77" s="12">
        <v>68.44</v>
      </c>
      <c r="AE77" s="12">
        <v>12.26</v>
      </c>
      <c r="AF77" s="12">
        <v>29.76</v>
      </c>
      <c r="AG77" s="12">
        <v>78.31</v>
      </c>
    </row>
    <row r="78">
      <c r="A78" s="8" t="s">
        <v>132</v>
      </c>
      <c r="B78" s="9">
        <v>481888.76</v>
      </c>
      <c r="C78" s="9">
        <v>284792.1</v>
      </c>
      <c r="D78" s="9">
        <v>120000.0</v>
      </c>
      <c r="E78" s="9">
        <v>197096.66</v>
      </c>
      <c r="F78" s="9">
        <v>712527.22</v>
      </c>
      <c r="G78" s="9">
        <v>670343.02</v>
      </c>
      <c r="H78" s="9">
        <v>63226.57</v>
      </c>
      <c r="I78" s="9">
        <v>42184.2</v>
      </c>
      <c r="J78" s="9">
        <v>30967.76</v>
      </c>
      <c r="K78" s="12">
        <v>0.06</v>
      </c>
      <c r="L78" s="9">
        <v>88955.6</v>
      </c>
      <c r="M78" s="9">
        <v>-13779.34</v>
      </c>
      <c r="N78" s="9">
        <v>-64179.55</v>
      </c>
      <c r="O78" s="9">
        <v>10996.71</v>
      </c>
      <c r="P78" s="12">
        <v>16.95</v>
      </c>
      <c r="Q78" s="12">
        <v>8.97</v>
      </c>
      <c r="R78" s="12">
        <v>29.58</v>
      </c>
      <c r="S78" s="12">
        <v>4.35</v>
      </c>
      <c r="T78" s="12">
        <v>5.92</v>
      </c>
      <c r="U78" s="12">
        <v>1.44</v>
      </c>
      <c r="V78" s="12">
        <v>4.18</v>
      </c>
      <c r="W78" s="12">
        <v>1.27</v>
      </c>
      <c r="X78" s="12">
        <v>0.52</v>
      </c>
      <c r="Y78" s="12">
        <v>13.06</v>
      </c>
      <c r="Z78" s="12">
        <v>1.52</v>
      </c>
      <c r="AA78" s="12">
        <v>2.61</v>
      </c>
      <c r="AB78" s="12">
        <v>139.89</v>
      </c>
      <c r="AC78" s="12">
        <v>6.73</v>
      </c>
      <c r="AD78" s="12">
        <v>54.27</v>
      </c>
      <c r="AE78" s="12">
        <v>7.08</v>
      </c>
      <c r="AF78" s="12">
        <v>51.55</v>
      </c>
      <c r="AG78" s="12">
        <v>142.6</v>
      </c>
    </row>
    <row r="79">
      <c r="A79" s="8" t="s">
        <v>134</v>
      </c>
      <c r="B79" s="9">
        <v>573759.4</v>
      </c>
      <c r="C79" s="9">
        <v>89014.26</v>
      </c>
      <c r="D79" s="9">
        <v>215000.0</v>
      </c>
      <c r="E79" s="9">
        <v>484745.14</v>
      </c>
      <c r="F79" s="9">
        <v>437972.81</v>
      </c>
      <c r="G79" s="9">
        <v>404051.69</v>
      </c>
      <c r="H79" s="9">
        <v>50335.03</v>
      </c>
      <c r="I79" s="9">
        <v>33921.12</v>
      </c>
      <c r="J79" s="9">
        <v>23396.27</v>
      </c>
      <c r="K79" s="12">
        <v>0.06</v>
      </c>
      <c r="L79" s="9">
        <v>44299.95</v>
      </c>
      <c r="M79" s="9">
        <v>-147337.48</v>
      </c>
      <c r="N79" s="9">
        <v>129574.99</v>
      </c>
      <c r="O79" s="9">
        <v>26537.46</v>
      </c>
      <c r="P79" s="12">
        <v>5.6</v>
      </c>
      <c r="Q79" s="12">
        <v>6.68</v>
      </c>
      <c r="R79" s="12">
        <v>35.43</v>
      </c>
      <c r="S79" s="12">
        <v>5.34</v>
      </c>
      <c r="T79" s="12">
        <v>7.75</v>
      </c>
      <c r="U79" s="12">
        <v>0.18</v>
      </c>
      <c r="V79" s="12">
        <v>10.45</v>
      </c>
      <c r="W79" s="12">
        <v>9.66</v>
      </c>
      <c r="X79" s="12">
        <v>4.46</v>
      </c>
      <c r="Y79" s="12">
        <v>2.87</v>
      </c>
      <c r="Z79" s="12">
        <v>0.86</v>
      </c>
      <c r="AA79" s="12">
        <v>1.62</v>
      </c>
      <c r="AB79" s="12">
        <v>225.5</v>
      </c>
      <c r="AC79" s="12">
        <v>4.58</v>
      </c>
      <c r="AD79" s="12">
        <v>79.65</v>
      </c>
      <c r="AE79" s="12">
        <v>11.03</v>
      </c>
      <c r="AF79" s="12">
        <v>33.09</v>
      </c>
      <c r="AG79" s="12">
        <v>272.07</v>
      </c>
    </row>
    <row r="80">
      <c r="A80" s="8" t="s">
        <v>135</v>
      </c>
      <c r="B80" s="9">
        <v>940408.06</v>
      </c>
      <c r="C80" s="9">
        <v>481359.08</v>
      </c>
      <c r="D80" s="9">
        <v>300000.0</v>
      </c>
      <c r="E80" s="9">
        <v>457782.09</v>
      </c>
      <c r="F80" s="9">
        <v>652669.51</v>
      </c>
      <c r="G80" s="9">
        <v>578786.45</v>
      </c>
      <c r="H80" s="9">
        <v>81453.44</v>
      </c>
      <c r="I80" s="9">
        <v>73883.06</v>
      </c>
      <c r="J80" s="9">
        <v>56312.35</v>
      </c>
      <c r="K80" s="12">
        <v>0.12</v>
      </c>
      <c r="L80" s="9">
        <v>-20817.99</v>
      </c>
      <c r="M80" s="12">
        <v>-745.54</v>
      </c>
      <c r="N80" s="9">
        <v>74272.32</v>
      </c>
      <c r="O80" s="9">
        <v>52708.8</v>
      </c>
      <c r="P80" s="12">
        <v>14.98</v>
      </c>
      <c r="Q80" s="12">
        <v>8.4</v>
      </c>
      <c r="R80" s="12">
        <v>27.63</v>
      </c>
      <c r="S80" s="12">
        <v>8.68</v>
      </c>
      <c r="T80" s="12">
        <v>11.32</v>
      </c>
      <c r="U80" s="12">
        <v>1.05</v>
      </c>
      <c r="V80" s="12">
        <v>25.6</v>
      </c>
      <c r="W80" s="12">
        <v>2.13</v>
      </c>
      <c r="X80" s="12">
        <v>0.16</v>
      </c>
      <c r="Y80" s="12">
        <v>9.74</v>
      </c>
      <c r="Z80" s="12">
        <v>0.74</v>
      </c>
      <c r="AA80" s="12">
        <v>0.8</v>
      </c>
      <c r="AB80" s="12">
        <v>458.59</v>
      </c>
      <c r="AC80" s="12">
        <v>228.65</v>
      </c>
      <c r="AD80" s="12">
        <v>1.6</v>
      </c>
      <c r="AE80" s="12">
        <v>3.55</v>
      </c>
      <c r="AF80" s="12">
        <v>102.91</v>
      </c>
      <c r="AG80" s="12">
        <v>357.28</v>
      </c>
    </row>
    <row r="81">
      <c r="A81" s="8" t="s">
        <v>136</v>
      </c>
      <c r="B81" s="9">
        <v>429189.69</v>
      </c>
      <c r="C81" s="9">
        <v>84157.71</v>
      </c>
      <c r="D81" s="9">
        <v>210000.0</v>
      </c>
      <c r="E81" s="9">
        <v>345024.33</v>
      </c>
      <c r="F81" s="9">
        <v>341929.7</v>
      </c>
      <c r="G81" s="9">
        <v>310202.78</v>
      </c>
      <c r="H81" s="9">
        <v>58569.93</v>
      </c>
      <c r="I81" s="9">
        <v>31726.92</v>
      </c>
      <c r="J81" s="9">
        <v>27047.97</v>
      </c>
      <c r="K81" s="12">
        <v>0.06</v>
      </c>
      <c r="L81" s="9">
        <v>48259.36</v>
      </c>
      <c r="M81" s="9">
        <v>-18084.34</v>
      </c>
      <c r="N81" s="9">
        <v>-55413.01</v>
      </c>
      <c r="O81" s="9">
        <v>-25237.99</v>
      </c>
      <c r="P81" s="12">
        <v>7.86</v>
      </c>
      <c r="Q81" s="12">
        <v>7.15</v>
      </c>
      <c r="R81" s="12">
        <v>21.88</v>
      </c>
      <c r="S81" s="12">
        <v>7.91</v>
      </c>
      <c r="T81" s="12">
        <v>9.28</v>
      </c>
      <c r="U81" s="12">
        <v>0.24</v>
      </c>
      <c r="V81" s="12">
        <v>10.27</v>
      </c>
      <c r="W81" s="12">
        <v>3.4</v>
      </c>
      <c r="X81" s="12">
        <v>1.72</v>
      </c>
      <c r="Y81" s="12">
        <v>1.92</v>
      </c>
      <c r="Z81" s="12">
        <v>0.77</v>
      </c>
      <c r="AA81" s="12">
        <v>2.25</v>
      </c>
      <c r="AB81" s="12">
        <v>162.09</v>
      </c>
      <c r="AC81" s="12">
        <v>5.29</v>
      </c>
      <c r="AD81" s="12">
        <v>68.97</v>
      </c>
      <c r="AE81" s="12">
        <v>12.72</v>
      </c>
      <c r="AF81" s="12">
        <v>28.7</v>
      </c>
      <c r="AG81" s="12">
        <v>202.36</v>
      </c>
    </row>
    <row r="82">
      <c r="A82" s="8" t="s">
        <v>137</v>
      </c>
      <c r="B82" s="9">
        <v>340247.72</v>
      </c>
      <c r="C82" s="9">
        <v>86369.51</v>
      </c>
      <c r="D82" s="9">
        <v>150000.0</v>
      </c>
      <c r="E82" s="9">
        <v>253878.2</v>
      </c>
      <c r="F82" s="9">
        <v>548293.74</v>
      </c>
      <c r="G82" s="9">
        <v>580717.86</v>
      </c>
      <c r="H82" s="9">
        <v>1912.22</v>
      </c>
      <c r="I82" s="9">
        <v>-32424.12</v>
      </c>
      <c r="J82" s="9">
        <v>-27088.8</v>
      </c>
      <c r="K82" s="12">
        <v>-0.05</v>
      </c>
      <c r="L82" s="9">
        <v>22650.02</v>
      </c>
      <c r="M82" s="9">
        <v>-21967.08</v>
      </c>
      <c r="N82" s="9">
        <v>-11843.44</v>
      </c>
      <c r="O82" s="9">
        <v>-11160.5</v>
      </c>
      <c r="P82" s="12">
        <v>-10.13</v>
      </c>
      <c r="Q82" s="12">
        <v>-9.01</v>
      </c>
      <c r="R82" s="12">
        <v>9.79</v>
      </c>
      <c r="S82" s="12">
        <v>-4.94</v>
      </c>
      <c r="T82" s="12">
        <v>-5.91</v>
      </c>
      <c r="U82" s="12">
        <v>0.34</v>
      </c>
      <c r="V82" s="12">
        <v>-103.75</v>
      </c>
      <c r="W82" s="12">
        <v>1.36</v>
      </c>
      <c r="X82" s="12">
        <v>1.11</v>
      </c>
      <c r="Y82" s="12">
        <v>3.81</v>
      </c>
      <c r="Z82" s="12">
        <v>1.52</v>
      </c>
      <c r="AA82" s="12">
        <v>27.21</v>
      </c>
      <c r="AB82" s="12">
        <v>13.42</v>
      </c>
      <c r="AC82" s="12">
        <v>58.71</v>
      </c>
      <c r="AD82" s="12">
        <v>6.22</v>
      </c>
      <c r="AE82" s="12">
        <v>6.02</v>
      </c>
      <c r="AF82" s="12">
        <v>60.59</v>
      </c>
      <c r="AG82" s="12">
        <v>-40.96</v>
      </c>
    </row>
    <row r="83">
      <c r="A83" s="8" t="s">
        <v>139</v>
      </c>
      <c r="B83" s="9">
        <v>3550745.31</v>
      </c>
      <c r="C83" s="9">
        <v>2418185.91</v>
      </c>
      <c r="D83" s="9">
        <v>221449.46</v>
      </c>
      <c r="E83" s="9">
        <v>1132559.03</v>
      </c>
      <c r="F83" s="9">
        <v>456603.37</v>
      </c>
      <c r="G83" s="9">
        <v>241245.68</v>
      </c>
      <c r="H83" s="9">
        <v>246301.44</v>
      </c>
      <c r="I83" s="9">
        <v>215357.69</v>
      </c>
      <c r="J83" s="9">
        <v>103097.28</v>
      </c>
      <c r="K83" s="12">
        <v>0.47</v>
      </c>
      <c r="L83" s="9">
        <v>17306.85</v>
      </c>
      <c r="M83" s="9">
        <v>-717270.02</v>
      </c>
      <c r="N83" s="9">
        <v>830026.51</v>
      </c>
      <c r="O83" s="9">
        <v>130063.34</v>
      </c>
      <c r="P83" s="12">
        <v>9.1</v>
      </c>
      <c r="Q83" s="12">
        <v>6.07</v>
      </c>
      <c r="R83" s="12">
        <v>71.25</v>
      </c>
      <c r="S83" s="12">
        <v>22.58</v>
      </c>
      <c r="T83" s="12">
        <v>47.17</v>
      </c>
      <c r="U83" s="12">
        <v>2.14</v>
      </c>
      <c r="V83" s="12">
        <v>2.56</v>
      </c>
      <c r="W83" s="12">
        <v>2.33</v>
      </c>
      <c r="X83" s="12">
        <v>0.18</v>
      </c>
      <c r="Y83" s="12" t="s">
        <v>46</v>
      </c>
      <c r="Z83" s="12">
        <v>0.13</v>
      </c>
      <c r="AA83" s="12" t="s">
        <v>47</v>
      </c>
      <c r="AB83" s="12" t="s">
        <v>46</v>
      </c>
      <c r="AC83" s="12" t="s">
        <v>47</v>
      </c>
      <c r="AD83" s="12" t="s">
        <v>46</v>
      </c>
      <c r="AE83" s="12" t="s">
        <v>47</v>
      </c>
      <c r="AF83" s="12" t="s">
        <v>46</v>
      </c>
      <c r="AG83" s="12" t="s">
        <v>46</v>
      </c>
    </row>
    <row r="84">
      <c r="A84" s="8" t="s">
        <v>140</v>
      </c>
      <c r="B84" s="9">
        <v>1177593.39</v>
      </c>
      <c r="C84" s="9">
        <v>672415.59</v>
      </c>
      <c r="D84" s="9">
        <v>191895.14</v>
      </c>
      <c r="E84" s="9">
        <v>505177.81</v>
      </c>
      <c r="F84" s="9">
        <v>1440184.15</v>
      </c>
      <c r="G84" s="9">
        <v>1389316.87</v>
      </c>
      <c r="H84" s="9">
        <v>126350.32</v>
      </c>
      <c r="I84" s="9">
        <v>67499.34</v>
      </c>
      <c r="J84" s="9">
        <v>50977.05</v>
      </c>
      <c r="K84" s="12">
        <v>0.27</v>
      </c>
      <c r="L84" s="9">
        <v>137196.31</v>
      </c>
      <c r="M84" s="9">
        <v>-75469.97</v>
      </c>
      <c r="N84" s="9">
        <v>-47072.52</v>
      </c>
      <c r="O84" s="9">
        <v>14653.81</v>
      </c>
      <c r="P84" s="12">
        <v>9.89</v>
      </c>
      <c r="Q84" s="12">
        <v>5.82</v>
      </c>
      <c r="R84" s="12">
        <v>10.47</v>
      </c>
      <c r="S84" s="12">
        <v>3.54</v>
      </c>
      <c r="T84" s="12">
        <v>4.69</v>
      </c>
      <c r="U84" s="12">
        <v>1.33</v>
      </c>
      <c r="V84" s="12">
        <v>6.34</v>
      </c>
      <c r="W84" s="12">
        <v>0.91</v>
      </c>
      <c r="X84" s="12">
        <v>0.57</v>
      </c>
      <c r="Y84" s="12">
        <v>2.55</v>
      </c>
      <c r="Z84" s="12">
        <v>1.24</v>
      </c>
      <c r="AA84" s="12">
        <v>6.67</v>
      </c>
      <c r="AB84" s="12">
        <v>54.7</v>
      </c>
      <c r="AC84" s="12">
        <v>4.84</v>
      </c>
      <c r="AD84" s="12">
        <v>75.39</v>
      </c>
      <c r="AE84" s="12">
        <v>7.26</v>
      </c>
      <c r="AF84" s="12">
        <v>50.28</v>
      </c>
      <c r="AG84" s="12">
        <v>79.81</v>
      </c>
    </row>
    <row r="85">
      <c r="A85" s="8" t="s">
        <v>141</v>
      </c>
      <c r="B85" s="9">
        <v>4813231.02</v>
      </c>
      <c r="C85" s="9">
        <v>2865893.69</v>
      </c>
      <c r="D85" s="9">
        <v>1275137.24</v>
      </c>
      <c r="E85" s="9">
        <v>1865429.6</v>
      </c>
      <c r="F85" s="9">
        <v>802779.58</v>
      </c>
      <c r="G85" s="9">
        <v>806322.84</v>
      </c>
      <c r="H85" s="9">
        <v>-3929.62</v>
      </c>
      <c r="I85" s="9">
        <v>-12120.24</v>
      </c>
      <c r="J85" s="9">
        <v>-54036.78</v>
      </c>
      <c r="K85" s="12">
        <v>-0.04</v>
      </c>
      <c r="L85" s="9">
        <v>1087.77</v>
      </c>
      <c r="M85" s="9">
        <v>-96972.5</v>
      </c>
      <c r="N85" s="9">
        <v>90860.73</v>
      </c>
      <c r="O85" s="9">
        <v>-5024.0</v>
      </c>
      <c r="P85" s="12">
        <v>-2.78</v>
      </c>
      <c r="Q85" s="12">
        <v>-0.26</v>
      </c>
      <c r="R85" s="12">
        <v>7.71</v>
      </c>
      <c r="S85" s="12">
        <v>-7.63</v>
      </c>
      <c r="T85" s="12">
        <v>-1.51</v>
      </c>
      <c r="U85" s="12">
        <v>1.47</v>
      </c>
      <c r="V85" s="12">
        <v>-0.25</v>
      </c>
      <c r="W85" s="12">
        <v>1.41</v>
      </c>
      <c r="X85" s="12">
        <v>0.87</v>
      </c>
      <c r="Y85" s="12">
        <v>27.73</v>
      </c>
      <c r="Z85" s="12">
        <v>0.18</v>
      </c>
      <c r="AA85" s="12" t="s">
        <v>47</v>
      </c>
      <c r="AB85" s="12" t="s">
        <v>46</v>
      </c>
      <c r="AC85" s="12">
        <v>0.33</v>
      </c>
      <c r="AD85" s="9">
        <v>1114.79</v>
      </c>
      <c r="AE85" s="12">
        <v>0.35</v>
      </c>
      <c r="AF85" s="9">
        <v>1057.75</v>
      </c>
      <c r="AG85" s="12">
        <v>57.04</v>
      </c>
    </row>
    <row r="86">
      <c r="A86" s="8" t="s">
        <v>142</v>
      </c>
      <c r="B86" s="9">
        <v>499936.04</v>
      </c>
      <c r="C86" s="9">
        <v>62192.56</v>
      </c>
      <c r="D86" s="9">
        <v>200000.0</v>
      </c>
      <c r="E86" s="9">
        <v>403255.17</v>
      </c>
      <c r="F86" s="9">
        <v>681783.24</v>
      </c>
      <c r="G86" s="9">
        <v>587269.82</v>
      </c>
      <c r="H86" s="9">
        <v>103883.46</v>
      </c>
      <c r="I86" s="9">
        <v>94513.41</v>
      </c>
      <c r="J86" s="9">
        <v>71502.41</v>
      </c>
      <c r="K86" s="12">
        <v>0.18</v>
      </c>
      <c r="L86" s="9">
        <v>130190.84</v>
      </c>
      <c r="M86" s="9">
        <v>-38267.64</v>
      </c>
      <c r="N86" s="9">
        <v>-95783.33</v>
      </c>
      <c r="O86" s="9">
        <v>-3860.14</v>
      </c>
      <c r="P86" s="12">
        <v>18.35</v>
      </c>
      <c r="Q86" s="12">
        <v>18.51</v>
      </c>
      <c r="R86" s="12">
        <v>30.98</v>
      </c>
      <c r="S86" s="12">
        <v>11.03</v>
      </c>
      <c r="T86" s="12">
        <v>13.86</v>
      </c>
      <c r="U86" s="12">
        <v>0.14</v>
      </c>
      <c r="V86" s="12">
        <v>113.69</v>
      </c>
      <c r="W86" s="12">
        <v>6.68</v>
      </c>
      <c r="X86" s="12">
        <v>5.07</v>
      </c>
      <c r="Y86" s="12">
        <v>6.71</v>
      </c>
      <c r="Z86" s="12">
        <v>1.34</v>
      </c>
      <c r="AA86" s="12">
        <v>5.76</v>
      </c>
      <c r="AB86" s="12">
        <v>63.41</v>
      </c>
      <c r="AC86" s="12">
        <v>4.25</v>
      </c>
      <c r="AD86" s="12">
        <v>85.91</v>
      </c>
      <c r="AE86" s="12">
        <v>14.1</v>
      </c>
      <c r="AF86" s="12">
        <v>25.89</v>
      </c>
      <c r="AG86" s="12">
        <v>123.43</v>
      </c>
    </row>
    <row r="87">
      <c r="A87" s="8" t="s">
        <v>143</v>
      </c>
      <c r="B87" s="9">
        <v>1338681.54</v>
      </c>
      <c r="C87" s="9">
        <v>609199.62</v>
      </c>
      <c r="D87" s="9">
        <v>333500.0</v>
      </c>
      <c r="E87" s="9">
        <v>729481.33</v>
      </c>
      <c r="F87" s="9">
        <v>469484.96</v>
      </c>
      <c r="G87" s="9">
        <v>359000.18</v>
      </c>
      <c r="H87" s="9">
        <v>116138.51</v>
      </c>
      <c r="I87" s="9">
        <v>109438.77</v>
      </c>
      <c r="J87" s="9">
        <v>65985.73</v>
      </c>
      <c r="K87" s="12">
        <v>0.11</v>
      </c>
      <c r="L87" s="9">
        <v>-39060.34</v>
      </c>
      <c r="M87" s="9">
        <v>-12702.52</v>
      </c>
      <c r="N87" s="9">
        <v>57807.77</v>
      </c>
      <c r="O87" s="9">
        <v>6044.92</v>
      </c>
      <c r="P87" s="12">
        <v>9.05</v>
      </c>
      <c r="Q87" s="12">
        <v>8.18</v>
      </c>
      <c r="R87" s="12">
        <v>31.74</v>
      </c>
      <c r="S87" s="12">
        <v>14.05</v>
      </c>
      <c r="T87" s="12">
        <v>23.31</v>
      </c>
      <c r="U87" s="12">
        <v>0.84</v>
      </c>
      <c r="V87" s="12">
        <v>3.67</v>
      </c>
      <c r="W87" s="12">
        <v>1.05</v>
      </c>
      <c r="X87" s="12">
        <v>0.05</v>
      </c>
      <c r="Y87" s="12" t="s">
        <v>46</v>
      </c>
      <c r="Z87" s="12">
        <v>0.35</v>
      </c>
      <c r="AA87" s="12" t="s">
        <v>47</v>
      </c>
      <c r="AB87" s="12" t="s">
        <v>46</v>
      </c>
      <c r="AC87" s="12" t="s">
        <v>47</v>
      </c>
      <c r="AD87" s="12" t="s">
        <v>46</v>
      </c>
      <c r="AE87" s="12" t="s">
        <v>47</v>
      </c>
      <c r="AF87" s="12" t="s">
        <v>46</v>
      </c>
      <c r="AG87" s="12" t="s">
        <v>46</v>
      </c>
    </row>
    <row r="88">
      <c r="A88" s="8" t="s">
        <v>144</v>
      </c>
      <c r="B88" s="9">
        <v>1009934.8</v>
      </c>
      <c r="C88" s="9">
        <v>230666.73</v>
      </c>
      <c r="D88" s="9">
        <v>168639.63</v>
      </c>
      <c r="E88" s="9">
        <v>779268.07</v>
      </c>
      <c r="F88" s="9">
        <v>804846.74</v>
      </c>
      <c r="G88" s="9">
        <v>810862.52</v>
      </c>
      <c r="H88" s="9">
        <v>110205.09</v>
      </c>
      <c r="I88" s="9">
        <v>96498.17</v>
      </c>
      <c r="J88" s="9">
        <v>88365.98</v>
      </c>
      <c r="K88" s="12">
        <v>0.52</v>
      </c>
      <c r="L88" s="9">
        <v>-12808.06</v>
      </c>
      <c r="M88" s="9">
        <v>71290.87</v>
      </c>
      <c r="N88" s="9">
        <v>-47991.09</v>
      </c>
      <c r="O88" s="9">
        <v>10491.72</v>
      </c>
      <c r="P88" s="12">
        <v>11.66</v>
      </c>
      <c r="Q88" s="12">
        <v>9.83</v>
      </c>
      <c r="R88" s="12">
        <v>42.55</v>
      </c>
      <c r="S88" s="12">
        <v>10.98</v>
      </c>
      <c r="T88" s="12">
        <v>11.99</v>
      </c>
      <c r="U88" s="12">
        <v>0.3</v>
      </c>
      <c r="V88" s="12">
        <v>264.43</v>
      </c>
      <c r="W88" s="12">
        <v>1.77</v>
      </c>
      <c r="X88" s="12">
        <v>1.33</v>
      </c>
      <c r="Y88" s="12">
        <v>24.29</v>
      </c>
      <c r="Z88" s="12">
        <v>0.82</v>
      </c>
      <c r="AA88" s="12">
        <v>5.11</v>
      </c>
      <c r="AB88" s="12">
        <v>71.4</v>
      </c>
      <c r="AC88" s="12">
        <v>3.72</v>
      </c>
      <c r="AD88" s="12">
        <v>98.19</v>
      </c>
      <c r="AE88" s="12">
        <v>2.29</v>
      </c>
      <c r="AF88" s="12">
        <v>159.69</v>
      </c>
      <c r="AG88" s="12">
        <v>9.9</v>
      </c>
    </row>
    <row r="89">
      <c r="A89" s="8" t="s">
        <v>145</v>
      </c>
      <c r="B89" s="9">
        <v>509755.7</v>
      </c>
      <c r="C89" s="9">
        <v>165531.83</v>
      </c>
      <c r="D89" s="9">
        <v>326543.58</v>
      </c>
      <c r="E89" s="9">
        <v>325843.51</v>
      </c>
      <c r="F89" s="9">
        <v>40312.95</v>
      </c>
      <c r="G89" s="9">
        <v>55745.03</v>
      </c>
      <c r="H89" s="9">
        <v>-13683.26</v>
      </c>
      <c r="I89" s="9">
        <v>-15432.08</v>
      </c>
      <c r="J89" s="9">
        <v>-15771.21</v>
      </c>
      <c r="K89" s="12" t="s">
        <v>46</v>
      </c>
      <c r="L89" s="9">
        <v>-52420.28</v>
      </c>
      <c r="M89" s="9">
        <v>-233885.66</v>
      </c>
      <c r="N89" s="9">
        <v>-1626.46</v>
      </c>
      <c r="O89" s="9">
        <v>-287932.4</v>
      </c>
      <c r="P89" s="12">
        <v>-4.72</v>
      </c>
      <c r="Q89" s="12">
        <v>-2.97</v>
      </c>
      <c r="R89" s="12">
        <v>42.26</v>
      </c>
      <c r="S89" s="12">
        <v>-45.18</v>
      </c>
      <c r="T89" s="12">
        <v>-38.28</v>
      </c>
      <c r="U89" s="12">
        <v>0.48</v>
      </c>
      <c r="V89" s="12">
        <v>-5.57</v>
      </c>
      <c r="W89" s="12">
        <v>0.61</v>
      </c>
      <c r="X89" s="12">
        <v>0.31</v>
      </c>
      <c r="Y89" s="12">
        <v>3.61</v>
      </c>
      <c r="Z89" s="12">
        <v>0.08</v>
      </c>
      <c r="AA89" s="12">
        <v>0.1</v>
      </c>
      <c r="AB89" s="9">
        <v>3805.97</v>
      </c>
      <c r="AC89" s="12">
        <v>0.26</v>
      </c>
      <c r="AD89" s="9">
        <v>1407.8</v>
      </c>
      <c r="AE89" s="12">
        <v>0.12</v>
      </c>
      <c r="AF89" s="9">
        <v>3109.94</v>
      </c>
      <c r="AG89" s="9">
        <v>2103.83</v>
      </c>
    </row>
    <row r="90">
      <c r="A90" s="8" t="s">
        <v>147</v>
      </c>
      <c r="B90" s="9">
        <v>4210286.63</v>
      </c>
      <c r="C90" s="9">
        <v>1514416.08</v>
      </c>
      <c r="D90" s="9">
        <v>1054903.75</v>
      </c>
      <c r="E90" s="9">
        <v>2700598.04</v>
      </c>
      <c r="F90" s="9">
        <v>3059774.52</v>
      </c>
      <c r="G90" s="9">
        <v>3046673.48</v>
      </c>
      <c r="H90" s="9">
        <v>221261.93</v>
      </c>
      <c r="I90" s="9">
        <v>13101.03</v>
      </c>
      <c r="J90" s="9">
        <v>-18936.9</v>
      </c>
      <c r="K90" s="12">
        <v>-0.02</v>
      </c>
      <c r="L90" s="9">
        <v>168428.95</v>
      </c>
      <c r="M90" s="9">
        <v>-155004.96</v>
      </c>
      <c r="N90" s="9">
        <v>-76673.42</v>
      </c>
      <c r="O90" s="9">
        <v>-63249.44</v>
      </c>
      <c r="P90" s="12">
        <v>-0.69</v>
      </c>
      <c r="Q90" s="12">
        <v>0.31</v>
      </c>
      <c r="R90" s="12">
        <v>58.84</v>
      </c>
      <c r="S90" s="12">
        <v>-0.83</v>
      </c>
      <c r="T90" s="12">
        <v>0.43</v>
      </c>
      <c r="U90" s="12">
        <v>0.56</v>
      </c>
      <c r="V90" s="12">
        <v>0.35</v>
      </c>
      <c r="W90" s="12">
        <v>0.85</v>
      </c>
      <c r="X90" s="12">
        <v>0.51</v>
      </c>
      <c r="Y90" s="12">
        <v>5.35</v>
      </c>
      <c r="Z90" s="12">
        <v>0.72</v>
      </c>
      <c r="AA90" s="12">
        <v>6.79</v>
      </c>
      <c r="AB90" s="12">
        <v>53.77</v>
      </c>
      <c r="AC90" s="12">
        <v>25.43</v>
      </c>
      <c r="AD90" s="12">
        <v>14.35</v>
      </c>
      <c r="AE90" s="12">
        <v>3.12</v>
      </c>
      <c r="AF90" s="12">
        <v>116.96</v>
      </c>
      <c r="AG90" s="12">
        <v>-48.84</v>
      </c>
    </row>
    <row r="91">
      <c r="A91" s="8" t="s">
        <v>148</v>
      </c>
      <c r="B91" s="9">
        <v>358683.98</v>
      </c>
      <c r="C91" s="9">
        <v>193011.19</v>
      </c>
      <c r="D91" s="9">
        <v>100000.0</v>
      </c>
      <c r="E91" s="9">
        <v>166079.75</v>
      </c>
      <c r="F91" s="9">
        <v>334416.13</v>
      </c>
      <c r="G91" s="9">
        <v>295050.3</v>
      </c>
      <c r="H91" s="9">
        <v>51249.4</v>
      </c>
      <c r="I91" s="9">
        <v>39354.83</v>
      </c>
      <c r="J91" s="9">
        <v>30194.7</v>
      </c>
      <c r="K91" s="12">
        <v>0.15</v>
      </c>
      <c r="L91" s="9">
        <v>-37351.88</v>
      </c>
      <c r="M91" s="9">
        <v>5339.34</v>
      </c>
      <c r="N91" s="9">
        <v>4853.0</v>
      </c>
      <c r="O91" s="9">
        <v>-27159.55</v>
      </c>
      <c r="P91" s="12">
        <v>19.88</v>
      </c>
      <c r="Q91" s="12">
        <v>11.46</v>
      </c>
      <c r="R91" s="12">
        <v>32.55</v>
      </c>
      <c r="S91" s="12">
        <v>8.91</v>
      </c>
      <c r="T91" s="12">
        <v>11.77</v>
      </c>
      <c r="U91" s="12">
        <v>1.17</v>
      </c>
      <c r="V91" s="12">
        <v>17.24</v>
      </c>
      <c r="W91" s="12">
        <v>1.74</v>
      </c>
      <c r="X91" s="12">
        <v>1.61</v>
      </c>
      <c r="Y91" s="12">
        <v>4.0</v>
      </c>
      <c r="Z91" s="12">
        <v>0.97</v>
      </c>
      <c r="AA91" s="12">
        <v>37.57</v>
      </c>
      <c r="AB91" s="12">
        <v>9.72</v>
      </c>
      <c r="AC91" s="12">
        <v>1.95</v>
      </c>
      <c r="AD91" s="12">
        <v>186.91</v>
      </c>
      <c r="AE91" s="12">
        <v>2.32</v>
      </c>
      <c r="AF91" s="12">
        <v>157.25</v>
      </c>
      <c r="AG91" s="12">
        <v>39.38</v>
      </c>
    </row>
    <row r="92">
      <c r="A92" s="8" t="s">
        <v>149</v>
      </c>
      <c r="B92" s="9">
        <v>812538.21</v>
      </c>
      <c r="C92" s="9">
        <v>502961.91</v>
      </c>
      <c r="D92" s="9">
        <v>113538.06</v>
      </c>
      <c r="E92" s="9">
        <v>284709.82</v>
      </c>
      <c r="F92" s="9">
        <v>1281696.82</v>
      </c>
      <c r="G92" s="9">
        <v>1288642.27</v>
      </c>
      <c r="H92" s="9">
        <v>45292.79</v>
      </c>
      <c r="I92" s="9">
        <v>21317.18</v>
      </c>
      <c r="J92" s="9">
        <v>11064.49</v>
      </c>
      <c r="K92" s="12">
        <v>0.02</v>
      </c>
      <c r="L92" s="9">
        <v>10047.79</v>
      </c>
      <c r="M92" s="9">
        <v>-7834.67</v>
      </c>
      <c r="N92" s="9">
        <v>6040.65</v>
      </c>
      <c r="O92" s="9">
        <v>8253.78</v>
      </c>
      <c r="P92" s="12">
        <v>3.96</v>
      </c>
      <c r="Q92" s="12">
        <v>2.75</v>
      </c>
      <c r="R92" s="12">
        <v>20.2</v>
      </c>
      <c r="S92" s="12">
        <v>0.91</v>
      </c>
      <c r="T92" s="12">
        <v>1.66</v>
      </c>
      <c r="U92" s="12">
        <v>1.62</v>
      </c>
      <c r="V92" s="12">
        <v>1.68</v>
      </c>
      <c r="W92" s="12">
        <v>0.84</v>
      </c>
      <c r="X92" s="12">
        <v>0.75</v>
      </c>
      <c r="Y92" s="12">
        <v>5.11</v>
      </c>
      <c r="Z92" s="12">
        <v>1.65</v>
      </c>
      <c r="AA92" s="12">
        <v>296.88</v>
      </c>
      <c r="AB92" s="12">
        <v>1.23</v>
      </c>
      <c r="AC92" s="12">
        <v>4.8</v>
      </c>
      <c r="AD92" s="12">
        <v>76.05</v>
      </c>
      <c r="AE92" s="12">
        <v>6.23</v>
      </c>
      <c r="AF92" s="12">
        <v>58.61</v>
      </c>
      <c r="AG92" s="12">
        <v>18.67</v>
      </c>
    </row>
    <row r="93">
      <c r="A93" s="8" t="s">
        <v>150</v>
      </c>
      <c r="B93" s="9">
        <v>1061353.87</v>
      </c>
      <c r="C93" s="9">
        <v>358686.85</v>
      </c>
      <c r="D93" s="9">
        <v>315391.51</v>
      </c>
      <c r="E93" s="9">
        <v>701804.12</v>
      </c>
      <c r="F93" s="9">
        <v>857258.22</v>
      </c>
      <c r="G93" s="9">
        <v>873025.95</v>
      </c>
      <c r="H93" s="9">
        <v>35214.74</v>
      </c>
      <c r="I93" s="9">
        <v>-11159.75</v>
      </c>
      <c r="J93" s="9">
        <v>-19542.6</v>
      </c>
      <c r="K93" s="12">
        <v>-0.06</v>
      </c>
      <c r="L93" s="9">
        <v>42254.75</v>
      </c>
      <c r="M93" s="9">
        <v>-68234.68</v>
      </c>
      <c r="N93" s="9">
        <v>-20199.24</v>
      </c>
      <c r="O93" s="9">
        <v>-46179.17</v>
      </c>
      <c r="P93" s="12">
        <v>-2.67</v>
      </c>
      <c r="Q93" s="12">
        <v>-0.98</v>
      </c>
      <c r="R93" s="12">
        <v>17.8</v>
      </c>
      <c r="S93" s="12">
        <v>-2.32</v>
      </c>
      <c r="T93" s="12">
        <v>-1.3</v>
      </c>
      <c r="U93" s="12">
        <v>0.51</v>
      </c>
      <c r="V93" s="12">
        <v>-1.3</v>
      </c>
      <c r="W93" s="12">
        <v>1.12</v>
      </c>
      <c r="X93" s="12">
        <v>0.65</v>
      </c>
      <c r="Y93" s="12">
        <v>1.35</v>
      </c>
      <c r="Z93" s="12">
        <v>0.75</v>
      </c>
      <c r="AA93" s="12">
        <v>5.42</v>
      </c>
      <c r="AB93" s="12">
        <v>67.33</v>
      </c>
      <c r="AC93" s="12">
        <v>6.86</v>
      </c>
      <c r="AD93" s="12">
        <v>53.21</v>
      </c>
      <c r="AE93" s="12">
        <v>7.46</v>
      </c>
      <c r="AF93" s="12">
        <v>48.93</v>
      </c>
      <c r="AG93" s="12">
        <v>71.6</v>
      </c>
    </row>
    <row r="94">
      <c r="A94" s="8" t="s">
        <v>151</v>
      </c>
      <c r="B94" s="9">
        <v>647221.94</v>
      </c>
      <c r="C94" s="9">
        <v>147524.45</v>
      </c>
      <c r="D94" s="9">
        <v>200000.0</v>
      </c>
      <c r="E94" s="9">
        <v>499697.49</v>
      </c>
      <c r="F94" s="9">
        <v>422218.74</v>
      </c>
      <c r="G94" s="9">
        <v>241173.52</v>
      </c>
      <c r="H94" s="9">
        <v>191150.06</v>
      </c>
      <c r="I94" s="9">
        <v>180979.97</v>
      </c>
      <c r="J94" s="9">
        <v>179077.42</v>
      </c>
      <c r="K94" s="12">
        <v>0.9</v>
      </c>
      <c r="L94" s="9">
        <v>177729.76</v>
      </c>
      <c r="M94" s="9">
        <v>-24627.96</v>
      </c>
      <c r="N94" s="9">
        <v>-151119.47</v>
      </c>
      <c r="O94" s="9">
        <v>1982.33</v>
      </c>
      <c r="P94" s="12">
        <v>36.86</v>
      </c>
      <c r="Q94" s="12">
        <v>28.78</v>
      </c>
      <c r="R94" s="12">
        <v>80.38</v>
      </c>
      <c r="S94" s="12">
        <v>42.41</v>
      </c>
      <c r="T94" s="12">
        <v>42.86</v>
      </c>
      <c r="U94" s="12">
        <v>0.3</v>
      </c>
      <c r="V94" s="12" t="s">
        <v>47</v>
      </c>
      <c r="W94" s="12">
        <v>3.45</v>
      </c>
      <c r="X94" s="12">
        <v>3.35</v>
      </c>
      <c r="Y94" s="12">
        <v>12.3</v>
      </c>
      <c r="Z94" s="12">
        <v>0.67</v>
      </c>
      <c r="AA94" s="12">
        <v>309.33</v>
      </c>
      <c r="AB94" s="12">
        <v>1.18</v>
      </c>
      <c r="AC94" s="12">
        <v>6.58</v>
      </c>
      <c r="AD94" s="12">
        <v>55.51</v>
      </c>
      <c r="AE94" s="12">
        <v>8.0</v>
      </c>
      <c r="AF94" s="12">
        <v>45.6</v>
      </c>
      <c r="AG94" s="12">
        <v>11.09</v>
      </c>
    </row>
    <row r="95">
      <c r="A95" s="8" t="s">
        <v>152</v>
      </c>
      <c r="B95" s="9">
        <v>706054.61</v>
      </c>
      <c r="C95" s="9">
        <v>138094.66</v>
      </c>
      <c r="D95" s="9">
        <v>6.788751223E7</v>
      </c>
      <c r="E95" s="9">
        <v>567959.95</v>
      </c>
      <c r="F95" s="9">
        <v>438396.75</v>
      </c>
      <c r="G95" s="9">
        <v>601119.26</v>
      </c>
      <c r="H95" s="9">
        <v>-122481.22</v>
      </c>
      <c r="I95" s="9">
        <v>-162722.51</v>
      </c>
      <c r="J95" s="9">
        <v>496286.86</v>
      </c>
      <c r="K95" s="12">
        <v>0.01</v>
      </c>
      <c r="L95" s="9">
        <v>-140785.74</v>
      </c>
      <c r="M95" s="9">
        <v>869884.66</v>
      </c>
      <c r="N95" s="9">
        <v>-573402.93</v>
      </c>
      <c r="O95" s="9">
        <v>155695.99</v>
      </c>
      <c r="P95" s="12">
        <v>133.58</v>
      </c>
      <c r="Q95" s="12">
        <v>-17.67</v>
      </c>
      <c r="R95" s="12">
        <v>24.45</v>
      </c>
      <c r="S95" s="12">
        <v>112.47</v>
      </c>
      <c r="T95" s="12">
        <v>-37.12</v>
      </c>
      <c r="U95" s="12">
        <v>0.24</v>
      </c>
      <c r="V95" s="12">
        <v>-5.59</v>
      </c>
      <c r="W95" s="12">
        <v>3.7</v>
      </c>
      <c r="X95" s="12">
        <v>3.38</v>
      </c>
      <c r="Y95" s="12">
        <v>4.93</v>
      </c>
      <c r="Z95" s="12">
        <v>0.48</v>
      </c>
      <c r="AA95" s="12">
        <v>96.32</v>
      </c>
      <c r="AB95" s="12">
        <v>3.79</v>
      </c>
      <c r="AC95" s="12">
        <v>2.77</v>
      </c>
      <c r="AD95" s="12">
        <v>131.76</v>
      </c>
      <c r="AE95" s="12">
        <v>1.1</v>
      </c>
      <c r="AF95" s="12">
        <v>333.07</v>
      </c>
      <c r="AG95" s="12">
        <v>-197.52</v>
      </c>
    </row>
    <row r="96">
      <c r="A96" s="8" t="s">
        <v>153</v>
      </c>
      <c r="B96" s="9">
        <v>496098.01</v>
      </c>
      <c r="C96" s="9">
        <v>64634.12</v>
      </c>
      <c r="D96" s="9">
        <v>100000.0</v>
      </c>
      <c r="E96" s="9">
        <v>431463.89</v>
      </c>
      <c r="F96" s="9">
        <v>344532.47</v>
      </c>
      <c r="G96" s="9">
        <v>323953.34</v>
      </c>
      <c r="H96" s="9">
        <v>35010.44</v>
      </c>
      <c r="I96" s="9">
        <v>20579.13</v>
      </c>
      <c r="J96" s="9">
        <v>14454.13</v>
      </c>
      <c r="K96" s="12">
        <v>1.45</v>
      </c>
      <c r="L96" s="9">
        <v>58514.67</v>
      </c>
      <c r="M96" s="9">
        <v>-14331.61</v>
      </c>
      <c r="N96" s="9">
        <v>-34961.89</v>
      </c>
      <c r="O96" s="9">
        <v>9221.16</v>
      </c>
      <c r="P96" s="12">
        <v>3.39</v>
      </c>
      <c r="Q96" s="12">
        <v>4.09</v>
      </c>
      <c r="R96" s="12">
        <v>15.25</v>
      </c>
      <c r="S96" s="12">
        <v>4.2</v>
      </c>
      <c r="T96" s="12">
        <v>5.97</v>
      </c>
      <c r="U96" s="12">
        <v>0.15</v>
      </c>
      <c r="V96" s="12">
        <v>18.45</v>
      </c>
      <c r="W96" s="12">
        <v>5.8</v>
      </c>
      <c r="X96" s="12">
        <v>3.79</v>
      </c>
      <c r="Y96" s="12">
        <v>1.35</v>
      </c>
      <c r="Z96" s="12">
        <v>0.69</v>
      </c>
      <c r="AA96" s="12">
        <v>4.01</v>
      </c>
      <c r="AB96" s="12">
        <v>91.0</v>
      </c>
      <c r="AC96" s="12">
        <v>3.76</v>
      </c>
      <c r="AD96" s="12">
        <v>96.96</v>
      </c>
      <c r="AE96" s="12">
        <v>10.66</v>
      </c>
      <c r="AF96" s="12">
        <v>34.22</v>
      </c>
      <c r="AG96" s="12">
        <v>153.74</v>
      </c>
    </row>
    <row r="97">
      <c r="A97" s="8" t="s">
        <v>154</v>
      </c>
      <c r="B97" s="9">
        <v>975037.04</v>
      </c>
      <c r="C97" s="9">
        <v>107530.39</v>
      </c>
      <c r="D97" s="9">
        <v>280000.0</v>
      </c>
      <c r="E97" s="9">
        <v>867506.65</v>
      </c>
      <c r="F97" s="9">
        <v>790528.04</v>
      </c>
      <c r="G97" s="9">
        <v>754841.75</v>
      </c>
      <c r="H97" s="9">
        <v>73032.78</v>
      </c>
      <c r="I97" s="9">
        <v>35686.29</v>
      </c>
      <c r="J97" s="9">
        <v>33008.87</v>
      </c>
      <c r="K97" s="12">
        <v>0.12</v>
      </c>
      <c r="L97" s="9">
        <v>129144.36</v>
      </c>
      <c r="M97" s="9">
        <v>-471189.12</v>
      </c>
      <c r="N97" s="9">
        <v>-19600.0</v>
      </c>
      <c r="O97" s="9">
        <v>-361644.76</v>
      </c>
      <c r="P97" s="12">
        <v>3.84</v>
      </c>
      <c r="Q97" s="12">
        <v>3.72</v>
      </c>
      <c r="R97" s="12">
        <v>11.13</v>
      </c>
      <c r="S97" s="12">
        <v>4.18</v>
      </c>
      <c r="T97" s="12">
        <v>4.51</v>
      </c>
      <c r="U97" s="12">
        <v>0.12</v>
      </c>
      <c r="V97" s="12">
        <v>283.22</v>
      </c>
      <c r="W97" s="12">
        <v>9.68</v>
      </c>
      <c r="X97" s="12">
        <v>8.06</v>
      </c>
      <c r="Y97" s="12">
        <v>11.15</v>
      </c>
      <c r="Z97" s="12">
        <v>0.82</v>
      </c>
      <c r="AA97" s="12">
        <v>172.53</v>
      </c>
      <c r="AB97" s="12">
        <v>2.12</v>
      </c>
      <c r="AC97" s="12">
        <v>3.83</v>
      </c>
      <c r="AD97" s="12">
        <v>95.35</v>
      </c>
      <c r="AE97" s="12">
        <v>10.63</v>
      </c>
      <c r="AF97" s="12">
        <v>34.34</v>
      </c>
      <c r="AG97" s="12">
        <v>63.12</v>
      </c>
    </row>
    <row r="98">
      <c r="A98" s="8" t="s">
        <v>156</v>
      </c>
      <c r="B98" s="9">
        <v>670176.9</v>
      </c>
      <c r="C98" s="9">
        <v>93217.19</v>
      </c>
      <c r="D98" s="9">
        <v>135000.0</v>
      </c>
      <c r="E98" s="9">
        <v>576959.71</v>
      </c>
      <c r="F98" s="9">
        <v>676624.45</v>
      </c>
      <c r="G98" s="9">
        <v>591744.86</v>
      </c>
      <c r="H98" s="9">
        <v>142587.49</v>
      </c>
      <c r="I98" s="9">
        <v>84879.59</v>
      </c>
      <c r="J98" s="9">
        <v>65877.68</v>
      </c>
      <c r="K98" s="12">
        <v>0.24</v>
      </c>
      <c r="L98" s="9">
        <v>137671.05</v>
      </c>
      <c r="M98" s="9">
        <v>-48950.43</v>
      </c>
      <c r="N98" s="9">
        <v>-53649.14</v>
      </c>
      <c r="O98" s="9">
        <v>35071.49</v>
      </c>
      <c r="P98" s="12">
        <v>11.54</v>
      </c>
      <c r="Q98" s="12">
        <v>12.52</v>
      </c>
      <c r="R98" s="12">
        <v>21.46</v>
      </c>
      <c r="S98" s="12">
        <v>9.74</v>
      </c>
      <c r="T98" s="12">
        <v>12.54</v>
      </c>
      <c r="U98" s="12">
        <v>0.16</v>
      </c>
      <c r="V98" s="12">
        <v>301.43</v>
      </c>
      <c r="W98" s="12">
        <v>5.03</v>
      </c>
      <c r="X98" s="12">
        <v>4.22</v>
      </c>
      <c r="Y98" s="12">
        <v>2.32</v>
      </c>
      <c r="Z98" s="12">
        <v>1.0</v>
      </c>
      <c r="AA98" s="12">
        <v>8.18</v>
      </c>
      <c r="AB98" s="12">
        <v>44.62</v>
      </c>
      <c r="AC98" s="12">
        <v>5.85</v>
      </c>
      <c r="AD98" s="12">
        <v>62.41</v>
      </c>
      <c r="AE98" s="12">
        <v>6.48</v>
      </c>
      <c r="AF98" s="12">
        <v>56.29</v>
      </c>
      <c r="AG98" s="12">
        <v>50.74</v>
      </c>
    </row>
    <row r="99">
      <c r="A99" s="8" t="s">
        <v>157</v>
      </c>
      <c r="B99" s="9">
        <v>567147.0</v>
      </c>
      <c r="C99" s="9">
        <v>266159.0</v>
      </c>
      <c r="D99" s="9">
        <v>202500.0</v>
      </c>
      <c r="E99" s="9">
        <v>302291.0</v>
      </c>
      <c r="F99" s="9">
        <v>916700.0</v>
      </c>
      <c r="G99" s="9">
        <v>861180.0</v>
      </c>
      <c r="H99" s="9">
        <v>71802.0</v>
      </c>
      <c r="I99" s="9">
        <v>58736.0</v>
      </c>
      <c r="J99" s="9">
        <v>41419.0</v>
      </c>
      <c r="K99" s="12">
        <v>0.2</v>
      </c>
      <c r="L99" s="9">
        <v>128618.0</v>
      </c>
      <c r="M99" s="9">
        <v>7111.0</v>
      </c>
      <c r="N99" s="9">
        <v>-107216.0</v>
      </c>
      <c r="O99" s="9">
        <v>28513.0</v>
      </c>
      <c r="P99" s="12">
        <v>14.37</v>
      </c>
      <c r="Q99" s="12">
        <v>9.63</v>
      </c>
      <c r="R99" s="12">
        <v>25.88</v>
      </c>
      <c r="S99" s="12">
        <v>4.52</v>
      </c>
      <c r="T99" s="12">
        <v>6.41</v>
      </c>
      <c r="U99" s="12">
        <v>0.88</v>
      </c>
      <c r="V99" s="12">
        <v>11.37</v>
      </c>
      <c r="W99" s="12">
        <v>1.82</v>
      </c>
      <c r="X99" s="12">
        <v>1.04</v>
      </c>
      <c r="Y99" s="12">
        <v>8.54</v>
      </c>
      <c r="Z99" s="12">
        <v>1.5</v>
      </c>
      <c r="AA99" s="12">
        <v>3.63</v>
      </c>
      <c r="AB99" s="12">
        <v>100.42</v>
      </c>
      <c r="AC99" s="12">
        <v>6.05</v>
      </c>
      <c r="AD99" s="12">
        <v>60.33</v>
      </c>
      <c r="AE99" s="12">
        <v>4.92</v>
      </c>
      <c r="AF99" s="12">
        <v>74.19</v>
      </c>
      <c r="AG99" s="12">
        <v>86.56</v>
      </c>
    </row>
    <row r="100">
      <c r="A100" s="8" t="s">
        <v>158</v>
      </c>
      <c r="B100" s="9">
        <v>864718.0</v>
      </c>
      <c r="C100" s="9">
        <v>440121.0</v>
      </c>
      <c r="D100" s="9">
        <v>215625.0</v>
      </c>
      <c r="E100" s="9">
        <v>420980.0</v>
      </c>
      <c r="F100" s="9">
        <v>1481959.47</v>
      </c>
      <c r="G100" s="9">
        <v>1438924.55</v>
      </c>
      <c r="H100" s="9">
        <v>65656.72</v>
      </c>
      <c r="I100" s="9">
        <v>44892.44</v>
      </c>
      <c r="J100" s="9">
        <v>31636.47</v>
      </c>
      <c r="K100" s="12">
        <v>0.14</v>
      </c>
      <c r="L100" s="9">
        <v>-66650.6</v>
      </c>
      <c r="M100" s="9">
        <v>-12194.5</v>
      </c>
      <c r="N100" s="9">
        <v>-78106.45</v>
      </c>
      <c r="O100" s="9">
        <v>-156951.55</v>
      </c>
      <c r="P100" s="12">
        <v>7.29</v>
      </c>
      <c r="Q100" s="12">
        <v>4.91</v>
      </c>
      <c r="R100" s="12">
        <v>24.33</v>
      </c>
      <c r="S100" s="12">
        <v>2.27</v>
      </c>
      <c r="T100" s="12">
        <v>3.03</v>
      </c>
      <c r="U100" s="12">
        <v>1.04</v>
      </c>
      <c r="V100" s="12">
        <v>70.9</v>
      </c>
      <c r="W100" s="12">
        <v>1.93</v>
      </c>
      <c r="X100" s="12">
        <v>1.38</v>
      </c>
      <c r="Y100" s="12">
        <v>11.7</v>
      </c>
      <c r="Z100" s="12">
        <v>1.62</v>
      </c>
      <c r="AA100" s="12" t="s">
        <v>47</v>
      </c>
      <c r="AB100" s="12" t="s">
        <v>46</v>
      </c>
      <c r="AC100" s="12">
        <v>7.23</v>
      </c>
      <c r="AD100" s="12">
        <v>50.49</v>
      </c>
      <c r="AE100" s="12">
        <v>3.74</v>
      </c>
      <c r="AF100" s="12">
        <v>97.71</v>
      </c>
      <c r="AG100" s="12">
        <v>-47.23</v>
      </c>
    </row>
    <row r="101">
      <c r="A101" s="8" t="s">
        <v>306</v>
      </c>
      <c r="B101" s="9">
        <v>644891.36</v>
      </c>
      <c r="C101" s="9">
        <v>190046.24</v>
      </c>
      <c r="D101" s="9">
        <v>154116.42</v>
      </c>
      <c r="E101" s="9">
        <v>454845.12</v>
      </c>
      <c r="F101" s="9">
        <v>663782.36</v>
      </c>
      <c r="G101" s="9">
        <v>630788.6</v>
      </c>
      <c r="H101" s="9">
        <v>57028.03</v>
      </c>
      <c r="I101" s="9">
        <v>32993.76</v>
      </c>
      <c r="J101" s="9">
        <v>28476.96</v>
      </c>
      <c r="K101" s="12">
        <v>0.05</v>
      </c>
      <c r="L101" s="9">
        <v>38664.95</v>
      </c>
      <c r="M101" s="9">
        <v>-160961.68</v>
      </c>
      <c r="N101" s="9">
        <v>126002.21</v>
      </c>
      <c r="O101" s="9">
        <v>3705.47</v>
      </c>
      <c r="P101" s="12">
        <v>7.34</v>
      </c>
      <c r="Q101" s="12">
        <v>6.0</v>
      </c>
      <c r="R101" s="12">
        <v>16.49</v>
      </c>
      <c r="S101" s="12">
        <v>4.29</v>
      </c>
      <c r="T101" s="12">
        <v>4.97</v>
      </c>
      <c r="U101" s="12">
        <v>0.42</v>
      </c>
      <c r="V101" s="12">
        <v>30.57</v>
      </c>
      <c r="W101" s="12">
        <v>2.85</v>
      </c>
      <c r="X101" s="12">
        <v>1.95</v>
      </c>
      <c r="Y101" s="12">
        <v>3.16</v>
      </c>
      <c r="Z101" s="12">
        <v>1.21</v>
      </c>
      <c r="AA101" s="12">
        <v>4.46</v>
      </c>
      <c r="AB101" s="12">
        <v>81.86</v>
      </c>
      <c r="AC101" s="12">
        <v>5.0</v>
      </c>
      <c r="AD101" s="12">
        <v>73.07</v>
      </c>
      <c r="AE101" s="12">
        <v>4.47</v>
      </c>
      <c r="AF101" s="12">
        <v>81.57</v>
      </c>
      <c r="AG101" s="12">
        <v>73.35</v>
      </c>
    </row>
    <row r="102">
      <c r="A102" s="8" t="s">
        <v>160</v>
      </c>
      <c r="B102" s="9">
        <v>2947042.47</v>
      </c>
      <c r="C102" s="9">
        <v>1931486.18</v>
      </c>
      <c r="D102" s="9">
        <v>287039.97</v>
      </c>
      <c r="E102" s="9">
        <v>1015556.29</v>
      </c>
      <c r="F102" s="9">
        <v>3155524.06</v>
      </c>
      <c r="G102" s="9">
        <v>3037418.44</v>
      </c>
      <c r="H102" s="9">
        <v>308023.45</v>
      </c>
      <c r="I102" s="9">
        <v>118105.61</v>
      </c>
      <c r="J102" s="9">
        <v>63328.78</v>
      </c>
      <c r="K102" s="12">
        <v>0.11</v>
      </c>
      <c r="L102" s="9">
        <v>55684.38</v>
      </c>
      <c r="M102" s="9">
        <v>-274243.63</v>
      </c>
      <c r="N102" s="9">
        <v>125554.39</v>
      </c>
      <c r="O102" s="9">
        <v>-93004.87</v>
      </c>
      <c r="P102" s="12">
        <v>6.23</v>
      </c>
      <c r="Q102" s="12">
        <v>4.05</v>
      </c>
      <c r="R102" s="12">
        <v>10.06</v>
      </c>
      <c r="S102" s="12">
        <v>2.01</v>
      </c>
      <c r="T102" s="12">
        <v>3.74</v>
      </c>
      <c r="U102" s="12">
        <v>1.9</v>
      </c>
      <c r="V102" s="12">
        <v>2.13</v>
      </c>
      <c r="W102" s="12">
        <v>0.76</v>
      </c>
      <c r="X102" s="12">
        <v>0.47</v>
      </c>
      <c r="Y102" s="12">
        <v>1.89</v>
      </c>
      <c r="Z102" s="12">
        <v>1.08</v>
      </c>
      <c r="AA102" s="12">
        <v>8.57</v>
      </c>
      <c r="AB102" s="12">
        <v>42.59</v>
      </c>
      <c r="AC102" s="12">
        <v>4.33</v>
      </c>
      <c r="AD102" s="12">
        <v>84.25</v>
      </c>
      <c r="AE102" s="12">
        <v>5.06</v>
      </c>
      <c r="AF102" s="12">
        <v>72.19</v>
      </c>
      <c r="AG102" s="12">
        <v>54.65</v>
      </c>
    </row>
    <row r="103">
      <c r="A103" s="8" t="s">
        <v>161</v>
      </c>
      <c r="B103" s="9">
        <v>893864.33</v>
      </c>
      <c r="C103" s="9">
        <v>481826.33</v>
      </c>
      <c r="D103" s="9">
        <v>250000.0</v>
      </c>
      <c r="E103" s="9">
        <v>412038.0</v>
      </c>
      <c r="F103" s="9">
        <v>849208.76</v>
      </c>
      <c r="G103" s="9">
        <v>829907.37</v>
      </c>
      <c r="H103" s="9">
        <v>48703.95</v>
      </c>
      <c r="I103" s="9">
        <v>19301.39</v>
      </c>
      <c r="J103" s="12">
        <v>-996.59</v>
      </c>
      <c r="K103" s="12" t="s">
        <v>46</v>
      </c>
      <c r="L103" s="9">
        <v>-125546.11</v>
      </c>
      <c r="M103" s="9">
        <v>40989.22</v>
      </c>
      <c r="N103" s="9">
        <v>92902.91</v>
      </c>
      <c r="O103" s="9">
        <v>8346.03</v>
      </c>
      <c r="P103" s="12">
        <v>-0.24</v>
      </c>
      <c r="Q103" s="12">
        <v>2.26</v>
      </c>
      <c r="R103" s="12">
        <v>18.6</v>
      </c>
      <c r="S103" s="12">
        <v>-0.12</v>
      </c>
      <c r="T103" s="12">
        <v>2.27</v>
      </c>
      <c r="U103" s="12">
        <v>1.17</v>
      </c>
      <c r="V103" s="12">
        <v>1.16</v>
      </c>
      <c r="W103" s="12">
        <v>1.42</v>
      </c>
      <c r="X103" s="12">
        <v>1.07</v>
      </c>
      <c r="Y103" s="12">
        <v>5.29</v>
      </c>
      <c r="Z103" s="12">
        <v>0.99</v>
      </c>
      <c r="AA103" s="12">
        <v>8.8</v>
      </c>
      <c r="AB103" s="12">
        <v>41.48</v>
      </c>
      <c r="AC103" s="12">
        <v>2.31</v>
      </c>
      <c r="AD103" s="12">
        <v>158.18</v>
      </c>
      <c r="AE103" s="12">
        <v>7.65</v>
      </c>
      <c r="AF103" s="12">
        <v>47.68</v>
      </c>
      <c r="AG103" s="12">
        <v>151.97</v>
      </c>
    </row>
    <row r="104">
      <c r="A104" s="8" t="s">
        <v>162</v>
      </c>
      <c r="B104" s="9">
        <v>1601975.98</v>
      </c>
      <c r="C104" s="9">
        <v>740776.46</v>
      </c>
      <c r="D104" s="9">
        <v>211000.05</v>
      </c>
      <c r="E104" s="9">
        <v>859232.22</v>
      </c>
      <c r="F104" s="9">
        <v>1667354.67</v>
      </c>
      <c r="G104" s="9">
        <v>1654045.99</v>
      </c>
      <c r="H104" s="9">
        <v>86544.41</v>
      </c>
      <c r="I104" s="9">
        <v>28288.5</v>
      </c>
      <c r="J104" s="9">
        <v>9911.42</v>
      </c>
      <c r="K104" s="12">
        <v>0.02</v>
      </c>
      <c r="L104" s="9">
        <v>221143.46</v>
      </c>
      <c r="M104" s="9">
        <v>-41491.39</v>
      </c>
      <c r="N104" s="9">
        <v>-175009.75</v>
      </c>
      <c r="O104" s="9">
        <v>4642.32</v>
      </c>
      <c r="P104" s="12">
        <v>1.15</v>
      </c>
      <c r="Q104" s="12">
        <v>1.68</v>
      </c>
      <c r="R104" s="12">
        <v>12.02</v>
      </c>
      <c r="S104" s="12">
        <v>0.26</v>
      </c>
      <c r="T104" s="12">
        <v>1.7</v>
      </c>
      <c r="U104" s="12">
        <v>0.86</v>
      </c>
      <c r="V104" s="12">
        <v>1.41</v>
      </c>
      <c r="W104" s="12">
        <v>1.4</v>
      </c>
      <c r="X104" s="12">
        <v>0.53</v>
      </c>
      <c r="Y104" s="12">
        <v>3.26</v>
      </c>
      <c r="Z104" s="12">
        <v>0.99</v>
      </c>
      <c r="AA104" s="12">
        <v>2.2</v>
      </c>
      <c r="AB104" s="12">
        <v>165.69</v>
      </c>
      <c r="AC104" s="12">
        <v>5.19</v>
      </c>
      <c r="AD104" s="12">
        <v>70.39</v>
      </c>
      <c r="AE104" s="12">
        <v>10.12</v>
      </c>
      <c r="AF104" s="12">
        <v>36.08</v>
      </c>
      <c r="AG104" s="12">
        <v>200.0</v>
      </c>
    </row>
    <row r="105">
      <c r="A105" s="8" t="s">
        <v>163</v>
      </c>
      <c r="B105" s="9">
        <v>428419.8</v>
      </c>
      <c r="C105" s="9">
        <v>114736.75</v>
      </c>
      <c r="D105" s="9">
        <v>214963.79</v>
      </c>
      <c r="E105" s="9">
        <v>313083.61</v>
      </c>
      <c r="F105" s="9">
        <v>466751.13</v>
      </c>
      <c r="G105" s="9">
        <v>461703.48</v>
      </c>
      <c r="H105" s="9">
        <v>12352.19</v>
      </c>
      <c r="I105" s="9">
        <v>5915.02</v>
      </c>
      <c r="J105" s="9">
        <v>7435.35</v>
      </c>
      <c r="K105" s="12">
        <v>0.01</v>
      </c>
      <c r="L105" s="9">
        <v>-63156.49</v>
      </c>
      <c r="M105" s="9">
        <v>40073.37</v>
      </c>
      <c r="N105" s="9">
        <v>-6567.75</v>
      </c>
      <c r="O105" s="9">
        <v>-29650.87</v>
      </c>
      <c r="P105" s="12">
        <v>2.35</v>
      </c>
      <c r="Q105" s="12">
        <v>1.42</v>
      </c>
      <c r="R105" s="12">
        <v>23.23</v>
      </c>
      <c r="S105" s="12">
        <v>0.78</v>
      </c>
      <c r="T105" s="12">
        <v>1.27</v>
      </c>
      <c r="U105" s="12">
        <v>0.37</v>
      </c>
      <c r="V105" s="12">
        <v>27.5</v>
      </c>
      <c r="W105" s="12">
        <v>5.9</v>
      </c>
      <c r="X105" s="12">
        <v>3.91</v>
      </c>
      <c r="Y105" s="12">
        <v>20.45</v>
      </c>
      <c r="Z105" s="12">
        <v>1.12</v>
      </c>
      <c r="AA105" s="12">
        <v>51.93</v>
      </c>
      <c r="AB105" s="12">
        <v>7.03</v>
      </c>
      <c r="AC105" s="12">
        <v>2.89</v>
      </c>
      <c r="AD105" s="12">
        <v>126.09</v>
      </c>
      <c r="AE105" s="12">
        <v>7.23</v>
      </c>
      <c r="AF105" s="12">
        <v>50.51</v>
      </c>
      <c r="AG105" s="12">
        <v>82.62</v>
      </c>
    </row>
    <row r="106">
      <c r="A106" s="8" t="s">
        <v>168</v>
      </c>
      <c r="B106" s="9">
        <v>1720407.86</v>
      </c>
      <c r="C106" s="9">
        <v>982404.08</v>
      </c>
      <c r="D106" s="9">
        <v>641469.33</v>
      </c>
      <c r="E106" s="9">
        <v>738003.78</v>
      </c>
      <c r="F106" s="9">
        <v>114655.62</v>
      </c>
      <c r="G106" s="9">
        <v>145301.44</v>
      </c>
      <c r="H106" s="9">
        <v>-34791.02</v>
      </c>
      <c r="I106" s="9">
        <v>-36082.22</v>
      </c>
      <c r="J106" s="9">
        <v>-40086.51</v>
      </c>
      <c r="K106" s="12">
        <v>-0.08</v>
      </c>
      <c r="L106" s="9">
        <v>-1396063.62</v>
      </c>
      <c r="M106" s="9">
        <v>57331.54</v>
      </c>
      <c r="N106" s="9">
        <v>1433319.66</v>
      </c>
      <c r="O106" s="9">
        <v>94587.57</v>
      </c>
      <c r="P106" s="12">
        <v>-9.29</v>
      </c>
      <c r="Q106" s="12">
        <v>-3.54</v>
      </c>
      <c r="R106" s="12">
        <v>35.95</v>
      </c>
      <c r="S106" s="12">
        <v>-34.96</v>
      </c>
      <c r="T106" s="12">
        <v>-31.47</v>
      </c>
      <c r="U106" s="12">
        <v>1.33</v>
      </c>
      <c r="V106" s="12">
        <v>-6.54</v>
      </c>
      <c r="W106" s="12">
        <v>7.33</v>
      </c>
      <c r="X106" s="12">
        <v>0.45</v>
      </c>
      <c r="Y106" s="12">
        <v>14.72</v>
      </c>
      <c r="Z106" s="12">
        <v>0.11</v>
      </c>
      <c r="AA106" s="12">
        <v>0.07</v>
      </c>
      <c r="AB106" s="9">
        <v>5440.95</v>
      </c>
      <c r="AC106" s="12">
        <v>4.5</v>
      </c>
      <c r="AD106" s="12">
        <v>81.19</v>
      </c>
      <c r="AE106" s="12">
        <v>1.7</v>
      </c>
      <c r="AF106" s="12">
        <v>214.71</v>
      </c>
      <c r="AG106" s="9">
        <v>5307.43</v>
      </c>
    </row>
    <row r="107">
      <c r="A107" s="8" t="s">
        <v>307</v>
      </c>
      <c r="B107" s="9">
        <v>649691.21</v>
      </c>
      <c r="C107" s="9">
        <v>482536.48</v>
      </c>
      <c r="D107" s="9">
        <v>1.011493816E7</v>
      </c>
      <c r="E107" s="9">
        <v>167154.73</v>
      </c>
      <c r="F107" s="9">
        <v>392015.54</v>
      </c>
      <c r="G107" s="9">
        <v>480653.75</v>
      </c>
      <c r="H107" s="9">
        <v>-82939.43</v>
      </c>
      <c r="I107" s="9">
        <v>-88638.21</v>
      </c>
      <c r="J107" s="9">
        <v>-91007.49</v>
      </c>
      <c r="K107" s="12">
        <v>-0.01</v>
      </c>
      <c r="L107" s="9">
        <v>-3279.9</v>
      </c>
      <c r="M107" s="9">
        <v>6164.26</v>
      </c>
      <c r="N107" s="12">
        <v>-328.23</v>
      </c>
      <c r="O107" s="9">
        <v>2556.13</v>
      </c>
      <c r="P107" s="12">
        <v>-54.45</v>
      </c>
      <c r="Q107" s="12">
        <v>-13.64</v>
      </c>
      <c r="R107" s="12">
        <v>3.61</v>
      </c>
      <c r="S107" s="12">
        <v>-23.22</v>
      </c>
      <c r="T107" s="12">
        <v>-22.61</v>
      </c>
      <c r="U107" s="12">
        <v>2.89</v>
      </c>
      <c r="V107" s="12">
        <v>-36.17</v>
      </c>
      <c r="W107" s="12">
        <v>0.3</v>
      </c>
      <c r="X107" s="12">
        <v>0.27</v>
      </c>
      <c r="Y107" s="12">
        <v>4.7</v>
      </c>
      <c r="Z107" s="12">
        <v>0.6</v>
      </c>
      <c r="AA107" s="12">
        <v>689.09</v>
      </c>
      <c r="AB107" s="12">
        <v>0.53</v>
      </c>
      <c r="AC107" s="12">
        <v>4.91</v>
      </c>
      <c r="AD107" s="12">
        <v>74.33</v>
      </c>
      <c r="AE107" s="12">
        <v>1.46</v>
      </c>
      <c r="AF107" s="12">
        <v>249.74</v>
      </c>
      <c r="AG107" s="12">
        <v>-174.87</v>
      </c>
    </row>
    <row r="108">
      <c r="A108" s="8" t="s">
        <v>170</v>
      </c>
      <c r="B108" s="9">
        <v>1.023654876E7</v>
      </c>
      <c r="C108" s="9">
        <v>3336274.86</v>
      </c>
      <c r="D108" s="9">
        <v>1185974.79</v>
      </c>
      <c r="E108" s="9">
        <v>6896142.49</v>
      </c>
      <c r="F108" s="9">
        <v>5183898.23</v>
      </c>
      <c r="G108" s="9">
        <v>3076398.97</v>
      </c>
      <c r="H108" s="9">
        <v>3646462.52</v>
      </c>
      <c r="I108" s="9">
        <v>3520308.61</v>
      </c>
      <c r="J108" s="9">
        <v>3128780.2</v>
      </c>
      <c r="K108" s="12">
        <v>0.38</v>
      </c>
      <c r="L108" s="9">
        <v>-622502.31</v>
      </c>
      <c r="M108" s="9">
        <v>1440514.56</v>
      </c>
      <c r="N108" s="9">
        <v>-967314.87</v>
      </c>
      <c r="O108" s="9">
        <v>-149302.62</v>
      </c>
      <c r="P108" s="12">
        <v>62.39</v>
      </c>
      <c r="Q108" s="12">
        <v>41.41</v>
      </c>
      <c r="R108" s="12">
        <v>13.26</v>
      </c>
      <c r="S108" s="12">
        <v>60.43</v>
      </c>
      <c r="T108" s="12">
        <v>67.91</v>
      </c>
      <c r="U108" s="12">
        <v>0.48</v>
      </c>
      <c r="V108" s="12">
        <v>27.85</v>
      </c>
      <c r="W108" s="12">
        <v>0.9</v>
      </c>
      <c r="X108" s="12">
        <v>0.72</v>
      </c>
      <c r="Y108" s="12">
        <v>1.6</v>
      </c>
      <c r="Z108" s="12">
        <v>0.61</v>
      </c>
      <c r="AA108" s="12">
        <v>16.64</v>
      </c>
      <c r="AB108" s="12">
        <v>21.93</v>
      </c>
      <c r="AC108" s="12">
        <v>2.65</v>
      </c>
      <c r="AD108" s="12">
        <v>137.52</v>
      </c>
      <c r="AE108" s="12">
        <v>7.04</v>
      </c>
      <c r="AF108" s="12">
        <v>51.86</v>
      </c>
      <c r="AG108" s="12">
        <v>107.6</v>
      </c>
    </row>
    <row r="109">
      <c r="A109" s="8" t="s">
        <v>172</v>
      </c>
      <c r="B109" s="9">
        <v>542451.14</v>
      </c>
      <c r="C109" s="9">
        <v>85954.12</v>
      </c>
      <c r="D109" s="9">
        <v>98568.49</v>
      </c>
      <c r="E109" s="9">
        <v>456463.33</v>
      </c>
      <c r="F109" s="9">
        <v>480575.76</v>
      </c>
      <c r="G109" s="9">
        <v>425436.23</v>
      </c>
      <c r="H109" s="9">
        <v>81892.27</v>
      </c>
      <c r="I109" s="9">
        <v>55139.53</v>
      </c>
      <c r="J109" s="9">
        <v>50938.46</v>
      </c>
      <c r="K109" s="12">
        <v>0.52</v>
      </c>
      <c r="L109" s="9">
        <v>30388.0</v>
      </c>
      <c r="M109" s="12">
        <v>502.21</v>
      </c>
      <c r="N109" s="9">
        <v>-31780.93</v>
      </c>
      <c r="O109" s="12">
        <v>-890.72</v>
      </c>
      <c r="P109" s="12">
        <v>11.38</v>
      </c>
      <c r="Q109" s="12">
        <v>10.73</v>
      </c>
      <c r="R109" s="12">
        <v>26.06</v>
      </c>
      <c r="S109" s="12">
        <v>10.58</v>
      </c>
      <c r="T109" s="12">
        <v>11.47</v>
      </c>
      <c r="U109" s="12">
        <v>0.19</v>
      </c>
      <c r="V109" s="12">
        <v>92.7</v>
      </c>
      <c r="W109" s="12">
        <v>5.94</v>
      </c>
      <c r="X109" s="12">
        <v>4.13</v>
      </c>
      <c r="Y109" s="12">
        <v>2.58</v>
      </c>
      <c r="Z109" s="12">
        <v>0.94</v>
      </c>
      <c r="AA109" s="12">
        <v>50.17</v>
      </c>
      <c r="AB109" s="12">
        <v>7.27</v>
      </c>
      <c r="AC109" s="12">
        <v>5.53</v>
      </c>
      <c r="AD109" s="12">
        <v>66.05</v>
      </c>
      <c r="AE109" s="12">
        <v>8.46</v>
      </c>
      <c r="AF109" s="12">
        <v>43.14</v>
      </c>
      <c r="AG109" s="12">
        <v>30.19</v>
      </c>
    </row>
    <row r="110">
      <c r="A110" s="8" t="s">
        <v>325</v>
      </c>
      <c r="B110" s="9">
        <v>1856373.99</v>
      </c>
      <c r="C110" s="9">
        <v>217545.9</v>
      </c>
      <c r="D110" s="9">
        <v>341092.56</v>
      </c>
      <c r="E110" s="9">
        <v>1637136.83</v>
      </c>
      <c r="F110" s="9">
        <v>983674.04</v>
      </c>
      <c r="G110" s="9">
        <v>768428.51</v>
      </c>
      <c r="H110" s="9">
        <v>294786.95</v>
      </c>
      <c r="I110" s="9">
        <v>217625.89</v>
      </c>
      <c r="J110" s="9">
        <v>198647.3</v>
      </c>
      <c r="K110" s="12">
        <v>0.58</v>
      </c>
      <c r="L110" s="9">
        <v>314826.32</v>
      </c>
      <c r="M110" s="9">
        <v>-84965.68</v>
      </c>
      <c r="N110" s="9">
        <v>-202897.1</v>
      </c>
      <c r="O110" s="9">
        <v>26963.54</v>
      </c>
      <c r="P110" s="12">
        <v>12.91</v>
      </c>
      <c r="Q110" s="12">
        <v>11.53</v>
      </c>
      <c r="R110" s="12">
        <v>36.25</v>
      </c>
      <c r="S110" s="12">
        <v>20.17</v>
      </c>
      <c r="T110" s="12">
        <v>22.12</v>
      </c>
      <c r="U110" s="12">
        <v>0.13</v>
      </c>
      <c r="V110" s="12">
        <v>24.53</v>
      </c>
      <c r="W110" s="12">
        <v>5.17</v>
      </c>
      <c r="X110" s="12">
        <v>3.94</v>
      </c>
      <c r="Y110" s="12">
        <v>1.45</v>
      </c>
      <c r="Z110" s="12">
        <v>0.52</v>
      </c>
      <c r="AA110" s="12">
        <v>3.29</v>
      </c>
      <c r="AB110" s="12">
        <v>110.87</v>
      </c>
      <c r="AC110" s="12">
        <v>5.04</v>
      </c>
      <c r="AD110" s="12">
        <v>72.41</v>
      </c>
      <c r="AE110" s="12">
        <v>7.68</v>
      </c>
      <c r="AF110" s="12">
        <v>47.52</v>
      </c>
      <c r="AG110" s="12">
        <v>135.76</v>
      </c>
    </row>
    <row r="111">
      <c r="A111" s="8" t="s">
        <v>173</v>
      </c>
      <c r="B111" s="9">
        <v>1204568.35</v>
      </c>
      <c r="C111" s="9">
        <v>320745.47</v>
      </c>
      <c r="D111" s="9">
        <v>191249.75</v>
      </c>
      <c r="E111" s="9">
        <v>883822.88</v>
      </c>
      <c r="F111" s="9">
        <v>722049.57</v>
      </c>
      <c r="G111" s="9">
        <v>701563.31</v>
      </c>
      <c r="H111" s="9">
        <v>144403.29</v>
      </c>
      <c r="I111" s="9">
        <v>20486.26</v>
      </c>
      <c r="J111" s="9">
        <v>7292.44</v>
      </c>
      <c r="K111" s="12">
        <v>0.04</v>
      </c>
      <c r="L111" s="9">
        <v>162006.42</v>
      </c>
      <c r="M111" s="9">
        <v>-148748.98</v>
      </c>
      <c r="N111" s="9">
        <v>-24443.27</v>
      </c>
      <c r="O111" s="9">
        <v>-11185.82</v>
      </c>
      <c r="P111" s="12">
        <v>0.82</v>
      </c>
      <c r="Q111" s="12">
        <v>1.72</v>
      </c>
      <c r="R111" s="12">
        <v>15.2</v>
      </c>
      <c r="S111" s="12">
        <v>1.01</v>
      </c>
      <c r="T111" s="12">
        <v>2.84</v>
      </c>
      <c r="U111" s="12">
        <v>0.36</v>
      </c>
      <c r="V111" s="12">
        <v>1.84</v>
      </c>
      <c r="W111" s="12">
        <v>1.1</v>
      </c>
      <c r="X111" s="12">
        <v>0.87</v>
      </c>
      <c r="Y111" s="12">
        <v>0.7</v>
      </c>
      <c r="Z111" s="12">
        <v>0.6</v>
      </c>
      <c r="AA111" s="12">
        <v>32.96</v>
      </c>
      <c r="AB111" s="12">
        <v>11.08</v>
      </c>
      <c r="AC111" s="12">
        <v>71.33</v>
      </c>
      <c r="AD111" s="12">
        <v>5.12</v>
      </c>
      <c r="AE111" s="12">
        <v>10.6</v>
      </c>
      <c r="AF111" s="12">
        <v>34.43</v>
      </c>
      <c r="AG111" s="12">
        <v>-18.24</v>
      </c>
    </row>
    <row r="112">
      <c r="A112" s="8" t="s">
        <v>174</v>
      </c>
      <c r="B112" s="9">
        <v>1011581.93</v>
      </c>
      <c r="C112" s="9">
        <v>229518.04</v>
      </c>
      <c r="D112" s="9">
        <v>318182.59</v>
      </c>
      <c r="E112" s="9">
        <v>782063.9</v>
      </c>
      <c r="F112" s="9">
        <v>683970.67</v>
      </c>
      <c r="G112" s="9">
        <v>767330.35</v>
      </c>
      <c r="H112" s="9">
        <v>-265743.61</v>
      </c>
      <c r="I112" s="9">
        <v>-289076.95</v>
      </c>
      <c r="J112" s="9">
        <v>-282077.26</v>
      </c>
      <c r="K112" s="12">
        <v>-0.44</v>
      </c>
      <c r="L112" s="9">
        <v>88032.66</v>
      </c>
      <c r="M112" s="12">
        <v>-386.7</v>
      </c>
      <c r="N112" s="9">
        <v>-123834.94</v>
      </c>
      <c r="O112" s="9">
        <v>-36188.98</v>
      </c>
      <c r="P112" s="12">
        <v>-30.53</v>
      </c>
      <c r="Q112" s="12">
        <v>-23.16</v>
      </c>
      <c r="R112" s="12">
        <v>-1.21</v>
      </c>
      <c r="S112" s="12">
        <v>-41.24</v>
      </c>
      <c r="T112" s="12">
        <v>-42.26</v>
      </c>
      <c r="U112" s="12">
        <v>0.29</v>
      </c>
      <c r="V112" s="12">
        <v>-46.32</v>
      </c>
      <c r="W112" s="12">
        <v>2.42</v>
      </c>
      <c r="X112" s="12">
        <v>1.5</v>
      </c>
      <c r="Y112" s="12">
        <v>3.01</v>
      </c>
      <c r="Z112" s="12">
        <v>0.55</v>
      </c>
      <c r="AA112" s="12">
        <v>3.15</v>
      </c>
      <c r="AB112" s="12">
        <v>115.81</v>
      </c>
      <c r="AC112" s="12">
        <v>3.45</v>
      </c>
      <c r="AD112" s="12">
        <v>105.67</v>
      </c>
      <c r="AE112" s="12">
        <v>12.94</v>
      </c>
      <c r="AF112" s="12">
        <v>28.2</v>
      </c>
      <c r="AG112" s="12">
        <v>193.28</v>
      </c>
    </row>
    <row r="113">
      <c r="A113" s="8" t="s">
        <v>175</v>
      </c>
      <c r="B113" s="9">
        <v>400731.42</v>
      </c>
      <c r="C113" s="9">
        <v>110694.17</v>
      </c>
      <c r="D113" s="9">
        <v>150000.0</v>
      </c>
      <c r="E113" s="9">
        <v>290397.62</v>
      </c>
      <c r="F113" s="9">
        <v>73325.05</v>
      </c>
      <c r="G113" s="9">
        <v>47420.49</v>
      </c>
      <c r="H113" s="9">
        <v>31766.66</v>
      </c>
      <c r="I113" s="9">
        <v>25904.56</v>
      </c>
      <c r="J113" s="9">
        <v>16549.11</v>
      </c>
      <c r="K113" s="12">
        <v>0.06</v>
      </c>
      <c r="L113" s="9">
        <v>30281.0</v>
      </c>
      <c r="M113" s="9">
        <v>-79980.23</v>
      </c>
      <c r="N113" s="9">
        <v>-62160.21</v>
      </c>
      <c r="O113" s="9">
        <v>-111859.45</v>
      </c>
      <c r="P113" s="12">
        <v>5.63</v>
      </c>
      <c r="Q113" s="12">
        <v>6.13</v>
      </c>
      <c r="R113" s="12">
        <v>73.5</v>
      </c>
      <c r="S113" s="12">
        <v>22.5</v>
      </c>
      <c r="T113" s="12">
        <v>35.33</v>
      </c>
      <c r="U113" s="12">
        <v>0.38</v>
      </c>
      <c r="V113" s="12">
        <v>5.64</v>
      </c>
      <c r="W113" s="12">
        <v>6.45</v>
      </c>
      <c r="X113" s="12">
        <v>5.83</v>
      </c>
      <c r="Y113" s="12">
        <v>0.58</v>
      </c>
      <c r="Z113" s="12">
        <v>0.17</v>
      </c>
      <c r="AA113" s="12">
        <v>1.81</v>
      </c>
      <c r="AB113" s="12">
        <v>201.18</v>
      </c>
      <c r="AC113" s="12">
        <v>8.28</v>
      </c>
      <c r="AD113" s="12">
        <v>44.09</v>
      </c>
      <c r="AE113" s="12">
        <v>2.81</v>
      </c>
      <c r="AF113" s="12">
        <v>129.92</v>
      </c>
      <c r="AG113" s="12">
        <v>115.34</v>
      </c>
    </row>
    <row r="114">
      <c r="A114" s="8" t="s">
        <v>176</v>
      </c>
      <c r="B114" s="9">
        <v>1920013.88</v>
      </c>
      <c r="C114" s="9">
        <v>344809.01</v>
      </c>
      <c r="D114" s="9">
        <v>380121.02</v>
      </c>
      <c r="E114" s="9">
        <v>1186331.05</v>
      </c>
      <c r="F114" s="9">
        <v>1254639.95</v>
      </c>
      <c r="G114" s="9">
        <v>1304438.31</v>
      </c>
      <c r="H114" s="9">
        <v>83128.22</v>
      </c>
      <c r="I114" s="9">
        <v>-49798.36</v>
      </c>
      <c r="J114" s="9">
        <v>-30066.91</v>
      </c>
      <c r="K114" s="12">
        <v>-0.02</v>
      </c>
      <c r="L114" s="9">
        <v>91148.71</v>
      </c>
      <c r="M114" s="9">
        <v>-65405.05</v>
      </c>
      <c r="N114" s="9">
        <v>-64219.16</v>
      </c>
      <c r="O114" s="9">
        <v>-38475.5</v>
      </c>
      <c r="P114" s="12">
        <v>-2.48</v>
      </c>
      <c r="Q114" s="12">
        <v>-2.51</v>
      </c>
      <c r="R114" s="12">
        <v>16.08</v>
      </c>
      <c r="S114" s="12">
        <v>-3.56</v>
      </c>
      <c r="T114" s="12">
        <v>-3.97</v>
      </c>
      <c r="U114" s="12">
        <v>0.22</v>
      </c>
      <c r="V114" s="12">
        <v>-5.41</v>
      </c>
      <c r="W114" s="12">
        <v>3.07</v>
      </c>
      <c r="X114" s="12">
        <v>2.54</v>
      </c>
      <c r="Y114" s="12">
        <v>1.46</v>
      </c>
      <c r="Z114" s="12">
        <v>0.63</v>
      </c>
      <c r="AA114" s="12">
        <v>6.6</v>
      </c>
      <c r="AB114" s="12">
        <v>55.27</v>
      </c>
      <c r="AC114" s="12">
        <v>4.51</v>
      </c>
      <c r="AD114" s="12">
        <v>80.99</v>
      </c>
      <c r="AE114" s="12">
        <v>9.28</v>
      </c>
      <c r="AF114" s="12">
        <v>39.33</v>
      </c>
      <c r="AG114" s="12">
        <v>96.93</v>
      </c>
    </row>
    <row r="115">
      <c r="A115" s="8" t="s">
        <v>177</v>
      </c>
      <c r="B115" s="9">
        <v>436895.0</v>
      </c>
      <c r="C115" s="9">
        <v>225374.0</v>
      </c>
      <c r="D115" s="9">
        <v>152694.0</v>
      </c>
      <c r="E115" s="9">
        <v>211521.0</v>
      </c>
      <c r="F115" s="9">
        <v>602139.0</v>
      </c>
      <c r="G115" s="9">
        <v>563632.0</v>
      </c>
      <c r="H115" s="9">
        <v>69622.0</v>
      </c>
      <c r="I115" s="9">
        <v>38655.0</v>
      </c>
      <c r="J115" s="9">
        <v>38192.0</v>
      </c>
      <c r="K115" s="12">
        <v>0.13</v>
      </c>
      <c r="L115" s="9">
        <v>61447.0</v>
      </c>
      <c r="M115" s="9">
        <v>-39091.0</v>
      </c>
      <c r="N115" s="9">
        <v>-30600.0</v>
      </c>
      <c r="O115" s="9">
        <v>-8244.0</v>
      </c>
      <c r="P115" s="12">
        <v>19.71</v>
      </c>
      <c r="Q115" s="12">
        <v>9.42</v>
      </c>
      <c r="R115" s="12">
        <v>19.51</v>
      </c>
      <c r="S115" s="12">
        <v>6.34</v>
      </c>
      <c r="T115" s="12">
        <v>6.42</v>
      </c>
      <c r="U115" s="12">
        <v>1.07</v>
      </c>
      <c r="V115" s="12">
        <v>6.05</v>
      </c>
      <c r="W115" s="12">
        <v>1.03</v>
      </c>
      <c r="X115" s="12">
        <v>0.58</v>
      </c>
      <c r="Y115" s="12">
        <v>2.58</v>
      </c>
      <c r="Z115" s="12">
        <v>1.47</v>
      </c>
      <c r="AA115" s="12">
        <v>8.89</v>
      </c>
      <c r="AB115" s="12">
        <v>41.04</v>
      </c>
      <c r="AC115" s="12">
        <v>7.47</v>
      </c>
      <c r="AD115" s="12">
        <v>48.89</v>
      </c>
      <c r="AE115" s="12">
        <v>5.49</v>
      </c>
      <c r="AF115" s="12">
        <v>66.44</v>
      </c>
      <c r="AG115" s="12">
        <v>23.5</v>
      </c>
    </row>
    <row r="116">
      <c r="A116" s="8" t="s">
        <v>327</v>
      </c>
      <c r="B116" s="9">
        <v>449104.02</v>
      </c>
      <c r="C116" s="9">
        <v>112060.53</v>
      </c>
      <c r="D116" s="9">
        <v>120000.0</v>
      </c>
      <c r="E116" s="9">
        <v>337043.49</v>
      </c>
      <c r="F116" s="9">
        <v>480143.11</v>
      </c>
      <c r="G116" s="9">
        <v>444567.43</v>
      </c>
      <c r="H116" s="9">
        <v>48933.25</v>
      </c>
      <c r="I116" s="9">
        <v>42378.2</v>
      </c>
      <c r="J116" s="9">
        <v>35449.65</v>
      </c>
      <c r="K116" s="12">
        <v>0.15</v>
      </c>
      <c r="L116" s="9">
        <v>-7403.03</v>
      </c>
      <c r="M116" s="9">
        <v>11030.58</v>
      </c>
      <c r="N116" s="9">
        <v>-10446.71</v>
      </c>
      <c r="O116" s="9">
        <v>-6819.15</v>
      </c>
      <c r="P116" s="12">
        <v>10.94</v>
      </c>
      <c r="Q116" s="12">
        <v>9.74</v>
      </c>
      <c r="R116" s="12">
        <v>27.47</v>
      </c>
      <c r="S116" s="12">
        <v>7.38</v>
      </c>
      <c r="T116" s="12">
        <v>8.83</v>
      </c>
      <c r="U116" s="12">
        <v>0.33</v>
      </c>
      <c r="V116" s="9">
        <v>1256.02</v>
      </c>
      <c r="W116" s="12">
        <v>2.33</v>
      </c>
      <c r="X116" s="12">
        <v>1.77</v>
      </c>
      <c r="Y116" s="12">
        <v>41.24</v>
      </c>
      <c r="Z116" s="12">
        <v>1.1</v>
      </c>
      <c r="AA116" s="12">
        <v>8.6</v>
      </c>
      <c r="AB116" s="12">
        <v>42.42</v>
      </c>
      <c r="AC116" s="12">
        <v>4.99</v>
      </c>
      <c r="AD116" s="12">
        <v>73.14</v>
      </c>
      <c r="AE116" s="12">
        <v>3.42</v>
      </c>
      <c r="AF116" s="12">
        <v>106.69</v>
      </c>
      <c r="AG116" s="12">
        <v>8.87</v>
      </c>
    </row>
    <row r="117">
      <c r="A117" s="8" t="s">
        <v>179</v>
      </c>
      <c r="B117" s="9">
        <v>2967496.99</v>
      </c>
      <c r="C117" s="9">
        <v>1555662.4</v>
      </c>
      <c r="D117" s="9">
        <v>553559.66</v>
      </c>
      <c r="E117" s="9">
        <v>1395489.78</v>
      </c>
      <c r="F117" s="9">
        <v>6519405.59</v>
      </c>
      <c r="G117" s="9">
        <v>6484917.21</v>
      </c>
      <c r="H117" s="9">
        <v>187693.51</v>
      </c>
      <c r="I117" s="9">
        <v>146323.36</v>
      </c>
      <c r="J117" s="9">
        <v>60849.9</v>
      </c>
      <c r="K117" s="12">
        <v>0.11</v>
      </c>
      <c r="L117" s="9">
        <v>101106.78</v>
      </c>
      <c r="M117" s="9">
        <v>133364.96</v>
      </c>
      <c r="N117" s="9">
        <v>-161405.74</v>
      </c>
      <c r="O117" s="9">
        <v>73066.0</v>
      </c>
      <c r="P117" s="12">
        <v>4.44</v>
      </c>
      <c r="Q117" s="12">
        <v>5.12</v>
      </c>
      <c r="R117" s="12">
        <v>3.35</v>
      </c>
      <c r="S117" s="12">
        <v>1.12</v>
      </c>
      <c r="T117" s="12">
        <v>2.24</v>
      </c>
      <c r="U117" s="12">
        <v>1.1</v>
      </c>
      <c r="V117" s="12">
        <v>2.63</v>
      </c>
      <c r="W117" s="12">
        <v>0.81</v>
      </c>
      <c r="X117" s="12">
        <v>0.78</v>
      </c>
      <c r="Y117" s="12">
        <v>9.82</v>
      </c>
      <c r="Z117" s="12">
        <v>2.28</v>
      </c>
      <c r="AA117" s="12">
        <v>337.85</v>
      </c>
      <c r="AB117" s="12">
        <v>1.08</v>
      </c>
      <c r="AC117" s="12">
        <v>9.56</v>
      </c>
      <c r="AD117" s="12">
        <v>38.17</v>
      </c>
      <c r="AE117" s="12">
        <v>16.89</v>
      </c>
      <c r="AF117" s="12">
        <v>21.61</v>
      </c>
      <c r="AG117" s="12">
        <v>17.64</v>
      </c>
    </row>
    <row r="118">
      <c r="A118" s="8" t="s">
        <v>181</v>
      </c>
      <c r="B118" s="9">
        <v>1593496.0</v>
      </c>
      <c r="C118" s="9">
        <v>1161039.0</v>
      </c>
      <c r="D118" s="9">
        <v>145000.0</v>
      </c>
      <c r="E118" s="9">
        <v>432455.0</v>
      </c>
      <c r="F118" s="9">
        <v>1396977.0</v>
      </c>
      <c r="G118" s="9">
        <v>1252327.0</v>
      </c>
      <c r="H118" s="9">
        <v>195161.0</v>
      </c>
      <c r="I118" s="9">
        <v>145459.0</v>
      </c>
      <c r="J118" s="9">
        <v>85810.0</v>
      </c>
      <c r="K118" s="12">
        <v>0.3</v>
      </c>
      <c r="L118" s="9">
        <v>148400.0</v>
      </c>
      <c r="M118" s="9">
        <v>-803255.0</v>
      </c>
      <c r="N118" s="9">
        <v>561164.0</v>
      </c>
      <c r="O118" s="9">
        <v>-93691.0</v>
      </c>
      <c r="P118" s="12">
        <v>21.95</v>
      </c>
      <c r="Q118" s="12">
        <v>13.61</v>
      </c>
      <c r="R118" s="12">
        <v>24.46</v>
      </c>
      <c r="S118" s="12">
        <v>6.14</v>
      </c>
      <c r="T118" s="12">
        <v>10.41</v>
      </c>
      <c r="U118" s="12">
        <v>2.68</v>
      </c>
      <c r="V118" s="12">
        <v>3.51</v>
      </c>
      <c r="W118" s="12">
        <v>1.54</v>
      </c>
      <c r="X118" s="12">
        <v>0.85</v>
      </c>
      <c r="Y118" s="12">
        <v>6.55</v>
      </c>
      <c r="Z118" s="12">
        <v>1.31</v>
      </c>
      <c r="AA118" s="12">
        <v>5.31</v>
      </c>
      <c r="AB118" s="12">
        <v>68.74</v>
      </c>
      <c r="AC118" s="12">
        <v>6.76</v>
      </c>
      <c r="AD118" s="12">
        <v>54.03</v>
      </c>
      <c r="AE118" s="12">
        <v>5.09</v>
      </c>
      <c r="AF118" s="12">
        <v>71.69</v>
      </c>
      <c r="AG118" s="12">
        <v>51.08</v>
      </c>
    </row>
    <row r="119">
      <c r="A119" s="8" t="s">
        <v>182</v>
      </c>
      <c r="B119" s="9">
        <v>8707176.13</v>
      </c>
      <c r="C119" s="9">
        <v>3691809.44</v>
      </c>
      <c r="D119" s="9">
        <v>2100000.0</v>
      </c>
      <c r="E119" s="9">
        <v>5015366.7</v>
      </c>
      <c r="F119" s="9">
        <v>2219718.47</v>
      </c>
      <c r="G119" s="9">
        <v>2079696.82</v>
      </c>
      <c r="H119" s="9">
        <v>179035.07</v>
      </c>
      <c r="I119" s="9">
        <v>88732.53</v>
      </c>
      <c r="J119" s="9">
        <v>-157127.72</v>
      </c>
      <c r="K119" s="12">
        <v>-0.04</v>
      </c>
      <c r="L119" s="9">
        <v>701709.45</v>
      </c>
      <c r="M119" s="9">
        <v>51020.62</v>
      </c>
      <c r="N119" s="9">
        <v>-694669.74</v>
      </c>
      <c r="O119" s="9">
        <v>58060.33</v>
      </c>
      <c r="P119" s="12">
        <v>-3.07</v>
      </c>
      <c r="Q119" s="12">
        <v>0.95</v>
      </c>
      <c r="R119" s="12">
        <v>24.44</v>
      </c>
      <c r="S119" s="12">
        <v>-7.08</v>
      </c>
      <c r="T119" s="12">
        <v>4.0</v>
      </c>
      <c r="U119" s="12">
        <v>0.74</v>
      </c>
      <c r="V119" s="12">
        <v>0.49</v>
      </c>
      <c r="W119" s="12">
        <v>2.05</v>
      </c>
      <c r="X119" s="12">
        <v>0.1</v>
      </c>
      <c r="Y119" s="12">
        <v>75.84</v>
      </c>
      <c r="Z119" s="12">
        <v>0.24</v>
      </c>
      <c r="AA119" s="12">
        <v>0.26</v>
      </c>
      <c r="AB119" s="9">
        <v>1429.53</v>
      </c>
      <c r="AC119" s="12">
        <v>163.48</v>
      </c>
      <c r="AD119" s="12">
        <v>2.23</v>
      </c>
      <c r="AE119" s="12">
        <v>1.91</v>
      </c>
      <c r="AF119" s="12">
        <v>190.75</v>
      </c>
      <c r="AG119" s="9">
        <v>1241.01</v>
      </c>
    </row>
    <row r="120">
      <c r="A120" s="8" t="s">
        <v>184</v>
      </c>
      <c r="B120" s="9">
        <v>2347427.78</v>
      </c>
      <c r="C120" s="9">
        <v>568405.89</v>
      </c>
      <c r="D120" s="9">
        <v>1637500.0</v>
      </c>
      <c r="E120" s="9">
        <v>1779021.89</v>
      </c>
      <c r="F120" s="9">
        <v>342298.92</v>
      </c>
      <c r="G120" s="9">
        <v>245212.99</v>
      </c>
      <c r="H120" s="9">
        <v>105735.18</v>
      </c>
      <c r="I120" s="9">
        <v>97085.93</v>
      </c>
      <c r="J120" s="9">
        <v>55625.03</v>
      </c>
      <c r="K120" s="12">
        <v>0.04</v>
      </c>
      <c r="L120" s="9">
        <v>-197458.69</v>
      </c>
      <c r="M120" s="9">
        <v>3840.82</v>
      </c>
      <c r="N120" s="9">
        <v>170286.94</v>
      </c>
      <c r="O120" s="9">
        <v>-23330.93</v>
      </c>
      <c r="P120" s="12">
        <v>3.13</v>
      </c>
      <c r="Q120" s="12">
        <v>4.14</v>
      </c>
      <c r="R120" s="12">
        <v>88.08</v>
      </c>
      <c r="S120" s="12">
        <v>16.25</v>
      </c>
      <c r="T120" s="12">
        <v>28.36</v>
      </c>
      <c r="U120" s="12">
        <v>0.32</v>
      </c>
      <c r="V120" s="12">
        <v>2.4</v>
      </c>
      <c r="W120" s="12">
        <v>1.49</v>
      </c>
      <c r="X120" s="12">
        <v>0.11</v>
      </c>
      <c r="Y120" s="12" t="s">
        <v>46</v>
      </c>
      <c r="Z120" s="12">
        <v>0.15</v>
      </c>
      <c r="AA120" s="12" t="s">
        <v>47</v>
      </c>
      <c r="AB120" s="12" t="s">
        <v>46</v>
      </c>
      <c r="AC120" s="12" t="s">
        <v>47</v>
      </c>
      <c r="AD120" s="12" t="s">
        <v>46</v>
      </c>
      <c r="AE120" s="12" t="s">
        <v>47</v>
      </c>
      <c r="AF120" s="12" t="s">
        <v>46</v>
      </c>
      <c r="AG120" s="12" t="s">
        <v>46</v>
      </c>
    </row>
    <row r="121">
      <c r="A121" s="8" t="s">
        <v>186</v>
      </c>
      <c r="B121" s="9">
        <v>1704734.0</v>
      </c>
      <c r="C121" s="9">
        <v>1086104.0</v>
      </c>
      <c r="D121" s="9">
        <v>525513.0</v>
      </c>
      <c r="E121" s="9">
        <v>480422.0</v>
      </c>
      <c r="F121" s="9">
        <v>2030129.0</v>
      </c>
      <c r="G121" s="9">
        <v>1829338.0</v>
      </c>
      <c r="H121" s="9">
        <v>182580.0</v>
      </c>
      <c r="I121" s="9">
        <v>134539.0</v>
      </c>
      <c r="J121" s="9">
        <v>69027.0</v>
      </c>
      <c r="K121" s="12">
        <v>0.13</v>
      </c>
      <c r="L121" s="9">
        <v>-143702.0</v>
      </c>
      <c r="M121" s="9">
        <v>-372876.0</v>
      </c>
      <c r="N121" s="9">
        <v>471485.0</v>
      </c>
      <c r="O121" s="9">
        <v>-45093.0</v>
      </c>
      <c r="P121" s="12">
        <v>14.78</v>
      </c>
      <c r="Q121" s="12">
        <v>8.66</v>
      </c>
      <c r="R121" s="12">
        <v>22.7</v>
      </c>
      <c r="S121" s="12">
        <v>4.98</v>
      </c>
      <c r="T121" s="12">
        <v>6.63</v>
      </c>
      <c r="U121" s="12">
        <v>1.76</v>
      </c>
      <c r="V121" s="12">
        <v>5.15</v>
      </c>
      <c r="W121" s="12">
        <v>0.97</v>
      </c>
      <c r="X121" s="12">
        <v>0.31</v>
      </c>
      <c r="Y121" s="12">
        <v>14.58</v>
      </c>
      <c r="Z121" s="12">
        <v>1.31</v>
      </c>
      <c r="AA121" s="12">
        <v>13.03</v>
      </c>
      <c r="AB121" s="12">
        <v>28.01</v>
      </c>
      <c r="AC121" s="12">
        <v>6.67</v>
      </c>
      <c r="AD121" s="12">
        <v>54.75</v>
      </c>
      <c r="AE121" s="12">
        <v>6.04</v>
      </c>
      <c r="AF121" s="12">
        <v>60.48</v>
      </c>
      <c r="AG121" s="12">
        <v>22.28</v>
      </c>
    </row>
    <row r="122">
      <c r="A122" s="8" t="s">
        <v>328</v>
      </c>
      <c r="B122" s="9">
        <v>4764917.59</v>
      </c>
      <c r="C122" s="9">
        <v>3281916.89</v>
      </c>
      <c r="D122" s="9">
        <v>268840.66</v>
      </c>
      <c r="E122" s="9">
        <v>1467133.2</v>
      </c>
      <c r="F122" s="9">
        <v>3971868.77</v>
      </c>
      <c r="G122" s="9">
        <v>3793511.5</v>
      </c>
      <c r="H122" s="9">
        <v>329533.27</v>
      </c>
      <c r="I122" s="9">
        <v>307161.56</v>
      </c>
      <c r="J122" s="9">
        <v>218510.61</v>
      </c>
      <c r="K122" s="12">
        <v>0.43</v>
      </c>
      <c r="L122" s="9">
        <v>-1638774.7</v>
      </c>
      <c r="M122" s="9">
        <v>-230786.29</v>
      </c>
      <c r="N122" s="9">
        <v>1857214.27</v>
      </c>
      <c r="O122" s="9">
        <v>-12346.72</v>
      </c>
      <c r="P122" s="12">
        <v>17.26</v>
      </c>
      <c r="Q122" s="12">
        <v>7.73</v>
      </c>
      <c r="R122" s="12">
        <v>11.39</v>
      </c>
      <c r="S122" s="12">
        <v>5.63</v>
      </c>
      <c r="T122" s="12">
        <v>7.73</v>
      </c>
      <c r="U122" s="12">
        <v>2.21</v>
      </c>
      <c r="V122" s="12">
        <v>5.08</v>
      </c>
      <c r="W122" s="12">
        <v>1.04</v>
      </c>
      <c r="X122" s="12">
        <v>0.46</v>
      </c>
      <c r="Y122" s="12">
        <v>32.22</v>
      </c>
      <c r="Z122" s="12">
        <v>1.0</v>
      </c>
      <c r="AA122" s="12">
        <v>3.45</v>
      </c>
      <c r="AB122" s="12">
        <v>105.84</v>
      </c>
      <c r="AC122" s="12">
        <v>5.28</v>
      </c>
      <c r="AD122" s="12">
        <v>69.16</v>
      </c>
      <c r="AE122" s="12">
        <v>2.67</v>
      </c>
      <c r="AF122" s="12">
        <v>136.62</v>
      </c>
      <c r="AG122" s="12">
        <v>38.38</v>
      </c>
    </row>
    <row r="123">
      <c r="A123" s="8" t="s">
        <v>188</v>
      </c>
      <c r="B123" s="9">
        <v>16598.38</v>
      </c>
      <c r="C123" s="9">
        <v>43314.45</v>
      </c>
      <c r="D123" s="9">
        <v>1766430.01</v>
      </c>
      <c r="E123" s="9">
        <v>-26716.07</v>
      </c>
      <c r="F123" s="9">
        <v>12246.34</v>
      </c>
      <c r="G123" s="9">
        <v>31552.63</v>
      </c>
      <c r="H123" s="9">
        <v>-19115.13</v>
      </c>
      <c r="I123" s="9">
        <v>-19306.28</v>
      </c>
      <c r="J123" s="9">
        <v>-19984.7</v>
      </c>
      <c r="K123" s="12">
        <v>-0.07</v>
      </c>
      <c r="L123" s="9">
        <v>-26089.07</v>
      </c>
      <c r="M123" s="12">
        <v>9.19</v>
      </c>
      <c r="N123" s="9">
        <v>25006.57</v>
      </c>
      <c r="O123" s="9">
        <v>-1073.32</v>
      </c>
      <c r="P123" s="12" t="s">
        <v>46</v>
      </c>
      <c r="Q123" s="12">
        <v>-113.64</v>
      </c>
      <c r="R123" s="12">
        <v>51.46</v>
      </c>
      <c r="S123" s="12">
        <v>-163.19</v>
      </c>
      <c r="T123" s="12">
        <v>-157.65</v>
      </c>
      <c r="U123" s="12" t="s">
        <v>46</v>
      </c>
      <c r="V123" s="12">
        <v>-28.64</v>
      </c>
      <c r="W123" s="12">
        <v>0.26</v>
      </c>
      <c r="X123" s="12">
        <v>0.05</v>
      </c>
      <c r="Y123" s="12">
        <v>44.1</v>
      </c>
      <c r="Z123" s="12">
        <v>0.72</v>
      </c>
      <c r="AA123" s="12" t="s">
        <v>47</v>
      </c>
      <c r="AB123" s="12" t="s">
        <v>46</v>
      </c>
      <c r="AC123" s="12">
        <v>9.15</v>
      </c>
      <c r="AD123" s="12">
        <v>39.89</v>
      </c>
      <c r="AE123" s="12">
        <v>0.17</v>
      </c>
      <c r="AF123" s="9">
        <v>2094.99</v>
      </c>
      <c r="AG123" s="9">
        <v>-2055.1</v>
      </c>
    </row>
    <row r="124">
      <c r="A124" s="8" t="s">
        <v>189</v>
      </c>
      <c r="B124" s="9">
        <v>612592.0</v>
      </c>
      <c r="C124" s="9">
        <v>120237.0</v>
      </c>
      <c r="D124" s="9">
        <v>460000.0</v>
      </c>
      <c r="E124" s="9">
        <v>492355.0</v>
      </c>
      <c r="F124" s="9">
        <v>466821.0</v>
      </c>
      <c r="G124" s="9">
        <v>424030.0</v>
      </c>
      <c r="H124" s="9">
        <v>87973.0</v>
      </c>
      <c r="I124" s="9">
        <v>42791.0</v>
      </c>
      <c r="J124" s="9">
        <v>44235.0</v>
      </c>
      <c r="K124" s="12">
        <v>0.1</v>
      </c>
      <c r="L124" s="9">
        <v>69238.0</v>
      </c>
      <c r="M124" s="9">
        <v>-15040.0</v>
      </c>
      <c r="N124" s="9">
        <v>-54688.0</v>
      </c>
      <c r="O124" s="12">
        <v>-490.0</v>
      </c>
      <c r="P124" s="12">
        <v>9.39</v>
      </c>
      <c r="Q124" s="12">
        <v>6.93</v>
      </c>
      <c r="R124" s="12">
        <v>18.88</v>
      </c>
      <c r="S124" s="12">
        <v>9.48</v>
      </c>
      <c r="T124" s="12">
        <v>9.17</v>
      </c>
      <c r="U124" s="12">
        <v>0.24</v>
      </c>
      <c r="V124" s="12">
        <v>10.15</v>
      </c>
      <c r="W124" s="12">
        <v>0.91</v>
      </c>
      <c r="X124" s="12">
        <v>0.7</v>
      </c>
      <c r="Y124" s="12">
        <v>0.91</v>
      </c>
      <c r="Z124" s="12">
        <v>0.76</v>
      </c>
      <c r="AA124" s="12">
        <v>19.78</v>
      </c>
      <c r="AB124" s="12">
        <v>18.45</v>
      </c>
      <c r="AC124" s="12">
        <v>7.11</v>
      </c>
      <c r="AD124" s="12">
        <v>51.33</v>
      </c>
      <c r="AE124" s="12">
        <v>6.13</v>
      </c>
      <c r="AF124" s="12">
        <v>59.55</v>
      </c>
      <c r="AG124" s="12">
        <v>10.24</v>
      </c>
    </row>
    <row r="125">
      <c r="A125" s="8" t="s">
        <v>191</v>
      </c>
      <c r="B125" s="9">
        <v>864503.93</v>
      </c>
      <c r="C125" s="9">
        <v>252359.79</v>
      </c>
      <c r="D125" s="9">
        <v>275000.0</v>
      </c>
      <c r="E125" s="9">
        <v>606505.07</v>
      </c>
      <c r="F125" s="9">
        <v>1150489.48</v>
      </c>
      <c r="G125" s="9">
        <v>1079530.13</v>
      </c>
      <c r="H125" s="9">
        <v>93357.06</v>
      </c>
      <c r="I125" s="9">
        <v>70832.66</v>
      </c>
      <c r="J125" s="9">
        <v>46532.73</v>
      </c>
      <c r="K125" s="12">
        <v>0.08</v>
      </c>
      <c r="L125" s="9">
        <v>73775.69</v>
      </c>
      <c r="M125" s="9">
        <v>-181536.96</v>
      </c>
      <c r="N125" s="9">
        <v>-8145.31</v>
      </c>
      <c r="O125" s="9">
        <v>-115906.57</v>
      </c>
      <c r="P125" s="12">
        <v>8.0</v>
      </c>
      <c r="Q125" s="12">
        <v>8.3</v>
      </c>
      <c r="R125" s="12">
        <v>21.01</v>
      </c>
      <c r="S125" s="12">
        <v>4.18</v>
      </c>
      <c r="T125" s="12">
        <v>6.16</v>
      </c>
      <c r="U125" s="12">
        <v>0.41</v>
      </c>
      <c r="V125" s="12">
        <v>9.79</v>
      </c>
      <c r="W125" s="12">
        <v>2.46</v>
      </c>
      <c r="X125" s="12">
        <v>2.4</v>
      </c>
      <c r="Y125" s="12">
        <v>2.63</v>
      </c>
      <c r="Z125" s="12">
        <v>1.35</v>
      </c>
      <c r="AA125" s="12" t="s">
        <v>47</v>
      </c>
      <c r="AB125" s="12" t="s">
        <v>46</v>
      </c>
      <c r="AC125" s="12">
        <v>5.91</v>
      </c>
      <c r="AD125" s="12">
        <v>61.73</v>
      </c>
      <c r="AE125" s="12">
        <v>13.29</v>
      </c>
      <c r="AF125" s="12">
        <v>27.47</v>
      </c>
      <c r="AG125" s="12">
        <v>34.26</v>
      </c>
    </row>
    <row r="126">
      <c r="A126" s="8" t="s">
        <v>192</v>
      </c>
      <c r="B126" s="9">
        <v>1516145.4</v>
      </c>
      <c r="C126" s="9">
        <v>384206.28</v>
      </c>
      <c r="D126" s="9">
        <v>142500.0</v>
      </c>
      <c r="E126" s="9">
        <v>1131932.11</v>
      </c>
      <c r="F126" s="9">
        <v>1403141.24</v>
      </c>
      <c r="G126" s="9">
        <v>1105129.26</v>
      </c>
      <c r="H126" s="9">
        <v>415639.75</v>
      </c>
      <c r="I126" s="9">
        <v>298011.97</v>
      </c>
      <c r="J126" s="9">
        <v>245469.17</v>
      </c>
      <c r="K126" s="12">
        <v>0.43</v>
      </c>
      <c r="L126" s="9">
        <v>325443.39</v>
      </c>
      <c r="M126" s="9">
        <v>-215044.4</v>
      </c>
      <c r="N126" s="9">
        <v>-137281.97</v>
      </c>
      <c r="O126" s="9">
        <v>-26882.99</v>
      </c>
      <c r="P126" s="12">
        <v>23.35</v>
      </c>
      <c r="Q126" s="12">
        <v>20.66</v>
      </c>
      <c r="R126" s="12">
        <v>31.88</v>
      </c>
      <c r="S126" s="12">
        <v>17.53</v>
      </c>
      <c r="T126" s="12">
        <v>21.24</v>
      </c>
      <c r="U126" s="12">
        <v>0.34</v>
      </c>
      <c r="V126" s="12">
        <v>28.42</v>
      </c>
      <c r="W126" s="12">
        <v>1.18</v>
      </c>
      <c r="X126" s="12">
        <v>0.66</v>
      </c>
      <c r="Y126" s="12">
        <v>1.29</v>
      </c>
      <c r="Z126" s="12">
        <v>0.97</v>
      </c>
      <c r="AA126" s="12">
        <v>26.57</v>
      </c>
      <c r="AB126" s="12">
        <v>13.74</v>
      </c>
      <c r="AC126" s="12">
        <v>45.57</v>
      </c>
      <c r="AD126" s="12">
        <v>8.01</v>
      </c>
      <c r="AE126" s="12">
        <v>10.22</v>
      </c>
      <c r="AF126" s="12">
        <v>35.73</v>
      </c>
      <c r="AG126" s="12">
        <v>-13.98</v>
      </c>
    </row>
    <row r="127">
      <c r="A127" s="8" t="s">
        <v>193</v>
      </c>
      <c r="B127" s="9">
        <v>728700.72</v>
      </c>
      <c r="C127" s="9">
        <v>349727.86</v>
      </c>
      <c r="D127" s="9">
        <v>200000.0</v>
      </c>
      <c r="E127" s="9">
        <v>378972.86</v>
      </c>
      <c r="F127" s="9">
        <v>3609913.89</v>
      </c>
      <c r="G127" s="9">
        <v>3515165.47</v>
      </c>
      <c r="H127" s="9">
        <v>120059.23</v>
      </c>
      <c r="I127" s="9">
        <v>94748.42</v>
      </c>
      <c r="J127" s="9">
        <v>75695.99</v>
      </c>
      <c r="K127" s="12">
        <v>0.19</v>
      </c>
      <c r="L127" s="9">
        <v>74044.09</v>
      </c>
      <c r="M127" s="9">
        <v>-58405.9</v>
      </c>
      <c r="N127" s="9">
        <v>-24007.33</v>
      </c>
      <c r="O127" s="9">
        <v>-8369.14</v>
      </c>
      <c r="P127" s="12">
        <v>21.39</v>
      </c>
      <c r="Q127" s="12">
        <v>14.24</v>
      </c>
      <c r="R127" s="12">
        <v>11.23</v>
      </c>
      <c r="S127" s="12">
        <v>2.1</v>
      </c>
      <c r="T127" s="12">
        <v>2.62</v>
      </c>
      <c r="U127" s="12">
        <v>0.92</v>
      </c>
      <c r="V127" s="12">
        <v>111.77</v>
      </c>
      <c r="W127" s="12">
        <v>1.9</v>
      </c>
      <c r="X127" s="12">
        <v>0.66</v>
      </c>
      <c r="Y127" s="12">
        <v>73.89</v>
      </c>
      <c r="Z127" s="12">
        <v>5.43</v>
      </c>
      <c r="AA127" s="12">
        <v>9.22</v>
      </c>
      <c r="AB127" s="12">
        <v>39.59</v>
      </c>
      <c r="AC127" s="12">
        <v>61.95</v>
      </c>
      <c r="AD127" s="12">
        <v>5.89</v>
      </c>
      <c r="AE127" s="12">
        <v>11.1</v>
      </c>
      <c r="AF127" s="12">
        <v>32.88</v>
      </c>
      <c r="AG127" s="12">
        <v>12.6</v>
      </c>
    </row>
    <row r="128">
      <c r="A128" s="8" t="s">
        <v>194</v>
      </c>
      <c r="B128" s="9">
        <v>2239452.0</v>
      </c>
      <c r="C128" s="9">
        <v>1045958.0</v>
      </c>
      <c r="D128" s="9">
        <v>338350.0</v>
      </c>
      <c r="E128" s="9">
        <v>1146442.0</v>
      </c>
      <c r="F128" s="9">
        <v>1703581.0</v>
      </c>
      <c r="G128" s="9">
        <v>1667014.0</v>
      </c>
      <c r="H128" s="9">
        <v>74427.0</v>
      </c>
      <c r="I128" s="9">
        <v>39025.0</v>
      </c>
      <c r="J128" s="9">
        <v>20383.0</v>
      </c>
      <c r="K128" s="12">
        <v>0.03</v>
      </c>
      <c r="L128" s="9">
        <v>-41724.0</v>
      </c>
      <c r="M128" s="9">
        <v>-187710.0</v>
      </c>
      <c r="N128" s="9">
        <v>113522.0</v>
      </c>
      <c r="O128" s="9">
        <v>-115912.0</v>
      </c>
      <c r="P128" s="12">
        <v>1.76</v>
      </c>
      <c r="Q128" s="12">
        <v>1.84</v>
      </c>
      <c r="R128" s="12">
        <v>13.15</v>
      </c>
      <c r="S128" s="12">
        <v>1.25</v>
      </c>
      <c r="T128" s="12">
        <v>2.29</v>
      </c>
      <c r="U128" s="12">
        <v>0.88</v>
      </c>
      <c r="V128" s="12">
        <v>3.3</v>
      </c>
      <c r="W128" s="12">
        <v>1.6</v>
      </c>
      <c r="X128" s="12">
        <v>1.16</v>
      </c>
      <c r="Y128" s="12">
        <v>3.81</v>
      </c>
      <c r="Z128" s="12">
        <v>0.8</v>
      </c>
      <c r="AA128" s="12">
        <v>7.87</v>
      </c>
      <c r="AB128" s="12">
        <v>46.37</v>
      </c>
      <c r="AC128" s="12">
        <v>3.1</v>
      </c>
      <c r="AD128" s="12">
        <v>117.71</v>
      </c>
      <c r="AE128" s="12">
        <v>4.32</v>
      </c>
      <c r="AF128" s="12">
        <v>84.52</v>
      </c>
      <c r="AG128" s="12">
        <v>79.56</v>
      </c>
    </row>
    <row r="129">
      <c r="A129" s="8" t="s">
        <v>195</v>
      </c>
      <c r="B129" s="9">
        <v>701268.41</v>
      </c>
      <c r="C129" s="9">
        <v>356218.17</v>
      </c>
      <c r="D129" s="9">
        <v>189636.65</v>
      </c>
      <c r="E129" s="9">
        <v>310964.8</v>
      </c>
      <c r="F129" s="9">
        <v>47350.81</v>
      </c>
      <c r="G129" s="9">
        <v>256647.14</v>
      </c>
      <c r="H129" s="9">
        <v>-186886.33</v>
      </c>
      <c r="I129" s="9">
        <v>-209296.33</v>
      </c>
      <c r="J129" s="9">
        <v>-112511.17</v>
      </c>
      <c r="K129" s="12">
        <v>-0.42</v>
      </c>
      <c r="L129" s="9">
        <v>-41730.69</v>
      </c>
      <c r="M129" s="9">
        <v>43967.73</v>
      </c>
      <c r="N129" s="9">
        <v>-16513.16</v>
      </c>
      <c r="O129" s="9">
        <v>-14276.12</v>
      </c>
      <c r="P129" s="12">
        <v>-30.21</v>
      </c>
      <c r="Q129" s="12">
        <v>-25.54</v>
      </c>
      <c r="R129" s="12">
        <v>36.95</v>
      </c>
      <c r="S129" s="12">
        <v>-385.75</v>
      </c>
      <c r="T129" s="12">
        <v>-442.01</v>
      </c>
      <c r="U129" s="12">
        <v>1.03</v>
      </c>
      <c r="V129" s="12">
        <v>-17.98</v>
      </c>
      <c r="W129" s="12">
        <v>1.21</v>
      </c>
      <c r="X129" s="12">
        <v>0.23</v>
      </c>
      <c r="Y129" s="12">
        <v>0.13</v>
      </c>
      <c r="Z129" s="12">
        <v>0.06</v>
      </c>
      <c r="AA129" s="12" t="s">
        <v>47</v>
      </c>
      <c r="AB129" s="12" t="s">
        <v>46</v>
      </c>
      <c r="AC129" s="12">
        <v>0.04</v>
      </c>
      <c r="AD129" s="9">
        <v>8205.72</v>
      </c>
      <c r="AE129" s="12">
        <v>0.02</v>
      </c>
      <c r="AF129" s="9">
        <v>21206.19</v>
      </c>
      <c r="AG129" s="9">
        <v>-13000.47</v>
      </c>
    </row>
    <row r="130">
      <c r="A130" s="8" t="s">
        <v>196</v>
      </c>
      <c r="B130" s="9">
        <v>597497.17</v>
      </c>
      <c r="C130" s="9">
        <v>169751.55</v>
      </c>
      <c r="D130" s="9">
        <v>284000.0</v>
      </c>
      <c r="E130" s="9">
        <v>427745.62</v>
      </c>
      <c r="F130" s="9">
        <v>422047.02</v>
      </c>
      <c r="G130" s="9">
        <v>382443.57</v>
      </c>
      <c r="H130" s="9">
        <v>65807.72</v>
      </c>
      <c r="I130" s="9">
        <v>39603.46</v>
      </c>
      <c r="J130" s="9">
        <v>25770.56</v>
      </c>
      <c r="K130" s="12">
        <v>0.06</v>
      </c>
      <c r="L130" s="9">
        <v>30271.62</v>
      </c>
      <c r="M130" s="9">
        <v>-18745.38</v>
      </c>
      <c r="N130" s="9">
        <v>4186.44</v>
      </c>
      <c r="O130" s="9">
        <v>15712.68</v>
      </c>
      <c r="P130" s="12">
        <v>7.28</v>
      </c>
      <c r="Q130" s="12">
        <v>6.89</v>
      </c>
      <c r="R130" s="12">
        <v>31.86</v>
      </c>
      <c r="S130" s="12">
        <v>6.11</v>
      </c>
      <c r="T130" s="12">
        <v>9.38</v>
      </c>
      <c r="U130" s="12">
        <v>0.4</v>
      </c>
      <c r="V130" s="12">
        <v>4.58</v>
      </c>
      <c r="W130" s="12">
        <v>1.58</v>
      </c>
      <c r="X130" s="12">
        <v>1.25</v>
      </c>
      <c r="Y130" s="12">
        <v>1.05</v>
      </c>
      <c r="Z130" s="12">
        <v>0.73</v>
      </c>
      <c r="AA130" s="12">
        <v>7.9</v>
      </c>
      <c r="AB130" s="12">
        <v>46.19</v>
      </c>
      <c r="AC130" s="12">
        <v>3.47</v>
      </c>
      <c r="AD130" s="12">
        <v>105.11</v>
      </c>
      <c r="AE130" s="12">
        <v>3.03</v>
      </c>
      <c r="AF130" s="12">
        <v>120.31</v>
      </c>
      <c r="AG130" s="12">
        <v>30.99</v>
      </c>
    </row>
    <row r="131">
      <c r="A131" s="8" t="s">
        <v>309</v>
      </c>
      <c r="B131" s="9">
        <v>785026.33</v>
      </c>
      <c r="C131" s="9">
        <v>159942.7</v>
      </c>
      <c r="D131" s="9">
        <v>134000.0</v>
      </c>
      <c r="E131" s="9">
        <v>625083.63</v>
      </c>
      <c r="F131" s="9">
        <v>727281.11</v>
      </c>
      <c r="G131" s="9">
        <v>619857.36</v>
      </c>
      <c r="H131" s="9">
        <v>112812.72</v>
      </c>
      <c r="I131" s="9">
        <v>107423.75</v>
      </c>
      <c r="J131" s="9">
        <v>85502.18</v>
      </c>
      <c r="K131" s="12">
        <v>0.32</v>
      </c>
      <c r="L131" s="9">
        <v>16380.49</v>
      </c>
      <c r="M131" s="9">
        <v>-387922.97</v>
      </c>
      <c r="N131" s="9">
        <v>-35330.9</v>
      </c>
      <c r="O131" s="9">
        <v>-406873.39</v>
      </c>
      <c r="P131" s="12">
        <v>14.28</v>
      </c>
      <c r="Q131" s="12">
        <v>14.31</v>
      </c>
      <c r="R131" s="12">
        <v>33.75</v>
      </c>
      <c r="S131" s="12">
        <v>11.76</v>
      </c>
      <c r="T131" s="12">
        <v>14.77</v>
      </c>
      <c r="U131" s="12">
        <v>0.26</v>
      </c>
      <c r="V131" s="12">
        <v>221.09</v>
      </c>
      <c r="W131" s="12">
        <v>8.07</v>
      </c>
      <c r="X131" s="12">
        <v>5.81</v>
      </c>
      <c r="Y131" s="12">
        <v>47.16</v>
      </c>
      <c r="Z131" s="12">
        <v>0.97</v>
      </c>
      <c r="AA131" s="12">
        <v>191.35</v>
      </c>
      <c r="AB131" s="12">
        <v>1.91</v>
      </c>
      <c r="AC131" s="12">
        <v>7.01</v>
      </c>
      <c r="AD131" s="12">
        <v>52.07</v>
      </c>
      <c r="AE131" s="12">
        <v>11.46</v>
      </c>
      <c r="AF131" s="12">
        <v>31.85</v>
      </c>
      <c r="AG131" s="12">
        <v>22.13</v>
      </c>
    </row>
    <row r="132">
      <c r="A132" s="8" t="s">
        <v>197</v>
      </c>
      <c r="B132" s="9">
        <v>2300354.78</v>
      </c>
      <c r="C132" s="9">
        <v>1825663.83</v>
      </c>
      <c r="D132" s="9">
        <v>1316252.59</v>
      </c>
      <c r="E132" s="9">
        <v>483338.73</v>
      </c>
      <c r="F132" s="9">
        <v>1123313.06</v>
      </c>
      <c r="G132" s="9">
        <v>1798578.34</v>
      </c>
      <c r="H132" s="9">
        <v>-635260.92</v>
      </c>
      <c r="I132" s="9">
        <v>-704195.32</v>
      </c>
      <c r="J132" s="9">
        <v>-801302.54</v>
      </c>
      <c r="K132" s="12">
        <v>-0.06</v>
      </c>
      <c r="L132" s="9">
        <v>-93762.17</v>
      </c>
      <c r="M132" s="9">
        <v>142884.0</v>
      </c>
      <c r="N132" s="9">
        <v>296372.04</v>
      </c>
      <c r="O132" s="9">
        <v>345493.87</v>
      </c>
      <c r="P132" s="12">
        <v>-82.32</v>
      </c>
      <c r="Q132" s="12">
        <v>-26.19</v>
      </c>
      <c r="R132" s="12">
        <v>-20.08</v>
      </c>
      <c r="S132" s="12">
        <v>-73.21</v>
      </c>
      <c r="T132" s="12">
        <v>-62.69</v>
      </c>
      <c r="U132" s="12">
        <v>3.85</v>
      </c>
      <c r="V132" s="12">
        <v>-10.15</v>
      </c>
      <c r="W132" s="12">
        <v>1.3</v>
      </c>
      <c r="X132" s="12">
        <v>0.32</v>
      </c>
      <c r="Y132" s="12">
        <v>1.38</v>
      </c>
      <c r="Z132" s="12">
        <v>0.42</v>
      </c>
      <c r="AA132" s="12">
        <v>3.41</v>
      </c>
      <c r="AB132" s="12">
        <v>106.88</v>
      </c>
      <c r="AC132" s="12">
        <v>3.03</v>
      </c>
      <c r="AD132" s="12">
        <v>120.43</v>
      </c>
      <c r="AE132" s="12">
        <v>3.0</v>
      </c>
      <c r="AF132" s="12">
        <v>121.6</v>
      </c>
      <c r="AG132" s="12">
        <v>105.71</v>
      </c>
    </row>
    <row r="133">
      <c r="A133" s="8" t="s">
        <v>329</v>
      </c>
      <c r="B133" s="9">
        <v>1343306.16</v>
      </c>
      <c r="C133" s="9">
        <v>492483.65</v>
      </c>
      <c r="D133" s="9">
        <v>215000.0</v>
      </c>
      <c r="E133" s="9">
        <v>850822.51</v>
      </c>
      <c r="F133" s="9">
        <v>1925476.47</v>
      </c>
      <c r="G133" s="9">
        <v>1985514.73</v>
      </c>
      <c r="H133" s="9">
        <v>19083.49</v>
      </c>
      <c r="I133" s="9">
        <v>-45818.79</v>
      </c>
      <c r="J133" s="9">
        <v>-41879.41</v>
      </c>
      <c r="K133" s="12">
        <v>-0.1</v>
      </c>
      <c r="L133" s="9">
        <v>205122.88</v>
      </c>
      <c r="M133" s="9">
        <v>-59077.29</v>
      </c>
      <c r="N133" s="9">
        <v>83324.34</v>
      </c>
      <c r="O133" s="9">
        <v>229369.93</v>
      </c>
      <c r="P133" s="12">
        <v>-4.76</v>
      </c>
      <c r="Q133" s="12">
        <v>-3.51</v>
      </c>
      <c r="R133" s="12">
        <v>7.55</v>
      </c>
      <c r="S133" s="12">
        <v>-2.18</v>
      </c>
      <c r="T133" s="12">
        <v>-2.38</v>
      </c>
      <c r="U133" s="12">
        <v>0.58</v>
      </c>
      <c r="V133" s="12">
        <v>-7.98</v>
      </c>
      <c r="W133" s="12">
        <v>1.35</v>
      </c>
      <c r="X133" s="12">
        <v>0.89</v>
      </c>
      <c r="Y133" s="12">
        <v>2.73</v>
      </c>
      <c r="Z133" s="12">
        <v>1.48</v>
      </c>
      <c r="AA133" s="12">
        <v>5.91</v>
      </c>
      <c r="AB133" s="12">
        <v>61.78</v>
      </c>
      <c r="AC133" s="12">
        <v>13.62</v>
      </c>
      <c r="AD133" s="12">
        <v>26.79</v>
      </c>
      <c r="AE133" s="12">
        <v>8.25</v>
      </c>
      <c r="AF133" s="12">
        <v>44.26</v>
      </c>
      <c r="AG133" s="12">
        <v>44.31</v>
      </c>
    </row>
    <row r="134">
      <c r="A134" s="8" t="s">
        <v>199</v>
      </c>
      <c r="B134" s="9">
        <v>1298135.31</v>
      </c>
      <c r="C134" s="9">
        <v>594912.24</v>
      </c>
      <c r="D134" s="9">
        <v>153333.2</v>
      </c>
      <c r="E134" s="9">
        <v>693164.63</v>
      </c>
      <c r="F134" s="9">
        <v>1665261.42</v>
      </c>
      <c r="G134" s="9">
        <v>1445276.38</v>
      </c>
      <c r="H134" s="9">
        <v>244315.64</v>
      </c>
      <c r="I134" s="9">
        <v>219985.04</v>
      </c>
      <c r="J134" s="9">
        <v>171302.75</v>
      </c>
      <c r="K134" s="12">
        <v>0.57</v>
      </c>
      <c r="L134" s="9">
        <v>91728.88</v>
      </c>
      <c r="M134" s="9">
        <v>-31545.69</v>
      </c>
      <c r="N134" s="9">
        <v>37020.27</v>
      </c>
      <c r="O134" s="9">
        <v>97203.46</v>
      </c>
      <c r="P134" s="12">
        <v>25.84</v>
      </c>
      <c r="Q134" s="12">
        <v>19.61</v>
      </c>
      <c r="R134" s="12">
        <v>40.14</v>
      </c>
      <c r="S134" s="12">
        <v>10.4</v>
      </c>
      <c r="T134" s="12">
        <v>13.21</v>
      </c>
      <c r="U134" s="12">
        <v>0.85</v>
      </c>
      <c r="V134" s="12">
        <v>54.69</v>
      </c>
      <c r="W134" s="12">
        <v>1.66</v>
      </c>
      <c r="X134" s="12">
        <v>1.21</v>
      </c>
      <c r="Y134" s="12">
        <v>5.15</v>
      </c>
      <c r="Z134" s="12">
        <v>1.48</v>
      </c>
      <c r="AA134" s="12">
        <v>3.84</v>
      </c>
      <c r="AB134" s="12">
        <v>95.08</v>
      </c>
      <c r="AC134" s="12">
        <v>4.99</v>
      </c>
      <c r="AD134" s="12">
        <v>73.2</v>
      </c>
      <c r="AE134" s="12">
        <v>3.36</v>
      </c>
      <c r="AF134" s="12">
        <v>108.63</v>
      </c>
      <c r="AG134" s="12">
        <v>59.65</v>
      </c>
    </row>
    <row r="135">
      <c r="A135" s="8" t="s">
        <v>200</v>
      </c>
      <c r="B135" s="12" t="s">
        <v>46</v>
      </c>
      <c r="C135" s="12" t="s">
        <v>46</v>
      </c>
      <c r="D135" s="12" t="s">
        <v>46</v>
      </c>
      <c r="E135" s="12" t="s">
        <v>46</v>
      </c>
      <c r="F135" s="9">
        <v>1529883.42</v>
      </c>
      <c r="G135" s="9">
        <v>1319204.32</v>
      </c>
      <c r="H135" s="9">
        <v>222729.45</v>
      </c>
      <c r="I135" s="9">
        <v>204187.28</v>
      </c>
      <c r="J135" s="9">
        <v>162090.66</v>
      </c>
      <c r="K135" s="12">
        <v>0.27</v>
      </c>
      <c r="L135" s="9">
        <v>232354.14</v>
      </c>
      <c r="M135" s="9">
        <v>-177790.6</v>
      </c>
      <c r="N135" s="9">
        <v>-118465.68</v>
      </c>
      <c r="O135" s="9">
        <v>-63902.15</v>
      </c>
      <c r="P135" s="12" t="s">
        <v>46</v>
      </c>
      <c r="Q135" s="12" t="s">
        <v>47</v>
      </c>
      <c r="R135" s="12">
        <v>30.71</v>
      </c>
      <c r="S135" s="12">
        <v>10.59</v>
      </c>
      <c r="T135" s="12">
        <v>13.35</v>
      </c>
      <c r="U135" s="12" t="s">
        <v>46</v>
      </c>
      <c r="V135" s="12">
        <v>579.35</v>
      </c>
      <c r="W135" s="12" t="s">
        <v>46</v>
      </c>
      <c r="X135" s="12" t="s">
        <v>46</v>
      </c>
      <c r="Y135" s="12" t="s">
        <v>47</v>
      </c>
      <c r="Z135" s="12" t="s">
        <v>47</v>
      </c>
      <c r="AA135" s="12" t="s">
        <v>47</v>
      </c>
      <c r="AB135" s="12" t="s">
        <v>46</v>
      </c>
      <c r="AC135" s="12" t="s">
        <v>47</v>
      </c>
      <c r="AD135" s="12" t="s">
        <v>46</v>
      </c>
      <c r="AE135" s="12" t="s">
        <v>47</v>
      </c>
      <c r="AF135" s="12" t="s">
        <v>46</v>
      </c>
      <c r="AG135" s="12" t="s">
        <v>46</v>
      </c>
    </row>
    <row r="136">
      <c r="A136" s="8" t="s">
        <v>201</v>
      </c>
      <c r="B136" s="9">
        <v>2319642.32</v>
      </c>
      <c r="C136" s="9">
        <v>1122743.16</v>
      </c>
      <c r="D136" s="9">
        <v>400000.0</v>
      </c>
      <c r="E136" s="9">
        <v>882537.06</v>
      </c>
      <c r="F136" s="9">
        <v>3095668.13</v>
      </c>
      <c r="G136" s="9">
        <v>2975292.31</v>
      </c>
      <c r="H136" s="9">
        <v>184404.1</v>
      </c>
      <c r="I136" s="9">
        <v>119058.7</v>
      </c>
      <c r="J136" s="9">
        <v>27158.51</v>
      </c>
      <c r="K136" s="12">
        <v>0.03</v>
      </c>
      <c r="L136" s="9">
        <v>-299023.41</v>
      </c>
      <c r="M136" s="9">
        <v>-153205.1</v>
      </c>
      <c r="N136" s="9">
        <v>361113.12</v>
      </c>
      <c r="O136" s="9">
        <v>-91115.39</v>
      </c>
      <c r="P136" s="12">
        <v>3.21</v>
      </c>
      <c r="Q136" s="12">
        <v>5.62</v>
      </c>
      <c r="R136" s="12">
        <v>9.69</v>
      </c>
      <c r="S136" s="12">
        <v>2.38</v>
      </c>
      <c r="T136" s="12">
        <v>3.85</v>
      </c>
      <c r="U136" s="12">
        <v>0.94</v>
      </c>
      <c r="V136" s="12">
        <v>8.18</v>
      </c>
      <c r="W136" s="12">
        <v>1.48</v>
      </c>
      <c r="X136" s="12">
        <v>0.48</v>
      </c>
      <c r="Y136" s="12">
        <v>4.93</v>
      </c>
      <c r="Z136" s="12">
        <v>1.46</v>
      </c>
      <c r="AA136" s="12">
        <v>10.9</v>
      </c>
      <c r="AB136" s="12">
        <v>33.5</v>
      </c>
      <c r="AC136" s="12">
        <v>10.68</v>
      </c>
      <c r="AD136" s="12">
        <v>34.19</v>
      </c>
      <c r="AE136" s="12">
        <v>4.91</v>
      </c>
      <c r="AF136" s="12">
        <v>74.29</v>
      </c>
      <c r="AG136" s="12">
        <v>-6.6</v>
      </c>
    </row>
    <row r="137">
      <c r="A137" s="8" t="s">
        <v>202</v>
      </c>
      <c r="B137" s="9">
        <v>2409653.0</v>
      </c>
      <c r="C137" s="9">
        <v>1285548.0</v>
      </c>
      <c r="D137" s="9">
        <v>419423.0</v>
      </c>
      <c r="E137" s="9">
        <v>1061098.0</v>
      </c>
      <c r="F137" s="9">
        <v>1924858.0</v>
      </c>
      <c r="G137" s="9">
        <v>1800537.0</v>
      </c>
      <c r="H137" s="9">
        <v>216982.0</v>
      </c>
      <c r="I137" s="9">
        <v>139336.0</v>
      </c>
      <c r="J137" s="9">
        <v>86487.0</v>
      </c>
      <c r="K137" s="12">
        <v>0.2</v>
      </c>
      <c r="L137" s="9">
        <v>109699.0</v>
      </c>
      <c r="M137" s="9">
        <v>-252400.0</v>
      </c>
      <c r="N137" s="9">
        <v>66727.0</v>
      </c>
      <c r="O137" s="9">
        <v>-75974.0</v>
      </c>
      <c r="P137" s="12">
        <v>8.37</v>
      </c>
      <c r="Q137" s="12">
        <v>6.18</v>
      </c>
      <c r="R137" s="12">
        <v>19.85</v>
      </c>
      <c r="S137" s="12">
        <v>4.75</v>
      </c>
      <c r="T137" s="12">
        <v>7.24</v>
      </c>
      <c r="U137" s="12">
        <v>1.14</v>
      </c>
      <c r="V137" s="12">
        <v>3.77</v>
      </c>
      <c r="W137" s="12">
        <v>1.0</v>
      </c>
      <c r="X137" s="12">
        <v>0.5</v>
      </c>
      <c r="Y137" s="12">
        <v>3.1</v>
      </c>
      <c r="Z137" s="12">
        <v>0.85</v>
      </c>
      <c r="AA137" s="12">
        <v>2.93</v>
      </c>
      <c r="AB137" s="12">
        <v>124.62</v>
      </c>
      <c r="AC137" s="12">
        <v>5.46</v>
      </c>
      <c r="AD137" s="12">
        <v>66.86</v>
      </c>
      <c r="AE137" s="12">
        <v>4.75</v>
      </c>
      <c r="AF137" s="12">
        <v>76.8</v>
      </c>
      <c r="AG137" s="12">
        <v>114.68</v>
      </c>
    </row>
    <row r="138">
      <c r="A138" s="8" t="s">
        <v>203</v>
      </c>
      <c r="B138" s="9">
        <v>836084.76</v>
      </c>
      <c r="C138" s="9">
        <v>429413.07</v>
      </c>
      <c r="D138" s="9">
        <v>253212.0</v>
      </c>
      <c r="E138" s="9">
        <v>386061.35</v>
      </c>
      <c r="F138" s="9">
        <v>393487.33</v>
      </c>
      <c r="G138" s="9">
        <v>435149.16</v>
      </c>
      <c r="H138" s="9">
        <v>-37368.47</v>
      </c>
      <c r="I138" s="9">
        <v>-41661.82</v>
      </c>
      <c r="J138" s="9">
        <v>-60733.04</v>
      </c>
      <c r="K138" s="12">
        <v>-0.24</v>
      </c>
      <c r="L138" s="9">
        <v>92075.75</v>
      </c>
      <c r="M138" s="12">
        <v>-898.95</v>
      </c>
      <c r="N138" s="9">
        <v>-95283.13</v>
      </c>
      <c r="O138" s="9">
        <v>-4106.34</v>
      </c>
      <c r="P138" s="12">
        <v>-14.58</v>
      </c>
      <c r="Q138" s="12">
        <v>-4.58</v>
      </c>
      <c r="R138" s="12">
        <v>21.69</v>
      </c>
      <c r="S138" s="12">
        <v>-16.44</v>
      </c>
      <c r="T138" s="12">
        <v>-10.59</v>
      </c>
      <c r="U138" s="12">
        <v>1.06</v>
      </c>
      <c r="V138" s="12">
        <v>-2.15</v>
      </c>
      <c r="W138" s="12">
        <v>1.72</v>
      </c>
      <c r="X138" s="12">
        <v>0.2</v>
      </c>
      <c r="Y138" s="12">
        <v>44.53</v>
      </c>
      <c r="Z138" s="12">
        <v>0.43</v>
      </c>
      <c r="AA138" s="12">
        <v>0.43</v>
      </c>
      <c r="AB138" s="12">
        <v>846.85</v>
      </c>
      <c r="AC138" s="12">
        <v>8.85</v>
      </c>
      <c r="AD138" s="12">
        <v>41.25</v>
      </c>
      <c r="AE138" s="12">
        <v>3.52</v>
      </c>
      <c r="AF138" s="12">
        <v>103.69</v>
      </c>
      <c r="AG138" s="12">
        <v>784.41</v>
      </c>
    </row>
    <row r="139">
      <c r="A139" s="8" t="s">
        <v>204</v>
      </c>
      <c r="B139" s="9">
        <v>574195.95</v>
      </c>
      <c r="C139" s="9">
        <v>196014.53</v>
      </c>
      <c r="D139" s="9">
        <v>170000.0</v>
      </c>
      <c r="E139" s="9">
        <v>379545.7</v>
      </c>
      <c r="F139" s="9">
        <v>343253.23</v>
      </c>
      <c r="G139" s="9">
        <v>358790.31</v>
      </c>
      <c r="H139" s="9">
        <v>-1962.9</v>
      </c>
      <c r="I139" s="9">
        <v>-13865.15</v>
      </c>
      <c r="J139" s="9">
        <v>-15137.91</v>
      </c>
      <c r="K139" s="12">
        <v>-0.05</v>
      </c>
      <c r="L139" s="9">
        <v>15855.67</v>
      </c>
      <c r="M139" s="9">
        <v>-69343.61</v>
      </c>
      <c r="N139" s="9">
        <v>33017.73</v>
      </c>
      <c r="O139" s="9">
        <v>-20470.21</v>
      </c>
      <c r="P139" s="12">
        <v>-3.83</v>
      </c>
      <c r="Q139" s="12">
        <v>-2.5</v>
      </c>
      <c r="R139" s="12">
        <v>38.73</v>
      </c>
      <c r="S139" s="12">
        <v>-4.53</v>
      </c>
      <c r="T139" s="12">
        <v>-4.04</v>
      </c>
      <c r="U139" s="12">
        <v>0.52</v>
      </c>
      <c r="V139" s="12">
        <v>-4.18</v>
      </c>
      <c r="W139" s="12">
        <v>2.74</v>
      </c>
      <c r="X139" s="12">
        <v>1.04</v>
      </c>
      <c r="Y139" s="12">
        <v>2.47</v>
      </c>
      <c r="Z139" s="12">
        <v>0.62</v>
      </c>
      <c r="AA139" s="12">
        <v>0.98</v>
      </c>
      <c r="AB139" s="12">
        <v>372.59</v>
      </c>
      <c r="AC139" s="12">
        <v>2.97</v>
      </c>
      <c r="AD139" s="12">
        <v>123.02</v>
      </c>
      <c r="AE139" s="12">
        <v>3.34</v>
      </c>
      <c r="AF139" s="12">
        <v>109.15</v>
      </c>
      <c r="AG139" s="12">
        <v>386.46</v>
      </c>
    </row>
    <row r="140">
      <c r="A140" s="8" t="s">
        <v>205</v>
      </c>
      <c r="B140" s="9">
        <v>858998.19</v>
      </c>
      <c r="C140" s="9">
        <v>208968.87</v>
      </c>
      <c r="D140" s="9">
        <v>230000.0</v>
      </c>
      <c r="E140" s="9">
        <v>649611.89</v>
      </c>
      <c r="F140" s="9">
        <v>992293.34</v>
      </c>
      <c r="G140" s="9">
        <v>891873.68</v>
      </c>
      <c r="H140" s="9">
        <v>115737.86</v>
      </c>
      <c r="I140" s="9">
        <v>100367.11</v>
      </c>
      <c r="J140" s="9">
        <v>79243.62</v>
      </c>
      <c r="K140" s="12">
        <v>0.17</v>
      </c>
      <c r="L140" s="9">
        <v>-134097.12</v>
      </c>
      <c r="M140" s="9">
        <v>-74362.54</v>
      </c>
      <c r="N140" s="9">
        <v>-46085.67</v>
      </c>
      <c r="O140" s="9">
        <v>-254545.33</v>
      </c>
      <c r="P140" s="12">
        <v>12.51</v>
      </c>
      <c r="Q140" s="12">
        <v>12.69</v>
      </c>
      <c r="R140" s="12">
        <v>15.54</v>
      </c>
      <c r="S140" s="12">
        <v>8.0</v>
      </c>
      <c r="T140" s="12">
        <v>10.11</v>
      </c>
      <c r="U140" s="12">
        <v>0.32</v>
      </c>
      <c r="V140" s="12">
        <v>120.76</v>
      </c>
      <c r="W140" s="12">
        <v>3.65</v>
      </c>
      <c r="X140" s="12">
        <v>1.68</v>
      </c>
      <c r="Y140" s="12">
        <v>12.28</v>
      </c>
      <c r="Z140" s="12">
        <v>1.25</v>
      </c>
      <c r="AA140" s="12">
        <v>325.1</v>
      </c>
      <c r="AB140" s="12">
        <v>1.12</v>
      </c>
      <c r="AC140" s="12">
        <v>4.66</v>
      </c>
      <c r="AD140" s="12">
        <v>78.39</v>
      </c>
      <c r="AE140" s="12">
        <v>10.94</v>
      </c>
      <c r="AF140" s="12">
        <v>33.35</v>
      </c>
      <c r="AG140" s="12">
        <v>46.17</v>
      </c>
    </row>
    <row r="141">
      <c r="A141" s="8" t="s">
        <v>206</v>
      </c>
      <c r="B141" s="9">
        <v>1151811.55</v>
      </c>
      <c r="C141" s="9">
        <v>392303.98</v>
      </c>
      <c r="D141" s="9">
        <v>329999.26</v>
      </c>
      <c r="E141" s="9">
        <v>759507.57</v>
      </c>
      <c r="F141" s="9">
        <v>1294215.27</v>
      </c>
      <c r="G141" s="9">
        <v>994138.17</v>
      </c>
      <c r="H141" s="9">
        <v>307878.77</v>
      </c>
      <c r="I141" s="9">
        <v>300077.1</v>
      </c>
      <c r="J141" s="9">
        <v>234321.18</v>
      </c>
      <c r="K141" s="12">
        <v>0.36</v>
      </c>
      <c r="L141" s="9">
        <v>129237.36</v>
      </c>
      <c r="M141" s="9">
        <v>-64033.64</v>
      </c>
      <c r="N141" s="9">
        <v>-141768.23</v>
      </c>
      <c r="O141" s="9">
        <v>-76564.52</v>
      </c>
      <c r="P141" s="12">
        <v>35.76</v>
      </c>
      <c r="Q141" s="12">
        <v>20.65</v>
      </c>
      <c r="R141" s="12">
        <v>46.33</v>
      </c>
      <c r="S141" s="12">
        <v>18.11</v>
      </c>
      <c r="T141" s="12">
        <v>23.19</v>
      </c>
      <c r="U141" s="12">
        <v>0.52</v>
      </c>
      <c r="V141" s="12">
        <v>143.02</v>
      </c>
      <c r="W141" s="12">
        <v>1.52</v>
      </c>
      <c r="X141" s="12">
        <v>0.47</v>
      </c>
      <c r="Y141" s="12">
        <v>23.09</v>
      </c>
      <c r="Z141" s="12">
        <v>0.89</v>
      </c>
      <c r="AA141" s="12">
        <v>1.31</v>
      </c>
      <c r="AB141" s="12">
        <v>278.85</v>
      </c>
      <c r="AC141" s="9">
        <v>4173.02</v>
      </c>
      <c r="AD141" s="12">
        <v>0.09</v>
      </c>
      <c r="AE141" s="12">
        <v>46.22</v>
      </c>
      <c r="AF141" s="12">
        <v>7.9</v>
      </c>
      <c r="AG141" s="12">
        <v>271.04</v>
      </c>
    </row>
    <row r="142">
      <c r="A142" s="8" t="s">
        <v>339</v>
      </c>
      <c r="B142" s="9">
        <v>779970.89</v>
      </c>
      <c r="C142" s="9">
        <v>333464.34</v>
      </c>
      <c r="D142" s="9">
        <v>153999.99</v>
      </c>
      <c r="E142" s="9">
        <v>446506.55</v>
      </c>
      <c r="F142" s="9">
        <v>689679.19</v>
      </c>
      <c r="G142" s="9">
        <v>614733.59</v>
      </c>
      <c r="H142" s="9">
        <v>89731.84</v>
      </c>
      <c r="I142" s="9">
        <v>82119.11</v>
      </c>
      <c r="J142" s="9">
        <v>60925.39</v>
      </c>
      <c r="K142" s="12">
        <v>0.2</v>
      </c>
      <c r="L142" s="9">
        <v>154200.25</v>
      </c>
      <c r="M142" s="9">
        <v>-54246.23</v>
      </c>
      <c r="N142" s="9">
        <v>-28910.94</v>
      </c>
      <c r="O142" s="9">
        <v>71043.08</v>
      </c>
      <c r="P142" s="12">
        <v>14.17</v>
      </c>
      <c r="Q142" s="12">
        <v>10.89</v>
      </c>
      <c r="R142" s="12">
        <v>39.34</v>
      </c>
      <c r="S142" s="12">
        <v>8.83</v>
      </c>
      <c r="T142" s="12">
        <v>11.91</v>
      </c>
      <c r="U142" s="12">
        <v>0.75</v>
      </c>
      <c r="V142" s="12">
        <v>13.17</v>
      </c>
      <c r="W142" s="12">
        <v>1.84</v>
      </c>
      <c r="X142" s="12">
        <v>1.27</v>
      </c>
      <c r="Y142" s="12">
        <v>6.74</v>
      </c>
      <c r="Z142" s="12">
        <v>0.91</v>
      </c>
      <c r="AA142" s="12">
        <v>2.31</v>
      </c>
      <c r="AB142" s="12">
        <v>157.75</v>
      </c>
      <c r="AC142" s="12">
        <v>3.09</v>
      </c>
      <c r="AD142" s="12">
        <v>117.96</v>
      </c>
      <c r="AE142" s="12">
        <v>4.72</v>
      </c>
      <c r="AF142" s="12">
        <v>77.26</v>
      </c>
      <c r="AG142" s="12">
        <v>198.44</v>
      </c>
    </row>
    <row r="143">
      <c r="A143" s="8" t="s">
        <v>208</v>
      </c>
      <c r="B143" s="9">
        <v>881791.43</v>
      </c>
      <c r="C143" s="9">
        <v>457583.51</v>
      </c>
      <c r="D143" s="9">
        <v>458773.72</v>
      </c>
      <c r="E143" s="9">
        <v>424207.92</v>
      </c>
      <c r="F143" s="9">
        <v>544172.71</v>
      </c>
      <c r="G143" s="9">
        <v>590567.71</v>
      </c>
      <c r="H143" s="9">
        <v>-16400.15</v>
      </c>
      <c r="I143" s="9">
        <v>-46395.0</v>
      </c>
      <c r="J143" s="9">
        <v>-59172.16</v>
      </c>
      <c r="K143" s="12">
        <v>-0.13</v>
      </c>
      <c r="L143" s="9">
        <v>-35892.7</v>
      </c>
      <c r="M143" s="9">
        <v>-2346.18</v>
      </c>
      <c r="N143" s="9">
        <v>38922.12</v>
      </c>
      <c r="O143" s="12">
        <v>683.25</v>
      </c>
      <c r="P143" s="12">
        <v>-12.8</v>
      </c>
      <c r="Q143" s="12">
        <v>-5.38</v>
      </c>
      <c r="R143" s="12">
        <v>6.89</v>
      </c>
      <c r="S143" s="12">
        <v>-10.87</v>
      </c>
      <c r="T143" s="12">
        <v>-8.53</v>
      </c>
      <c r="U143" s="12">
        <v>1.08</v>
      </c>
      <c r="V143" s="12">
        <v>-3.63</v>
      </c>
      <c r="W143" s="12">
        <v>0.58</v>
      </c>
      <c r="X143" s="12">
        <v>0.37</v>
      </c>
      <c r="Y143" s="12">
        <v>0.89</v>
      </c>
      <c r="Z143" s="12">
        <v>0.63</v>
      </c>
      <c r="AA143" s="12">
        <v>4.74</v>
      </c>
      <c r="AB143" s="12">
        <v>77.07</v>
      </c>
      <c r="AC143" s="12">
        <v>6.1</v>
      </c>
      <c r="AD143" s="12">
        <v>59.82</v>
      </c>
      <c r="AE143" s="12">
        <v>4.55</v>
      </c>
      <c r="AF143" s="12">
        <v>80.14</v>
      </c>
      <c r="AG143" s="12">
        <v>56.76</v>
      </c>
    </row>
    <row r="144">
      <c r="A144" s="8" t="s">
        <v>209</v>
      </c>
      <c r="B144" s="9">
        <v>423983.56</v>
      </c>
      <c r="C144" s="9">
        <v>244151.09</v>
      </c>
      <c r="D144" s="9">
        <v>167860.22</v>
      </c>
      <c r="E144" s="9">
        <v>179995.25</v>
      </c>
      <c r="F144" s="9">
        <v>394248.06</v>
      </c>
      <c r="G144" s="9">
        <v>395425.38</v>
      </c>
      <c r="H144" s="9">
        <v>15825.64</v>
      </c>
      <c r="I144" s="9">
        <v>-1177.32</v>
      </c>
      <c r="J144" s="9">
        <v>-8383.41</v>
      </c>
      <c r="K144" s="12">
        <v>-0.01</v>
      </c>
      <c r="L144" s="9">
        <v>53284.03</v>
      </c>
      <c r="M144" s="9">
        <v>-44403.54</v>
      </c>
      <c r="N144" s="9">
        <v>-5603.41</v>
      </c>
      <c r="O144" s="9">
        <v>3277.08</v>
      </c>
      <c r="P144" s="12">
        <v>-4.52</v>
      </c>
      <c r="Q144" s="12">
        <v>-0.28</v>
      </c>
      <c r="R144" s="12">
        <v>33.35</v>
      </c>
      <c r="S144" s="12">
        <v>-2.18</v>
      </c>
      <c r="T144" s="12">
        <v>-0.3</v>
      </c>
      <c r="U144" s="12">
        <v>1.36</v>
      </c>
      <c r="V144" s="12">
        <v>-0.12</v>
      </c>
      <c r="W144" s="12">
        <v>1.08</v>
      </c>
      <c r="X144" s="12">
        <v>0.61</v>
      </c>
      <c r="Y144" s="12">
        <v>3.04</v>
      </c>
      <c r="Z144" s="12">
        <v>0.94</v>
      </c>
      <c r="AA144" s="12">
        <v>2.6</v>
      </c>
      <c r="AB144" s="12">
        <v>140.6</v>
      </c>
      <c r="AC144" s="12">
        <v>3.25</v>
      </c>
      <c r="AD144" s="12">
        <v>112.21</v>
      </c>
      <c r="AE144" s="12">
        <v>4.71</v>
      </c>
      <c r="AF144" s="12">
        <v>77.5</v>
      </c>
      <c r="AG144" s="12">
        <v>175.3</v>
      </c>
    </row>
    <row r="145">
      <c r="A145" s="8" t="s">
        <v>210</v>
      </c>
      <c r="B145" s="9">
        <v>1339229.5</v>
      </c>
      <c r="C145" s="9">
        <v>342157.37</v>
      </c>
      <c r="D145" s="9">
        <v>398664.06</v>
      </c>
      <c r="E145" s="9">
        <v>997072.13</v>
      </c>
      <c r="F145" s="9">
        <v>1478278.71</v>
      </c>
      <c r="G145" s="9">
        <v>1351713.8</v>
      </c>
      <c r="H145" s="9">
        <v>182778.37</v>
      </c>
      <c r="I145" s="9">
        <v>134113.21</v>
      </c>
      <c r="J145" s="9">
        <v>101280.87</v>
      </c>
      <c r="K145" s="12">
        <v>0.25</v>
      </c>
      <c r="L145" s="9">
        <v>275296.83</v>
      </c>
      <c r="M145" s="9">
        <v>-12251.01</v>
      </c>
      <c r="N145" s="9">
        <v>-270778.95</v>
      </c>
      <c r="O145" s="9">
        <v>-7733.12</v>
      </c>
      <c r="P145" s="12">
        <v>10.21</v>
      </c>
      <c r="Q145" s="12">
        <v>9.18</v>
      </c>
      <c r="R145" s="12">
        <v>16.75</v>
      </c>
      <c r="S145" s="12">
        <v>6.85</v>
      </c>
      <c r="T145" s="12">
        <v>9.07</v>
      </c>
      <c r="U145" s="12">
        <v>0.34</v>
      </c>
      <c r="V145" s="12">
        <v>18.78</v>
      </c>
      <c r="W145" s="12">
        <v>2.22</v>
      </c>
      <c r="X145" s="12">
        <v>0.83</v>
      </c>
      <c r="Y145" s="12">
        <v>2.25</v>
      </c>
      <c r="Z145" s="12">
        <v>1.01</v>
      </c>
      <c r="AA145" s="12">
        <v>2.27</v>
      </c>
      <c r="AB145" s="12">
        <v>160.61</v>
      </c>
      <c r="AC145" s="12">
        <v>7.99</v>
      </c>
      <c r="AD145" s="12">
        <v>45.67</v>
      </c>
      <c r="AE145" s="12">
        <v>14.72</v>
      </c>
      <c r="AF145" s="12">
        <v>24.79</v>
      </c>
      <c r="AG145" s="12">
        <v>181.5</v>
      </c>
    </row>
    <row r="146">
      <c r="A146" s="8" t="s">
        <v>211</v>
      </c>
      <c r="B146" s="9">
        <v>3457269.0</v>
      </c>
      <c r="C146" s="9">
        <v>1021402.0</v>
      </c>
      <c r="D146" s="9">
        <v>199500.0</v>
      </c>
      <c r="E146" s="9">
        <v>2435867.0</v>
      </c>
      <c r="F146" s="9">
        <v>3078546.44</v>
      </c>
      <c r="G146" s="9">
        <v>2748596.23</v>
      </c>
      <c r="H146" s="9">
        <v>572101.07</v>
      </c>
      <c r="I146" s="9">
        <v>329950.22</v>
      </c>
      <c r="J146" s="9">
        <v>279287.46</v>
      </c>
      <c r="K146" s="12">
        <v>7.01</v>
      </c>
      <c r="L146" s="9">
        <v>409625.94</v>
      </c>
      <c r="M146" s="9">
        <v>-368291.16</v>
      </c>
      <c r="N146" s="9">
        <v>39604.64</v>
      </c>
      <c r="O146" s="9">
        <v>80939.42</v>
      </c>
      <c r="P146" s="12">
        <v>11.87</v>
      </c>
      <c r="Q146" s="12">
        <v>10.1</v>
      </c>
      <c r="R146" s="12">
        <v>19.67</v>
      </c>
      <c r="S146" s="12">
        <v>9.07</v>
      </c>
      <c r="T146" s="12">
        <v>10.72</v>
      </c>
      <c r="U146" s="12">
        <v>0.42</v>
      </c>
      <c r="V146" s="12">
        <v>50.23</v>
      </c>
      <c r="W146" s="12">
        <v>1.66</v>
      </c>
      <c r="X146" s="12">
        <v>1.32</v>
      </c>
      <c r="Y146" s="12">
        <v>1.65</v>
      </c>
      <c r="Z146" s="12">
        <v>0.94</v>
      </c>
      <c r="AA146" s="12">
        <v>12.1</v>
      </c>
      <c r="AB146" s="12">
        <v>30.16</v>
      </c>
      <c r="AC146" s="12">
        <v>5.15</v>
      </c>
      <c r="AD146" s="12">
        <v>70.81</v>
      </c>
      <c r="AE146" s="12">
        <v>3.99</v>
      </c>
      <c r="AF146" s="12">
        <v>91.38</v>
      </c>
      <c r="AG146" s="12">
        <v>9.59</v>
      </c>
    </row>
    <row r="147">
      <c r="A147" s="8" t="s">
        <v>212</v>
      </c>
      <c r="B147" s="9">
        <v>1051194.86</v>
      </c>
      <c r="C147" s="9">
        <v>605761.91</v>
      </c>
      <c r="D147" s="9">
        <v>100000.0</v>
      </c>
      <c r="E147" s="9">
        <v>455670.95</v>
      </c>
      <c r="F147" s="9">
        <v>342166.77</v>
      </c>
      <c r="G147" s="9">
        <v>284021.52</v>
      </c>
      <c r="H147" s="9">
        <v>93244.26</v>
      </c>
      <c r="I147" s="9">
        <v>58145.25</v>
      </c>
      <c r="J147" s="9">
        <v>21763.28</v>
      </c>
      <c r="K147" s="12">
        <v>0.22</v>
      </c>
      <c r="L147" s="9">
        <v>78530.58</v>
      </c>
      <c r="M147" s="9">
        <v>-25631.69</v>
      </c>
      <c r="N147" s="9">
        <v>-50816.55</v>
      </c>
      <c r="O147" s="9">
        <v>2082.35</v>
      </c>
      <c r="P147" s="12">
        <v>4.88</v>
      </c>
      <c r="Q147" s="12">
        <v>5.58</v>
      </c>
      <c r="R147" s="12">
        <v>32.26</v>
      </c>
      <c r="S147" s="12">
        <v>5.76</v>
      </c>
      <c r="T147" s="12">
        <v>16.99</v>
      </c>
      <c r="U147" s="12">
        <v>1.36</v>
      </c>
      <c r="V147" s="12">
        <v>1.9</v>
      </c>
      <c r="W147" s="12">
        <v>0.37</v>
      </c>
      <c r="X147" s="12">
        <v>0.21</v>
      </c>
      <c r="Y147" s="12">
        <v>0.56</v>
      </c>
      <c r="Z147" s="12">
        <v>0.33</v>
      </c>
      <c r="AA147" s="12">
        <v>42.6</v>
      </c>
      <c r="AB147" s="12">
        <v>8.57</v>
      </c>
      <c r="AC147" s="12">
        <v>3.26</v>
      </c>
      <c r="AD147" s="12">
        <v>111.87</v>
      </c>
      <c r="AE147" s="12">
        <v>35.37</v>
      </c>
      <c r="AF147" s="12">
        <v>10.32</v>
      </c>
      <c r="AG147" s="12">
        <v>110.12</v>
      </c>
    </row>
    <row r="148">
      <c r="A148" s="8" t="s">
        <v>310</v>
      </c>
      <c r="B148" s="9">
        <v>2203240.0</v>
      </c>
      <c r="C148" s="9">
        <v>359198.0</v>
      </c>
      <c r="D148" s="9">
        <v>180000.0</v>
      </c>
      <c r="E148" s="9">
        <v>1844042.0</v>
      </c>
      <c r="F148" s="9">
        <v>2219934.0</v>
      </c>
      <c r="G148" s="9">
        <v>1826912.0</v>
      </c>
      <c r="H148" s="9">
        <v>480585.0</v>
      </c>
      <c r="I148" s="9">
        <v>393022.0</v>
      </c>
      <c r="J148" s="9">
        <v>318311.0</v>
      </c>
      <c r="K148" s="12">
        <v>1.77</v>
      </c>
      <c r="L148" s="9">
        <v>413755.0</v>
      </c>
      <c r="M148" s="9">
        <v>-676048.0</v>
      </c>
      <c r="N148" s="9">
        <v>-99000.0</v>
      </c>
      <c r="O148" s="9">
        <v>-361293.0</v>
      </c>
      <c r="P148" s="12">
        <v>18.35</v>
      </c>
      <c r="Q148" s="12">
        <v>16.29</v>
      </c>
      <c r="R148" s="12">
        <v>26.36</v>
      </c>
      <c r="S148" s="12">
        <v>14.34</v>
      </c>
      <c r="T148" s="12">
        <v>17.7</v>
      </c>
      <c r="U148" s="12">
        <v>0.19</v>
      </c>
      <c r="V148" s="12" t="s">
        <v>47</v>
      </c>
      <c r="W148" s="12">
        <v>3.54</v>
      </c>
      <c r="X148" s="12">
        <v>3.41</v>
      </c>
      <c r="Y148" s="12">
        <v>1.96</v>
      </c>
      <c r="Z148" s="12">
        <v>0.92</v>
      </c>
      <c r="AA148" s="12">
        <v>47.76</v>
      </c>
      <c r="AB148" s="12">
        <v>7.64</v>
      </c>
      <c r="AC148" s="12">
        <v>15.8</v>
      </c>
      <c r="AD148" s="12">
        <v>23.11</v>
      </c>
      <c r="AE148" s="12">
        <v>10.15</v>
      </c>
      <c r="AF148" s="12">
        <v>35.98</v>
      </c>
      <c r="AG148" s="12">
        <v>-5.23</v>
      </c>
    </row>
    <row r="149">
      <c r="A149" s="8" t="s">
        <v>214</v>
      </c>
      <c r="B149" s="9">
        <v>869375.83</v>
      </c>
      <c r="C149" s="9">
        <v>164708.53</v>
      </c>
      <c r="D149" s="9">
        <v>200000.0</v>
      </c>
      <c r="E149" s="9">
        <v>704667.3</v>
      </c>
      <c r="F149" s="9">
        <v>1965091.84</v>
      </c>
      <c r="G149" s="9">
        <v>1859120.3</v>
      </c>
      <c r="H149" s="9">
        <v>142690.14</v>
      </c>
      <c r="I149" s="9">
        <v>105971.54</v>
      </c>
      <c r="J149" s="9">
        <v>88600.68</v>
      </c>
      <c r="K149" s="12">
        <v>0.11</v>
      </c>
      <c r="L149" s="9">
        <v>126406.21</v>
      </c>
      <c r="M149" s="9">
        <v>-66723.82</v>
      </c>
      <c r="N149" s="9">
        <v>-44000.0</v>
      </c>
      <c r="O149" s="9">
        <v>15682.4</v>
      </c>
      <c r="P149" s="12">
        <v>13.1</v>
      </c>
      <c r="Q149" s="12">
        <v>12.4</v>
      </c>
      <c r="R149" s="12">
        <v>15.01</v>
      </c>
      <c r="S149" s="12">
        <v>4.51</v>
      </c>
      <c r="T149" s="12">
        <v>5.39</v>
      </c>
      <c r="U149" s="12">
        <v>0.23</v>
      </c>
      <c r="V149" s="9">
        <v>18822.65</v>
      </c>
      <c r="W149" s="12">
        <v>2.19</v>
      </c>
      <c r="X149" s="12">
        <v>0.62</v>
      </c>
      <c r="Y149" s="12">
        <v>3.93</v>
      </c>
      <c r="Z149" s="12">
        <v>2.3</v>
      </c>
      <c r="AA149" s="12">
        <v>6.69</v>
      </c>
      <c r="AB149" s="12">
        <v>54.59</v>
      </c>
      <c r="AC149" s="12">
        <v>68.13</v>
      </c>
      <c r="AD149" s="12">
        <v>5.36</v>
      </c>
      <c r="AE149" s="12">
        <v>10.37</v>
      </c>
      <c r="AF149" s="12">
        <v>35.19</v>
      </c>
      <c r="AG149" s="12">
        <v>24.76</v>
      </c>
    </row>
    <row r="150">
      <c r="A150" s="8" t="s">
        <v>330</v>
      </c>
      <c r="B150" s="9">
        <v>4386672.49</v>
      </c>
      <c r="C150" s="9">
        <v>2537190.54</v>
      </c>
      <c r="D150" s="9">
        <v>326550.0</v>
      </c>
      <c r="E150" s="9">
        <v>1744374.73</v>
      </c>
      <c r="F150" s="9">
        <v>3797701.42</v>
      </c>
      <c r="G150" s="9">
        <v>3506603.88</v>
      </c>
      <c r="H150" s="9">
        <v>584278.14</v>
      </c>
      <c r="I150" s="9">
        <v>295455.51</v>
      </c>
      <c r="J150" s="9">
        <v>138841.44</v>
      </c>
      <c r="K150" s="12">
        <v>0.53</v>
      </c>
      <c r="L150" s="9">
        <v>537325.73</v>
      </c>
      <c r="M150" s="9">
        <v>-631115.71</v>
      </c>
      <c r="N150" s="9">
        <v>119074.06</v>
      </c>
      <c r="O150" s="9">
        <v>25284.08</v>
      </c>
      <c r="P150" s="12">
        <v>10.0</v>
      </c>
      <c r="Q150" s="12">
        <v>6.89</v>
      </c>
      <c r="R150" s="12">
        <v>17.56</v>
      </c>
      <c r="S150" s="12">
        <v>4.29</v>
      </c>
      <c r="T150" s="12">
        <v>7.78</v>
      </c>
      <c r="U150" s="12">
        <v>1.37</v>
      </c>
      <c r="V150" s="12">
        <v>2.1</v>
      </c>
      <c r="W150" s="12">
        <v>1.46</v>
      </c>
      <c r="X150" s="12">
        <v>0.99</v>
      </c>
      <c r="Y150" s="12">
        <v>5.12</v>
      </c>
      <c r="Z150" s="12">
        <v>0.89</v>
      </c>
      <c r="AA150" s="12">
        <v>10.66</v>
      </c>
      <c r="AB150" s="12">
        <v>34.23</v>
      </c>
      <c r="AC150" s="12">
        <v>4.64</v>
      </c>
      <c r="AD150" s="12">
        <v>78.6</v>
      </c>
      <c r="AE150" s="12">
        <v>10.38</v>
      </c>
      <c r="AF150" s="12">
        <v>35.16</v>
      </c>
      <c r="AG150" s="12">
        <v>77.67</v>
      </c>
    </row>
    <row r="151">
      <c r="A151" s="8" t="s">
        <v>215</v>
      </c>
      <c r="B151" s="9">
        <v>7821507.5</v>
      </c>
      <c r="C151" s="9">
        <v>4114283.05</v>
      </c>
      <c r="D151" s="9">
        <v>401200.0</v>
      </c>
      <c r="E151" s="9">
        <v>2801218.62</v>
      </c>
      <c r="F151" s="9">
        <v>1655530.52</v>
      </c>
      <c r="G151" s="9">
        <v>1014748.71</v>
      </c>
      <c r="H151" s="9">
        <v>815592.27</v>
      </c>
      <c r="I151" s="9">
        <v>654398.47</v>
      </c>
      <c r="J151" s="9">
        <v>359510.82</v>
      </c>
      <c r="K151" s="12">
        <v>0.9</v>
      </c>
      <c r="L151" s="9">
        <v>673666.63</v>
      </c>
      <c r="M151" s="9">
        <v>-1997884.01</v>
      </c>
      <c r="N151" s="9">
        <v>1302337.71</v>
      </c>
      <c r="O151" s="9">
        <v>-21879.67</v>
      </c>
      <c r="P151" s="12">
        <v>13.56</v>
      </c>
      <c r="Q151" s="12">
        <v>9.5</v>
      </c>
      <c r="R151" s="12">
        <v>45.73</v>
      </c>
      <c r="S151" s="12">
        <v>34.74</v>
      </c>
      <c r="T151" s="12">
        <v>39.53</v>
      </c>
      <c r="U151" s="12">
        <v>1.11</v>
      </c>
      <c r="V151" s="12">
        <v>8.3</v>
      </c>
      <c r="W151" s="12">
        <v>1.02</v>
      </c>
      <c r="X151" s="12">
        <v>0.62</v>
      </c>
      <c r="Y151" s="12">
        <v>0.32</v>
      </c>
      <c r="Z151" s="12">
        <v>0.24</v>
      </c>
      <c r="AA151" s="12">
        <v>109.45</v>
      </c>
      <c r="AB151" s="12">
        <v>3.33</v>
      </c>
      <c r="AC151" s="12">
        <v>3.39</v>
      </c>
      <c r="AD151" s="12">
        <v>107.53</v>
      </c>
      <c r="AE151" s="12">
        <v>2.49</v>
      </c>
      <c r="AF151" s="12">
        <v>146.48</v>
      </c>
      <c r="AG151" s="12">
        <v>-35.61</v>
      </c>
    </row>
    <row r="152">
      <c r="A152" s="8" t="s">
        <v>216</v>
      </c>
      <c r="B152" s="9">
        <v>353792.53</v>
      </c>
      <c r="C152" s="9">
        <v>50811.66</v>
      </c>
      <c r="D152" s="9">
        <v>135000.0</v>
      </c>
      <c r="E152" s="9">
        <v>302980.88</v>
      </c>
      <c r="F152" s="9">
        <v>511450.86</v>
      </c>
      <c r="G152" s="9">
        <v>471736.51</v>
      </c>
      <c r="H152" s="9">
        <v>54847.97</v>
      </c>
      <c r="I152" s="9">
        <v>41323.01</v>
      </c>
      <c r="J152" s="9">
        <v>33306.7</v>
      </c>
      <c r="K152" s="12">
        <v>0.12</v>
      </c>
      <c r="L152" s="9">
        <v>74256.38</v>
      </c>
      <c r="M152" s="9">
        <v>-66038.36</v>
      </c>
      <c r="N152" s="9">
        <v>-29148.27</v>
      </c>
      <c r="O152" s="9">
        <v>-20930.25</v>
      </c>
      <c r="P152" s="12">
        <v>11.12</v>
      </c>
      <c r="Q152" s="12">
        <v>11.81</v>
      </c>
      <c r="R152" s="12">
        <v>19.04</v>
      </c>
      <c r="S152" s="12">
        <v>6.51</v>
      </c>
      <c r="T152" s="12">
        <v>8.08</v>
      </c>
      <c r="U152" s="12">
        <v>0.17</v>
      </c>
      <c r="V152" s="12">
        <v>268.12</v>
      </c>
      <c r="W152" s="12">
        <v>4.92</v>
      </c>
      <c r="X152" s="12">
        <v>4.04</v>
      </c>
      <c r="Y152" s="12">
        <v>3.3</v>
      </c>
      <c r="Z152" s="12">
        <v>1.46</v>
      </c>
      <c r="AA152" s="12">
        <v>11.46</v>
      </c>
      <c r="AB152" s="12">
        <v>31.84</v>
      </c>
      <c r="AC152" s="12">
        <v>8.52</v>
      </c>
      <c r="AD152" s="12">
        <v>42.82</v>
      </c>
      <c r="AE152" s="12">
        <v>13.06</v>
      </c>
      <c r="AF152" s="12">
        <v>27.95</v>
      </c>
      <c r="AG152" s="12">
        <v>46.71</v>
      </c>
    </row>
    <row r="153">
      <c r="A153" s="8" t="s">
        <v>340</v>
      </c>
      <c r="B153" s="9">
        <v>631610.77</v>
      </c>
      <c r="C153" s="9">
        <v>251773.76</v>
      </c>
      <c r="D153" s="9">
        <v>140000.0</v>
      </c>
      <c r="E153" s="9">
        <v>379837.01</v>
      </c>
      <c r="F153" s="9">
        <v>642264.08</v>
      </c>
      <c r="G153" s="9">
        <v>580149.2</v>
      </c>
      <c r="H153" s="9">
        <v>67583.85</v>
      </c>
      <c r="I153" s="9">
        <v>62114.88</v>
      </c>
      <c r="J153" s="9">
        <v>48920.99</v>
      </c>
      <c r="K153" s="12">
        <v>0.23</v>
      </c>
      <c r="L153" s="9">
        <v>86512.04</v>
      </c>
      <c r="M153" s="9">
        <v>-74816.63</v>
      </c>
      <c r="N153" s="9">
        <v>175713.79</v>
      </c>
      <c r="O153" s="9">
        <v>187409.2</v>
      </c>
      <c r="P153" s="12">
        <v>17.34</v>
      </c>
      <c r="Q153" s="12">
        <v>12.27</v>
      </c>
      <c r="R153" s="12">
        <v>30.99</v>
      </c>
      <c r="S153" s="12">
        <v>7.62</v>
      </c>
      <c r="T153" s="12">
        <v>9.67</v>
      </c>
      <c r="U153" s="12">
        <v>0.66</v>
      </c>
      <c r="V153" s="12">
        <v>128.95</v>
      </c>
      <c r="W153" s="12">
        <v>2.46</v>
      </c>
      <c r="X153" s="12">
        <v>2.1</v>
      </c>
      <c r="Y153" s="12">
        <v>5.93</v>
      </c>
      <c r="Z153" s="12">
        <v>1.27</v>
      </c>
      <c r="AA153" s="12">
        <v>8.48</v>
      </c>
      <c r="AB153" s="12">
        <v>43.03</v>
      </c>
      <c r="AC153" s="12">
        <v>4.0</v>
      </c>
      <c r="AD153" s="12">
        <v>91.19</v>
      </c>
      <c r="AE153" s="12">
        <v>2.93</v>
      </c>
      <c r="AF153" s="12">
        <v>124.57</v>
      </c>
      <c r="AG153" s="12">
        <v>9.64</v>
      </c>
    </row>
    <row r="154">
      <c r="A154" s="8" t="s">
        <v>219</v>
      </c>
      <c r="B154" s="9">
        <v>3377591.29</v>
      </c>
      <c r="C154" s="9">
        <v>2290590.9</v>
      </c>
      <c r="D154" s="9">
        <v>308008.27</v>
      </c>
      <c r="E154" s="9">
        <v>1107005.42</v>
      </c>
      <c r="F154" s="9">
        <v>2445614.72</v>
      </c>
      <c r="G154" s="9">
        <v>2269471.36</v>
      </c>
      <c r="H154" s="9">
        <v>281763.36</v>
      </c>
      <c r="I154" s="9">
        <v>196197.95</v>
      </c>
      <c r="J154" s="9">
        <v>75369.87</v>
      </c>
      <c r="K154" s="12">
        <v>0.24</v>
      </c>
      <c r="L154" s="9">
        <v>313754.72</v>
      </c>
      <c r="M154" s="9">
        <v>220232.6</v>
      </c>
      <c r="N154" s="9">
        <v>-199177.19</v>
      </c>
      <c r="O154" s="9">
        <v>334810.13</v>
      </c>
      <c r="P154" s="12">
        <v>7.06</v>
      </c>
      <c r="Q154" s="12">
        <v>6.01</v>
      </c>
      <c r="R154" s="12">
        <v>27.63</v>
      </c>
      <c r="S154" s="12">
        <v>2.84</v>
      </c>
      <c r="T154" s="12">
        <v>8.02</v>
      </c>
      <c r="U154" s="12">
        <v>2.11</v>
      </c>
      <c r="V154" s="12">
        <v>3.13</v>
      </c>
      <c r="W154" s="12">
        <v>1.24</v>
      </c>
      <c r="X154" s="12">
        <v>0.66</v>
      </c>
      <c r="Y154" s="12">
        <v>2.38</v>
      </c>
      <c r="Z154" s="12">
        <v>0.75</v>
      </c>
      <c r="AA154" s="12">
        <v>1.89</v>
      </c>
      <c r="AB154" s="12">
        <v>192.86</v>
      </c>
      <c r="AC154" s="12">
        <v>3.41</v>
      </c>
      <c r="AD154" s="12">
        <v>106.95</v>
      </c>
      <c r="AE154" s="12">
        <v>3.23</v>
      </c>
      <c r="AF154" s="12">
        <v>112.9</v>
      </c>
      <c r="AG154" s="12">
        <v>186.91</v>
      </c>
    </row>
    <row r="155">
      <c r="A155" s="8" t="s">
        <v>331</v>
      </c>
      <c r="B155" s="9">
        <v>207242.65</v>
      </c>
      <c r="C155" s="9">
        <v>813132.03</v>
      </c>
      <c r="D155" s="9">
        <v>677075.88</v>
      </c>
      <c r="E155" s="9">
        <v>-605889.37</v>
      </c>
      <c r="F155" s="9">
        <v>99512.22</v>
      </c>
      <c r="G155" s="9">
        <v>270667.62</v>
      </c>
      <c r="H155" s="9">
        <v>-134602.81</v>
      </c>
      <c r="I155" s="9">
        <v>-171155.4</v>
      </c>
      <c r="J155" s="9">
        <v>-171451.66</v>
      </c>
      <c r="K155" s="12">
        <v>-0.03</v>
      </c>
      <c r="L155" s="9">
        <v>-63179.93</v>
      </c>
      <c r="M155" s="9">
        <v>26961.85</v>
      </c>
      <c r="N155" s="9">
        <v>20666.96</v>
      </c>
      <c r="O155" s="9">
        <v>-15551.12</v>
      </c>
      <c r="P155" s="12" t="s">
        <v>46</v>
      </c>
      <c r="Q155" s="12">
        <v>-54.84</v>
      </c>
      <c r="R155" s="12">
        <v>-34.21</v>
      </c>
      <c r="S155" s="12">
        <v>-172.29</v>
      </c>
      <c r="T155" s="12">
        <v>-171.99</v>
      </c>
      <c r="U155" s="12" t="s">
        <v>46</v>
      </c>
      <c r="V155" s="12">
        <v>-577.72</v>
      </c>
      <c r="W155" s="12">
        <v>0.07</v>
      </c>
      <c r="X155" s="12">
        <v>0.05</v>
      </c>
      <c r="Y155" s="12">
        <v>0.93</v>
      </c>
      <c r="Z155" s="12">
        <v>0.32</v>
      </c>
      <c r="AA155" s="12" t="s">
        <v>47</v>
      </c>
      <c r="AB155" s="12" t="s">
        <v>46</v>
      </c>
      <c r="AC155" s="12">
        <v>1.52</v>
      </c>
      <c r="AD155" s="12">
        <v>240.01</v>
      </c>
      <c r="AE155" s="12">
        <v>0.31</v>
      </c>
      <c r="AF155" s="9">
        <v>1191.32</v>
      </c>
      <c r="AG155" s="12">
        <v>-951.31</v>
      </c>
    </row>
    <row r="156">
      <c r="A156" s="8" t="s">
        <v>221</v>
      </c>
      <c r="B156" s="9">
        <v>318639.63</v>
      </c>
      <c r="C156" s="9">
        <v>44604.29</v>
      </c>
      <c r="D156" s="9">
        <v>365549.29</v>
      </c>
      <c r="E156" s="9">
        <v>274110.55</v>
      </c>
      <c r="F156" s="9">
        <v>107255.66</v>
      </c>
      <c r="G156" s="9">
        <v>100506.85</v>
      </c>
      <c r="H156" s="9">
        <v>25450.68</v>
      </c>
      <c r="I156" s="9">
        <v>6748.81</v>
      </c>
      <c r="J156" s="9">
        <v>-98950.04</v>
      </c>
      <c r="K156" s="12">
        <v>-0.27</v>
      </c>
      <c r="L156" s="9">
        <v>-76572.76</v>
      </c>
      <c r="M156" s="9">
        <v>-4390.88</v>
      </c>
      <c r="N156" s="12">
        <v>-386.1</v>
      </c>
      <c r="O156" s="9">
        <v>-81349.74</v>
      </c>
      <c r="P156" s="12">
        <v>-30.54</v>
      </c>
      <c r="Q156" s="12">
        <v>1.76</v>
      </c>
      <c r="R156" s="12">
        <v>30.28</v>
      </c>
      <c r="S156" s="12">
        <v>-92.25</v>
      </c>
      <c r="T156" s="12">
        <v>6.29</v>
      </c>
      <c r="U156" s="12">
        <v>0.16</v>
      </c>
      <c r="V156" s="12">
        <v>12.03</v>
      </c>
      <c r="W156" s="12">
        <v>9.03</v>
      </c>
      <c r="X156" s="12">
        <v>8.27</v>
      </c>
      <c r="Y156" s="12">
        <v>8.61</v>
      </c>
      <c r="Z156" s="12">
        <v>0.28</v>
      </c>
      <c r="AA156" s="12">
        <v>2.9</v>
      </c>
      <c r="AB156" s="12">
        <v>125.65</v>
      </c>
      <c r="AC156" s="12">
        <v>3.0</v>
      </c>
      <c r="AD156" s="12">
        <v>121.76</v>
      </c>
      <c r="AE156" s="12">
        <v>1.22</v>
      </c>
      <c r="AF156" s="12">
        <v>298.27</v>
      </c>
      <c r="AG156" s="12">
        <v>-50.87</v>
      </c>
    </row>
    <row r="157">
      <c r="A157" s="8" t="s">
        <v>222</v>
      </c>
      <c r="B157" s="9">
        <v>1449495.84</v>
      </c>
      <c r="C157" s="9">
        <v>706485.82</v>
      </c>
      <c r="D157" s="9">
        <v>325191.46</v>
      </c>
      <c r="E157" s="9">
        <v>608717.84</v>
      </c>
      <c r="F157" s="9">
        <v>4280549.54</v>
      </c>
      <c r="G157" s="9">
        <v>4230281.7</v>
      </c>
      <c r="H157" s="9">
        <v>214340.41</v>
      </c>
      <c r="I157" s="9">
        <v>40073.96</v>
      </c>
      <c r="J157" s="9">
        <v>13379.22</v>
      </c>
      <c r="K157" s="12">
        <v>0.02</v>
      </c>
      <c r="L157" s="9">
        <v>298727.49</v>
      </c>
      <c r="M157" s="9">
        <v>-168954.87</v>
      </c>
      <c r="N157" s="9">
        <v>-156947.42</v>
      </c>
      <c r="O157" s="9">
        <v>-27174.8</v>
      </c>
      <c r="P157" s="12">
        <v>2.18</v>
      </c>
      <c r="Q157" s="12">
        <v>2.76</v>
      </c>
      <c r="R157" s="12">
        <v>39.39</v>
      </c>
      <c r="S157" s="12">
        <v>0.67</v>
      </c>
      <c r="T157" s="12">
        <v>0.94</v>
      </c>
      <c r="U157" s="12">
        <v>0.95</v>
      </c>
      <c r="V157" s="12">
        <v>11.4</v>
      </c>
      <c r="W157" s="12">
        <v>1.06</v>
      </c>
      <c r="X157" s="12">
        <v>0.71</v>
      </c>
      <c r="Y157" s="12">
        <v>10.92</v>
      </c>
      <c r="Z157" s="12">
        <v>2.95</v>
      </c>
      <c r="AA157" s="12">
        <v>9.66</v>
      </c>
      <c r="AB157" s="12">
        <v>37.78</v>
      </c>
      <c r="AC157" s="12">
        <v>23.61</v>
      </c>
      <c r="AD157" s="12">
        <v>15.46</v>
      </c>
      <c r="AE157" s="12">
        <v>4.9</v>
      </c>
      <c r="AF157" s="12">
        <v>74.54</v>
      </c>
      <c r="AG157" s="12">
        <v>-21.3</v>
      </c>
    </row>
    <row r="158">
      <c r="A158" s="8" t="s">
        <v>223</v>
      </c>
      <c r="B158" s="9">
        <v>756449.66</v>
      </c>
      <c r="C158" s="9">
        <v>143930.63</v>
      </c>
      <c r="D158" s="9">
        <v>200007.52</v>
      </c>
      <c r="E158" s="9">
        <v>612351.79</v>
      </c>
      <c r="F158" s="9">
        <v>396506.02</v>
      </c>
      <c r="G158" s="9">
        <v>401684.23</v>
      </c>
      <c r="H158" s="9">
        <v>33482.1</v>
      </c>
      <c r="I158" s="9">
        <v>19801.15</v>
      </c>
      <c r="J158" s="9">
        <v>7701.34</v>
      </c>
      <c r="K158" s="12">
        <v>0.01</v>
      </c>
      <c r="L158" s="9">
        <v>57716.44</v>
      </c>
      <c r="M158" s="9">
        <v>5001.38</v>
      </c>
      <c r="N158" s="9">
        <v>-64969.24</v>
      </c>
      <c r="O158" s="9">
        <v>-2251.41</v>
      </c>
      <c r="P158" s="12">
        <v>1.2</v>
      </c>
      <c r="Q158" s="12">
        <v>2.61</v>
      </c>
      <c r="R158" s="12">
        <v>27.96</v>
      </c>
      <c r="S158" s="12">
        <v>1.01</v>
      </c>
      <c r="T158" s="12">
        <v>4.99</v>
      </c>
      <c r="U158" s="12">
        <v>0.23</v>
      </c>
      <c r="V158" s="12">
        <v>85.45</v>
      </c>
      <c r="W158" s="12">
        <v>2.02</v>
      </c>
      <c r="X158" s="12">
        <v>1.18</v>
      </c>
      <c r="Y158" s="12">
        <v>0.97</v>
      </c>
      <c r="Z158" s="12">
        <v>0.52</v>
      </c>
      <c r="AA158" s="12">
        <v>6.32</v>
      </c>
      <c r="AB158" s="12">
        <v>57.71</v>
      </c>
      <c r="AC158" s="12">
        <v>3.43</v>
      </c>
      <c r="AD158" s="12">
        <v>106.3</v>
      </c>
      <c r="AE158" s="12">
        <v>4.43</v>
      </c>
      <c r="AF158" s="12">
        <v>82.37</v>
      </c>
      <c r="AG158" s="12">
        <v>81.64</v>
      </c>
    </row>
    <row r="159">
      <c r="A159" s="8" t="s">
        <v>341</v>
      </c>
      <c r="B159" s="9">
        <v>3045065.77</v>
      </c>
      <c r="C159" s="9">
        <v>1601225.93</v>
      </c>
      <c r="D159" s="9">
        <v>333802.65</v>
      </c>
      <c r="E159" s="9">
        <v>1392725.08</v>
      </c>
      <c r="F159" s="9">
        <v>2903576.34</v>
      </c>
      <c r="G159" s="9">
        <v>2739451.73</v>
      </c>
      <c r="H159" s="9">
        <v>352373.48</v>
      </c>
      <c r="I159" s="9">
        <v>236630.91</v>
      </c>
      <c r="J159" s="9">
        <v>163878.43</v>
      </c>
      <c r="K159" s="12">
        <v>0.25</v>
      </c>
      <c r="L159" s="9">
        <v>911464.86</v>
      </c>
      <c r="M159" s="9">
        <v>-12722.62</v>
      </c>
      <c r="N159" s="9">
        <v>-937711.56</v>
      </c>
      <c r="O159" s="9">
        <v>-38969.32</v>
      </c>
      <c r="P159" s="12">
        <v>12.31</v>
      </c>
      <c r="Q159" s="12">
        <v>6.69</v>
      </c>
      <c r="R159" s="12">
        <v>13.45</v>
      </c>
      <c r="S159" s="12">
        <v>5.29</v>
      </c>
      <c r="T159" s="12">
        <v>8.15</v>
      </c>
      <c r="U159" s="12">
        <v>1.11</v>
      </c>
      <c r="V159" s="12">
        <v>3.84</v>
      </c>
      <c r="W159" s="12">
        <v>0.46</v>
      </c>
      <c r="X159" s="12">
        <v>0.31</v>
      </c>
      <c r="Y159" s="12">
        <v>1.74</v>
      </c>
      <c r="Z159" s="12">
        <v>0.82</v>
      </c>
      <c r="AA159" s="12">
        <v>3.88</v>
      </c>
      <c r="AB159" s="12">
        <v>94.02</v>
      </c>
      <c r="AC159" s="12">
        <v>8.0</v>
      </c>
      <c r="AD159" s="12">
        <v>45.6</v>
      </c>
      <c r="AE159" s="12">
        <v>6.32</v>
      </c>
      <c r="AF159" s="12">
        <v>57.79</v>
      </c>
      <c r="AG159" s="12">
        <v>81.83</v>
      </c>
    </row>
    <row r="160">
      <c r="A160" s="8" t="s">
        <v>225</v>
      </c>
      <c r="B160" s="9">
        <v>730330.68</v>
      </c>
      <c r="C160" s="9">
        <v>282169.83</v>
      </c>
      <c r="D160" s="9">
        <v>227999.99</v>
      </c>
      <c r="E160" s="9">
        <v>448160.85</v>
      </c>
      <c r="F160" s="9">
        <v>916275.34</v>
      </c>
      <c r="G160" s="9">
        <v>791157.27</v>
      </c>
      <c r="H160" s="9">
        <v>135161.26</v>
      </c>
      <c r="I160" s="9">
        <v>125118.08</v>
      </c>
      <c r="J160" s="9">
        <v>106678.18</v>
      </c>
      <c r="K160" s="12">
        <v>0.47</v>
      </c>
      <c r="L160" s="9">
        <v>122263.8</v>
      </c>
      <c r="M160" s="9">
        <v>-58897.64</v>
      </c>
      <c r="N160" s="9">
        <v>-76722.02</v>
      </c>
      <c r="O160" s="9">
        <v>-13355.85</v>
      </c>
      <c r="P160" s="12">
        <v>25.42</v>
      </c>
      <c r="Q160" s="12">
        <v>17.46</v>
      </c>
      <c r="R160" s="12">
        <v>34.66</v>
      </c>
      <c r="S160" s="12">
        <v>11.64</v>
      </c>
      <c r="T160" s="12">
        <v>13.66</v>
      </c>
      <c r="U160" s="12">
        <v>0.63</v>
      </c>
      <c r="V160" s="12">
        <v>32.35</v>
      </c>
      <c r="W160" s="12">
        <v>1.85</v>
      </c>
      <c r="X160" s="12">
        <v>1.17</v>
      </c>
      <c r="Y160" s="12">
        <v>4.47</v>
      </c>
      <c r="Z160" s="12">
        <v>1.28</v>
      </c>
      <c r="AA160" s="12">
        <v>3.59</v>
      </c>
      <c r="AB160" s="12">
        <v>101.74</v>
      </c>
      <c r="AC160" s="12">
        <v>3.13</v>
      </c>
      <c r="AD160" s="12">
        <v>116.71</v>
      </c>
      <c r="AE160" s="12">
        <v>4.6</v>
      </c>
      <c r="AF160" s="12">
        <v>79.42</v>
      </c>
      <c r="AG160" s="12">
        <v>139.04</v>
      </c>
    </row>
    <row r="161">
      <c r="A161" s="8" t="s">
        <v>226</v>
      </c>
      <c r="B161" s="9">
        <v>1561601.0</v>
      </c>
      <c r="C161" s="9">
        <v>253482.0</v>
      </c>
      <c r="D161" s="9">
        <v>142628.0</v>
      </c>
      <c r="E161" s="9">
        <v>1308119.0</v>
      </c>
      <c r="F161" s="9">
        <v>894776.0</v>
      </c>
      <c r="G161" s="9">
        <v>1105980.0</v>
      </c>
      <c r="H161" s="9">
        <v>-120016.0</v>
      </c>
      <c r="I161" s="9">
        <v>-159116.0</v>
      </c>
      <c r="J161" s="9">
        <v>-151882.0</v>
      </c>
      <c r="K161" s="12">
        <v>-0.27</v>
      </c>
      <c r="L161" s="9">
        <v>-121459.0</v>
      </c>
      <c r="M161" s="9">
        <v>215569.0</v>
      </c>
      <c r="N161" s="12">
        <v>-278.0</v>
      </c>
      <c r="O161" s="9">
        <v>93832.0</v>
      </c>
      <c r="P161" s="12">
        <v>-10.92</v>
      </c>
      <c r="Q161" s="12">
        <v>-9.92</v>
      </c>
      <c r="R161" s="12">
        <v>-7.95</v>
      </c>
      <c r="S161" s="12">
        <v>-16.97</v>
      </c>
      <c r="T161" s="12">
        <v>-17.78</v>
      </c>
      <c r="U161" s="12">
        <v>0.19</v>
      </c>
      <c r="V161" s="9">
        <v>-2893.02</v>
      </c>
      <c r="W161" s="12">
        <v>4.98</v>
      </c>
      <c r="X161" s="12">
        <v>3.12</v>
      </c>
      <c r="Y161" s="12">
        <v>1.63</v>
      </c>
      <c r="Z161" s="12">
        <v>0.56</v>
      </c>
      <c r="AA161" s="12">
        <v>5.15</v>
      </c>
      <c r="AB161" s="12">
        <v>70.89</v>
      </c>
      <c r="AC161" s="12">
        <v>5.45</v>
      </c>
      <c r="AD161" s="12">
        <v>66.92</v>
      </c>
      <c r="AE161" s="12">
        <v>7.8</v>
      </c>
      <c r="AF161" s="12">
        <v>46.8</v>
      </c>
      <c r="AG161" s="12">
        <v>91.01</v>
      </c>
    </row>
    <row r="162">
      <c r="A162" s="8" t="s">
        <v>227</v>
      </c>
      <c r="B162" s="9">
        <v>2228484.33</v>
      </c>
      <c r="C162" s="9">
        <v>874193.55</v>
      </c>
      <c r="D162" s="9">
        <v>309070.18</v>
      </c>
      <c r="E162" s="9">
        <v>1001234.54</v>
      </c>
      <c r="F162" s="9">
        <v>2836775.33</v>
      </c>
      <c r="G162" s="9">
        <v>2674826.33</v>
      </c>
      <c r="H162" s="9">
        <v>186309.93</v>
      </c>
      <c r="I162" s="9">
        <v>166351.74</v>
      </c>
      <c r="J162" s="9">
        <v>70181.34</v>
      </c>
      <c r="K162" s="12">
        <v>0.06</v>
      </c>
      <c r="L162" s="9">
        <v>283726.75</v>
      </c>
      <c r="M162" s="9">
        <v>-66454.19</v>
      </c>
      <c r="N162" s="9">
        <v>-127605.24</v>
      </c>
      <c r="O162" s="9">
        <v>89667.32</v>
      </c>
      <c r="P162" s="12">
        <v>7.2</v>
      </c>
      <c r="Q162" s="12">
        <v>7.3</v>
      </c>
      <c r="R162" s="12">
        <v>16.13</v>
      </c>
      <c r="S162" s="12">
        <v>4.21</v>
      </c>
      <c r="T162" s="12">
        <v>5.86</v>
      </c>
      <c r="U162" s="12">
        <v>0.65</v>
      </c>
      <c r="V162" s="12">
        <v>11.65</v>
      </c>
      <c r="W162" s="12">
        <v>2.13</v>
      </c>
      <c r="X162" s="12">
        <v>1.63</v>
      </c>
      <c r="Y162" s="12">
        <v>10.87</v>
      </c>
      <c r="Z162" s="12">
        <v>1.24</v>
      </c>
      <c r="AA162" s="12">
        <v>5.48</v>
      </c>
      <c r="AB162" s="12">
        <v>66.58</v>
      </c>
      <c r="AC162" s="12">
        <v>3.51</v>
      </c>
      <c r="AD162" s="12">
        <v>103.92</v>
      </c>
      <c r="AE162" s="12">
        <v>6.86</v>
      </c>
      <c r="AF162" s="12">
        <v>53.19</v>
      </c>
      <c r="AG162" s="12">
        <v>117.31</v>
      </c>
    </row>
    <row r="163">
      <c r="A163" s="8" t="s">
        <v>228</v>
      </c>
      <c r="B163" s="9">
        <v>643372.13</v>
      </c>
      <c r="C163" s="9">
        <v>580717.5</v>
      </c>
      <c r="D163" s="9">
        <v>352369.11</v>
      </c>
      <c r="E163" s="9">
        <v>62654.63</v>
      </c>
      <c r="F163" s="9">
        <v>127071.35</v>
      </c>
      <c r="G163" s="9">
        <v>142802.56</v>
      </c>
      <c r="H163" s="9">
        <v>18477.39</v>
      </c>
      <c r="I163" s="9">
        <v>-15731.21</v>
      </c>
      <c r="J163" s="9">
        <v>-41776.31</v>
      </c>
      <c r="K163" s="12">
        <v>-0.06</v>
      </c>
      <c r="L163" s="9">
        <v>29510.38</v>
      </c>
      <c r="M163" s="9">
        <v>-10166.9</v>
      </c>
      <c r="N163" s="9">
        <v>-185916.14</v>
      </c>
      <c r="O163" s="9">
        <v>-166572.66</v>
      </c>
      <c r="P163" s="12">
        <v>-50.01</v>
      </c>
      <c r="Q163" s="12">
        <v>-2.11</v>
      </c>
      <c r="R163" s="12">
        <v>25.95</v>
      </c>
      <c r="S163" s="12">
        <v>-32.88</v>
      </c>
      <c r="T163" s="12">
        <v>-12.38</v>
      </c>
      <c r="U163" s="12">
        <v>9.27</v>
      </c>
      <c r="V163" s="12">
        <v>-0.62</v>
      </c>
      <c r="W163" s="12">
        <v>0.13</v>
      </c>
      <c r="X163" s="12">
        <v>0.11</v>
      </c>
      <c r="Y163" s="12">
        <v>0.39</v>
      </c>
      <c r="Z163" s="12">
        <v>0.17</v>
      </c>
      <c r="AA163" s="12">
        <v>6.26</v>
      </c>
      <c r="AB163" s="12">
        <v>58.34</v>
      </c>
      <c r="AC163" s="12">
        <v>4.42</v>
      </c>
      <c r="AD163" s="12">
        <v>82.56</v>
      </c>
      <c r="AE163" s="12">
        <v>0.26</v>
      </c>
      <c r="AF163" s="9">
        <v>1427.86</v>
      </c>
      <c r="AG163" s="9">
        <v>-1286.96</v>
      </c>
    </row>
    <row r="164">
      <c r="A164" s="8" t="s">
        <v>229</v>
      </c>
      <c r="B164" s="9">
        <v>337735.97</v>
      </c>
      <c r="C164" s="9">
        <v>109514.55</v>
      </c>
      <c r="D164" s="9">
        <v>158884.96</v>
      </c>
      <c r="E164" s="9">
        <v>217430.87</v>
      </c>
      <c r="F164" s="9">
        <v>266371.31</v>
      </c>
      <c r="G164" s="9">
        <v>270310.45</v>
      </c>
      <c r="H164" s="9">
        <v>22900.33</v>
      </c>
      <c r="I164" s="9">
        <v>5219.55</v>
      </c>
      <c r="J164" s="9">
        <v>-17198.42</v>
      </c>
      <c r="K164" s="12">
        <v>-0.03</v>
      </c>
      <c r="L164" s="9">
        <v>60771.71</v>
      </c>
      <c r="M164" s="9">
        <v>-8081.18</v>
      </c>
      <c r="N164" s="9">
        <v>-63126.61</v>
      </c>
      <c r="O164" s="9">
        <v>-10436.08</v>
      </c>
      <c r="P164" s="12">
        <v>-7.75</v>
      </c>
      <c r="Q164" s="12">
        <v>1.28</v>
      </c>
      <c r="R164" s="12">
        <v>30.69</v>
      </c>
      <c r="S164" s="12">
        <v>-7.39</v>
      </c>
      <c r="T164" s="12">
        <v>1.96</v>
      </c>
      <c r="U164" s="12">
        <v>0.48</v>
      </c>
      <c r="V164" s="12">
        <v>0.69</v>
      </c>
      <c r="W164" s="12">
        <v>1.26</v>
      </c>
      <c r="X164" s="12">
        <v>0.63</v>
      </c>
      <c r="Y164" s="12">
        <v>1.67</v>
      </c>
      <c r="Z164" s="12">
        <v>0.65</v>
      </c>
      <c r="AA164" s="12">
        <v>3.08</v>
      </c>
      <c r="AB164" s="12">
        <v>118.42</v>
      </c>
      <c r="AC164" s="12">
        <v>2.81</v>
      </c>
      <c r="AD164" s="12">
        <v>129.94</v>
      </c>
      <c r="AE164" s="12">
        <v>4.26</v>
      </c>
      <c r="AF164" s="12">
        <v>85.68</v>
      </c>
      <c r="AG164" s="12">
        <v>162.67</v>
      </c>
    </row>
    <row r="165">
      <c r="A165" s="8" t="s">
        <v>230</v>
      </c>
      <c r="B165" s="9">
        <v>1161049.82</v>
      </c>
      <c r="C165" s="9">
        <v>654223.13</v>
      </c>
      <c r="D165" s="9">
        <v>150000.0</v>
      </c>
      <c r="E165" s="9">
        <v>440004.56</v>
      </c>
      <c r="F165" s="9">
        <v>1781826.57</v>
      </c>
      <c r="G165" s="9">
        <v>1682205.93</v>
      </c>
      <c r="H165" s="9">
        <v>115516.27</v>
      </c>
      <c r="I165" s="9">
        <v>99620.63</v>
      </c>
      <c r="J165" s="9">
        <v>66778.2</v>
      </c>
      <c r="K165" s="12">
        <v>0.22</v>
      </c>
      <c r="L165" s="9">
        <v>321122.85</v>
      </c>
      <c r="M165" s="9">
        <v>-29277.51</v>
      </c>
      <c r="N165" s="9">
        <v>-217765.63</v>
      </c>
      <c r="O165" s="9">
        <v>74079.71</v>
      </c>
      <c r="P165" s="12">
        <v>15.72</v>
      </c>
      <c r="Q165" s="12">
        <v>8.34</v>
      </c>
      <c r="R165" s="12">
        <v>21.6</v>
      </c>
      <c r="S165" s="12">
        <v>4.57</v>
      </c>
      <c r="T165" s="12">
        <v>5.59</v>
      </c>
      <c r="U165" s="12">
        <v>1.29</v>
      </c>
      <c r="V165" s="12">
        <v>22.37</v>
      </c>
      <c r="W165" s="12">
        <v>1.49</v>
      </c>
      <c r="X165" s="12">
        <v>1.45</v>
      </c>
      <c r="Y165" s="12">
        <v>53.39</v>
      </c>
      <c r="Z165" s="12">
        <v>1.49</v>
      </c>
      <c r="AA165" s="12">
        <v>46.87</v>
      </c>
      <c r="AB165" s="12">
        <v>7.79</v>
      </c>
      <c r="AC165" s="12">
        <v>2.75</v>
      </c>
      <c r="AD165" s="12">
        <v>132.52</v>
      </c>
      <c r="AE165" s="12">
        <v>2.7</v>
      </c>
      <c r="AF165" s="12">
        <v>135.24</v>
      </c>
      <c r="AG165" s="12">
        <v>5.06</v>
      </c>
    </row>
    <row r="166">
      <c r="A166" s="8" t="s">
        <v>231</v>
      </c>
      <c r="B166" s="9">
        <v>1967445.85</v>
      </c>
      <c r="C166" s="9">
        <v>1182080.14</v>
      </c>
      <c r="D166" s="9">
        <v>400000.0</v>
      </c>
      <c r="E166" s="9">
        <v>785365.71</v>
      </c>
      <c r="F166" s="9">
        <v>713072.06</v>
      </c>
      <c r="G166" s="9">
        <v>578119.4</v>
      </c>
      <c r="H166" s="9">
        <v>241240.79</v>
      </c>
      <c r="I166" s="9">
        <v>134952.66</v>
      </c>
      <c r="J166" s="9">
        <v>80759.01</v>
      </c>
      <c r="K166" s="12">
        <v>0.11</v>
      </c>
      <c r="L166" s="9">
        <v>233698.94</v>
      </c>
      <c r="M166" s="9">
        <v>-324865.24</v>
      </c>
      <c r="N166" s="9">
        <v>313242.53</v>
      </c>
      <c r="O166" s="9">
        <v>222076.22</v>
      </c>
      <c r="P166" s="12">
        <v>13.48</v>
      </c>
      <c r="Q166" s="12">
        <v>7.96</v>
      </c>
      <c r="R166" s="12">
        <v>25.95</v>
      </c>
      <c r="S166" s="12">
        <v>11.33</v>
      </c>
      <c r="T166" s="12">
        <v>18.93</v>
      </c>
      <c r="U166" s="12">
        <v>1.51</v>
      </c>
      <c r="V166" s="12">
        <v>2.88</v>
      </c>
      <c r="W166" s="12">
        <v>1.57</v>
      </c>
      <c r="X166" s="12">
        <v>1.04</v>
      </c>
      <c r="Y166" s="12">
        <v>0.52</v>
      </c>
      <c r="Z166" s="12">
        <v>0.42</v>
      </c>
      <c r="AA166" s="12">
        <v>26.71</v>
      </c>
      <c r="AB166" s="12">
        <v>13.67</v>
      </c>
      <c r="AC166" s="12">
        <v>9.15</v>
      </c>
      <c r="AD166" s="12">
        <v>39.89</v>
      </c>
      <c r="AE166" s="12">
        <v>9.5</v>
      </c>
      <c r="AF166" s="12">
        <v>38.42</v>
      </c>
      <c r="AG166" s="12">
        <v>15.14</v>
      </c>
    </row>
    <row r="167">
      <c r="A167" s="8" t="s">
        <v>234</v>
      </c>
      <c r="B167" s="9">
        <v>1142154.87</v>
      </c>
      <c r="C167" s="9">
        <v>529144.56</v>
      </c>
      <c r="D167" s="9">
        <v>100000.0</v>
      </c>
      <c r="E167" s="9">
        <v>613010.31</v>
      </c>
      <c r="F167" s="9">
        <v>1648292.49</v>
      </c>
      <c r="G167" s="9">
        <v>1532938.85</v>
      </c>
      <c r="H167" s="9">
        <v>146216.22</v>
      </c>
      <c r="I167" s="9">
        <v>115353.65</v>
      </c>
      <c r="J167" s="9">
        <v>84317.75</v>
      </c>
      <c r="K167" s="12">
        <v>0.21</v>
      </c>
      <c r="L167" s="9">
        <v>122736.98</v>
      </c>
      <c r="M167" s="9">
        <v>-13208.49</v>
      </c>
      <c r="N167" s="9">
        <v>-113997.71</v>
      </c>
      <c r="O167" s="9">
        <v>-4469.22</v>
      </c>
      <c r="P167" s="12">
        <v>13.71</v>
      </c>
      <c r="Q167" s="12">
        <v>10.04</v>
      </c>
      <c r="R167" s="12">
        <v>23.6</v>
      </c>
      <c r="S167" s="12">
        <v>5.12</v>
      </c>
      <c r="T167" s="12">
        <v>7.0</v>
      </c>
      <c r="U167" s="12">
        <v>0.86</v>
      </c>
      <c r="V167" s="12">
        <v>11.86</v>
      </c>
      <c r="W167" s="12">
        <v>1.93</v>
      </c>
      <c r="X167" s="12">
        <v>1.07</v>
      </c>
      <c r="Y167" s="12">
        <v>4.54</v>
      </c>
      <c r="Z167" s="12">
        <v>1.43</v>
      </c>
      <c r="AA167" s="12">
        <v>4.32</v>
      </c>
      <c r="AB167" s="12">
        <v>84.49</v>
      </c>
      <c r="AC167" s="12">
        <v>5.45</v>
      </c>
      <c r="AD167" s="12">
        <v>66.94</v>
      </c>
      <c r="AE167" s="12">
        <v>5.7</v>
      </c>
      <c r="AF167" s="12">
        <v>64.01</v>
      </c>
      <c r="AG167" s="12">
        <v>87.41</v>
      </c>
    </row>
    <row r="168">
      <c r="A168" s="8" t="s">
        <v>235</v>
      </c>
      <c r="B168" s="9">
        <v>933730.39</v>
      </c>
      <c r="C168" s="9">
        <v>132931.09</v>
      </c>
      <c r="D168" s="9">
        <v>212382.19</v>
      </c>
      <c r="E168" s="9">
        <v>800799.3</v>
      </c>
      <c r="F168" s="9">
        <v>996591.86</v>
      </c>
      <c r="G168" s="9">
        <v>874970.14</v>
      </c>
      <c r="H168" s="9">
        <v>171219.94</v>
      </c>
      <c r="I168" s="9">
        <v>124301.59</v>
      </c>
      <c r="J168" s="9">
        <v>121989.02</v>
      </c>
      <c r="K168" s="12">
        <v>0.3</v>
      </c>
      <c r="L168" s="9">
        <v>145721.92</v>
      </c>
      <c r="M168" s="9">
        <v>-116963.46</v>
      </c>
      <c r="N168" s="9">
        <v>-154325.5</v>
      </c>
      <c r="O168" s="9">
        <v>-125567.04</v>
      </c>
      <c r="P168" s="12">
        <v>15.99</v>
      </c>
      <c r="Q168" s="12">
        <v>12.91</v>
      </c>
      <c r="R168" s="12">
        <v>35.47</v>
      </c>
      <c r="S168" s="12">
        <v>12.24</v>
      </c>
      <c r="T168" s="12">
        <v>12.47</v>
      </c>
      <c r="U168" s="12">
        <v>0.17</v>
      </c>
      <c r="V168" s="12">
        <v>66.66</v>
      </c>
      <c r="W168" s="12">
        <v>2.86</v>
      </c>
      <c r="X168" s="12">
        <v>2.14</v>
      </c>
      <c r="Y168" s="12">
        <v>1.88</v>
      </c>
      <c r="Z168" s="12">
        <v>1.04</v>
      </c>
      <c r="AA168" s="12">
        <v>7.25</v>
      </c>
      <c r="AB168" s="12">
        <v>50.32</v>
      </c>
      <c r="AC168" s="12">
        <v>12.63</v>
      </c>
      <c r="AD168" s="12">
        <v>28.91</v>
      </c>
      <c r="AE168" s="12">
        <v>3.99</v>
      </c>
      <c r="AF168" s="12">
        <v>91.49</v>
      </c>
      <c r="AG168" s="12">
        <v>-12.26</v>
      </c>
    </row>
    <row r="169">
      <c r="A169" s="8" t="s">
        <v>238</v>
      </c>
      <c r="B169" s="9">
        <v>1250495.24</v>
      </c>
      <c r="C169" s="9">
        <v>478952.2</v>
      </c>
      <c r="D169" s="9">
        <v>107625.0</v>
      </c>
      <c r="E169" s="9">
        <v>771543.04</v>
      </c>
      <c r="F169" s="9">
        <v>2257785.86</v>
      </c>
      <c r="G169" s="9">
        <v>2085477.76</v>
      </c>
      <c r="H169" s="9">
        <v>223330.85</v>
      </c>
      <c r="I169" s="9">
        <v>175868.53</v>
      </c>
      <c r="J169" s="9">
        <v>138919.74</v>
      </c>
      <c r="K169" s="12">
        <v>1.29</v>
      </c>
      <c r="L169" s="9">
        <v>196626.22</v>
      </c>
      <c r="M169" s="9">
        <v>-101253.83</v>
      </c>
      <c r="N169" s="9">
        <v>-34680.52</v>
      </c>
      <c r="O169" s="9">
        <v>60691.87</v>
      </c>
      <c r="P169" s="12">
        <v>19.23</v>
      </c>
      <c r="Q169" s="12">
        <v>14.2</v>
      </c>
      <c r="R169" s="12">
        <v>25.15</v>
      </c>
      <c r="S169" s="12">
        <v>6.15</v>
      </c>
      <c r="T169" s="12">
        <v>7.79</v>
      </c>
      <c r="U169" s="12">
        <v>0.62</v>
      </c>
      <c r="V169" s="12">
        <v>458.72</v>
      </c>
      <c r="W169" s="12">
        <v>2.13</v>
      </c>
      <c r="X169" s="12">
        <v>1.48</v>
      </c>
      <c r="Y169" s="12">
        <v>5.67</v>
      </c>
      <c r="Z169" s="12">
        <v>1.82</v>
      </c>
      <c r="AA169" s="12">
        <v>5.88</v>
      </c>
      <c r="AB169" s="12">
        <v>62.11</v>
      </c>
      <c r="AC169" s="12">
        <v>6.73</v>
      </c>
      <c r="AD169" s="12">
        <v>54.24</v>
      </c>
      <c r="AE169" s="12">
        <v>4.06</v>
      </c>
      <c r="AF169" s="12">
        <v>89.82</v>
      </c>
      <c r="AG169" s="12">
        <v>26.52</v>
      </c>
    </row>
    <row r="170">
      <c r="A170" s="8" t="s">
        <v>332</v>
      </c>
      <c r="B170" s="9">
        <v>1158630.37</v>
      </c>
      <c r="C170" s="9">
        <v>405820.93</v>
      </c>
      <c r="D170" s="9">
        <v>260000.0</v>
      </c>
      <c r="E170" s="9">
        <v>752809.45</v>
      </c>
      <c r="F170" s="9">
        <v>795301.03</v>
      </c>
      <c r="G170" s="9">
        <v>740505.98</v>
      </c>
      <c r="H170" s="9">
        <v>70629.84</v>
      </c>
      <c r="I170" s="9">
        <v>54795.05</v>
      </c>
      <c r="J170" s="9">
        <v>35260.11</v>
      </c>
      <c r="K170" s="12">
        <v>0.07</v>
      </c>
      <c r="L170" s="9">
        <v>173711.39</v>
      </c>
      <c r="M170" s="9">
        <v>-62171.86</v>
      </c>
      <c r="N170" s="9">
        <v>29224.2</v>
      </c>
      <c r="O170" s="9">
        <v>140763.73</v>
      </c>
      <c r="P170" s="12">
        <v>4.67</v>
      </c>
      <c r="Q170" s="12">
        <v>4.66</v>
      </c>
      <c r="R170" s="12">
        <v>9.92</v>
      </c>
      <c r="S170" s="12">
        <v>4.43</v>
      </c>
      <c r="T170" s="12">
        <v>6.89</v>
      </c>
      <c r="U170" s="12">
        <v>0.54</v>
      </c>
      <c r="V170" s="12">
        <v>4.48</v>
      </c>
      <c r="W170" s="12">
        <v>2.8</v>
      </c>
      <c r="X170" s="12">
        <v>1.68</v>
      </c>
      <c r="Y170" s="12">
        <v>1.46</v>
      </c>
      <c r="Z170" s="12">
        <v>0.68</v>
      </c>
      <c r="AA170" s="12">
        <v>2.09</v>
      </c>
      <c r="AB170" s="12">
        <v>174.76</v>
      </c>
      <c r="AC170" s="12">
        <v>7.82</v>
      </c>
      <c r="AD170" s="12">
        <v>46.66</v>
      </c>
      <c r="AE170" s="12">
        <v>7.73</v>
      </c>
      <c r="AF170" s="12">
        <v>47.2</v>
      </c>
      <c r="AG170" s="12">
        <v>174.22</v>
      </c>
    </row>
  </sheetData>
  <drawing r:id="rId1"/>
</worksheet>
</file>