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3040" windowHeight="9336" tabRatio="741"/>
  </bookViews>
  <sheets>
    <sheet name="Jan" sheetId="1" r:id="rId1"/>
    <sheet name="Feb" sheetId="6" r:id="rId2"/>
    <sheet name="Mar" sheetId="17" r:id="rId3"/>
    <sheet name="Apr" sheetId="18" r:id="rId4"/>
    <sheet name="May" sheetId="19" r:id="rId5"/>
    <sheet name="Jun" sheetId="20" r:id="rId6"/>
    <sheet name="Jul" sheetId="21" r:id="rId7"/>
    <sheet name="Aug" sheetId="22" r:id="rId8"/>
    <sheet name="Sep" sheetId="23" r:id="rId9"/>
    <sheet name="Oct" sheetId="24" r:id="rId10"/>
    <sheet name="Nov" sheetId="25" r:id="rId11"/>
    <sheet name="Dec" sheetId="26" r:id="rId12"/>
  </sheets>
  <definedNames>
    <definedName name="AprSun1">DATE(CalendarYear,4,1)-WEEKDAY(DATE(CalendarYear,4,1))+1</definedName>
    <definedName name="AssignmentDays" localSheetId="3">Apr!$K$2:$K$31</definedName>
    <definedName name="AssignmentDays" localSheetId="7">Aug!$K$2:$K$31</definedName>
    <definedName name="AssignmentDays" localSheetId="11">Dec!$K$2:$K$31</definedName>
    <definedName name="AssignmentDays" localSheetId="1">Feb!$K$2:$K$31</definedName>
    <definedName name="AssignmentDays" localSheetId="6">Jul!$K$2:$K$31</definedName>
    <definedName name="AssignmentDays" localSheetId="5">Jun!$K$2:$K$31</definedName>
    <definedName name="AssignmentDays" localSheetId="2">Mar!$K$2:$K$31</definedName>
    <definedName name="AssignmentDays" localSheetId="4">May!$K$2:$K$31</definedName>
    <definedName name="AssignmentDays" localSheetId="10">Nov!$K$2:$K$31</definedName>
    <definedName name="AssignmentDays" localSheetId="9">Oct!$K$2:$K$31</definedName>
    <definedName name="AssignmentDays" localSheetId="8">Sep!$K$2:$K$31</definedName>
    <definedName name="AssignmentDays">Jan!$K$2:$K$31</definedName>
    <definedName name="AugSun1">DATE(CalendarYear,8,1)-WEEKDAY(DATE(CalendarYear,8,1))+1</definedName>
    <definedName name="CalendarYear">Jan!$B$1</definedName>
    <definedName name="ColumnTitle1">Jan!$J$1</definedName>
    <definedName name="ColumnTitle10">Oct!$J$1</definedName>
    <definedName name="ColumnTitle11">Nov!$J$1</definedName>
    <definedName name="ColumnTitle12">Dec!$J$1</definedName>
    <definedName name="ColumnTitle2">Feb!$J$1</definedName>
    <definedName name="ColumnTitle3">Mar!$J$1</definedName>
    <definedName name="ColumnTitle4">Apr!$J$1</definedName>
    <definedName name="ColumnTitle5">May!$J$1</definedName>
    <definedName name="ColumnTitle6">Jun!$J$1</definedName>
    <definedName name="ColumnTitle7">Jul!$J$1</definedName>
    <definedName name="ColumnTitle8">Aug!$J$1</definedName>
    <definedName name="ColumnTitle9">Sep!$J$1</definedName>
    <definedName name="ColumnTitleRegion1..I8.1">Jan!$C$2</definedName>
    <definedName name="ColumnTitleRegion1..I8.10">Oct!$C$2</definedName>
    <definedName name="ColumnTitleRegion1..I8.11">Nov!$C$2</definedName>
    <definedName name="ColumnTitleRegion1..I8.12">Dec!$C$2</definedName>
    <definedName name="ColumnTitleRegion1..I8.2">Feb!$C$2</definedName>
    <definedName name="ColumnTitleRegion1..I8.3">Mar!$C$2</definedName>
    <definedName name="ColumnTitleRegion1..I8.4">Apr!$C$2</definedName>
    <definedName name="ColumnTitleRegion1..I8.5">May!$C$2</definedName>
    <definedName name="ColumnTitleRegion1..I8.6">Jun!$C$2</definedName>
    <definedName name="ColumnTitleRegion1..I8.7">Jul!$C$2</definedName>
    <definedName name="ColumnTitleRegion1..I8.8">Aug!$C$2</definedName>
    <definedName name="ColumnTitleRegion1..I8.9">Sep!$C$2</definedName>
    <definedName name="DecSun1">DATE(CalendarYear,12,1)-WEEKDAY(DATE(CalendarYear,12,1))+1</definedName>
    <definedName name="FebSun1">DATE(CalendarYear,2,1)-WEEKDAY(DATE(CalendarYear,2,1))+1</definedName>
    <definedName name="ImportantDatesTable" localSheetId="3">Apr!$K$2:$L$6</definedName>
    <definedName name="ImportantDatesTable" localSheetId="7">Aug!$K$2:$L$6</definedName>
    <definedName name="ImportantDatesTable" localSheetId="11">Dec!$K$2:$L$6</definedName>
    <definedName name="ImportantDatesTable" localSheetId="1">Feb!$K$2:$L$6</definedName>
    <definedName name="ImportantDatesTable" localSheetId="6">Jul!$K$2:$L$6</definedName>
    <definedName name="ImportantDatesTable" localSheetId="5">Jun!$K$2:$L$6</definedName>
    <definedName name="ImportantDatesTable" localSheetId="2">Mar!$K$2:$L$6</definedName>
    <definedName name="ImportantDatesTable" localSheetId="4">May!$K$2:$L$6</definedName>
    <definedName name="ImportantDatesTable" localSheetId="10">Nov!$K$2:$L$6</definedName>
    <definedName name="ImportantDatesTable" localSheetId="9">Oct!$K$2:$L$6</definedName>
    <definedName name="ImportantDatesTable" localSheetId="8">Sep!$K$2:$L$6</definedName>
    <definedName name="ImportantDatesTable">Jan!$K$2:$L$6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SepSun1">DATE(CalendarYear,9,1)-WEEKDAY(DATE(CalendarYear,9,1))+1</definedName>
    <definedName name="TitleRegion2..I31.1">Jan!$A$11</definedName>
    <definedName name="TitleRegion2..I31.10">Oct!$A$11</definedName>
    <definedName name="TitleRegion2..I31.11">Nov!$A$11</definedName>
    <definedName name="TitleRegion2..I31.12">Dec!$A$11</definedName>
    <definedName name="TitleRegion2..I31.2">Feb!$A$11</definedName>
    <definedName name="TitleRegion2..I31.3">Mar!$A$11</definedName>
    <definedName name="TitleRegion2..I31.4">Apr!$A$11</definedName>
    <definedName name="TitleRegion2..I31.5">May!$A$11</definedName>
    <definedName name="TitleRegion2..I31.6">Jun!$A$11</definedName>
    <definedName name="TitleRegion2..I31.7">Jul!$A$11</definedName>
    <definedName name="TitleRegion2..I31.8">Aug!$A$11</definedName>
    <definedName name="TitleRegion2..I31.9">Sep!$A$11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6" l="1"/>
  <c r="E8" i="26"/>
  <c r="H7" i="26"/>
  <c r="D7" i="26"/>
  <c r="G6" i="26"/>
  <c r="C6" i="26"/>
  <c r="F5" i="26"/>
  <c r="I4" i="26"/>
  <c r="E4" i="26"/>
  <c r="H3" i="26"/>
  <c r="D3" i="26"/>
  <c r="E7" i="26"/>
  <c r="G5" i="26"/>
  <c r="F4" i="26"/>
  <c r="H8" i="26"/>
  <c r="D8" i="26"/>
  <c r="G7" i="26"/>
  <c r="C7" i="26"/>
  <c r="F6" i="26"/>
  <c r="I5" i="26"/>
  <c r="E5" i="26"/>
  <c r="H4" i="26"/>
  <c r="D4" i="26"/>
  <c r="G3" i="26"/>
  <c r="C3" i="26"/>
  <c r="D6" i="26"/>
  <c r="E3" i="26"/>
  <c r="G8" i="26"/>
  <c r="C8" i="26"/>
  <c r="F7" i="26"/>
  <c r="I6" i="26"/>
  <c r="E6" i="26"/>
  <c r="H5" i="26"/>
  <c r="D5" i="26"/>
  <c r="G4" i="26"/>
  <c r="C4" i="26"/>
  <c r="F3" i="26"/>
  <c r="F8" i="26"/>
  <c r="I7" i="26"/>
  <c r="H6" i="26"/>
  <c r="C5" i="26"/>
  <c r="I3" i="26"/>
  <c r="B1" i="26"/>
  <c r="I8" i="25"/>
  <c r="E8" i="25"/>
  <c r="H7" i="25"/>
  <c r="D7" i="25"/>
  <c r="G6" i="25"/>
  <c r="C6" i="25"/>
  <c r="F5" i="25"/>
  <c r="I4" i="25"/>
  <c r="E4" i="25"/>
  <c r="H3" i="25"/>
  <c r="D3" i="25"/>
  <c r="I7" i="25"/>
  <c r="D6" i="25"/>
  <c r="C5" i="25"/>
  <c r="E3" i="25"/>
  <c r="H8" i="25"/>
  <c r="D8" i="25"/>
  <c r="G7" i="25"/>
  <c r="C7" i="25"/>
  <c r="F6" i="25"/>
  <c r="I5" i="25"/>
  <c r="E5" i="25"/>
  <c r="H4" i="25"/>
  <c r="D4" i="25"/>
  <c r="G3" i="25"/>
  <c r="C3" i="25"/>
  <c r="H6" i="25"/>
  <c r="F4" i="25"/>
  <c r="G8" i="25"/>
  <c r="C8" i="25"/>
  <c r="F7" i="25"/>
  <c r="I6" i="25"/>
  <c r="E6" i="25"/>
  <c r="H5" i="25"/>
  <c r="D5" i="25"/>
  <c r="G4" i="25"/>
  <c r="C4" i="25"/>
  <c r="F3" i="25"/>
  <c r="F8" i="25"/>
  <c r="E7" i="25"/>
  <c r="G5" i="25"/>
  <c r="I3" i="25"/>
  <c r="B1" i="25"/>
  <c r="I8" i="24"/>
  <c r="E8" i="24"/>
  <c r="H7" i="24"/>
  <c r="D7" i="24"/>
  <c r="G6" i="24"/>
  <c r="C6" i="24"/>
  <c r="F5" i="24"/>
  <c r="I4" i="24"/>
  <c r="E4" i="24"/>
  <c r="H3" i="24"/>
  <c r="D3" i="24"/>
  <c r="C8" i="24"/>
  <c r="I6" i="24"/>
  <c r="H5" i="24"/>
  <c r="G4" i="24"/>
  <c r="F3" i="24"/>
  <c r="I7" i="24"/>
  <c r="H6" i="24"/>
  <c r="G5" i="24"/>
  <c r="F4" i="24"/>
  <c r="E3" i="24"/>
  <c r="H8" i="24"/>
  <c r="D8" i="24"/>
  <c r="G7" i="24"/>
  <c r="C7" i="24"/>
  <c r="F6" i="24"/>
  <c r="I5" i="24"/>
  <c r="E5" i="24"/>
  <c r="H4" i="24"/>
  <c r="D4" i="24"/>
  <c r="G3" i="24"/>
  <c r="C3" i="24"/>
  <c r="G8" i="24"/>
  <c r="F7" i="24"/>
  <c r="E6" i="24"/>
  <c r="D5" i="24"/>
  <c r="C4" i="24"/>
  <c r="F8" i="24"/>
  <c r="E7" i="24"/>
  <c r="D6" i="24"/>
  <c r="C5" i="24"/>
  <c r="I3" i="24"/>
  <c r="B1" i="24"/>
  <c r="I8" i="23"/>
  <c r="E8" i="23"/>
  <c r="H7" i="23"/>
  <c r="D7" i="23"/>
  <c r="G6" i="23"/>
  <c r="C6" i="23"/>
  <c r="F5" i="23"/>
  <c r="I4" i="23"/>
  <c r="E4" i="23"/>
  <c r="H3" i="23"/>
  <c r="D3" i="23"/>
  <c r="I7" i="23"/>
  <c r="G5" i="23"/>
  <c r="E3" i="23"/>
  <c r="H8" i="23"/>
  <c r="D8" i="23"/>
  <c r="G7" i="23"/>
  <c r="C7" i="23"/>
  <c r="F6" i="23"/>
  <c r="I5" i="23"/>
  <c r="E5" i="23"/>
  <c r="H4" i="23"/>
  <c r="D4" i="23"/>
  <c r="G3" i="23"/>
  <c r="C3" i="23"/>
  <c r="E7" i="23"/>
  <c r="C5" i="23"/>
  <c r="I3" i="23"/>
  <c r="G8" i="23"/>
  <c r="C8" i="23"/>
  <c r="F7" i="23"/>
  <c r="I6" i="23"/>
  <c r="E6" i="23"/>
  <c r="H5" i="23"/>
  <c r="D5" i="23"/>
  <c r="G4" i="23"/>
  <c r="C4" i="23"/>
  <c r="F3" i="23"/>
  <c r="F8" i="23"/>
  <c r="H6" i="23"/>
  <c r="D6" i="23"/>
  <c r="F4" i="23"/>
  <c r="B1" i="23"/>
  <c r="I8" i="22"/>
  <c r="E8" i="22"/>
  <c r="H7" i="22"/>
  <c r="D7" i="22"/>
  <c r="G6" i="22"/>
  <c r="C6" i="22"/>
  <c r="F5" i="22"/>
  <c r="I4" i="22"/>
  <c r="E4" i="22"/>
  <c r="H3" i="22"/>
  <c r="D3" i="22"/>
  <c r="H8" i="22"/>
  <c r="D8" i="22"/>
  <c r="G7" i="22"/>
  <c r="C7" i="22"/>
  <c r="F6" i="22"/>
  <c r="I5" i="22"/>
  <c r="E5" i="22"/>
  <c r="H4" i="22"/>
  <c r="D4" i="22"/>
  <c r="G3" i="22"/>
  <c r="C3" i="22"/>
  <c r="G8" i="22"/>
  <c r="C8" i="22"/>
  <c r="F7" i="22"/>
  <c r="I6" i="22"/>
  <c r="E6" i="22"/>
  <c r="H5" i="22"/>
  <c r="D5" i="22"/>
  <c r="G4" i="22"/>
  <c r="C4" i="22"/>
  <c r="F3" i="22"/>
  <c r="F8" i="22"/>
  <c r="I7" i="22"/>
  <c r="E7" i="22"/>
  <c r="H6" i="22"/>
  <c r="D6" i="22"/>
  <c r="G5" i="22"/>
  <c r="C5" i="22"/>
  <c r="F4" i="22"/>
  <c r="I3" i="22"/>
  <c r="E3" i="22"/>
  <c r="B1" i="22"/>
  <c r="I8" i="21"/>
  <c r="E8" i="21"/>
  <c r="H7" i="21"/>
  <c r="D7" i="21"/>
  <c r="G6" i="21"/>
  <c r="C6" i="21"/>
  <c r="F5" i="21"/>
  <c r="I4" i="21"/>
  <c r="E4" i="21"/>
  <c r="H3" i="21"/>
  <c r="D3" i="21"/>
  <c r="C8" i="21"/>
  <c r="I6" i="21"/>
  <c r="H5" i="21"/>
  <c r="G4" i="21"/>
  <c r="F3" i="21"/>
  <c r="H8" i="21"/>
  <c r="D8" i="21"/>
  <c r="G7" i="21"/>
  <c r="C7" i="21"/>
  <c r="F6" i="21"/>
  <c r="I5" i="21"/>
  <c r="E5" i="21"/>
  <c r="H4" i="21"/>
  <c r="D4" i="21"/>
  <c r="G3" i="21"/>
  <c r="C3" i="21"/>
  <c r="F7" i="21"/>
  <c r="E6" i="21"/>
  <c r="D5" i="21"/>
  <c r="C4" i="21"/>
  <c r="G8" i="21"/>
  <c r="F8" i="21"/>
  <c r="I7" i="21"/>
  <c r="E7" i="21"/>
  <c r="H6" i="21"/>
  <c r="D6" i="21"/>
  <c r="G5" i="21"/>
  <c r="C5" i="21"/>
  <c r="F4" i="21"/>
  <c r="I3" i="21"/>
  <c r="E3" i="21"/>
  <c r="B1" i="21"/>
  <c r="I8" i="20"/>
  <c r="E8" i="20"/>
  <c r="H7" i="20"/>
  <c r="D7" i="20"/>
  <c r="G6" i="20"/>
  <c r="C6" i="20"/>
  <c r="F5" i="20"/>
  <c r="I4" i="20"/>
  <c r="E4" i="20"/>
  <c r="H3" i="20"/>
  <c r="D3" i="20"/>
  <c r="E7" i="20"/>
  <c r="D6" i="20"/>
  <c r="F4" i="20"/>
  <c r="H8" i="20"/>
  <c r="D8" i="20"/>
  <c r="G7" i="20"/>
  <c r="C7" i="20"/>
  <c r="F6" i="20"/>
  <c r="I5" i="20"/>
  <c r="E5" i="20"/>
  <c r="H4" i="20"/>
  <c r="D4" i="20"/>
  <c r="G3" i="20"/>
  <c r="C3" i="20"/>
  <c r="I7" i="20"/>
  <c r="G5" i="20"/>
  <c r="I3" i="20"/>
  <c r="G8" i="20"/>
  <c r="C8" i="20"/>
  <c r="F7" i="20"/>
  <c r="I6" i="20"/>
  <c r="E6" i="20"/>
  <c r="H5" i="20"/>
  <c r="D5" i="20"/>
  <c r="G4" i="20"/>
  <c r="C4" i="20"/>
  <c r="F3" i="20"/>
  <c r="F8" i="20"/>
  <c r="H6" i="20"/>
  <c r="C5" i="20"/>
  <c r="E3" i="20"/>
  <c r="B1" i="20"/>
  <c r="I8" i="19"/>
  <c r="E8" i="19"/>
  <c r="H7" i="19"/>
  <c r="D7" i="19"/>
  <c r="G6" i="19"/>
  <c r="C6" i="19"/>
  <c r="F5" i="19"/>
  <c r="I4" i="19"/>
  <c r="E4" i="19"/>
  <c r="H3" i="19"/>
  <c r="D3" i="19"/>
  <c r="F4" i="19"/>
  <c r="E3" i="19"/>
  <c r="H8" i="19"/>
  <c r="D8" i="19"/>
  <c r="G7" i="19"/>
  <c r="C7" i="19"/>
  <c r="F6" i="19"/>
  <c r="I5" i="19"/>
  <c r="E5" i="19"/>
  <c r="H4" i="19"/>
  <c r="D4" i="19"/>
  <c r="G3" i="19"/>
  <c r="C3" i="19"/>
  <c r="C5" i="19"/>
  <c r="G8" i="19"/>
  <c r="C8" i="19"/>
  <c r="F7" i="19"/>
  <c r="I6" i="19"/>
  <c r="E6" i="19"/>
  <c r="H5" i="19"/>
  <c r="D5" i="19"/>
  <c r="G4" i="19"/>
  <c r="C4" i="19"/>
  <c r="F3" i="19"/>
  <c r="F8" i="19"/>
  <c r="I7" i="19"/>
  <c r="E7" i="19"/>
  <c r="H6" i="19"/>
  <c r="D6" i="19"/>
  <c r="G5" i="19"/>
  <c r="I3" i="19"/>
  <c r="B1" i="19"/>
  <c r="I8" i="18"/>
  <c r="E8" i="18"/>
  <c r="H7" i="18"/>
  <c r="D7" i="18"/>
  <c r="G6" i="18"/>
  <c r="C6" i="18"/>
  <c r="F5" i="18"/>
  <c r="I4" i="18"/>
  <c r="E4" i="18"/>
  <c r="H3" i="18"/>
  <c r="D3" i="18"/>
  <c r="I7" i="18"/>
  <c r="D6" i="18"/>
  <c r="F4" i="18"/>
  <c r="H8" i="18"/>
  <c r="D8" i="18"/>
  <c r="G7" i="18"/>
  <c r="C7" i="18"/>
  <c r="F6" i="18"/>
  <c r="I5" i="18"/>
  <c r="E5" i="18"/>
  <c r="H4" i="18"/>
  <c r="D4" i="18"/>
  <c r="G3" i="18"/>
  <c r="C3" i="18"/>
  <c r="H6" i="18"/>
  <c r="C5" i="18"/>
  <c r="E3" i="18"/>
  <c r="G8" i="18"/>
  <c r="C8" i="18"/>
  <c r="F7" i="18"/>
  <c r="I6" i="18"/>
  <c r="E6" i="18"/>
  <c r="H5" i="18"/>
  <c r="D5" i="18"/>
  <c r="G4" i="18"/>
  <c r="C4" i="18"/>
  <c r="F3" i="18"/>
  <c r="F8" i="18"/>
  <c r="E7" i="18"/>
  <c r="G5" i="18"/>
  <c r="I3" i="18"/>
  <c r="B1" i="18"/>
  <c r="I8" i="17"/>
  <c r="E8" i="17"/>
  <c r="H7" i="17"/>
  <c r="D7" i="17"/>
  <c r="G6" i="17"/>
  <c r="C6" i="17"/>
  <c r="F5" i="17"/>
  <c r="I4" i="17"/>
  <c r="E4" i="17"/>
  <c r="H3" i="17"/>
  <c r="D3" i="17"/>
  <c r="H8" i="17"/>
  <c r="D8" i="17"/>
  <c r="G7" i="17"/>
  <c r="C7" i="17"/>
  <c r="F6" i="17"/>
  <c r="I5" i="17"/>
  <c r="E5" i="17"/>
  <c r="H4" i="17"/>
  <c r="D4" i="17"/>
  <c r="G3" i="17"/>
  <c r="C3" i="17"/>
  <c r="G8" i="17"/>
  <c r="C8" i="17"/>
  <c r="F7" i="17"/>
  <c r="I6" i="17"/>
  <c r="E6" i="17"/>
  <c r="H5" i="17"/>
  <c r="D5" i="17"/>
  <c r="G4" i="17"/>
  <c r="C4" i="17"/>
  <c r="F3" i="17"/>
  <c r="F8" i="17"/>
  <c r="I7" i="17"/>
  <c r="E7" i="17"/>
  <c r="H6" i="17"/>
  <c r="D6" i="17"/>
  <c r="G5" i="17"/>
  <c r="C5" i="17"/>
  <c r="F4" i="17"/>
  <c r="I3" i="17"/>
  <c r="E3" i="17"/>
  <c r="B1" i="17"/>
  <c r="B1" i="6" l="1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I3" i="6"/>
  <c r="H3" i="6"/>
  <c r="G3" i="6"/>
  <c r="F3" i="6"/>
  <c r="E3" i="6"/>
  <c r="D3" i="6"/>
  <c r="C3" i="6"/>
  <c r="H3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<sst xmlns="http://schemas.openxmlformats.org/spreadsheetml/2006/main" count="831" uniqueCount="42">
  <si>
    <t>JAN</t>
  </si>
  <si>
    <t>ASSIGNMENTS</t>
  </si>
  <si>
    <t>MON</t>
  </si>
  <si>
    <t>French: First paper draft due</t>
  </si>
  <si>
    <t>TUES</t>
  </si>
  <si>
    <t>WEEKLY SCHEDULE</t>
  </si>
  <si>
    <t>WED</t>
  </si>
  <si>
    <t>THURS</t>
  </si>
  <si>
    <t>FRI</t>
  </si>
  <si>
    <t>8:00</t>
  </si>
  <si>
    <t>French</t>
  </si>
  <si>
    <t>9:00</t>
  </si>
  <si>
    <t>Art History</t>
  </si>
  <si>
    <t>10:00</t>
  </si>
  <si>
    <t>Math</t>
  </si>
  <si>
    <t>2:00</t>
  </si>
  <si>
    <t>English</t>
  </si>
  <si>
    <t>4:00</t>
  </si>
  <si>
    <t>Programming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</si>
  <si>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</si>
  <si>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</si>
  <si>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</si>
  <si>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</si>
  <si>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</si>
  <si>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</si>
  <si>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</si>
  <si>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</si>
  <si>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</si>
  <si>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</si>
  <si>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</si>
  <si>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TUE</t>
  </si>
  <si>
    <t>THU</t>
  </si>
  <si>
    <t>Art History: Test</t>
  </si>
  <si>
    <t>SAT</t>
  </si>
  <si>
    <t>SUN</t>
  </si>
  <si>
    <t xml:space="preserve"> </t>
  </si>
  <si>
    <t>Day of the week</t>
  </si>
  <si>
    <t>calendar day</t>
  </si>
  <si>
    <t>Time</t>
  </si>
  <si>
    <t>Class</t>
  </si>
  <si>
    <t>Weekday</t>
  </si>
  <si>
    <t>Enter calendar year in cell B1 at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</si>
</sst>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[$-409]mmmmm;@"/>
  </numFmts>
  <fonts count="1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4"/>
      <color theme="4" tint="-0.499984740745262"/>
      <name val="Arial"/>
      <family val="2"/>
      <scheme val="minor"/>
    </font>
    <font>
      <b/>
      <sz val="17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ajor"/>
    </font>
    <font>
      <b/>
      <sz val="18"/>
      <color theme="4" tint="-0.499984740745262"/>
      <name val="Arial"/>
      <family val="2"/>
      <scheme val="major"/>
    </font>
    <font>
      <sz val="11"/>
      <name val="Arial"/>
      <family val="2"/>
      <scheme val="minor"/>
    </font>
    <font>
      <sz val="9"/>
      <name val="Arial"/>
      <family val="3"/>
      <charset val="134"/>
      <scheme val="minor"/>
    </font>
    <font>
      <b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7999816888943144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 style="thin">
        <color theme="5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5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4" tint="-0.499984740745262"/>
      </right>
      <top style="thin">
        <color theme="5" tint="-0.499984740745262"/>
      </top>
      <bottom/>
      <diagonal/>
    </border>
  </borders>
  <cellStyleXfs count="22">
    <xf numFmtId="0" fontId="0" fillId="0" borderId="0">
      <alignment wrapText="1"/>
    </xf>
    <xf numFmtId="0" fontId="13" fillId="0" borderId="0" applyFill="0" applyBorder="0" applyProtection="0">
      <alignment horizontal="center" vertical="center"/>
    </xf>
    <xf numFmtId="165" fontId="7" fillId="0" borderId="0" applyFill="0" applyBorder="0" applyProtection="0">
      <alignment horizontal="center" vertical="center"/>
    </xf>
    <xf numFmtId="0" fontId="8" fillId="0" borderId="0" applyFill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/>
    </xf>
    <xf numFmtId="0" fontId="9" fillId="0" borderId="0" applyFill="0" applyBorder="0" applyProtection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5" fillId="3" borderId="5" applyNumberFormat="0" applyAlignment="0" applyProtection="0"/>
    <xf numFmtId="0" fontId="6" fillId="4" borderId="1">
      <alignment horizontal="left" indent="1"/>
    </xf>
    <xf numFmtId="0" fontId="10" fillId="0" borderId="0">
      <alignment vertical="center"/>
    </xf>
    <xf numFmtId="0" fontId="10" fillId="0" borderId="6" applyNumberFormat="0" applyFont="0" applyFill="0" applyAlignment="0" applyProtection="0">
      <alignment horizontal="left" vertical="center" indent="2"/>
    </xf>
    <xf numFmtId="1" fontId="11" fillId="0" borderId="0" applyFill="0" applyBorder="0">
      <alignment horizontal="center"/>
    </xf>
    <xf numFmtId="0" fontId="14" fillId="0" borderId="7" applyNumberFormat="0" applyFont="0" applyFill="0" applyAlignment="0" applyProtection="0">
      <alignment horizontal="center"/>
    </xf>
    <xf numFmtId="0" fontId="14" fillId="0" borderId="9" applyNumberFormat="0" applyFont="0" applyFill="0" applyAlignment="0" applyProtection="0"/>
    <xf numFmtId="164" fontId="4" fillId="0" borderId="0" applyNumberFormat="0" applyFill="0" applyBorder="0">
      <alignment horizontal="left" vertical="center" indent="1"/>
    </xf>
    <xf numFmtId="0" fontId="14" fillId="2" borderId="0" applyFont="0" applyBorder="0">
      <alignment horizontal="left" vertical="top" indent="1"/>
    </xf>
    <xf numFmtId="0" fontId="6" fillId="0" borderId="0" applyNumberFormat="0" applyFill="0" applyBorder="0" applyAlignment="0">
      <alignment wrapText="1"/>
    </xf>
    <xf numFmtId="20" fontId="14" fillId="2" borderId="0" applyFill="0" applyBorder="0">
      <alignment horizontal="left" indent="1"/>
    </xf>
  </cellStyleXfs>
  <cellXfs count="73">
    <xf numFmtId="0" fontId="0" fillId="0" borderId="0" xfId="0">
      <alignment wrapText="1"/>
    </xf>
    <xf numFmtId="0" fontId="0" fillId="0" borderId="0" xfId="0" applyFont="1">
      <alignment wrapText="1"/>
    </xf>
    <xf numFmtId="0" fontId="0" fillId="0" borderId="0" xfId="0">
      <alignment wrapText="1"/>
    </xf>
    <xf numFmtId="0" fontId="6" fillId="4" borderId="9" xfId="17" applyFont="1" applyFill="1" applyAlignment="1">
      <alignment horizontal="left" indent="1"/>
    </xf>
    <xf numFmtId="0" fontId="9" fillId="0" borderId="6" xfId="14" applyFont="1" applyAlignment="1">
      <alignment vertical="center"/>
    </xf>
    <xf numFmtId="0" fontId="10" fillId="0" borderId="0" xfId="13">
      <alignment vertical="center"/>
    </xf>
    <xf numFmtId="164" fontId="4" fillId="0" borderId="0" xfId="18" applyNumberFormat="1" applyFill="1" applyBorder="1">
      <alignment horizontal="left" vertical="center" indent="1"/>
    </xf>
    <xf numFmtId="0" fontId="4" fillId="0" borderId="6" xfId="14" applyNumberFormat="1" applyFont="1" applyAlignment="1">
      <alignment horizontal="left" vertical="center" indent="1"/>
    </xf>
    <xf numFmtId="0" fontId="13" fillId="0" borderId="7" xfId="1" applyBorder="1">
      <alignment horizontal="center" vertical="center"/>
    </xf>
    <xf numFmtId="164" fontId="4" fillId="0" borderId="7" xfId="16" applyNumberFormat="1" applyFont="1" applyFill="1" applyAlignment="1">
      <alignment horizontal="left" vertical="center" indent="1"/>
    </xf>
    <xf numFmtId="0" fontId="0" fillId="0" borderId="0" xfId="14" applyFont="1" applyBorder="1" applyAlignment="1">
      <alignment wrapText="1"/>
    </xf>
    <xf numFmtId="0" fontId="9" fillId="0" borderId="0" xfId="5"/>
    <xf numFmtId="0" fontId="13" fillId="0" borderId="0" xfId="1">
      <alignment horizontal="center" vertical="center"/>
    </xf>
    <xf numFmtId="0" fontId="0" fillId="0" borderId="9" xfId="17" applyFont="1" applyAlignment="1">
      <alignment wrapText="1"/>
    </xf>
    <xf numFmtId="0" fontId="6" fillId="4" borderId="1" xfId="12">
      <alignment horizontal="left" indent="1"/>
    </xf>
    <xf numFmtId="0" fontId="9" fillId="0" borderId="0" xfId="4">
      <alignment horizontal="left" vertical="center"/>
    </xf>
    <xf numFmtId="0" fontId="0" fillId="0" borderId="0" xfId="0">
      <alignment wrapText="1"/>
    </xf>
    <xf numFmtId="165" fontId="7" fillId="0" borderId="0" xfId="2">
      <alignment horizontal="center" vertical="center"/>
    </xf>
    <xf numFmtId="0" fontId="0" fillId="0" borderId="7" xfId="16" applyFont="1" applyAlignment="1">
      <alignment wrapText="1"/>
    </xf>
    <xf numFmtId="20" fontId="14" fillId="2" borderId="0" xfId="21">
      <alignment horizontal="left" indent="1"/>
    </xf>
    <xf numFmtId="20" fontId="14" fillId="2" borderId="3" xfId="21" applyBorder="1">
      <alignment horizontal="left" indent="1"/>
    </xf>
    <xf numFmtId="165" fontId="7" fillId="0" borderId="6" xfId="2" applyBorder="1">
      <alignment horizontal="center" vertical="center"/>
    </xf>
    <xf numFmtId="165" fontId="7" fillId="0" borderId="6" xfId="14" applyNumberFormat="1" applyFont="1" applyAlignment="1">
      <alignment horizontal="center" vertical="center"/>
    </xf>
    <xf numFmtId="0" fontId="13" fillId="0" borderId="6" xfId="1" applyBorder="1">
      <alignment horizontal="center" vertical="center"/>
    </xf>
    <xf numFmtId="20" fontId="14" fillId="2" borderId="4" xfId="21" applyBorder="1">
      <alignment horizontal="left" indent="1"/>
    </xf>
    <xf numFmtId="0" fontId="6" fillId="4" borderId="1" xfId="12">
      <alignment horizontal="left" indent="1"/>
    </xf>
    <xf numFmtId="0" fontId="6" fillId="0" borderId="9" xfId="20" applyBorder="1" applyAlignment="1">
      <alignment wrapText="1"/>
    </xf>
    <xf numFmtId="0" fontId="0" fillId="2" borderId="0" xfId="19" applyFont="1">
      <alignment horizontal="left" vertical="top" indent="1"/>
    </xf>
    <xf numFmtId="0" fontId="1" fillId="2" borderId="9" xfId="19" applyFont="1" applyBorder="1">
      <alignment horizontal="left" vertical="top" indent="1"/>
    </xf>
    <xf numFmtId="0" fontId="12" fillId="2" borderId="9" xfId="19" applyFont="1" applyBorder="1">
      <alignment horizontal="left" vertical="top" indent="1"/>
    </xf>
    <xf numFmtId="0" fontId="0" fillId="2" borderId="7" xfId="19" applyFont="1" applyBorder="1">
      <alignment horizontal="left" vertical="top" indent="1"/>
    </xf>
    <xf numFmtId="0" fontId="1" fillId="2" borderId="7" xfId="19" applyFont="1" applyBorder="1">
      <alignment horizontal="left" vertical="top" indent="1"/>
    </xf>
    <xf numFmtId="20" fontId="14" fillId="2" borderId="9" xfId="21" applyBorder="1">
      <alignment horizontal="left" indent="1"/>
    </xf>
    <xf numFmtId="0" fontId="1" fillId="2" borderId="0" xfId="19" applyFont="1">
      <alignment horizontal="left" vertical="top" indent="1"/>
    </xf>
    <xf numFmtId="0" fontId="12" fillId="2" borderId="0" xfId="19" applyFont="1">
      <alignment horizontal="left" vertical="top" indent="1"/>
    </xf>
    <xf numFmtId="0" fontId="14" fillId="2" borderId="7" xfId="19" applyBorder="1">
      <alignment horizontal="left" vertical="top" indent="1"/>
    </xf>
    <xf numFmtId="0" fontId="0" fillId="2" borderId="7" xfId="16" applyFont="1" applyFill="1" applyAlignment="1">
      <alignment horizontal="left" vertical="top" indent="1"/>
    </xf>
    <xf numFmtId="0" fontId="1" fillId="2" borderId="7" xfId="16" applyFont="1" applyFill="1" applyAlignment="1">
      <alignment horizontal="left" vertical="top" indent="1"/>
    </xf>
    <xf numFmtId="0" fontId="16" fillId="0" borderId="0" xfId="20" applyFont="1" applyBorder="1">
      <alignment wrapText="1"/>
    </xf>
    <xf numFmtId="0" fontId="8" fillId="0" borderId="0" xfId="3" applyNumberFormat="1" applyFont="1" applyBorder="1" applyAlignment="1">
      <alignment horizontal="left" vertical="center" indent="2"/>
    </xf>
    <xf numFmtId="0" fontId="9" fillId="0" borderId="15" xfId="5" applyNumberFormat="1" applyFont="1" applyBorder="1" applyAlignment="1"/>
    <xf numFmtId="1" fontId="11" fillId="0" borderId="6" xfId="15" applyNumberFormat="1" applyFont="1" applyBorder="1" applyAlignment="1">
      <alignment horizontal="center"/>
    </xf>
    <xf numFmtId="0" fontId="0" fillId="0" borderId="16" xfId="0" applyFont="1" applyBorder="1" applyAlignment="1">
      <alignment horizontal="left" wrapText="1"/>
    </xf>
    <xf numFmtId="0" fontId="9" fillId="0" borderId="11" xfId="5" applyNumberFormat="1" applyFont="1" applyBorder="1" applyAlignment="1"/>
    <xf numFmtId="1" fontId="11" fillId="0" borderId="17" xfId="15" applyNumberFormat="1" applyFont="1" applyBorder="1" applyAlignment="1">
      <alignment horizontal="center"/>
    </xf>
    <xf numFmtId="0" fontId="0" fillId="0" borderId="18" xfId="0" applyFont="1" applyBorder="1" applyAlignment="1">
      <alignment horizontal="left" wrapText="1"/>
    </xf>
    <xf numFmtId="0" fontId="0" fillId="0" borderId="18" xfId="16" applyFont="1" applyBorder="1" applyAlignment="1">
      <alignment wrapText="1"/>
    </xf>
    <xf numFmtId="0" fontId="0" fillId="0" borderId="18" xfId="16" applyFont="1" applyBorder="1" applyAlignment="1">
      <alignment horizontal="left" wrapText="1"/>
    </xf>
    <xf numFmtId="0" fontId="9" fillId="0" borderId="12" xfId="5" applyNumberFormat="1" applyFont="1" applyBorder="1" applyAlignment="1"/>
    <xf numFmtId="1" fontId="11" fillId="0" borderId="13" xfId="15" applyNumberFormat="1" applyFont="1" applyBorder="1" applyAlignment="1">
      <alignment horizontal="center"/>
    </xf>
    <xf numFmtId="0" fontId="0" fillId="0" borderId="14" xfId="0" applyFont="1" applyBorder="1" applyAlignment="1">
      <alignment horizontal="left" wrapText="1"/>
    </xf>
    <xf numFmtId="0" fontId="0" fillId="0" borderId="16" xfId="0" applyBorder="1">
      <alignment wrapText="1"/>
    </xf>
    <xf numFmtId="0" fontId="0" fillId="0" borderId="18" xfId="0" applyBorder="1">
      <alignment wrapText="1"/>
    </xf>
    <xf numFmtId="0" fontId="0" fillId="0" borderId="14" xfId="0" applyBorder="1">
      <alignment wrapText="1"/>
    </xf>
    <xf numFmtId="0" fontId="9" fillId="0" borderId="11" xfId="16" applyFont="1" applyBorder="1" applyAlignment="1"/>
    <xf numFmtId="1" fontId="11" fillId="0" borderId="17" xfId="16" applyNumberFormat="1" applyFont="1" applyBorder="1" applyAlignment="1">
      <alignment wrapText="1"/>
    </xf>
    <xf numFmtId="0" fontId="3" fillId="0" borderId="18" xfId="16" applyFont="1" applyBorder="1" applyAlignment="1">
      <alignment horizontal="left" wrapText="1"/>
    </xf>
    <xf numFmtId="164" fontId="4" fillId="0" borderId="14" xfId="0" applyNumberFormat="1" applyFont="1" applyBorder="1" applyAlignment="1">
      <alignment horizontal="left" wrapText="1"/>
    </xf>
    <xf numFmtId="0" fontId="0" fillId="0" borderId="14" xfId="16" applyFont="1" applyBorder="1" applyAlignment="1">
      <alignment wrapText="1"/>
    </xf>
    <xf numFmtId="20" fontId="10" fillId="0" borderId="11" xfId="16" applyNumberFormat="1" applyFont="1" applyBorder="1" applyAlignment="1">
      <alignment horizontal="left" indent="1"/>
    </xf>
    <xf numFmtId="20" fontId="0" fillId="0" borderId="17" xfId="16" applyNumberFormat="1" applyFont="1" applyBorder="1" applyAlignment="1">
      <alignment horizontal="left" indent="1"/>
    </xf>
    <xf numFmtId="20" fontId="0" fillId="0" borderId="18" xfId="16" applyNumberFormat="1" applyFont="1" applyBorder="1" applyAlignment="1">
      <alignment horizontal="left" indent="1"/>
    </xf>
    <xf numFmtId="0" fontId="11" fillId="0" borderId="6" xfId="14" applyFont="1" applyBorder="1" applyAlignment="1">
      <alignment horizontal="center"/>
    </xf>
    <xf numFmtId="0" fontId="0" fillId="0" borderId="17" xfId="0" applyBorder="1">
      <alignment wrapText="1"/>
    </xf>
    <xf numFmtId="0" fontId="0" fillId="0" borderId="13" xfId="16" applyFont="1" applyBorder="1" applyAlignment="1">
      <alignment wrapText="1"/>
    </xf>
    <xf numFmtId="0" fontId="6" fillId="4" borderId="8" xfId="12" applyBorder="1">
      <alignment horizontal="left" indent="1"/>
    </xf>
    <xf numFmtId="0" fontId="6" fillId="4" borderId="2" xfId="12" applyBorder="1">
      <alignment horizontal="left" indent="1"/>
    </xf>
    <xf numFmtId="0" fontId="1" fillId="2" borderId="0" xfId="19" applyFont="1">
      <alignment horizontal="left" vertical="top" indent="1"/>
    </xf>
    <xf numFmtId="20" fontId="14" fillId="2" borderId="10" xfId="21" applyBorder="1">
      <alignment horizontal="left" indent="1"/>
    </xf>
    <xf numFmtId="0" fontId="1" fillId="2" borderId="7" xfId="19" applyFont="1" applyBorder="1">
      <alignment horizontal="left" vertical="top" indent="1"/>
    </xf>
    <xf numFmtId="20" fontId="14" fillId="2" borderId="0" xfId="21">
      <alignment horizontal="left" indent="1"/>
    </xf>
    <xf numFmtId="0" fontId="14" fillId="2" borderId="7" xfId="19" applyBorder="1">
      <alignment horizontal="left" vertical="top" indent="1"/>
    </xf>
    <xf numFmtId="0" fontId="1" fillId="2" borderId="7" xfId="16" applyFont="1" applyFill="1" applyAlignment="1">
      <alignment horizontal="left" vertical="top" indent="1"/>
    </xf>
  </cellXfs>
  <cellStyles count="22">
    <cellStyle name="Bottom Border" xfId="16"/>
    <cellStyle name="Calendar alignment" xfId="18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Label" xfId="13"/>
    <cellStyle name="Normal" xfId="0" builtinId="0" customBuiltin="1"/>
    <cellStyle name="Note" xfId="11" builtinId="10" customBuiltin="1"/>
    <cellStyle name="Percent" xfId="10" builtinId="5" customBuiltin="1"/>
    <cellStyle name="Right Border" xfId="17"/>
    <cellStyle name="Table heading blank" xfId="20"/>
    <cellStyle name="Time" xfId="21"/>
    <cellStyle name="Title" xfId="1" builtinId="15" customBuiltin="1"/>
    <cellStyle name="Top Border" xfId="14"/>
    <cellStyle name="Weekdays" xfId="12"/>
    <cellStyle name="Weekly Schedule Fill" xfId="19"/>
  </cellStyles>
  <dxfs count="89"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border>
        <left style="thin">
          <color theme="0"/>
        </left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79998168889431442"/>
        </patternFill>
      </fill>
      <border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i val="0"/>
        <color theme="4" tint="-0.499984740745262"/>
      </font>
      <border diagonalUp="0" diagonalDown="0">
        <left style="thin">
          <color theme="4" tint="-0.499984740745262"/>
        </left>
        <right/>
        <top/>
        <bottom style="thin">
          <color theme="4" tint="-0.499984740745262"/>
        </bottom>
        <vertical/>
        <horizontal/>
      </border>
    </dxf>
    <dxf>
      <font>
        <b/>
        <i val="0"/>
        <color theme="4" tint="-0.499984740745262"/>
      </font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horizontal style="thin">
          <color theme="5" tint="-0.499984740745262"/>
        </horizontal>
      </border>
    </dxf>
  </dxfs>
  <tableStyles count="1" defaultTableStyle="Assignments" defaultPivotStyle="PivotStyleLight16">
    <tableStyle name="Assignments" pivot="0" count="3">
      <tableStyleElement type="wholeTable" dxfId="88"/>
      <tableStyleElement type="headerRow" dxfId="87"/>
      <tableStyleElement type="firstColumn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L31"/>
  <sheetViews>
    <sheetView showGridLines="0" tabSelected="1" zoomScaleNormal="100" zoomScalePageLayoutView="84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8.59765625" defaultRowHeight="30" customHeight="1"/>
  <cols>
    <col min="1" max="1" width="2.59765625" customWidth="1"/>
    <col min="2" max="2" width="20.59765625" customWidth="1"/>
    <col min="3" max="8" width="10.59765625" customWidth="1"/>
    <col min="9" max="9" width="20.59765625" customWidth="1"/>
    <col min="10" max="11" width="10.59765625" customWidth="1"/>
    <col min="12" max="12" width="70.59765625" customWidth="1"/>
    <col min="13" max="13" width="2.59765625" customWidth="1"/>
    <col min="14" max="14" width="8.59765625" customWidth="1"/>
  </cols>
  <sheetData>
    <row r="1" spans="1:12" ht="30" customHeight="1">
      <c r="A1" s="16"/>
      <c r="B1" s="8">
        <v>2021</v>
      </c>
      <c r="C1" s="5" t="s">
        <v>41</v>
      </c>
      <c r="D1" s="1"/>
      <c r="E1" s="1"/>
      <c r="F1" s="1"/>
      <c r="G1" s="1"/>
      <c r="H1" s="1"/>
      <c r="I1" s="1"/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17" t="s">
        <v>0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>
        <v>4</v>
      </c>
      <c r="L2" s="42" t="s">
        <v>3</v>
      </c>
    </row>
    <row r="3" spans="1:12" ht="30" customHeight="1">
      <c r="A3" s="13"/>
      <c r="B3" s="16"/>
      <c r="C3" s="6">
        <f>IF(DAY(JanSun1)=1,JanSun1-6,JanSun1+1)</f>
        <v>44193</v>
      </c>
      <c r="D3" s="6">
        <f>IF(DAY(JanSun1)=1,JanSun1-5,JanSun1+2)</f>
        <v>44194</v>
      </c>
      <c r="E3" s="6">
        <f>IF(DAY(JanSun1)=1,JanSun1-4,JanSun1+3)</f>
        <v>44195</v>
      </c>
      <c r="F3" s="6">
        <f>IF(DAY(JanSun1)=1,JanSun1-3,JanSun1+4)</f>
        <v>44196</v>
      </c>
      <c r="G3" s="6">
        <f>IF(DAY(JanSun1)=1,JanSun1-2,JanSun1+5)</f>
        <v>44197</v>
      </c>
      <c r="H3" s="6">
        <f>IF(DAY(JanSun1)=1,JanSun1-1,JanSun1+6)</f>
        <v>44198</v>
      </c>
      <c r="I3" s="6">
        <f>IF(DAY(JanSun1)=1,JanSun1,JanSun1+7)</f>
        <v>44199</v>
      </c>
      <c r="J3" s="43"/>
      <c r="K3" s="44"/>
      <c r="L3" s="45"/>
    </row>
    <row r="4" spans="1:12" ht="30" customHeight="1">
      <c r="A4" s="13"/>
      <c r="B4" s="16"/>
      <c r="C4" s="6">
        <f>IF(DAY(JanSun1)=1,JanSun1+1,JanSun1+8)</f>
        <v>44200</v>
      </c>
      <c r="D4" s="6">
        <f>IF(DAY(JanSun1)=1,JanSun1+2,JanSun1+9)</f>
        <v>44201</v>
      </c>
      <c r="E4" s="6">
        <f>IF(DAY(JanSun1)=1,JanSun1+3,JanSun1+10)</f>
        <v>44202</v>
      </c>
      <c r="F4" s="6">
        <f>IF(DAY(JanSun1)=1,JanSun1+4,JanSun1+11)</f>
        <v>44203</v>
      </c>
      <c r="G4" s="6">
        <f>IF(DAY(JanSun1)=1,JanSun1+5,JanSun1+12)</f>
        <v>44204</v>
      </c>
      <c r="H4" s="6">
        <f>IF(DAY(JanSun1)=1,JanSun1+6,JanSun1+13)</f>
        <v>44205</v>
      </c>
      <c r="I4" s="6">
        <f>IF(DAY(JanSun1)=1,JanSun1+7,JanSun1+14)</f>
        <v>44206</v>
      </c>
      <c r="J4" s="43"/>
      <c r="K4" s="44"/>
      <c r="L4" s="45"/>
    </row>
    <row r="5" spans="1:12" ht="30" customHeight="1">
      <c r="A5" s="13"/>
      <c r="B5" s="16"/>
      <c r="C5" s="6">
        <f>IF(DAY(JanSun1)=1,JanSun1+8,JanSun1+15)</f>
        <v>44207</v>
      </c>
      <c r="D5" s="6">
        <f>IF(DAY(JanSun1)=1,JanSun1+9,JanSun1+16)</f>
        <v>44208</v>
      </c>
      <c r="E5" s="6">
        <f>IF(DAY(JanSun1)=1,JanSun1+10,JanSun1+17)</f>
        <v>44209</v>
      </c>
      <c r="F5" s="6">
        <f>IF(DAY(JanSun1)=1,JanSun1+11,JanSun1+18)</f>
        <v>44210</v>
      </c>
      <c r="G5" s="6">
        <f>IF(DAY(JanSun1)=1,JanSun1+12,JanSun1+19)</f>
        <v>44211</v>
      </c>
      <c r="H5" s="6">
        <f>IF(DAY(JanSun1)=1,JanSun1+13,JanSun1+20)</f>
        <v>44212</v>
      </c>
      <c r="I5" s="6">
        <f>IF(DAY(JanSun1)=1,JanSun1+14,JanSun1+21)</f>
        <v>44213</v>
      </c>
      <c r="J5" s="43"/>
      <c r="K5" s="44"/>
      <c r="L5" s="45"/>
    </row>
    <row r="6" spans="1:12" ht="30" customHeight="1">
      <c r="A6" s="13"/>
      <c r="B6" s="16"/>
      <c r="C6" s="6">
        <f>IF(DAY(JanSun1)=1,JanSun1+15,JanSun1+22)</f>
        <v>44214</v>
      </c>
      <c r="D6" s="6">
        <f>IF(DAY(JanSun1)=1,JanSun1+16,JanSun1+23)</f>
        <v>44215</v>
      </c>
      <c r="E6" s="6">
        <f>IF(DAY(JanSun1)=1,JanSun1+17,JanSun1+24)</f>
        <v>44216</v>
      </c>
      <c r="F6" s="6">
        <f>IF(DAY(JanSun1)=1,JanSun1+18,JanSun1+25)</f>
        <v>44217</v>
      </c>
      <c r="G6" s="6">
        <f>IF(DAY(JanSun1)=1,JanSun1+19,JanSun1+26)</f>
        <v>44218</v>
      </c>
      <c r="H6" s="6">
        <f>IF(DAY(JanSun1)=1,JanSun1+20,JanSun1+27)</f>
        <v>44219</v>
      </c>
      <c r="I6" s="6">
        <f>IF(DAY(JanSun1)=1,JanSun1+21,JanSun1+28)</f>
        <v>44220</v>
      </c>
      <c r="J6" s="43"/>
      <c r="K6" s="44"/>
      <c r="L6" s="45"/>
    </row>
    <row r="7" spans="1:12" ht="30" customHeight="1">
      <c r="A7" s="13"/>
      <c r="B7" s="16"/>
      <c r="C7" s="6">
        <f>IF(DAY(JanSun1)=1,JanSun1+22,JanSun1+29)</f>
        <v>44221</v>
      </c>
      <c r="D7" s="6">
        <f>IF(DAY(JanSun1)=1,JanSun1+23,JanSun1+30)</f>
        <v>44222</v>
      </c>
      <c r="E7" s="6">
        <f>IF(DAY(JanSun1)=1,JanSun1+24,JanSun1+31)</f>
        <v>44223</v>
      </c>
      <c r="F7" s="6">
        <f>IF(DAY(JanSun1)=1,JanSun1+25,JanSun1+32)</f>
        <v>44224</v>
      </c>
      <c r="G7" s="6">
        <f>IF(DAY(JanSun1)=1,JanSun1+26,JanSun1+33)</f>
        <v>44225</v>
      </c>
      <c r="H7" s="6">
        <f>IF(DAY(JanSun1)=1,JanSun1+27,JanSun1+34)</f>
        <v>44226</v>
      </c>
      <c r="I7" s="6">
        <f>IF(DAY(JanSun1)=1,JanSun1+28,JanSun1+35)</f>
        <v>44227</v>
      </c>
      <c r="J7" s="43"/>
      <c r="K7" s="44"/>
      <c r="L7" s="46"/>
    </row>
    <row r="8" spans="1:12" ht="30" customHeight="1">
      <c r="A8" s="13"/>
      <c r="B8" s="18"/>
      <c r="C8" s="9">
        <f>IF(DAY(JanSun1)=1,JanSun1+29,JanSun1+36)</f>
        <v>44228</v>
      </c>
      <c r="D8" s="9">
        <f>IF(DAY(JanSun1)=1,JanSun1+30,JanSun1+37)</f>
        <v>44229</v>
      </c>
      <c r="E8" s="9">
        <f>IF(DAY(JanSun1)=1,JanSun1+31,JanSun1+38)</f>
        <v>44230</v>
      </c>
      <c r="F8" s="9">
        <f>IF(DAY(JanSun1)=1,JanSun1+32,JanSun1+39)</f>
        <v>44231</v>
      </c>
      <c r="G8" s="9">
        <f>IF(DAY(JanSun1)=1,JanSun1+33,JanSun1+40)</f>
        <v>44232</v>
      </c>
      <c r="H8" s="9">
        <f>IF(DAY(JanSun1)=1,JanSun1+34,JanSun1+41)</f>
        <v>44233</v>
      </c>
      <c r="I8" s="9">
        <f>IF(DAY(JanSun1)=1,JanSun1+35,JanSun1+42)</f>
        <v>44234</v>
      </c>
      <c r="J8" s="40" t="s">
        <v>30</v>
      </c>
      <c r="K8" s="41">
        <v>19</v>
      </c>
      <c r="L8" s="42" t="s">
        <v>32</v>
      </c>
    </row>
    <row r="9" spans="1:12" ht="30" customHeight="1">
      <c r="A9" s="13"/>
      <c r="B9" s="16"/>
      <c r="J9" s="43"/>
      <c r="K9" s="44"/>
      <c r="L9" s="45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45"/>
    </row>
    <row r="11" spans="1:12" ht="30" customHeight="1">
      <c r="A11" s="26" t="s">
        <v>40</v>
      </c>
      <c r="B11" s="14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45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32" t="s">
        <v>9</v>
      </c>
      <c r="J12" s="43"/>
      <c r="K12" s="44"/>
      <c r="L12" s="45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28" t="s">
        <v>10</v>
      </c>
      <c r="J13" s="43"/>
      <c r="K13" s="44"/>
      <c r="L13" s="46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32"/>
      <c r="J14" s="40" t="s">
        <v>6</v>
      </c>
      <c r="K14" s="41"/>
      <c r="L14" s="42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28"/>
      <c r="J15" s="43"/>
      <c r="K15" s="44"/>
      <c r="L15" s="45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32" t="s">
        <v>13</v>
      </c>
      <c r="J16" s="43"/>
      <c r="K16" s="44"/>
      <c r="L16" s="45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28" t="s">
        <v>14</v>
      </c>
      <c r="J17" s="43"/>
      <c r="K17" s="44"/>
      <c r="L17" s="45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32"/>
      <c r="J18" s="43"/>
      <c r="K18" s="44"/>
      <c r="L18" s="45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29"/>
      <c r="J19" s="43"/>
      <c r="K19" s="44"/>
      <c r="L19" s="47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32"/>
      <c r="J20" s="40" t="s">
        <v>31</v>
      </c>
      <c r="K20" s="41"/>
      <c r="L20" s="42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28"/>
      <c r="J21" s="43"/>
      <c r="K21" s="44"/>
      <c r="L21" s="45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32"/>
      <c r="J22" s="43"/>
      <c r="K22" s="44"/>
      <c r="L22" s="45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28"/>
      <c r="J23" s="43"/>
      <c r="K23" s="44"/>
      <c r="L23" s="45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32" t="s">
        <v>15</v>
      </c>
      <c r="J24" s="43"/>
      <c r="K24" s="44"/>
      <c r="L24" s="45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28" t="s">
        <v>16</v>
      </c>
      <c r="J25" s="43"/>
      <c r="K25" s="44"/>
      <c r="L25" s="47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32"/>
      <c r="J26" s="40" t="s">
        <v>8</v>
      </c>
      <c r="K26" s="41"/>
      <c r="L26" s="42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28"/>
      <c r="J27" s="43"/>
      <c r="K27" s="44"/>
      <c r="L27" s="45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32"/>
      <c r="J28" s="43"/>
      <c r="K28" s="44"/>
      <c r="L28" s="45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28"/>
      <c r="J29" s="43"/>
      <c r="K29" s="44"/>
      <c r="L29" s="45"/>
    </row>
    <row r="30" spans="1:12" ht="30" customHeight="1">
      <c r="A30" s="26" t="s">
        <v>38</v>
      </c>
      <c r="B30" s="19"/>
      <c r="C30" s="70"/>
      <c r="D30" s="70"/>
      <c r="E30" s="70"/>
      <c r="F30" s="70"/>
      <c r="G30" s="70"/>
      <c r="H30" s="70"/>
      <c r="I30" s="32"/>
      <c r="J30" s="43"/>
      <c r="K30" s="44"/>
      <c r="L30" s="45"/>
    </row>
    <row r="31" spans="1:12" ht="30" customHeight="1">
      <c r="A31" s="26" t="s">
        <v>39</v>
      </c>
      <c r="B31" s="30"/>
      <c r="C31" s="69"/>
      <c r="D31" s="69"/>
      <c r="E31" s="69"/>
      <c r="F31" s="69"/>
      <c r="G31" s="69"/>
      <c r="H31" s="69"/>
      <c r="I31" s="31"/>
      <c r="J31" s="48"/>
      <c r="K31" s="49"/>
      <c r="L31" s="50"/>
    </row>
  </sheetData>
  <dataConsolidate/>
  <mergeCells count="63">
    <mergeCell ref="G11:H11"/>
    <mergeCell ref="G12:H12"/>
    <mergeCell ref="G13:H13"/>
    <mergeCell ref="G16:H16"/>
    <mergeCell ref="G17:H17"/>
    <mergeCell ref="G18:H18"/>
    <mergeCell ref="G19:H19"/>
    <mergeCell ref="G14:H14"/>
    <mergeCell ref="G15:H15"/>
    <mergeCell ref="G27:H27"/>
    <mergeCell ref="G31:H31"/>
    <mergeCell ref="G20:H20"/>
    <mergeCell ref="G21:H21"/>
    <mergeCell ref="G22:H22"/>
    <mergeCell ref="G28:H28"/>
    <mergeCell ref="G29:H29"/>
    <mergeCell ref="G30:H30"/>
    <mergeCell ref="G23:H23"/>
    <mergeCell ref="G24:H24"/>
    <mergeCell ref="G25:H25"/>
    <mergeCell ref="G26:H26"/>
    <mergeCell ref="E19:F19"/>
    <mergeCell ref="E18:F18"/>
    <mergeCell ref="E17:F17"/>
    <mergeCell ref="E16:F16"/>
    <mergeCell ref="E15:F15"/>
    <mergeCell ref="C18:D18"/>
    <mergeCell ref="C19:D19"/>
    <mergeCell ref="C20:D20"/>
    <mergeCell ref="C21:D21"/>
    <mergeCell ref="E31:F31"/>
    <mergeCell ref="E30:F30"/>
    <mergeCell ref="E29:F29"/>
    <mergeCell ref="E28:F28"/>
    <mergeCell ref="E27:F27"/>
    <mergeCell ref="E26:F26"/>
    <mergeCell ref="E25:F25"/>
    <mergeCell ref="E24:F24"/>
    <mergeCell ref="E23:F23"/>
    <mergeCell ref="E22:F22"/>
    <mergeCell ref="E21:F21"/>
    <mergeCell ref="E20:F20"/>
    <mergeCell ref="C31:D3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E11:F11"/>
    <mergeCell ref="C11:D11"/>
    <mergeCell ref="C17:D17"/>
    <mergeCell ref="C12:D12"/>
    <mergeCell ref="C13:D13"/>
    <mergeCell ref="C14:D14"/>
    <mergeCell ref="C15:D15"/>
    <mergeCell ref="C16:D16"/>
    <mergeCell ref="E14:F14"/>
    <mergeCell ref="E13:F13"/>
    <mergeCell ref="E12:F12"/>
  </mergeCells>
  <phoneticPr fontId="2" type="noConversion"/>
  <conditionalFormatting sqref="C3:H3">
    <cfRule type="expression" dxfId="85" priority="9" stopIfTrue="1">
      <formula>DAY(C3)&gt;8</formula>
    </cfRule>
  </conditionalFormatting>
  <conditionalFormatting sqref="C7:I8">
    <cfRule type="expression" dxfId="84" priority="8" stopIfTrue="1">
      <formula>AND(DAY(C7)&gt;=1,DAY(C7)&lt;=15)</formula>
    </cfRule>
  </conditionalFormatting>
  <conditionalFormatting sqref="C3:I8">
    <cfRule type="expression" dxfId="83" priority="20">
      <formula>VLOOKUP(DAY(C3),AssignmentDays,1,FALSE)=DAY(C3)</formula>
    </cfRule>
  </conditionalFormatting>
  <conditionalFormatting sqref="B12:I12 B14:I14 B16:I16 B18:I18 B20:I20 B22:I22 B24:I24 B26:I26 B28:I28 B30:I30">
    <cfRule type="expression" dxfId="82" priority="6">
      <formula>B12&lt;&gt;""</formula>
    </cfRule>
  </conditionalFormatting>
  <conditionalFormatting sqref="B13:I13 B15:I15 B17:I17 B19:I19 B21:I21 B23:I23 B25:I25 B27:I27 B29:I29 B31:I31">
    <cfRule type="expression" dxfId="81" priority="4">
      <formula>B13&lt;&gt;""</formula>
    </cfRule>
  </conditionalFormatting>
  <conditionalFormatting sqref="B13:I13 B15:I15 B17:I17 B19:I19 B21:I21 B23:I23 B25:I25 B27:I27 B29:I29">
    <cfRule type="expression" dxfId="80" priority="3">
      <formula>COLUMN(B12)&gt;=2</formula>
    </cfRule>
  </conditionalFormatting>
  <conditionalFormatting sqref="B12:I31">
    <cfRule type="expression" dxfId="79" priority="1">
      <formula>COLUMN(B11)&gt;2</formula>
    </cfRule>
  </conditionalFormatting>
  <dataValidations xWindow="250" yWindow="581" count="13">
    <dataValidation allowBlank="1" showInputMessage="1" showErrorMessage="1" prompt="Enter year in this cell" sqref="B1"/>
    <dataValidation allowBlank="1" showInputMessage="1" showErrorMessage="1" prompt="Prepare a weekly schedule &amp; create an assignment list in this worksheet. Assignment list entries are automatically highlighted in monthly calendar. Enter calendar year in cell B1" sqref="A1"/>
    <dataValidation allowBlank="1" showInputMessage="1" showErrorMessage="1" prompt="January calendar automatically highlights assignment list entries for the month. Darker fonts are assignments. Lighter fonts are days that belong to the previous or next month" sqref="B2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Enter the time of your class and under it, in a new row, the class name for each weekday in columns B to I. Repeat this pattern for all classes in subsequent rows" sqref="B10"/>
    <dataValidation allowBlank="1" showInputMessage="1" showErrorMessage="1" prompt="Enter class in this row from columns B to I" sqref="B13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Enter time in this row  from columns B to I" sqref="B12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Weekdays are in this row, from Monday to Friday" sqref="B11"/>
  </dataValidations>
  <printOptions horizontalCentered="1" verticalCentered="1"/>
  <pageMargins left="0.5" right="0.5" top="0.5" bottom="0.5" header="0.3" footer="0.3"/>
  <pageSetup scale="58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8" sqref="L8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6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1" t="s">
        <v>27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IF(DAY(OctSun1)=1,OctSun1-6,OctSun1+1)</f>
        <v>44466</v>
      </c>
      <c r="D3" s="6">
        <f>IF(DAY(OctSun1)=1,OctSun1-5,OctSun1+2)</f>
        <v>44467</v>
      </c>
      <c r="E3" s="6">
        <f>IF(DAY(OctSun1)=1,OctSun1-4,OctSun1+3)</f>
        <v>44468</v>
      </c>
      <c r="F3" s="6">
        <f>IF(DAY(OctSun1)=1,OctSun1-3,OctSun1+4)</f>
        <v>44469</v>
      </c>
      <c r="G3" s="6">
        <f>IF(DAY(OctSun1)=1,OctSun1-2,OctSun1+5)</f>
        <v>44470</v>
      </c>
      <c r="H3" s="6">
        <f>IF(DAY(OctSun1)=1,OctSun1-1,OctSun1+6)</f>
        <v>44471</v>
      </c>
      <c r="I3" s="6">
        <f>IF(DAY(OctSun1)=1,OctSun1,OctSun1+7)</f>
        <v>44472</v>
      </c>
      <c r="J3" s="43"/>
      <c r="K3" s="44"/>
      <c r="L3" s="52"/>
    </row>
    <row r="4" spans="1:12" ht="30" customHeight="1">
      <c r="A4" s="13"/>
      <c r="C4" s="6">
        <f>IF(DAY(OctSun1)=1,OctSun1+1,OctSun1+8)</f>
        <v>44473</v>
      </c>
      <c r="D4" s="6">
        <f>IF(DAY(OctSun1)=1,OctSun1+2,OctSun1+9)</f>
        <v>44474</v>
      </c>
      <c r="E4" s="6">
        <f>IF(DAY(OctSun1)=1,OctSun1+3,OctSun1+10)</f>
        <v>44475</v>
      </c>
      <c r="F4" s="6">
        <f>IF(DAY(OctSun1)=1,OctSun1+4,OctSun1+11)</f>
        <v>44476</v>
      </c>
      <c r="G4" s="6">
        <f>IF(DAY(OctSun1)=1,OctSun1+5,OctSun1+12)</f>
        <v>44477</v>
      </c>
      <c r="H4" s="6">
        <f>IF(DAY(OctSun1)=1,OctSun1+6,OctSun1+13)</f>
        <v>44478</v>
      </c>
      <c r="I4" s="6">
        <f>IF(DAY(OctSun1)=1,OctSun1+7,OctSun1+14)</f>
        <v>44479</v>
      </c>
      <c r="J4" s="43"/>
      <c r="K4" s="44"/>
      <c r="L4" s="52"/>
    </row>
    <row r="5" spans="1:12" ht="30" customHeight="1">
      <c r="A5" s="13"/>
      <c r="C5" s="6">
        <f>IF(DAY(OctSun1)=1,OctSun1+8,OctSun1+15)</f>
        <v>44480</v>
      </c>
      <c r="D5" s="6">
        <f>IF(DAY(OctSun1)=1,OctSun1+9,OctSun1+16)</f>
        <v>44481</v>
      </c>
      <c r="E5" s="6">
        <f>IF(DAY(OctSun1)=1,OctSun1+10,OctSun1+17)</f>
        <v>44482</v>
      </c>
      <c r="F5" s="6">
        <f>IF(DAY(OctSun1)=1,OctSun1+11,OctSun1+18)</f>
        <v>44483</v>
      </c>
      <c r="G5" s="6">
        <f>IF(DAY(OctSun1)=1,OctSun1+12,OctSun1+19)</f>
        <v>44484</v>
      </c>
      <c r="H5" s="6">
        <f>IF(DAY(OctSun1)=1,OctSun1+13,OctSun1+20)</f>
        <v>44485</v>
      </c>
      <c r="I5" s="6">
        <f>IF(DAY(OctSun1)=1,OctSun1+14,OctSun1+21)</f>
        <v>44486</v>
      </c>
      <c r="J5" s="43"/>
      <c r="K5" s="44"/>
      <c r="L5" s="52"/>
    </row>
    <row r="6" spans="1:12" ht="30" customHeight="1">
      <c r="A6" s="13"/>
      <c r="C6" s="6">
        <f>IF(DAY(OctSun1)=1,OctSun1+15,OctSun1+22)</f>
        <v>44487</v>
      </c>
      <c r="D6" s="6">
        <f>IF(DAY(OctSun1)=1,OctSun1+16,OctSun1+23)</f>
        <v>44488</v>
      </c>
      <c r="E6" s="6">
        <f>IF(DAY(OctSun1)=1,OctSun1+17,OctSun1+24)</f>
        <v>44489</v>
      </c>
      <c r="F6" s="6">
        <f>IF(DAY(OctSun1)=1,OctSun1+18,OctSun1+25)</f>
        <v>44490</v>
      </c>
      <c r="G6" s="6">
        <f>IF(DAY(OctSun1)=1,OctSun1+19,OctSun1+26)</f>
        <v>44491</v>
      </c>
      <c r="H6" s="6">
        <f>IF(DAY(OctSun1)=1,OctSun1+20,OctSun1+27)</f>
        <v>44492</v>
      </c>
      <c r="I6" s="6">
        <f>IF(DAY(OctSun1)=1,OctSun1+21,OctSun1+28)</f>
        <v>44493</v>
      </c>
      <c r="J6" s="43"/>
      <c r="K6" s="44"/>
      <c r="L6" s="52"/>
    </row>
    <row r="7" spans="1:12" ht="30" customHeight="1">
      <c r="A7" s="13"/>
      <c r="C7" s="6">
        <f>IF(DAY(OctSun1)=1,OctSun1+22,OctSun1+29)</f>
        <v>44494</v>
      </c>
      <c r="D7" s="6">
        <f>IF(DAY(OctSun1)=1,OctSun1+23,OctSun1+30)</f>
        <v>44495</v>
      </c>
      <c r="E7" s="6">
        <f>IF(DAY(OctSun1)=1,OctSun1+24,OctSun1+31)</f>
        <v>44496</v>
      </c>
      <c r="F7" s="6">
        <f>IF(DAY(OctSun1)=1,OctSun1+25,OctSun1+32)</f>
        <v>44497</v>
      </c>
      <c r="G7" s="6">
        <f>IF(DAY(OctSun1)=1,OctSun1+26,OctSun1+33)</f>
        <v>44498</v>
      </c>
      <c r="H7" s="6">
        <f>IF(DAY(OctSun1)=1,OctSun1+27,OctSun1+34)</f>
        <v>44499</v>
      </c>
      <c r="I7" s="6">
        <f>IF(DAY(OctSun1)=1,OctSun1+28,OctSun1+35)</f>
        <v>44500</v>
      </c>
      <c r="J7" s="54"/>
      <c r="K7" s="55"/>
      <c r="L7" s="47"/>
    </row>
    <row r="8" spans="1:12" ht="30" customHeight="1">
      <c r="A8" s="13"/>
      <c r="B8" s="18"/>
      <c r="C8" s="6">
        <f>IF(DAY(OctSun1)=1,OctSun1+29,OctSun1+36)</f>
        <v>44501</v>
      </c>
      <c r="D8" s="6">
        <f>IF(DAY(OctSun1)=1,OctSun1+30,OctSun1+37)</f>
        <v>44502</v>
      </c>
      <c r="E8" s="6">
        <f>IF(DAY(OctSun1)=1,OctSun1+31,OctSun1+38)</f>
        <v>44503</v>
      </c>
      <c r="F8" s="6">
        <f>IF(DAY(OctSun1)=1,OctSun1+32,OctSun1+39)</f>
        <v>44504</v>
      </c>
      <c r="G8" s="6">
        <f>IF(DAY(OctSun1)=1,OctSun1+33,OctSun1+40)</f>
        <v>44505</v>
      </c>
      <c r="H8" s="6">
        <f>IF(DAY(OctSun1)=1,OctSun1+34,OctSun1+41)</f>
        <v>44506</v>
      </c>
      <c r="I8" s="6">
        <f>IF(DAY(OctSun1)=1,OctSun1+35,OctSun1+42)</f>
        <v>44507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 t="s">
        <v>9</v>
      </c>
      <c r="C12" s="70"/>
      <c r="D12" s="70"/>
      <c r="E12" s="70" t="s">
        <v>9</v>
      </c>
      <c r="F12" s="70"/>
      <c r="G12" s="70"/>
      <c r="H12" s="70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54"/>
      <c r="K13" s="55"/>
      <c r="L13" s="47"/>
    </row>
    <row r="14" spans="1:12" ht="30" customHeight="1">
      <c r="A14" s="26" t="s">
        <v>38</v>
      </c>
      <c r="B14" s="19"/>
      <c r="C14" s="70" t="s">
        <v>11</v>
      </c>
      <c r="D14" s="70"/>
      <c r="E14" s="70"/>
      <c r="F14" s="70"/>
      <c r="G14" s="70" t="s">
        <v>11</v>
      </c>
      <c r="H14" s="70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70"/>
      <c r="D16" s="70"/>
      <c r="E16" s="70" t="s">
        <v>13</v>
      </c>
      <c r="F16" s="70"/>
      <c r="G16" s="70"/>
      <c r="H16" s="70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70"/>
      <c r="D18" s="70"/>
      <c r="E18" s="70"/>
      <c r="F18" s="70"/>
      <c r="G18" s="70"/>
      <c r="H18" s="70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54"/>
      <c r="K19" s="55"/>
      <c r="L19" s="56"/>
    </row>
    <row r="20" spans="1:12" ht="30" customHeight="1">
      <c r="A20" s="26" t="s">
        <v>38</v>
      </c>
      <c r="B20" s="19"/>
      <c r="C20" s="70"/>
      <c r="D20" s="70"/>
      <c r="E20" s="70"/>
      <c r="F20" s="70"/>
      <c r="G20" s="70"/>
      <c r="H20" s="70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70"/>
      <c r="D22" s="70"/>
      <c r="E22" s="70"/>
      <c r="F22" s="70"/>
      <c r="G22" s="70"/>
      <c r="H22" s="70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70"/>
      <c r="D24" s="70"/>
      <c r="E24" s="70" t="s">
        <v>15</v>
      </c>
      <c r="F24" s="70"/>
      <c r="G24" s="70"/>
      <c r="H24" s="70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54"/>
      <c r="K25" s="55"/>
      <c r="L25" s="56"/>
    </row>
    <row r="26" spans="1:12" ht="30" customHeight="1">
      <c r="A26" s="26" t="s">
        <v>38</v>
      </c>
      <c r="B26" s="19"/>
      <c r="C26" s="70"/>
      <c r="D26" s="70"/>
      <c r="E26" s="70"/>
      <c r="F26" s="70"/>
      <c r="G26" s="70"/>
      <c r="H26" s="70"/>
      <c r="I26" s="20"/>
      <c r="J26" s="40" t="s">
        <v>8</v>
      </c>
      <c r="K26" s="41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70" t="s">
        <v>17</v>
      </c>
      <c r="D28" s="70"/>
      <c r="E28" s="70"/>
      <c r="F28" s="70"/>
      <c r="G28" s="70" t="s">
        <v>17</v>
      </c>
      <c r="H28" s="70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70"/>
      <c r="D30" s="70"/>
      <c r="E30" s="70"/>
      <c r="F30" s="70"/>
      <c r="G30" s="70"/>
      <c r="H30" s="70"/>
      <c r="I30" s="20"/>
      <c r="J30" s="43"/>
      <c r="K30" s="44"/>
      <c r="L30" s="52"/>
    </row>
    <row r="31" spans="1:12" ht="30" customHeight="1">
      <c r="A31" s="26" t="s">
        <v>39</v>
      </c>
      <c r="B31" s="30"/>
      <c r="C31" s="69"/>
      <c r="D31" s="69"/>
      <c r="E31" s="69"/>
      <c r="F31" s="69"/>
      <c r="G31" s="69"/>
      <c r="H31" s="69"/>
      <c r="I31" s="31"/>
      <c r="J31" s="48"/>
      <c r="K31" s="49"/>
      <c r="L31" s="57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22" priority="8" stopIfTrue="1">
      <formula>DAY(C3)&gt;8</formula>
    </cfRule>
  </conditionalFormatting>
  <conditionalFormatting sqref="C7:I8">
    <cfRule type="expression" dxfId="21" priority="7" stopIfTrue="1">
      <formula>AND(DAY(C7)&gt;=1,DAY(C7)&lt;=15)</formula>
    </cfRule>
  </conditionalFormatting>
  <conditionalFormatting sqref="C3:I8">
    <cfRule type="expression" dxfId="20" priority="9">
      <formula>VLOOKUP(DAY(C3),AssignmentDays,1,FALSE)=DAY(C3)</formula>
    </cfRule>
  </conditionalFormatting>
  <conditionalFormatting sqref="B13:I13 B15:I15 B17:I17 B19:I19 B21:I21 B23:I23 B25:I25 B27:I27 B29:I29 B31:I31">
    <cfRule type="expression" dxfId="19" priority="6">
      <formula>B13&lt;&gt;""</formula>
    </cfRule>
  </conditionalFormatting>
  <conditionalFormatting sqref="B12:I12 B14:I14 B16:I16 B18:I18 B20:I20 B22:I22 B24:I24 B26:I26 B28:I28 B30:I30">
    <cfRule type="expression" dxfId="18" priority="5">
      <formula>B12&lt;&gt;""</formula>
    </cfRule>
  </conditionalFormatting>
  <conditionalFormatting sqref="B13:I13 B15:I15 B17:I17 B19:I19 B21:I21 B23:I23 B25:I25 B27:I27 B29:I29">
    <cfRule type="expression" dxfId="17" priority="4">
      <formula>COLUMN(B11)&gt;2</formula>
    </cfRule>
    <cfRule type="expression" dxfId="16" priority="2">
      <formula>COLUMN(B13)&gt;=2</formula>
    </cfRule>
  </conditionalFormatting>
  <conditionalFormatting sqref="B31:I31">
    <cfRule type="expression" dxfId="15" priority="3">
      <formula>COLUMN(B12)&gt;2</formula>
    </cfRule>
  </conditionalFormatting>
  <conditionalFormatting sqref="B12:I31">
    <cfRule type="expression" dxfId="14" priority="1">
      <formula>COLUMN(B12)&gt;2</formula>
    </cfRule>
  </conditionalFormatting>
  <dataValidations count="13">
    <dataValidation allowBlank="1" showInputMessage="1" showErrorMessage="1" prompt="October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5" sqref="L5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6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1" t="s">
        <v>28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IF(DAY(NovSun1)=1,NovSun1-6,NovSun1+1)</f>
        <v>44501</v>
      </c>
      <c r="D3" s="6">
        <f>IF(DAY(NovSun1)=1,NovSun1-5,NovSun1+2)</f>
        <v>44502</v>
      </c>
      <c r="E3" s="6">
        <f>IF(DAY(NovSun1)=1,NovSun1-4,NovSun1+3)</f>
        <v>44503</v>
      </c>
      <c r="F3" s="6">
        <f>IF(DAY(NovSun1)=1,NovSun1-3,NovSun1+4)</f>
        <v>44504</v>
      </c>
      <c r="G3" s="6">
        <f>IF(DAY(NovSun1)=1,NovSun1-2,NovSun1+5)</f>
        <v>44505</v>
      </c>
      <c r="H3" s="6">
        <f>IF(DAY(NovSun1)=1,NovSun1-1,NovSun1+6)</f>
        <v>44506</v>
      </c>
      <c r="I3" s="6">
        <f>IF(DAY(NovSun1)=1,NovSun1,NovSun1+7)</f>
        <v>44507</v>
      </c>
      <c r="J3" s="43"/>
      <c r="K3" s="44"/>
      <c r="L3" s="52"/>
    </row>
    <row r="4" spans="1:12" ht="30" customHeight="1">
      <c r="A4" s="13"/>
      <c r="C4" s="6">
        <f>IF(DAY(NovSun1)=1,NovSun1+1,NovSun1+8)</f>
        <v>44508</v>
      </c>
      <c r="D4" s="6">
        <f>IF(DAY(NovSun1)=1,NovSun1+2,NovSun1+9)</f>
        <v>44509</v>
      </c>
      <c r="E4" s="6">
        <f>IF(DAY(NovSun1)=1,NovSun1+3,NovSun1+10)</f>
        <v>44510</v>
      </c>
      <c r="F4" s="6">
        <f>IF(DAY(NovSun1)=1,NovSun1+4,NovSun1+11)</f>
        <v>44511</v>
      </c>
      <c r="G4" s="6">
        <f>IF(DAY(NovSun1)=1,NovSun1+5,NovSun1+12)</f>
        <v>44512</v>
      </c>
      <c r="H4" s="6">
        <f>IF(DAY(NovSun1)=1,NovSun1+6,NovSun1+13)</f>
        <v>44513</v>
      </c>
      <c r="I4" s="6">
        <f>IF(DAY(NovSun1)=1,NovSun1+7,NovSun1+14)</f>
        <v>44514</v>
      </c>
      <c r="J4" s="43"/>
      <c r="K4" s="44"/>
      <c r="L4" s="52"/>
    </row>
    <row r="5" spans="1:12" ht="30" customHeight="1">
      <c r="A5" s="13"/>
      <c r="C5" s="6">
        <f>IF(DAY(NovSun1)=1,NovSun1+8,NovSun1+15)</f>
        <v>44515</v>
      </c>
      <c r="D5" s="6">
        <f>IF(DAY(NovSun1)=1,NovSun1+9,NovSun1+16)</f>
        <v>44516</v>
      </c>
      <c r="E5" s="6">
        <f>IF(DAY(NovSun1)=1,NovSun1+10,NovSun1+17)</f>
        <v>44517</v>
      </c>
      <c r="F5" s="6">
        <f>IF(DAY(NovSun1)=1,NovSun1+11,NovSun1+18)</f>
        <v>44518</v>
      </c>
      <c r="G5" s="6">
        <f>IF(DAY(NovSun1)=1,NovSun1+12,NovSun1+19)</f>
        <v>44519</v>
      </c>
      <c r="H5" s="6">
        <f>IF(DAY(NovSun1)=1,NovSun1+13,NovSun1+20)</f>
        <v>44520</v>
      </c>
      <c r="I5" s="6">
        <f>IF(DAY(NovSun1)=1,NovSun1+14,NovSun1+21)</f>
        <v>44521</v>
      </c>
      <c r="J5" s="43"/>
      <c r="K5" s="44"/>
      <c r="L5" s="52"/>
    </row>
    <row r="6" spans="1:12" ht="30" customHeight="1">
      <c r="A6" s="13"/>
      <c r="C6" s="6">
        <f>IF(DAY(NovSun1)=1,NovSun1+15,NovSun1+22)</f>
        <v>44522</v>
      </c>
      <c r="D6" s="6">
        <f>IF(DAY(NovSun1)=1,NovSun1+16,NovSun1+23)</f>
        <v>44523</v>
      </c>
      <c r="E6" s="6">
        <f>IF(DAY(NovSun1)=1,NovSun1+17,NovSun1+24)</f>
        <v>44524</v>
      </c>
      <c r="F6" s="6">
        <f>IF(DAY(NovSun1)=1,NovSun1+18,NovSun1+25)</f>
        <v>44525</v>
      </c>
      <c r="G6" s="6">
        <f>IF(DAY(NovSun1)=1,NovSun1+19,NovSun1+26)</f>
        <v>44526</v>
      </c>
      <c r="H6" s="6">
        <f>IF(DAY(NovSun1)=1,NovSun1+20,NovSun1+27)</f>
        <v>44527</v>
      </c>
      <c r="I6" s="6">
        <f>IF(DAY(NovSun1)=1,NovSun1+21,NovSun1+28)</f>
        <v>44528</v>
      </c>
      <c r="J6" s="43"/>
      <c r="K6" s="44"/>
      <c r="L6" s="52"/>
    </row>
    <row r="7" spans="1:12" ht="30" customHeight="1">
      <c r="A7" s="13"/>
      <c r="C7" s="6">
        <f>IF(DAY(NovSun1)=1,NovSun1+22,NovSun1+29)</f>
        <v>44529</v>
      </c>
      <c r="D7" s="6">
        <f>IF(DAY(NovSun1)=1,NovSun1+23,NovSun1+30)</f>
        <v>44530</v>
      </c>
      <c r="E7" s="6">
        <f>IF(DAY(NovSun1)=1,NovSun1+24,NovSun1+31)</f>
        <v>44531</v>
      </c>
      <c r="F7" s="6">
        <f>IF(DAY(NovSun1)=1,NovSun1+25,NovSun1+32)</f>
        <v>44532</v>
      </c>
      <c r="G7" s="6">
        <f>IF(DAY(NovSun1)=1,NovSun1+26,NovSun1+33)</f>
        <v>44533</v>
      </c>
      <c r="H7" s="6">
        <f>IF(DAY(NovSun1)=1,NovSun1+27,NovSun1+34)</f>
        <v>44534</v>
      </c>
      <c r="I7" s="6">
        <f>IF(DAY(NovSun1)=1,NovSun1+28,NovSun1+35)</f>
        <v>44535</v>
      </c>
      <c r="J7" s="54"/>
      <c r="K7" s="55"/>
      <c r="L7" s="47"/>
    </row>
    <row r="8" spans="1:12" ht="30" customHeight="1">
      <c r="A8" s="13"/>
      <c r="B8" s="18"/>
      <c r="C8" s="6">
        <f>IF(DAY(NovSun1)=1,NovSun1+29,NovSun1+36)</f>
        <v>44536</v>
      </c>
      <c r="D8" s="6">
        <f>IF(DAY(NovSun1)=1,NovSun1+30,NovSun1+37)</f>
        <v>44537</v>
      </c>
      <c r="E8" s="6">
        <f>IF(DAY(NovSun1)=1,NovSun1+31,NovSun1+38)</f>
        <v>44538</v>
      </c>
      <c r="F8" s="6">
        <f>IF(DAY(NovSun1)=1,NovSun1+32,NovSun1+39)</f>
        <v>44539</v>
      </c>
      <c r="G8" s="6">
        <f>IF(DAY(NovSun1)=1,NovSun1+33,NovSun1+40)</f>
        <v>44540</v>
      </c>
      <c r="H8" s="6">
        <f>IF(DAY(NovSun1)=1,NovSun1+34,NovSun1+41)</f>
        <v>44541</v>
      </c>
      <c r="I8" s="6">
        <f>IF(DAY(NovSun1)=1,NovSun1+35,NovSun1+42)</f>
        <v>44542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54"/>
      <c r="K13" s="55"/>
      <c r="L13" s="47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54"/>
      <c r="K19" s="55"/>
      <c r="L19" s="56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54"/>
      <c r="K25" s="55"/>
      <c r="L25" s="56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20"/>
      <c r="J26" s="40" t="s">
        <v>8</v>
      </c>
      <c r="K26" s="41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68"/>
      <c r="D30" s="68"/>
      <c r="E30" s="68"/>
      <c r="F30" s="68"/>
      <c r="G30" s="68"/>
      <c r="H30" s="68"/>
      <c r="I30" s="20"/>
      <c r="J30" s="43"/>
      <c r="K30" s="44"/>
      <c r="L30" s="52"/>
    </row>
    <row r="31" spans="1:12" ht="30" customHeight="1">
      <c r="A31" s="26" t="s">
        <v>39</v>
      </c>
      <c r="B31" s="36"/>
      <c r="C31" s="72"/>
      <c r="D31" s="72"/>
      <c r="E31" s="72"/>
      <c r="F31" s="72"/>
      <c r="G31" s="72"/>
      <c r="H31" s="72"/>
      <c r="I31" s="37"/>
      <c r="J31" s="48"/>
      <c r="K31" s="49"/>
      <c r="L31" s="57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13" priority="6" stopIfTrue="1">
      <formula>DAY(C3)&gt;8</formula>
    </cfRule>
  </conditionalFormatting>
  <conditionalFormatting sqref="C7:I8">
    <cfRule type="expression" dxfId="12" priority="5" stopIfTrue="1">
      <formula>AND(DAY(C7)&gt;=1,DAY(C7)&lt;=15)</formula>
    </cfRule>
  </conditionalFormatting>
  <conditionalFormatting sqref="C3:I8">
    <cfRule type="expression" dxfId="11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10" priority="4">
      <formula>B13&lt;&gt;""</formula>
    </cfRule>
  </conditionalFormatting>
  <conditionalFormatting sqref="B12:I12 B14:I14 B16:I16 B18:I18 B20:I20 B22:I22 B24:I24 B26:I26 B28:I28 B30:I30">
    <cfRule type="expression" dxfId="9" priority="3">
      <formula>B12&lt;&gt;""</formula>
    </cfRule>
  </conditionalFormatting>
  <conditionalFormatting sqref="B13:I13 B15:I15 B17:I17 B19:I19 B21:I21 B23:I23 B25:I25 B27:I27 B29:I29">
    <cfRule type="expression" dxfId="8" priority="2">
      <formula>COLUMN(B13)&gt;=2</formula>
    </cfRule>
  </conditionalFormatting>
  <conditionalFormatting sqref="B12:I31">
    <cfRule type="expression" dxfId="7" priority="1">
      <formula>COLUMN(B12)&gt;2</formula>
    </cfRule>
  </conditionalFormatting>
  <dataValidations xWindow="136" yWindow="382"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November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9" sqref="L9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6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1" t="s">
        <v>29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IF(DAY(DecSun1)=1,DecSun1-6,DecSun1+1)</f>
        <v>44529</v>
      </c>
      <c r="D3" s="6">
        <f>IF(DAY(DecSun1)=1,DecSun1-5,DecSun1+2)</f>
        <v>44530</v>
      </c>
      <c r="E3" s="6">
        <f>IF(DAY(DecSun1)=1,DecSun1-4,DecSun1+3)</f>
        <v>44531</v>
      </c>
      <c r="F3" s="6">
        <f>IF(DAY(DecSun1)=1,DecSun1-3,DecSun1+4)</f>
        <v>44532</v>
      </c>
      <c r="G3" s="6">
        <f>IF(DAY(DecSun1)=1,DecSun1-2,DecSun1+5)</f>
        <v>44533</v>
      </c>
      <c r="H3" s="6">
        <f>IF(DAY(DecSun1)=1,DecSun1-1,DecSun1+6)</f>
        <v>44534</v>
      </c>
      <c r="I3" s="6">
        <f>IF(DAY(DecSun1)=1,DecSun1,DecSun1+7)</f>
        <v>44535</v>
      </c>
      <c r="J3" s="43"/>
      <c r="K3" s="44"/>
      <c r="L3" s="52"/>
    </row>
    <row r="4" spans="1:12" ht="30" customHeight="1">
      <c r="A4" s="13"/>
      <c r="C4" s="6">
        <f>IF(DAY(DecSun1)=1,DecSun1+1,DecSun1+8)</f>
        <v>44536</v>
      </c>
      <c r="D4" s="6">
        <f>IF(DAY(DecSun1)=1,DecSun1+2,DecSun1+9)</f>
        <v>44537</v>
      </c>
      <c r="E4" s="6">
        <f>IF(DAY(DecSun1)=1,DecSun1+3,DecSun1+10)</f>
        <v>44538</v>
      </c>
      <c r="F4" s="6">
        <f>IF(DAY(DecSun1)=1,DecSun1+4,DecSun1+11)</f>
        <v>44539</v>
      </c>
      <c r="G4" s="6">
        <f>IF(DAY(DecSun1)=1,DecSun1+5,DecSun1+12)</f>
        <v>44540</v>
      </c>
      <c r="H4" s="6">
        <f>IF(DAY(DecSun1)=1,DecSun1+6,DecSun1+13)</f>
        <v>44541</v>
      </c>
      <c r="I4" s="6">
        <f>IF(DAY(DecSun1)=1,DecSun1+7,DecSun1+14)</f>
        <v>44542</v>
      </c>
      <c r="J4" s="43"/>
      <c r="K4" s="44"/>
      <c r="L4" s="52"/>
    </row>
    <row r="5" spans="1:12" ht="30" customHeight="1">
      <c r="A5" s="13"/>
      <c r="C5" s="6">
        <f>IF(DAY(DecSun1)=1,DecSun1+8,DecSun1+15)</f>
        <v>44543</v>
      </c>
      <c r="D5" s="6">
        <f>IF(DAY(DecSun1)=1,DecSun1+9,DecSun1+16)</f>
        <v>44544</v>
      </c>
      <c r="E5" s="6">
        <f>IF(DAY(DecSun1)=1,DecSun1+10,DecSun1+17)</f>
        <v>44545</v>
      </c>
      <c r="F5" s="6">
        <f>IF(DAY(DecSun1)=1,DecSun1+11,DecSun1+18)</f>
        <v>44546</v>
      </c>
      <c r="G5" s="6">
        <f>IF(DAY(DecSun1)=1,DecSun1+12,DecSun1+19)</f>
        <v>44547</v>
      </c>
      <c r="H5" s="6">
        <f>IF(DAY(DecSun1)=1,DecSun1+13,DecSun1+20)</f>
        <v>44548</v>
      </c>
      <c r="I5" s="6">
        <f>IF(DAY(DecSun1)=1,DecSun1+14,DecSun1+21)</f>
        <v>44549</v>
      </c>
      <c r="J5" s="43"/>
      <c r="K5" s="44"/>
      <c r="L5" s="52"/>
    </row>
    <row r="6" spans="1:12" ht="30" customHeight="1">
      <c r="A6" s="13"/>
      <c r="C6" s="6">
        <f>IF(DAY(DecSun1)=1,DecSun1+15,DecSun1+22)</f>
        <v>44550</v>
      </c>
      <c r="D6" s="6">
        <f>IF(DAY(DecSun1)=1,DecSun1+16,DecSun1+23)</f>
        <v>44551</v>
      </c>
      <c r="E6" s="6">
        <f>IF(DAY(DecSun1)=1,DecSun1+17,DecSun1+24)</f>
        <v>44552</v>
      </c>
      <c r="F6" s="6">
        <f>IF(DAY(DecSun1)=1,DecSun1+18,DecSun1+25)</f>
        <v>44553</v>
      </c>
      <c r="G6" s="6">
        <f>IF(DAY(DecSun1)=1,DecSun1+19,DecSun1+26)</f>
        <v>44554</v>
      </c>
      <c r="H6" s="6">
        <f>IF(DAY(DecSun1)=1,DecSun1+20,DecSun1+27)</f>
        <v>44555</v>
      </c>
      <c r="I6" s="6">
        <f>IF(DAY(DecSun1)=1,DecSun1+21,DecSun1+28)</f>
        <v>44556</v>
      </c>
      <c r="J6" s="43"/>
      <c r="K6" s="44"/>
      <c r="L6" s="52"/>
    </row>
    <row r="7" spans="1:12" ht="30" customHeight="1">
      <c r="A7" s="13"/>
      <c r="C7" s="6">
        <f>IF(DAY(DecSun1)=1,DecSun1+22,DecSun1+29)</f>
        <v>44557</v>
      </c>
      <c r="D7" s="6">
        <f>IF(DAY(DecSun1)=1,DecSun1+23,DecSun1+30)</f>
        <v>44558</v>
      </c>
      <c r="E7" s="6">
        <f>IF(DAY(DecSun1)=1,DecSun1+24,DecSun1+31)</f>
        <v>44559</v>
      </c>
      <c r="F7" s="6">
        <f>IF(DAY(DecSun1)=1,DecSun1+25,DecSun1+32)</f>
        <v>44560</v>
      </c>
      <c r="G7" s="6">
        <f>IF(DAY(DecSun1)=1,DecSun1+26,DecSun1+33)</f>
        <v>44561</v>
      </c>
      <c r="H7" s="6">
        <f>IF(DAY(DecSun1)=1,DecSun1+27,DecSun1+34)</f>
        <v>44562</v>
      </c>
      <c r="I7" s="6">
        <f>IF(DAY(DecSun1)=1,DecSun1+28,DecSun1+35)</f>
        <v>44563</v>
      </c>
      <c r="J7" s="43"/>
      <c r="K7" s="44"/>
      <c r="L7" s="46"/>
    </row>
    <row r="8" spans="1:12" ht="30" customHeight="1">
      <c r="A8" s="13"/>
      <c r="B8" s="18"/>
      <c r="C8" s="6">
        <f>IF(DAY(DecSun1)=1,DecSun1+29,DecSun1+36)</f>
        <v>44564</v>
      </c>
      <c r="D8" s="6">
        <f>IF(DAY(DecSun1)=1,DecSun1+30,DecSun1+37)</f>
        <v>44565</v>
      </c>
      <c r="E8" s="6">
        <f>IF(DAY(DecSun1)=1,DecSun1+31,DecSun1+38)</f>
        <v>44566</v>
      </c>
      <c r="F8" s="6">
        <f>IF(DAY(DecSun1)=1,DecSun1+32,DecSun1+39)</f>
        <v>44567</v>
      </c>
      <c r="G8" s="6">
        <f>IF(DAY(DecSun1)=1,DecSun1+33,DecSun1+40)</f>
        <v>44568</v>
      </c>
      <c r="H8" s="6">
        <f>IF(DAY(DecSun1)=1,DecSun1+34,DecSun1+41)</f>
        <v>44569</v>
      </c>
      <c r="I8" s="6">
        <f>IF(DAY(DecSun1)=1,DecSun1+35,DecSun1+42)</f>
        <v>44570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43"/>
      <c r="K13" s="44"/>
      <c r="L13" s="46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43"/>
      <c r="K19" s="44"/>
      <c r="L19" s="46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43"/>
      <c r="K25" s="44"/>
      <c r="L25" s="46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20"/>
      <c r="J26" s="40" t="s">
        <v>8</v>
      </c>
      <c r="K26" s="41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68"/>
      <c r="D30" s="68"/>
      <c r="E30" s="68"/>
      <c r="F30" s="68"/>
      <c r="G30" s="68"/>
      <c r="H30" s="68"/>
      <c r="I30" s="20"/>
      <c r="J30" s="43"/>
      <c r="K30" s="44"/>
      <c r="L30" s="52"/>
    </row>
    <row r="31" spans="1:12" ht="30" customHeight="1">
      <c r="A31" s="26" t="s">
        <v>39</v>
      </c>
      <c r="B31" s="30"/>
      <c r="C31" s="69"/>
      <c r="D31" s="69"/>
      <c r="E31" s="69"/>
      <c r="F31" s="69"/>
      <c r="G31" s="69"/>
      <c r="H31" s="69"/>
      <c r="I31" s="31"/>
      <c r="J31" s="48"/>
      <c r="K31" s="49"/>
      <c r="L31" s="58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6" priority="6" stopIfTrue="1">
      <formula>DAY(C3)&gt;8</formula>
    </cfRule>
  </conditionalFormatting>
  <conditionalFormatting sqref="C7:I8">
    <cfRule type="expression" dxfId="5" priority="5" stopIfTrue="1">
      <formula>AND(DAY(C7)&gt;=1,DAY(C7)&lt;=15)</formula>
    </cfRule>
  </conditionalFormatting>
  <conditionalFormatting sqref="C3:I8">
    <cfRule type="expression" dxfId="4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3" priority="4">
      <formula>B13&lt;&gt;""</formula>
    </cfRule>
  </conditionalFormatting>
  <conditionalFormatting sqref="B12:I12 B14:I14 B16:I16 B18:I18 B20:I20 B22:I22 B24:I24 B26:I26 B28:I28 B30:I30">
    <cfRule type="expression" dxfId="2" priority="3">
      <formula>B12&lt;&gt;""</formula>
    </cfRule>
  </conditionalFormatting>
  <conditionalFormatting sqref="B13:I13 B15:I15 B17:I17 B19:I19 B21:I21 B23:I23 B25:I25 B27:I27 B29:I29">
    <cfRule type="expression" dxfId="1" priority="2">
      <formula>COLUMN(B13)&gt;=2</formula>
    </cfRule>
  </conditionalFormatting>
  <conditionalFormatting sqref="B12:I31">
    <cfRule type="expression" dxfId="0" priority="1">
      <formula>COLUMN(B12)&gt;2</formula>
    </cfRule>
  </conditionalFormatting>
  <dataValidations xWindow="282" yWindow="695" count="13">
    <dataValidation allowBlank="1" showInputMessage="1" showErrorMessage="1" prompt="December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A1:L31"/>
  <sheetViews>
    <sheetView showGridLines="0" zoomScaleNormal="100" zoomScalePageLayoutView="84" workbookViewId="0">
      <selection activeCell="L8" sqref="L8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" customWidth="1"/>
    <col min="11" max="11" width="10.59765625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3" t="s">
        <v>19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IF(DAY(FebSun1)=1,FebSun1-6,FebSun1+1)</f>
        <v>44228</v>
      </c>
      <c r="D3" s="6">
        <f>IF(DAY(FebSun1)=1,FebSun1-5,FebSun1+2)</f>
        <v>44229</v>
      </c>
      <c r="E3" s="6">
        <f>IF(DAY(FebSun1)=1,FebSun1-4,FebSun1+3)</f>
        <v>44230</v>
      </c>
      <c r="F3" s="6">
        <f>IF(DAY(FebSun1)=1,FebSun1-3,FebSun1+4)</f>
        <v>44231</v>
      </c>
      <c r="G3" s="6">
        <f>IF(DAY(FebSun1)=1,FebSun1-2,FebSun1+5)</f>
        <v>44232</v>
      </c>
      <c r="H3" s="6">
        <f>IF(DAY(FebSun1)=1,FebSun1-1,FebSun1+6)</f>
        <v>44233</v>
      </c>
      <c r="I3" s="6">
        <f>IF(DAY(FebSun1)=1,FebSun1,FebSun1+7)</f>
        <v>44234</v>
      </c>
      <c r="J3" s="43"/>
      <c r="K3" s="44"/>
      <c r="L3" s="52"/>
    </row>
    <row r="4" spans="1:12" ht="30" customHeight="1">
      <c r="A4" s="13"/>
      <c r="C4" s="6">
        <f>IF(DAY(FebSun1)=1,FebSun1+1,FebSun1+8)</f>
        <v>44235</v>
      </c>
      <c r="D4" s="6">
        <f>IF(DAY(FebSun1)=1,FebSun1+2,FebSun1+9)</f>
        <v>44236</v>
      </c>
      <c r="E4" s="6">
        <f>IF(DAY(FebSun1)=1,FebSun1+3,FebSun1+10)</f>
        <v>44237</v>
      </c>
      <c r="F4" s="6">
        <f>IF(DAY(FebSun1)=1,FebSun1+4,FebSun1+11)</f>
        <v>44238</v>
      </c>
      <c r="G4" s="6">
        <f>IF(DAY(FebSun1)=1,FebSun1+5,FebSun1+12)</f>
        <v>44239</v>
      </c>
      <c r="H4" s="6">
        <f>IF(DAY(FebSun1)=1,FebSun1+6,FebSun1+13)</f>
        <v>44240</v>
      </c>
      <c r="I4" s="6">
        <f>IF(DAY(FebSun1)=1,FebSun1+7,FebSun1+14)</f>
        <v>44241</v>
      </c>
      <c r="J4" s="43"/>
      <c r="K4" s="44"/>
      <c r="L4" s="52"/>
    </row>
    <row r="5" spans="1:12" ht="30" customHeight="1">
      <c r="A5" s="13"/>
      <c r="C5" s="6">
        <f>IF(DAY(FebSun1)=1,FebSun1+8,FebSun1+15)</f>
        <v>44242</v>
      </c>
      <c r="D5" s="6">
        <f>IF(DAY(FebSun1)=1,FebSun1+9,FebSun1+16)</f>
        <v>44243</v>
      </c>
      <c r="E5" s="6">
        <f>IF(DAY(FebSun1)=1,FebSun1+10,FebSun1+17)</f>
        <v>44244</v>
      </c>
      <c r="F5" s="6">
        <f>IF(DAY(FebSun1)=1,FebSun1+11,FebSun1+18)</f>
        <v>44245</v>
      </c>
      <c r="G5" s="6">
        <f>IF(DAY(FebSun1)=1,FebSun1+12,FebSun1+19)</f>
        <v>44246</v>
      </c>
      <c r="H5" s="6">
        <f>IF(DAY(FebSun1)=1,FebSun1+13,FebSun1+20)</f>
        <v>44247</v>
      </c>
      <c r="I5" s="6">
        <f>IF(DAY(FebSun1)=1,FebSun1+14,FebSun1+21)</f>
        <v>44248</v>
      </c>
      <c r="J5" s="43"/>
      <c r="K5" s="44"/>
      <c r="L5" s="52"/>
    </row>
    <row r="6" spans="1:12" ht="30" customHeight="1">
      <c r="A6" s="13"/>
      <c r="C6" s="6">
        <f>IF(DAY(FebSun1)=1,FebSun1+15,FebSun1+22)</f>
        <v>44249</v>
      </c>
      <c r="D6" s="6">
        <f>IF(DAY(FebSun1)=1,FebSun1+16,FebSun1+23)</f>
        <v>44250</v>
      </c>
      <c r="E6" s="6">
        <f>IF(DAY(FebSun1)=1,FebSun1+17,FebSun1+24)</f>
        <v>44251</v>
      </c>
      <c r="F6" s="6">
        <f>IF(DAY(FebSun1)=1,FebSun1+18,FebSun1+25)</f>
        <v>44252</v>
      </c>
      <c r="G6" s="6">
        <f>IF(DAY(FebSun1)=1,FebSun1+19,FebSun1+26)</f>
        <v>44253</v>
      </c>
      <c r="H6" s="6">
        <f>IF(DAY(FebSun1)=1,FebSun1+20,FebSun1+27)</f>
        <v>44254</v>
      </c>
      <c r="I6" s="6">
        <f>IF(DAY(FebSun1)=1,FebSun1+21,FebSun1+28)</f>
        <v>44255</v>
      </c>
      <c r="J6" s="43"/>
      <c r="K6" s="44"/>
      <c r="L6" s="52"/>
    </row>
    <row r="7" spans="1:12" ht="30" customHeight="1">
      <c r="A7" s="13"/>
      <c r="C7" s="6">
        <f>IF(DAY(FebSun1)=1,FebSun1+22,FebSun1+29)</f>
        <v>44256</v>
      </c>
      <c r="D7" s="6">
        <f>IF(DAY(FebSun1)=1,FebSun1+23,FebSun1+30)</f>
        <v>44257</v>
      </c>
      <c r="E7" s="6">
        <f>IF(DAY(FebSun1)=1,FebSun1+24,FebSun1+31)</f>
        <v>44258</v>
      </c>
      <c r="F7" s="6">
        <f>IF(DAY(FebSun1)=1,FebSun1+25,FebSun1+32)</f>
        <v>44259</v>
      </c>
      <c r="G7" s="6">
        <f>IF(DAY(FebSun1)=1,FebSun1+26,FebSun1+33)</f>
        <v>44260</v>
      </c>
      <c r="H7" s="6">
        <f>IF(DAY(FebSun1)=1,FebSun1+27,FebSun1+34)</f>
        <v>44261</v>
      </c>
      <c r="I7" s="6">
        <f>IF(DAY(FebSun1)=1,FebSun1+28,FebSun1+35)</f>
        <v>44262</v>
      </c>
      <c r="J7" s="43"/>
      <c r="K7" s="44"/>
      <c r="L7" s="46"/>
    </row>
    <row r="8" spans="1:12" ht="30" customHeight="1">
      <c r="A8" s="13"/>
      <c r="B8" s="18"/>
      <c r="C8" s="6">
        <f>IF(DAY(FebSun1)=1,FebSun1+29,FebSun1+36)</f>
        <v>44263</v>
      </c>
      <c r="D8" s="6">
        <f>IF(DAY(FebSun1)=1,FebSun1+30,FebSun1+37)</f>
        <v>44264</v>
      </c>
      <c r="E8" s="6">
        <f>IF(DAY(FebSun1)=1,FebSun1+31,FebSun1+38)</f>
        <v>44265</v>
      </c>
      <c r="F8" s="6">
        <f>IF(DAY(FebSun1)=1,FebSun1+32,FebSun1+39)</f>
        <v>44266</v>
      </c>
      <c r="G8" s="6">
        <f>IF(DAY(FebSun1)=1,FebSun1+33,FebSun1+40)</f>
        <v>44267</v>
      </c>
      <c r="H8" s="6">
        <f>IF(DAY(FebSun1)=1,FebSun1+34,FebSun1+41)</f>
        <v>44268</v>
      </c>
      <c r="I8" s="6">
        <f>IF(DAY(FebSun1)=1,FebSun1+35,FebSun1+42)</f>
        <v>44269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43"/>
      <c r="K13" s="44"/>
      <c r="L13" s="46"/>
    </row>
    <row r="14" spans="1:12" ht="30" customHeight="1">
      <c r="A14" s="26" t="s">
        <v>38</v>
      </c>
      <c r="B14" s="19"/>
      <c r="C14" s="70" t="s">
        <v>11</v>
      </c>
      <c r="D14" s="70"/>
      <c r="E14" s="70"/>
      <c r="F14" s="70"/>
      <c r="G14" s="70" t="s">
        <v>11</v>
      </c>
      <c r="H14" s="70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70"/>
      <c r="D16" s="70"/>
      <c r="E16" s="70" t="s">
        <v>13</v>
      </c>
      <c r="F16" s="70"/>
      <c r="G16" s="70"/>
      <c r="H16" s="70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70"/>
      <c r="D18" s="70"/>
      <c r="E18" s="70"/>
      <c r="F18" s="70"/>
      <c r="G18" s="70"/>
      <c r="H18" s="70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43"/>
      <c r="K19" s="44"/>
      <c r="L19" s="46"/>
    </row>
    <row r="20" spans="1:12" ht="30" customHeight="1">
      <c r="A20" s="26" t="s">
        <v>38</v>
      </c>
      <c r="B20" s="19"/>
      <c r="C20" s="70"/>
      <c r="D20" s="70"/>
      <c r="E20" s="70"/>
      <c r="F20" s="70"/>
      <c r="G20" s="70"/>
      <c r="H20" s="70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70"/>
      <c r="D22" s="70"/>
      <c r="E22" s="70"/>
      <c r="F22" s="70"/>
      <c r="G22" s="70"/>
      <c r="H22" s="70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70"/>
      <c r="D24" s="70"/>
      <c r="E24" s="70" t="s">
        <v>15</v>
      </c>
      <c r="F24" s="70"/>
      <c r="G24" s="70"/>
      <c r="H24" s="70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43"/>
      <c r="K25" s="44"/>
      <c r="L25" s="46"/>
    </row>
    <row r="26" spans="1:12" ht="30" customHeight="1">
      <c r="A26" s="26" t="s">
        <v>38</v>
      </c>
      <c r="B26" s="19"/>
      <c r="C26" s="70"/>
      <c r="D26" s="70"/>
      <c r="E26" s="70"/>
      <c r="F26" s="70"/>
      <c r="G26" s="70"/>
      <c r="H26" s="70"/>
      <c r="I26" s="20"/>
      <c r="J26" s="40" t="s">
        <v>8</v>
      </c>
      <c r="K26" s="41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70" t="s">
        <v>17</v>
      </c>
      <c r="D28" s="70"/>
      <c r="E28" s="70"/>
      <c r="F28" s="70"/>
      <c r="G28" s="70" t="s">
        <v>17</v>
      </c>
      <c r="H28" s="70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70"/>
      <c r="D30" s="70"/>
      <c r="E30" s="70"/>
      <c r="F30" s="70"/>
      <c r="G30" s="70"/>
      <c r="H30" s="70"/>
      <c r="I30" s="20"/>
      <c r="J30" s="43"/>
      <c r="K30" s="44"/>
      <c r="L30" s="52"/>
    </row>
    <row r="31" spans="1:12" ht="30" customHeight="1">
      <c r="A31" s="26" t="s">
        <v>39</v>
      </c>
      <c r="B31" s="35"/>
      <c r="C31" s="71"/>
      <c r="D31" s="71"/>
      <c r="E31" s="71"/>
      <c r="F31" s="71"/>
      <c r="G31" s="71"/>
      <c r="H31" s="71"/>
      <c r="I31" s="31"/>
      <c r="J31" s="48"/>
      <c r="K31" s="49"/>
      <c r="L31" s="53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8:D28"/>
    <mergeCell ref="E28:F28"/>
    <mergeCell ref="G28:H28"/>
    <mergeCell ref="C26:D26"/>
    <mergeCell ref="E26:F26"/>
    <mergeCell ref="G26:H26"/>
    <mergeCell ref="C27:D27"/>
    <mergeCell ref="E27:F27"/>
    <mergeCell ref="G27:H27"/>
    <mergeCell ref="C24:D24"/>
    <mergeCell ref="E24:F24"/>
    <mergeCell ref="G24:H24"/>
    <mergeCell ref="C25:D25"/>
    <mergeCell ref="E25:F25"/>
    <mergeCell ref="G25:H25"/>
    <mergeCell ref="C22:D22"/>
    <mergeCell ref="E22:F22"/>
    <mergeCell ref="G22:H22"/>
    <mergeCell ref="C23:D23"/>
    <mergeCell ref="E23:F23"/>
    <mergeCell ref="G23:H23"/>
    <mergeCell ref="C21:D21"/>
    <mergeCell ref="E21:F21"/>
    <mergeCell ref="G21:H21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3:D13"/>
    <mergeCell ref="E13:F13"/>
    <mergeCell ref="G13:H13"/>
    <mergeCell ref="C16:D16"/>
    <mergeCell ref="E16:F16"/>
    <mergeCell ref="G16:H16"/>
    <mergeCell ref="C14:D14"/>
    <mergeCell ref="E14:F14"/>
    <mergeCell ref="G14:H14"/>
    <mergeCell ref="C15:D15"/>
    <mergeCell ref="E15:F15"/>
    <mergeCell ref="G15:H15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78" priority="9" stopIfTrue="1">
      <formula>DAY(C3)&gt;8</formula>
    </cfRule>
  </conditionalFormatting>
  <conditionalFormatting sqref="C7:I8">
    <cfRule type="expression" dxfId="77" priority="8" stopIfTrue="1">
      <formula>AND(DAY(C7)&gt;=1,DAY(C7)&lt;=15)</formula>
    </cfRule>
  </conditionalFormatting>
  <conditionalFormatting sqref="C3:I8">
    <cfRule type="expression" dxfId="76" priority="10">
      <formula>VLOOKUP(DAY(C3),AssignmentDays,1,FALSE)=DAY(C3)</formula>
    </cfRule>
  </conditionalFormatting>
  <conditionalFormatting sqref="B13:I13 B15:I15 B17:I17 B19:I19 B21:I21 B23:I23 B25:I25 B27:I27 B29:I29 B31:I31">
    <cfRule type="expression" dxfId="75" priority="7">
      <formula>B13&lt;&gt;""</formula>
    </cfRule>
  </conditionalFormatting>
  <conditionalFormatting sqref="B12:I12 B14:I14 B16:I16 B18:I18 B20:I20 B22:I22 B24:I24 B26:I26 B28:I28 B30:I30">
    <cfRule type="expression" dxfId="74" priority="6">
      <formula>B12&lt;&gt;""</formula>
    </cfRule>
  </conditionalFormatting>
  <conditionalFormatting sqref="B13:I13 B15:I15 B17:I17 B19:I19 B21:I21 B23:I23 B25:I25 B27:I27 B29:I29">
    <cfRule type="expression" dxfId="73" priority="4">
      <formula>COLUMN(B12)&gt;=2</formula>
    </cfRule>
  </conditionalFormatting>
  <conditionalFormatting sqref="B12:I31">
    <cfRule type="expression" dxfId="72" priority="1">
      <formula>COLUMN(B12)&gt;2</formula>
    </cfRule>
  </conditionalFormatting>
  <dataValidations xWindow="95" yWindow="532" count="13">
    <dataValidation allowBlank="1" showInputMessage="1" showErrorMessage="1" prompt="February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8" sqref="L8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6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1" t="s">
        <v>20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IF(DAY(MarSun1)=1,MarSun1-6,MarSun1+1)</f>
        <v>44256</v>
      </c>
      <c r="D3" s="6">
        <f>IF(DAY(MarSun1)=1,MarSun1-5,MarSun1+2)</f>
        <v>44257</v>
      </c>
      <c r="E3" s="6">
        <f>IF(DAY(MarSun1)=1,MarSun1-4,MarSun1+3)</f>
        <v>44258</v>
      </c>
      <c r="F3" s="6">
        <f>IF(DAY(MarSun1)=1,MarSun1-3,MarSun1+4)</f>
        <v>44259</v>
      </c>
      <c r="G3" s="6">
        <f>IF(DAY(MarSun1)=1,MarSun1-2,MarSun1+5)</f>
        <v>44260</v>
      </c>
      <c r="H3" s="6">
        <f>IF(DAY(MarSun1)=1,MarSun1-1,MarSun1+6)</f>
        <v>44261</v>
      </c>
      <c r="I3" s="6">
        <f>IF(DAY(MarSun1)=1,MarSun1,MarSun1+7)</f>
        <v>44262</v>
      </c>
      <c r="J3" s="43"/>
      <c r="K3" s="44"/>
      <c r="L3" s="52"/>
    </row>
    <row r="4" spans="1:12" ht="30" customHeight="1">
      <c r="A4" s="13"/>
      <c r="C4" s="6">
        <f>IF(DAY(MarSun1)=1,MarSun1+1,MarSun1+8)</f>
        <v>44263</v>
      </c>
      <c r="D4" s="6">
        <f>IF(DAY(MarSun1)=1,MarSun1+2,MarSun1+9)</f>
        <v>44264</v>
      </c>
      <c r="E4" s="6">
        <f>IF(DAY(MarSun1)=1,MarSun1+3,MarSun1+10)</f>
        <v>44265</v>
      </c>
      <c r="F4" s="6">
        <f>IF(DAY(MarSun1)=1,MarSun1+4,MarSun1+11)</f>
        <v>44266</v>
      </c>
      <c r="G4" s="6">
        <f>IF(DAY(MarSun1)=1,MarSun1+5,MarSun1+12)</f>
        <v>44267</v>
      </c>
      <c r="H4" s="6">
        <f>IF(DAY(MarSun1)=1,MarSun1+6,MarSun1+13)</f>
        <v>44268</v>
      </c>
      <c r="I4" s="6">
        <f>IF(DAY(MarSun1)=1,MarSun1+7,MarSun1+14)</f>
        <v>44269</v>
      </c>
      <c r="J4" s="43"/>
      <c r="K4" s="44"/>
      <c r="L4" s="52"/>
    </row>
    <row r="5" spans="1:12" ht="30" customHeight="1">
      <c r="A5" s="13"/>
      <c r="C5" s="6">
        <f>IF(DAY(MarSun1)=1,MarSun1+8,MarSun1+15)</f>
        <v>44270</v>
      </c>
      <c r="D5" s="6">
        <f>IF(DAY(MarSun1)=1,MarSun1+9,MarSun1+16)</f>
        <v>44271</v>
      </c>
      <c r="E5" s="6">
        <f>IF(DAY(MarSun1)=1,MarSun1+10,MarSun1+17)</f>
        <v>44272</v>
      </c>
      <c r="F5" s="6">
        <f>IF(DAY(MarSun1)=1,MarSun1+11,MarSun1+18)</f>
        <v>44273</v>
      </c>
      <c r="G5" s="6">
        <f>IF(DAY(MarSun1)=1,MarSun1+12,MarSun1+19)</f>
        <v>44274</v>
      </c>
      <c r="H5" s="6">
        <f>IF(DAY(MarSun1)=1,MarSun1+13,MarSun1+20)</f>
        <v>44275</v>
      </c>
      <c r="I5" s="6">
        <f>IF(DAY(MarSun1)=1,MarSun1+14,MarSun1+21)</f>
        <v>44276</v>
      </c>
      <c r="J5" s="43"/>
      <c r="K5" s="44"/>
      <c r="L5" s="52"/>
    </row>
    <row r="6" spans="1:12" ht="30" customHeight="1">
      <c r="A6" s="13"/>
      <c r="C6" s="6">
        <f>IF(DAY(MarSun1)=1,MarSun1+15,MarSun1+22)</f>
        <v>44277</v>
      </c>
      <c r="D6" s="6">
        <f>IF(DAY(MarSun1)=1,MarSun1+16,MarSun1+23)</f>
        <v>44278</v>
      </c>
      <c r="E6" s="6">
        <f>IF(DAY(MarSun1)=1,MarSun1+17,MarSun1+24)</f>
        <v>44279</v>
      </c>
      <c r="F6" s="6">
        <f>IF(DAY(MarSun1)=1,MarSun1+18,MarSun1+25)</f>
        <v>44280</v>
      </c>
      <c r="G6" s="6">
        <f>IF(DAY(MarSun1)=1,MarSun1+19,MarSun1+26)</f>
        <v>44281</v>
      </c>
      <c r="H6" s="6">
        <f>IF(DAY(MarSun1)=1,MarSun1+20,MarSun1+27)</f>
        <v>44282</v>
      </c>
      <c r="I6" s="6">
        <f>IF(DAY(MarSun1)=1,MarSun1+21,MarSun1+28)</f>
        <v>44283</v>
      </c>
      <c r="J6" s="43"/>
      <c r="K6" s="44"/>
      <c r="L6" s="52"/>
    </row>
    <row r="7" spans="1:12" ht="30" customHeight="1">
      <c r="A7" s="13"/>
      <c r="C7" s="6">
        <f>IF(DAY(MarSun1)=1,MarSun1+22,MarSun1+29)</f>
        <v>44284</v>
      </c>
      <c r="D7" s="6">
        <f>IF(DAY(MarSun1)=1,MarSun1+23,MarSun1+30)</f>
        <v>44285</v>
      </c>
      <c r="E7" s="6">
        <f>IF(DAY(MarSun1)=1,MarSun1+24,MarSun1+31)</f>
        <v>44286</v>
      </c>
      <c r="F7" s="6">
        <f>IF(DAY(MarSun1)=1,MarSun1+25,MarSun1+32)</f>
        <v>44287</v>
      </c>
      <c r="G7" s="6">
        <f>IF(DAY(MarSun1)=1,MarSun1+26,MarSun1+33)</f>
        <v>44288</v>
      </c>
      <c r="H7" s="6">
        <f>IF(DAY(MarSun1)=1,MarSun1+27,MarSun1+34)</f>
        <v>44289</v>
      </c>
      <c r="I7" s="6">
        <f>IF(DAY(MarSun1)=1,MarSun1+28,MarSun1+35)</f>
        <v>44290</v>
      </c>
      <c r="J7" s="54"/>
      <c r="K7" s="55"/>
      <c r="L7" s="47"/>
    </row>
    <row r="8" spans="1:12" ht="30" customHeight="1">
      <c r="A8" s="13"/>
      <c r="B8" s="18"/>
      <c r="C8" s="6">
        <f>IF(DAY(MarSun1)=1,MarSun1+29,MarSun1+36)</f>
        <v>44291</v>
      </c>
      <c r="D8" s="6">
        <f>IF(DAY(MarSun1)=1,MarSun1+30,MarSun1+37)</f>
        <v>44292</v>
      </c>
      <c r="E8" s="6">
        <f>IF(DAY(MarSun1)=1,MarSun1+31,MarSun1+38)</f>
        <v>44293</v>
      </c>
      <c r="F8" s="6">
        <f>IF(DAY(MarSun1)=1,MarSun1+32,MarSun1+39)</f>
        <v>44294</v>
      </c>
      <c r="G8" s="6">
        <f>IF(DAY(MarSun1)=1,MarSun1+33,MarSun1+40)</f>
        <v>44295</v>
      </c>
      <c r="H8" s="6">
        <f>IF(DAY(MarSun1)=1,MarSun1+34,MarSun1+41)</f>
        <v>44296</v>
      </c>
      <c r="I8" s="6">
        <f>IF(DAY(MarSun1)=1,MarSun1+35,MarSun1+42)</f>
        <v>44297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54"/>
      <c r="K13" s="55"/>
      <c r="L13" s="47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54"/>
      <c r="K19" s="55"/>
      <c r="L19" s="56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54"/>
      <c r="K25" s="55"/>
      <c r="L25" s="56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20"/>
      <c r="J26" s="40" t="s">
        <v>8</v>
      </c>
      <c r="K26" s="41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68"/>
      <c r="D30" s="68"/>
      <c r="E30" s="68"/>
      <c r="F30" s="68"/>
      <c r="G30" s="68"/>
      <c r="H30" s="68"/>
      <c r="I30" s="20"/>
      <c r="J30" s="43"/>
      <c r="K30" s="44"/>
      <c r="L30" s="52"/>
    </row>
    <row r="31" spans="1:12" ht="30" customHeight="1">
      <c r="A31" s="26" t="s">
        <v>39</v>
      </c>
      <c r="B31" s="30"/>
      <c r="C31" s="69"/>
      <c r="D31" s="69"/>
      <c r="E31" s="69"/>
      <c r="F31" s="69"/>
      <c r="G31" s="69"/>
      <c r="H31" s="69"/>
      <c r="I31" s="31"/>
      <c r="J31" s="48"/>
      <c r="K31" s="49"/>
      <c r="L31" s="57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71" priority="6" stopIfTrue="1">
      <formula>DAY(C3)&gt;8</formula>
    </cfRule>
  </conditionalFormatting>
  <conditionalFormatting sqref="C7:I8">
    <cfRule type="expression" dxfId="70" priority="5" stopIfTrue="1">
      <formula>AND(DAY(C7)&gt;=1,DAY(C7)&lt;=15)</formula>
    </cfRule>
  </conditionalFormatting>
  <conditionalFormatting sqref="C3:I8">
    <cfRule type="expression" dxfId="69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68" priority="4">
      <formula>B13&lt;&gt;""</formula>
    </cfRule>
  </conditionalFormatting>
  <conditionalFormatting sqref="B12:I12 B14:I14 B16:I16 B18:I18 B20:I20 B22:I22 B24:I24 B26:I26 B28:I28 B30:I30">
    <cfRule type="expression" dxfId="67" priority="3">
      <formula>B12&lt;&gt;""</formula>
    </cfRule>
  </conditionalFormatting>
  <conditionalFormatting sqref="B13:I13 B15:I15 B17:I17 B19:I19 B21:I21 B23:I23 B25:I25 B27:I27 B29:I29">
    <cfRule type="expression" dxfId="66" priority="2">
      <formula>COLUMN(B12)&gt;=2</formula>
    </cfRule>
  </conditionalFormatting>
  <conditionalFormatting sqref="B12:I31">
    <cfRule type="expression" dxfId="65" priority="1">
      <formula>COLUMN(B12)&gt;2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March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9" sqref="L9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1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2" t="s">
        <v>21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IF(DAY(AprSun1)=1,AprSun1-6,AprSun1+1)</f>
        <v>44284</v>
      </c>
      <c r="D3" s="6">
        <f>IF(DAY(AprSun1)=1,AprSun1-5,AprSun1+2)</f>
        <v>44285</v>
      </c>
      <c r="E3" s="6">
        <f>IF(DAY(AprSun1)=1,AprSun1-4,AprSun1+3)</f>
        <v>44286</v>
      </c>
      <c r="F3" s="6">
        <f>IF(DAY(AprSun1)=1,AprSun1-3,AprSun1+4)</f>
        <v>44287</v>
      </c>
      <c r="G3" s="6">
        <f>IF(DAY(AprSun1)=1,AprSun1-2,AprSun1+5)</f>
        <v>44288</v>
      </c>
      <c r="H3" s="6">
        <f>IF(DAY(AprSun1)=1,AprSun1-1,AprSun1+6)</f>
        <v>44289</v>
      </c>
      <c r="I3" s="6">
        <f>IF(DAY(AprSun1)=1,AprSun1,AprSun1+7)</f>
        <v>44290</v>
      </c>
      <c r="J3" s="43"/>
      <c r="K3" s="44"/>
      <c r="L3" s="52"/>
    </row>
    <row r="4" spans="1:12" ht="30" customHeight="1">
      <c r="A4" s="13"/>
      <c r="C4" s="6">
        <f>IF(DAY(AprSun1)=1,AprSun1+1,AprSun1+8)</f>
        <v>44291</v>
      </c>
      <c r="D4" s="6">
        <f>IF(DAY(AprSun1)=1,AprSun1+2,AprSun1+9)</f>
        <v>44292</v>
      </c>
      <c r="E4" s="6">
        <f>IF(DAY(AprSun1)=1,AprSun1+3,AprSun1+10)</f>
        <v>44293</v>
      </c>
      <c r="F4" s="6">
        <f>IF(DAY(AprSun1)=1,AprSun1+4,AprSun1+11)</f>
        <v>44294</v>
      </c>
      <c r="G4" s="6">
        <f>IF(DAY(AprSun1)=1,AprSun1+5,AprSun1+12)</f>
        <v>44295</v>
      </c>
      <c r="H4" s="6">
        <f>IF(DAY(AprSun1)=1,AprSun1+6,AprSun1+13)</f>
        <v>44296</v>
      </c>
      <c r="I4" s="6">
        <f>IF(DAY(AprSun1)=1,AprSun1+7,AprSun1+14)</f>
        <v>44297</v>
      </c>
      <c r="J4" s="43"/>
      <c r="K4" s="44"/>
      <c r="L4" s="52"/>
    </row>
    <row r="5" spans="1:12" ht="30" customHeight="1">
      <c r="A5" s="13"/>
      <c r="C5" s="6">
        <f>IF(DAY(AprSun1)=1,AprSun1+8,AprSun1+15)</f>
        <v>44298</v>
      </c>
      <c r="D5" s="6">
        <f>IF(DAY(AprSun1)=1,AprSun1+9,AprSun1+16)</f>
        <v>44299</v>
      </c>
      <c r="E5" s="6">
        <f>IF(DAY(AprSun1)=1,AprSun1+10,AprSun1+17)</f>
        <v>44300</v>
      </c>
      <c r="F5" s="6">
        <f>IF(DAY(AprSun1)=1,AprSun1+11,AprSun1+18)</f>
        <v>44301</v>
      </c>
      <c r="G5" s="6">
        <f>IF(DAY(AprSun1)=1,AprSun1+12,AprSun1+19)</f>
        <v>44302</v>
      </c>
      <c r="H5" s="6">
        <f>IF(DAY(AprSun1)=1,AprSun1+13,AprSun1+20)</f>
        <v>44303</v>
      </c>
      <c r="I5" s="6">
        <f>IF(DAY(AprSun1)=1,AprSun1+14,AprSun1+21)</f>
        <v>44304</v>
      </c>
      <c r="J5" s="43"/>
      <c r="K5" s="44"/>
      <c r="L5" s="52"/>
    </row>
    <row r="6" spans="1:12" ht="30" customHeight="1">
      <c r="A6" s="13"/>
      <c r="C6" s="6">
        <f>IF(DAY(AprSun1)=1,AprSun1+15,AprSun1+22)</f>
        <v>44305</v>
      </c>
      <c r="D6" s="6">
        <f>IF(DAY(AprSun1)=1,AprSun1+16,AprSun1+23)</f>
        <v>44306</v>
      </c>
      <c r="E6" s="6">
        <f>IF(DAY(AprSun1)=1,AprSun1+17,AprSun1+24)</f>
        <v>44307</v>
      </c>
      <c r="F6" s="6">
        <f>IF(DAY(AprSun1)=1,AprSun1+18,AprSun1+25)</f>
        <v>44308</v>
      </c>
      <c r="G6" s="6">
        <f>IF(DAY(AprSun1)=1,AprSun1+19,AprSun1+26)</f>
        <v>44309</v>
      </c>
      <c r="H6" s="6">
        <f>IF(DAY(AprSun1)=1,AprSun1+20,AprSun1+27)</f>
        <v>44310</v>
      </c>
      <c r="I6" s="6">
        <f>IF(DAY(AprSun1)=1,AprSun1+21,AprSun1+28)</f>
        <v>44311</v>
      </c>
      <c r="J6" s="43"/>
      <c r="K6" s="44"/>
      <c r="L6" s="52"/>
    </row>
    <row r="7" spans="1:12" ht="30" customHeight="1">
      <c r="A7" s="13"/>
      <c r="C7" s="6">
        <f>IF(DAY(AprSun1)=1,AprSun1+22,AprSun1+29)</f>
        <v>44312</v>
      </c>
      <c r="D7" s="6">
        <f>IF(DAY(AprSun1)=1,AprSun1+23,AprSun1+30)</f>
        <v>44313</v>
      </c>
      <c r="E7" s="6">
        <f>IF(DAY(AprSun1)=1,AprSun1+24,AprSun1+31)</f>
        <v>44314</v>
      </c>
      <c r="F7" s="6">
        <f>IF(DAY(AprSun1)=1,AprSun1+25,AprSun1+32)</f>
        <v>44315</v>
      </c>
      <c r="G7" s="6">
        <f>IF(DAY(AprSun1)=1,AprSun1+26,AprSun1+33)</f>
        <v>44316</v>
      </c>
      <c r="H7" s="6">
        <f>IF(DAY(AprSun1)=1,AprSun1+27,AprSun1+34)</f>
        <v>44317</v>
      </c>
      <c r="I7" s="6">
        <f>IF(DAY(AprSun1)=1,AprSun1+28,AprSun1+35)</f>
        <v>44318</v>
      </c>
      <c r="J7" s="54"/>
      <c r="K7" s="55"/>
      <c r="L7" s="47"/>
    </row>
    <row r="8" spans="1:12" ht="30" customHeight="1">
      <c r="A8" s="13"/>
      <c r="B8" s="18"/>
      <c r="C8" s="6">
        <f>IF(DAY(AprSun1)=1,AprSun1+29,AprSun1+36)</f>
        <v>44319</v>
      </c>
      <c r="D8" s="6">
        <f>IF(DAY(AprSun1)=1,AprSun1+30,AprSun1+37)</f>
        <v>44320</v>
      </c>
      <c r="E8" s="6">
        <f>IF(DAY(AprSun1)=1,AprSun1+31,AprSun1+38)</f>
        <v>44321</v>
      </c>
      <c r="F8" s="6">
        <f>IF(DAY(AprSun1)=1,AprSun1+32,AprSun1+39)</f>
        <v>44322</v>
      </c>
      <c r="G8" s="6">
        <f>IF(DAY(AprSun1)=1,AprSun1+33,AprSun1+40)</f>
        <v>44323</v>
      </c>
      <c r="H8" s="6">
        <f>IF(DAY(AprSun1)=1,AprSun1+34,AprSun1+41)</f>
        <v>44324</v>
      </c>
      <c r="I8" s="6">
        <f>IF(DAY(AprSun1)=1,AprSun1+35,AprSun1+42)</f>
        <v>44325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54"/>
      <c r="K13" s="55"/>
      <c r="L13" s="47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54"/>
      <c r="K19" s="55"/>
      <c r="L19" s="56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54"/>
      <c r="K25" s="55"/>
      <c r="L25" s="56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20"/>
      <c r="J26" s="40" t="s">
        <v>8</v>
      </c>
      <c r="K26" s="41"/>
      <c r="L26" s="51" t="s">
        <v>35</v>
      </c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68"/>
      <c r="D30" s="68"/>
      <c r="E30" s="68"/>
      <c r="F30" s="68"/>
      <c r="G30" s="68"/>
      <c r="H30" s="68"/>
      <c r="I30" s="20"/>
      <c r="J30" s="43"/>
      <c r="K30" s="44"/>
      <c r="L30" s="52"/>
    </row>
    <row r="31" spans="1:12" ht="30" customHeight="1">
      <c r="A31" s="26" t="s">
        <v>39</v>
      </c>
      <c r="B31" s="30"/>
      <c r="C31" s="69"/>
      <c r="D31" s="69"/>
      <c r="E31" s="69"/>
      <c r="F31" s="69"/>
      <c r="G31" s="69"/>
      <c r="H31" s="69"/>
      <c r="I31" s="31"/>
      <c r="J31" s="48"/>
      <c r="K31" s="49"/>
      <c r="L31" s="57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64" priority="6" stopIfTrue="1">
      <formula>DAY(C3)&gt;8</formula>
    </cfRule>
  </conditionalFormatting>
  <conditionalFormatting sqref="C7:I8">
    <cfRule type="expression" dxfId="63" priority="5" stopIfTrue="1">
      <formula>AND(DAY(C7)&gt;=1,DAY(C7)&lt;=15)</formula>
    </cfRule>
  </conditionalFormatting>
  <conditionalFormatting sqref="C3:I8">
    <cfRule type="expression" dxfId="62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61" priority="4">
      <formula>B13&lt;&gt;""</formula>
    </cfRule>
  </conditionalFormatting>
  <conditionalFormatting sqref="B12:I12 B14:I14 B16:I16 B18:I18 B20:I20 B22:I22 B24:I24 B26:I26 B28:I28 B30:I30">
    <cfRule type="expression" dxfId="60" priority="3">
      <formula>B12&lt;&gt;""</formula>
    </cfRule>
  </conditionalFormatting>
  <conditionalFormatting sqref="B13:I13 B15:I15 B17:I17 B19:I19 B21:I21 B23:I23 B25:I25 B27:I27 B29:I29">
    <cfRule type="expression" dxfId="59" priority="2">
      <formula>COLUMN(B12)&gt;=2</formula>
    </cfRule>
  </conditionalFormatting>
  <conditionalFormatting sqref="B12:I31">
    <cfRule type="expression" dxfId="58" priority="1">
      <formula>COLUMN(B12)&gt;2</formula>
    </cfRule>
  </conditionalFormatting>
  <dataValidations xWindow="209" yWindow="929" count="13">
    <dataValidation allowBlank="1" showInputMessage="1" showErrorMessage="1" prompt="April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7" sqref="L7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6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2" t="s">
        <v>22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IF(DAY(MaySun1)=1,MaySun1-6,MaySun1+1)</f>
        <v>44312</v>
      </c>
      <c r="D3" s="6">
        <f>IF(DAY(MaySun1)=1,MaySun1-5,MaySun1+2)</f>
        <v>44313</v>
      </c>
      <c r="E3" s="6">
        <f>IF(DAY(MaySun1)=1,MaySun1-4,MaySun1+3)</f>
        <v>44314</v>
      </c>
      <c r="F3" s="6">
        <f>IF(DAY(MaySun1)=1,MaySun1-3,MaySun1+4)</f>
        <v>44315</v>
      </c>
      <c r="G3" s="6">
        <f>IF(DAY(MaySun1)=1,MaySun1-2,MaySun1+5)</f>
        <v>44316</v>
      </c>
      <c r="H3" s="6">
        <f>IF(DAY(MaySun1)=1,MaySun1-1,MaySun1+6)</f>
        <v>44317</v>
      </c>
      <c r="I3" s="6">
        <f>IF(DAY(MaySun1)=1,MaySun1,MaySun1+7)</f>
        <v>44318</v>
      </c>
      <c r="J3" s="43"/>
      <c r="K3" s="44"/>
      <c r="L3" s="52"/>
    </row>
    <row r="4" spans="1:12" ht="30" customHeight="1">
      <c r="A4" s="13"/>
      <c r="C4" s="6">
        <f>IF(DAY(MaySun1)=1,MaySun1+1,MaySun1+8)</f>
        <v>44319</v>
      </c>
      <c r="D4" s="6">
        <f>IF(DAY(MaySun1)=1,MaySun1+2,MaySun1+9)</f>
        <v>44320</v>
      </c>
      <c r="E4" s="6">
        <f>IF(DAY(MaySun1)=1,MaySun1+3,MaySun1+10)</f>
        <v>44321</v>
      </c>
      <c r="F4" s="6">
        <f>IF(DAY(MaySun1)=1,MaySun1+4,MaySun1+11)</f>
        <v>44322</v>
      </c>
      <c r="G4" s="6">
        <f>IF(DAY(MaySun1)=1,MaySun1+5,MaySun1+12)</f>
        <v>44323</v>
      </c>
      <c r="H4" s="6">
        <f>IF(DAY(MaySun1)=1,MaySun1+6,MaySun1+13)</f>
        <v>44324</v>
      </c>
      <c r="I4" s="6">
        <f>IF(DAY(MaySun1)=1,MaySun1+7,MaySun1+14)</f>
        <v>44325</v>
      </c>
      <c r="J4" s="43"/>
      <c r="K4" s="44"/>
      <c r="L4" s="52"/>
    </row>
    <row r="5" spans="1:12" ht="30" customHeight="1">
      <c r="A5" s="13"/>
      <c r="C5" s="6">
        <f>IF(DAY(MaySun1)=1,MaySun1+8,MaySun1+15)</f>
        <v>44326</v>
      </c>
      <c r="D5" s="6">
        <f>IF(DAY(MaySun1)=1,MaySun1+9,MaySun1+16)</f>
        <v>44327</v>
      </c>
      <c r="E5" s="6">
        <f>IF(DAY(MaySun1)=1,MaySun1+10,MaySun1+17)</f>
        <v>44328</v>
      </c>
      <c r="F5" s="6">
        <f>IF(DAY(MaySun1)=1,MaySun1+11,MaySun1+18)</f>
        <v>44329</v>
      </c>
      <c r="G5" s="6">
        <f>IF(DAY(MaySun1)=1,MaySun1+12,MaySun1+19)</f>
        <v>44330</v>
      </c>
      <c r="H5" s="6">
        <f>IF(DAY(MaySun1)=1,MaySun1+13,MaySun1+20)</f>
        <v>44331</v>
      </c>
      <c r="I5" s="6">
        <f>IF(DAY(MaySun1)=1,MaySun1+14,MaySun1+21)</f>
        <v>44332</v>
      </c>
      <c r="J5" s="43"/>
      <c r="K5" s="44"/>
      <c r="L5" s="52"/>
    </row>
    <row r="6" spans="1:12" ht="30" customHeight="1">
      <c r="A6" s="13"/>
      <c r="C6" s="6">
        <f>IF(DAY(MaySun1)=1,MaySun1+15,MaySun1+22)</f>
        <v>44333</v>
      </c>
      <c r="D6" s="6">
        <f>IF(DAY(MaySun1)=1,MaySun1+16,MaySun1+23)</f>
        <v>44334</v>
      </c>
      <c r="E6" s="6">
        <f>IF(DAY(MaySun1)=1,MaySun1+17,MaySun1+24)</f>
        <v>44335</v>
      </c>
      <c r="F6" s="6">
        <f>IF(DAY(MaySun1)=1,MaySun1+18,MaySun1+25)</f>
        <v>44336</v>
      </c>
      <c r="G6" s="6">
        <f>IF(DAY(MaySun1)=1,MaySun1+19,MaySun1+26)</f>
        <v>44337</v>
      </c>
      <c r="H6" s="6">
        <f>IF(DAY(MaySun1)=1,MaySun1+20,MaySun1+27)</f>
        <v>44338</v>
      </c>
      <c r="I6" s="6">
        <f>IF(DAY(MaySun1)=1,MaySun1+21,MaySun1+28)</f>
        <v>44339</v>
      </c>
      <c r="J6" s="43"/>
      <c r="K6" s="44"/>
      <c r="L6" s="52"/>
    </row>
    <row r="7" spans="1:12" ht="30" customHeight="1">
      <c r="A7" s="13"/>
      <c r="C7" s="6">
        <f>IF(DAY(MaySun1)=1,MaySun1+22,MaySun1+29)</f>
        <v>44340</v>
      </c>
      <c r="D7" s="6">
        <f>IF(DAY(MaySun1)=1,MaySun1+23,MaySun1+30)</f>
        <v>44341</v>
      </c>
      <c r="E7" s="6">
        <f>IF(DAY(MaySun1)=1,MaySun1+24,MaySun1+31)</f>
        <v>44342</v>
      </c>
      <c r="F7" s="6">
        <f>IF(DAY(MaySun1)=1,MaySun1+25,MaySun1+32)</f>
        <v>44343</v>
      </c>
      <c r="G7" s="6">
        <f>IF(DAY(MaySun1)=1,MaySun1+26,MaySun1+33)</f>
        <v>44344</v>
      </c>
      <c r="H7" s="6">
        <f>IF(DAY(MaySun1)=1,MaySun1+27,MaySun1+34)</f>
        <v>44345</v>
      </c>
      <c r="I7" s="6">
        <f>IF(DAY(MaySun1)=1,MaySun1+28,MaySun1+35)</f>
        <v>44346</v>
      </c>
      <c r="J7" s="43"/>
      <c r="K7" s="44"/>
      <c r="L7" s="46"/>
    </row>
    <row r="8" spans="1:12" ht="30" customHeight="1">
      <c r="A8" s="13"/>
      <c r="B8" s="18"/>
      <c r="C8" s="6">
        <f>IF(DAY(MaySun1)=1,MaySun1+29,MaySun1+36)</f>
        <v>44347</v>
      </c>
      <c r="D8" s="6">
        <f>IF(DAY(MaySun1)=1,MaySun1+30,MaySun1+37)</f>
        <v>44348</v>
      </c>
      <c r="E8" s="6">
        <f>IF(DAY(MaySun1)=1,MaySun1+31,MaySun1+38)</f>
        <v>44349</v>
      </c>
      <c r="F8" s="6">
        <f>IF(DAY(MaySun1)=1,MaySun1+32,MaySun1+39)</f>
        <v>44350</v>
      </c>
      <c r="G8" s="6">
        <f>IF(DAY(MaySun1)=1,MaySun1+33,MaySun1+40)</f>
        <v>44351</v>
      </c>
      <c r="H8" s="6">
        <f>IF(DAY(MaySun1)=1,MaySun1+34,MaySun1+41)</f>
        <v>44352</v>
      </c>
      <c r="I8" s="6">
        <f>IF(DAY(MaySun1)=1,MaySun1+35,MaySun1+42)</f>
        <v>44353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>
        <v>0.33333333333333331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43"/>
      <c r="K13" s="44"/>
      <c r="L13" s="46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43"/>
      <c r="K19" s="44"/>
      <c r="L19" s="46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43"/>
      <c r="K25" s="44"/>
      <c r="L25" s="46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20"/>
      <c r="J26" s="40" t="s">
        <v>8</v>
      </c>
      <c r="K26" s="41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68"/>
      <c r="D30" s="68"/>
      <c r="E30" s="68"/>
      <c r="F30" s="68"/>
      <c r="G30" s="68"/>
      <c r="H30" s="68"/>
      <c r="I30" s="20"/>
      <c r="J30" s="43"/>
      <c r="K30" s="44"/>
      <c r="L30" s="52"/>
    </row>
    <row r="31" spans="1:12" ht="30" customHeight="1">
      <c r="A31" s="26" t="s">
        <v>39</v>
      </c>
      <c r="B31" s="30"/>
      <c r="C31" s="69"/>
      <c r="D31" s="69"/>
      <c r="E31" s="69"/>
      <c r="F31" s="69"/>
      <c r="G31" s="69"/>
      <c r="H31" s="69"/>
      <c r="I31" s="31"/>
      <c r="J31" s="48"/>
      <c r="K31" s="49"/>
      <c r="L31" s="58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57" priority="6" stopIfTrue="1">
      <formula>DAY(C3)&gt;8</formula>
    </cfRule>
  </conditionalFormatting>
  <conditionalFormatting sqref="C7:I8">
    <cfRule type="expression" dxfId="56" priority="5" stopIfTrue="1">
      <formula>AND(DAY(C7)&gt;=1,DAY(C7)&lt;=15)</formula>
    </cfRule>
  </conditionalFormatting>
  <conditionalFormatting sqref="C3:I8">
    <cfRule type="expression" dxfId="55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54" priority="4">
      <formula>B13&lt;&gt;""</formula>
    </cfRule>
  </conditionalFormatting>
  <conditionalFormatting sqref="B12:I12 B14:I14 B16:I16 B18:I18 B20:I20 B22:I22 B24:I24 B26:I26 B28:I28 B30:I30">
    <cfRule type="expression" dxfId="53" priority="3">
      <formula>B12&lt;&gt;""</formula>
    </cfRule>
  </conditionalFormatting>
  <conditionalFormatting sqref="B13:I13 B15:I15 B17:I17 B19:I19 B21:I21 B23:I23 B25:I25 B27:I27 B29:I29">
    <cfRule type="expression" dxfId="52" priority="2">
      <formula>COLUMN(B12)&gt;=2</formula>
    </cfRule>
  </conditionalFormatting>
  <conditionalFormatting sqref="B12:I31">
    <cfRule type="expression" dxfId="51" priority="1">
      <formula>COLUMN(B11)&gt;2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May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8" sqref="L8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6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2" t="s">
        <v>23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IF(DAY(JunSun1)=1,JunSun1-6,JunSun1+1)</f>
        <v>44347</v>
      </c>
      <c r="D3" s="6">
        <f>IF(DAY(JunSun1)=1,JunSun1-5,JunSun1+2)</f>
        <v>44348</v>
      </c>
      <c r="E3" s="6">
        <f>IF(DAY(JunSun1)=1,JunSun1-4,JunSun1+3)</f>
        <v>44349</v>
      </c>
      <c r="F3" s="6">
        <f>IF(DAY(JunSun1)=1,JunSun1-3,JunSun1+4)</f>
        <v>44350</v>
      </c>
      <c r="G3" s="6">
        <f>IF(DAY(JunSun1)=1,JunSun1-2,JunSun1+5)</f>
        <v>44351</v>
      </c>
      <c r="H3" s="6">
        <f>IF(DAY(JunSun1)=1,JunSun1-1,JunSun1+6)</f>
        <v>44352</v>
      </c>
      <c r="I3" s="6">
        <f>IF(DAY(JunSun1)=1,JunSun1,JunSun1+7)</f>
        <v>44353</v>
      </c>
      <c r="J3" s="43"/>
      <c r="K3" s="44"/>
      <c r="L3" s="52"/>
    </row>
    <row r="4" spans="1:12" ht="30" customHeight="1">
      <c r="A4" s="13"/>
      <c r="C4" s="6">
        <f>IF(DAY(JunSun1)=1,JunSun1+1,JunSun1+8)</f>
        <v>44354</v>
      </c>
      <c r="D4" s="6">
        <f>IF(DAY(JunSun1)=1,JunSun1+2,JunSun1+9)</f>
        <v>44355</v>
      </c>
      <c r="E4" s="6">
        <f>IF(DAY(JunSun1)=1,JunSun1+3,JunSun1+10)</f>
        <v>44356</v>
      </c>
      <c r="F4" s="6">
        <f>IF(DAY(JunSun1)=1,JunSun1+4,JunSun1+11)</f>
        <v>44357</v>
      </c>
      <c r="G4" s="6">
        <f>IF(DAY(JunSun1)=1,JunSun1+5,JunSun1+12)</f>
        <v>44358</v>
      </c>
      <c r="H4" s="6">
        <f>IF(DAY(JunSun1)=1,JunSun1+6,JunSun1+13)</f>
        <v>44359</v>
      </c>
      <c r="I4" s="6">
        <f>IF(DAY(JunSun1)=1,JunSun1+7,JunSun1+14)</f>
        <v>44360</v>
      </c>
      <c r="J4" s="43"/>
      <c r="K4" s="44"/>
      <c r="L4" s="52"/>
    </row>
    <row r="5" spans="1:12" ht="30" customHeight="1">
      <c r="A5" s="13"/>
      <c r="C5" s="6">
        <f>IF(DAY(JunSun1)=1,JunSun1+8,JunSun1+15)</f>
        <v>44361</v>
      </c>
      <c r="D5" s="6">
        <f>IF(DAY(JunSun1)=1,JunSun1+9,JunSun1+16)</f>
        <v>44362</v>
      </c>
      <c r="E5" s="6">
        <f>IF(DAY(JunSun1)=1,JunSun1+10,JunSun1+17)</f>
        <v>44363</v>
      </c>
      <c r="F5" s="6">
        <f>IF(DAY(JunSun1)=1,JunSun1+11,JunSun1+18)</f>
        <v>44364</v>
      </c>
      <c r="G5" s="6">
        <f>IF(DAY(JunSun1)=1,JunSun1+12,JunSun1+19)</f>
        <v>44365</v>
      </c>
      <c r="H5" s="6">
        <f>IF(DAY(JunSun1)=1,JunSun1+13,JunSun1+20)</f>
        <v>44366</v>
      </c>
      <c r="I5" s="6">
        <f>IF(DAY(JunSun1)=1,JunSun1+14,JunSun1+21)</f>
        <v>44367</v>
      </c>
      <c r="J5" s="43"/>
      <c r="K5" s="44"/>
      <c r="L5" s="52"/>
    </row>
    <row r="6" spans="1:12" ht="30" customHeight="1">
      <c r="A6" s="13"/>
      <c r="C6" s="6">
        <f>IF(DAY(JunSun1)=1,JunSun1+15,JunSun1+22)</f>
        <v>44368</v>
      </c>
      <c r="D6" s="6">
        <f>IF(DAY(JunSun1)=1,JunSun1+16,JunSun1+23)</f>
        <v>44369</v>
      </c>
      <c r="E6" s="6">
        <f>IF(DAY(JunSun1)=1,JunSun1+17,JunSun1+24)</f>
        <v>44370</v>
      </c>
      <c r="F6" s="6">
        <f>IF(DAY(JunSun1)=1,JunSun1+18,JunSun1+25)</f>
        <v>44371</v>
      </c>
      <c r="G6" s="6">
        <f>IF(DAY(JunSun1)=1,JunSun1+19,JunSun1+26)</f>
        <v>44372</v>
      </c>
      <c r="H6" s="6">
        <f>IF(DAY(JunSun1)=1,JunSun1+20,JunSun1+27)</f>
        <v>44373</v>
      </c>
      <c r="I6" s="6">
        <f>IF(DAY(JunSun1)=1,JunSun1+21,JunSun1+28)</f>
        <v>44374</v>
      </c>
      <c r="J6" s="43"/>
      <c r="K6" s="44"/>
      <c r="L6" s="52"/>
    </row>
    <row r="7" spans="1:12" ht="30" customHeight="1">
      <c r="A7" s="13"/>
      <c r="C7" s="6">
        <f>IF(DAY(JunSun1)=1,JunSun1+22,JunSun1+29)</f>
        <v>44375</v>
      </c>
      <c r="D7" s="6">
        <f>IF(DAY(JunSun1)=1,JunSun1+23,JunSun1+30)</f>
        <v>44376</v>
      </c>
      <c r="E7" s="6">
        <f>IF(DAY(JunSun1)=1,JunSun1+24,JunSun1+31)</f>
        <v>44377</v>
      </c>
      <c r="F7" s="6">
        <f>IF(DAY(JunSun1)=1,JunSun1+25,JunSun1+32)</f>
        <v>44378</v>
      </c>
      <c r="G7" s="6">
        <f>IF(DAY(JunSun1)=1,JunSun1+26,JunSun1+33)</f>
        <v>44379</v>
      </c>
      <c r="H7" s="6">
        <f>IF(DAY(JunSun1)=1,JunSun1+27,JunSun1+34)</f>
        <v>44380</v>
      </c>
      <c r="I7" s="6">
        <f>IF(DAY(JunSun1)=1,JunSun1+28,JunSun1+35)</f>
        <v>44381</v>
      </c>
      <c r="J7" s="59"/>
      <c r="K7" s="60"/>
      <c r="L7" s="61"/>
    </row>
    <row r="8" spans="1:12" ht="30" customHeight="1">
      <c r="A8" s="13"/>
      <c r="B8" s="18"/>
      <c r="C8" s="6">
        <f>IF(DAY(JunSun1)=1,JunSun1+29,JunSun1+36)</f>
        <v>44382</v>
      </c>
      <c r="D8" s="6">
        <f>IF(DAY(JunSun1)=1,JunSun1+30,JunSun1+37)</f>
        <v>44383</v>
      </c>
      <c r="E8" s="6">
        <f>IF(DAY(JunSun1)=1,JunSun1+31,JunSun1+38)</f>
        <v>44384</v>
      </c>
      <c r="F8" s="6">
        <f>IF(DAY(JunSun1)=1,JunSun1+32,JunSun1+39)</f>
        <v>44385</v>
      </c>
      <c r="G8" s="6">
        <f>IF(DAY(JunSun1)=1,JunSun1+33,JunSun1+40)</f>
        <v>44386</v>
      </c>
      <c r="H8" s="6">
        <f>IF(DAY(JunSun1)=1,JunSun1+34,JunSun1+41)</f>
        <v>44387</v>
      </c>
      <c r="I8" s="6">
        <f>IF(DAY(JunSun1)=1,JunSun1+35,JunSun1+42)</f>
        <v>44388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54"/>
      <c r="K13" s="55"/>
      <c r="L13" s="47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54"/>
      <c r="K19" s="55"/>
      <c r="L19" s="56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54"/>
      <c r="K25" s="55"/>
      <c r="L25" s="56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20"/>
      <c r="J26" s="40" t="s">
        <v>8</v>
      </c>
      <c r="K26" s="41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68"/>
      <c r="D30" s="68"/>
      <c r="E30" s="68"/>
      <c r="F30" s="68"/>
      <c r="G30" s="68"/>
      <c r="H30" s="68"/>
      <c r="I30" s="20"/>
      <c r="J30" s="43"/>
      <c r="K30" s="44"/>
      <c r="L30" s="52"/>
    </row>
    <row r="31" spans="1:12" ht="30" customHeight="1">
      <c r="A31" s="26" t="s">
        <v>39</v>
      </c>
      <c r="B31" s="30"/>
      <c r="C31" s="69"/>
      <c r="D31" s="69"/>
      <c r="E31" s="69"/>
      <c r="F31" s="69"/>
      <c r="G31" s="69"/>
      <c r="H31" s="69"/>
      <c r="I31" s="31"/>
      <c r="J31" s="48"/>
      <c r="K31" s="49"/>
      <c r="L31" s="57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50" priority="6" stopIfTrue="1">
      <formula>DAY(C3)&gt;8</formula>
    </cfRule>
  </conditionalFormatting>
  <conditionalFormatting sqref="C7:I8">
    <cfRule type="expression" dxfId="49" priority="5" stopIfTrue="1">
      <formula>AND(DAY(C7)&gt;=1,DAY(C7)&lt;=15)</formula>
    </cfRule>
  </conditionalFormatting>
  <conditionalFormatting sqref="C3:I8">
    <cfRule type="expression" dxfId="48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47" priority="4">
      <formula>B13&lt;&gt;""</formula>
    </cfRule>
  </conditionalFormatting>
  <conditionalFormatting sqref="B12:I12 B14:I14 B16:I16 B18:I18 B20:I20 B22:I22 B24:I24 B26:I26 B28:I28 B30:I30">
    <cfRule type="expression" dxfId="46" priority="3">
      <formula>B12&lt;&gt;""</formula>
    </cfRule>
  </conditionalFormatting>
  <conditionalFormatting sqref="B13:I13 B15:I15 B17:I17 B19:I19 B21:I21 B23:I23 B25:I25 B27:I27 B29:I29">
    <cfRule type="expression" dxfId="45" priority="2">
      <formula>COLUMN(B13)&gt;=2</formula>
    </cfRule>
  </conditionalFormatting>
  <conditionalFormatting sqref="B12:I31">
    <cfRule type="expression" dxfId="44" priority="1">
      <formula>COLUMN(B12)&gt;2</formula>
    </cfRule>
  </conditionalFormatting>
  <dataValidations xWindow="282" yWindow="780" count="13">
    <dataValidation allowBlank="1" showInputMessage="1" showErrorMessage="1" prompt="June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7" sqref="L7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6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1" t="s">
        <v>24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IF(DAY(JulSun1)=1,JulSun1-6,JulSun1+1)</f>
        <v>44375</v>
      </c>
      <c r="D3" s="6">
        <f>IF(DAY(JulSun1)=1,JulSun1-5,JulSun1+2)</f>
        <v>44376</v>
      </c>
      <c r="E3" s="6">
        <f>IF(DAY(JulSun1)=1,JulSun1-4,JulSun1+3)</f>
        <v>44377</v>
      </c>
      <c r="F3" s="6">
        <f>IF(DAY(JulSun1)=1,JulSun1-3,JulSun1+4)</f>
        <v>44378</v>
      </c>
      <c r="G3" s="6">
        <f>IF(DAY(JulSun1)=1,JulSun1-2,JulSun1+5)</f>
        <v>44379</v>
      </c>
      <c r="H3" s="6">
        <f>IF(DAY(JulSun1)=1,JulSun1-1,JulSun1+6)</f>
        <v>44380</v>
      </c>
      <c r="I3" s="6">
        <f>IF(DAY(JulSun1)=1,JulSun1,JulSun1+7)</f>
        <v>44381</v>
      </c>
      <c r="J3" s="43"/>
      <c r="K3" s="44"/>
      <c r="L3" s="52"/>
    </row>
    <row r="4" spans="1:12" ht="30" customHeight="1">
      <c r="A4" s="13"/>
      <c r="C4" s="6">
        <f>IF(DAY(JulSun1)=1,JulSun1+1,JulSun1+8)</f>
        <v>44382</v>
      </c>
      <c r="D4" s="6">
        <f>IF(DAY(JulSun1)=1,JulSun1+2,JulSun1+9)</f>
        <v>44383</v>
      </c>
      <c r="E4" s="6">
        <f>IF(DAY(JulSun1)=1,JulSun1+3,JulSun1+10)</f>
        <v>44384</v>
      </c>
      <c r="F4" s="6">
        <f>IF(DAY(JulSun1)=1,JulSun1+4,JulSun1+11)</f>
        <v>44385</v>
      </c>
      <c r="G4" s="6">
        <f>IF(DAY(JulSun1)=1,JulSun1+5,JulSun1+12)</f>
        <v>44386</v>
      </c>
      <c r="H4" s="6">
        <f>IF(DAY(JulSun1)=1,JulSun1+6,JulSun1+13)</f>
        <v>44387</v>
      </c>
      <c r="I4" s="6">
        <f>IF(DAY(JulSun1)=1,JulSun1+7,JulSun1+14)</f>
        <v>44388</v>
      </c>
      <c r="J4" s="43"/>
      <c r="K4" s="44"/>
      <c r="L4" s="52"/>
    </row>
    <row r="5" spans="1:12" ht="30" customHeight="1">
      <c r="A5" s="13"/>
      <c r="C5" s="6">
        <f>IF(DAY(JulSun1)=1,JulSun1+8,JulSun1+15)</f>
        <v>44389</v>
      </c>
      <c r="D5" s="6">
        <f>IF(DAY(JulSun1)=1,JulSun1+9,JulSun1+16)</f>
        <v>44390</v>
      </c>
      <c r="E5" s="6">
        <f>IF(DAY(JulSun1)=1,JulSun1+10,JulSun1+17)</f>
        <v>44391</v>
      </c>
      <c r="F5" s="6">
        <f>IF(DAY(JulSun1)=1,JulSun1+11,JulSun1+18)</f>
        <v>44392</v>
      </c>
      <c r="G5" s="6">
        <f>IF(DAY(JulSun1)=1,JulSun1+12,JulSun1+19)</f>
        <v>44393</v>
      </c>
      <c r="H5" s="6">
        <f>IF(DAY(JulSun1)=1,JulSun1+13,JulSun1+20)</f>
        <v>44394</v>
      </c>
      <c r="I5" s="6">
        <f>IF(DAY(JulSun1)=1,JulSun1+14,JulSun1+21)</f>
        <v>44395</v>
      </c>
      <c r="J5" s="43"/>
      <c r="K5" s="44"/>
      <c r="L5" s="52"/>
    </row>
    <row r="6" spans="1:12" ht="30" customHeight="1">
      <c r="A6" s="13"/>
      <c r="C6" s="6">
        <f>IF(DAY(JulSun1)=1,JulSun1+15,JulSun1+22)</f>
        <v>44396</v>
      </c>
      <c r="D6" s="6">
        <f>IF(DAY(JulSun1)=1,JulSun1+16,JulSun1+23)</f>
        <v>44397</v>
      </c>
      <c r="E6" s="6">
        <f>IF(DAY(JulSun1)=1,JulSun1+17,JulSun1+24)</f>
        <v>44398</v>
      </c>
      <c r="F6" s="6">
        <f>IF(DAY(JulSun1)=1,JulSun1+18,JulSun1+25)</f>
        <v>44399</v>
      </c>
      <c r="G6" s="6">
        <f>IF(DAY(JulSun1)=1,JulSun1+19,JulSun1+26)</f>
        <v>44400</v>
      </c>
      <c r="H6" s="6">
        <f>IF(DAY(JulSun1)=1,JulSun1+20,JulSun1+27)</f>
        <v>44401</v>
      </c>
      <c r="I6" s="6">
        <f>IF(DAY(JulSun1)=1,JulSun1+21,JulSun1+28)</f>
        <v>44402</v>
      </c>
      <c r="J6" s="43"/>
      <c r="K6" s="44"/>
      <c r="L6" s="52"/>
    </row>
    <row r="7" spans="1:12" ht="30" customHeight="1">
      <c r="A7" s="13"/>
      <c r="C7" s="6">
        <f>IF(DAY(JulSun1)=1,JulSun1+22,JulSun1+29)</f>
        <v>44403</v>
      </c>
      <c r="D7" s="6">
        <f>IF(DAY(JulSun1)=1,JulSun1+23,JulSun1+30)</f>
        <v>44404</v>
      </c>
      <c r="E7" s="6">
        <f>IF(DAY(JulSun1)=1,JulSun1+24,JulSun1+31)</f>
        <v>44405</v>
      </c>
      <c r="F7" s="6">
        <f>IF(DAY(JulSun1)=1,JulSun1+25,JulSun1+32)</f>
        <v>44406</v>
      </c>
      <c r="G7" s="6">
        <f>IF(DAY(JulSun1)=1,JulSun1+26,JulSun1+33)</f>
        <v>44407</v>
      </c>
      <c r="H7" s="6">
        <f>IF(DAY(JulSun1)=1,JulSun1+27,JulSun1+34)</f>
        <v>44408</v>
      </c>
      <c r="I7" s="6">
        <f>IF(DAY(JulSun1)=1,JulSun1+28,JulSun1+35)</f>
        <v>44409</v>
      </c>
      <c r="J7" s="54"/>
      <c r="K7" s="55"/>
      <c r="L7" s="47"/>
    </row>
    <row r="8" spans="1:12" ht="30" customHeight="1">
      <c r="A8" s="13"/>
      <c r="B8" s="18"/>
      <c r="C8" s="6">
        <f>IF(DAY(JulSun1)=1,JulSun1+29,JulSun1+36)</f>
        <v>44410</v>
      </c>
      <c r="D8" s="6">
        <f>IF(DAY(JulSun1)=1,JulSun1+30,JulSun1+37)</f>
        <v>44411</v>
      </c>
      <c r="E8" s="6">
        <f>IF(DAY(JulSun1)=1,JulSun1+31,JulSun1+38)</f>
        <v>44412</v>
      </c>
      <c r="F8" s="6">
        <f>IF(DAY(JulSun1)=1,JulSun1+32,JulSun1+39)</f>
        <v>44413</v>
      </c>
      <c r="G8" s="6">
        <f>IF(DAY(JulSun1)=1,JulSun1+33,JulSun1+40)</f>
        <v>44414</v>
      </c>
      <c r="H8" s="6">
        <f>IF(DAY(JulSun1)=1,JulSun1+34,JulSun1+41)</f>
        <v>44415</v>
      </c>
      <c r="I8" s="6">
        <f>IF(DAY(JulSun1)=1,JulSun1+35,JulSun1+42)</f>
        <v>44416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54"/>
      <c r="K13" s="55"/>
      <c r="L13" s="47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54"/>
      <c r="K19" s="55"/>
      <c r="L19" s="56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54"/>
      <c r="K25" s="55"/>
      <c r="L25" s="56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20"/>
      <c r="J26" s="40" t="s">
        <v>8</v>
      </c>
      <c r="K26" s="41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68"/>
      <c r="D30" s="68"/>
      <c r="E30" s="68"/>
      <c r="F30" s="68"/>
      <c r="G30" s="68"/>
      <c r="H30" s="68"/>
      <c r="I30" s="20"/>
      <c r="J30" s="43"/>
      <c r="K30" s="44"/>
      <c r="L30" s="52"/>
    </row>
    <row r="31" spans="1:12" ht="30" customHeight="1">
      <c r="A31" s="26" t="s">
        <v>39</v>
      </c>
      <c r="B31" s="30"/>
      <c r="C31" s="69"/>
      <c r="D31" s="69"/>
      <c r="E31" s="69"/>
      <c r="F31" s="69"/>
      <c r="G31" s="69"/>
      <c r="H31" s="69"/>
      <c r="I31" s="31"/>
      <c r="J31" s="48"/>
      <c r="K31" s="49"/>
      <c r="L31" s="57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43" priority="6" stopIfTrue="1">
      <formula>DAY(C3)&gt;8</formula>
    </cfRule>
  </conditionalFormatting>
  <conditionalFormatting sqref="C7:I8">
    <cfRule type="expression" dxfId="42" priority="5" stopIfTrue="1">
      <formula>AND(DAY(C7)&gt;=1,DAY(C7)&lt;=15)</formula>
    </cfRule>
  </conditionalFormatting>
  <conditionalFormatting sqref="C3:I8">
    <cfRule type="expression" dxfId="41" priority="7">
      <formula>VLOOKUP(DAY(C3),AssignmentDays,1,FALSE)=DAY(C3)</formula>
    </cfRule>
  </conditionalFormatting>
  <conditionalFormatting sqref="B12:I12 B14:I14 B16:I16 B18:I18 B20:I20 B22:I22 B24:I24 B26:I26 B28:I28 B30:I30">
    <cfRule type="expression" dxfId="40" priority="4">
      <formula>B12&lt;&gt;""</formula>
    </cfRule>
  </conditionalFormatting>
  <conditionalFormatting sqref="B13:I13 B15:I15 B17:I17 B19:I19 B21:I21 B23:I23 B25:I25 B27:I27 B29:I29 B31:I31">
    <cfRule type="expression" dxfId="39" priority="3">
      <formula>B13&lt;&gt;""</formula>
    </cfRule>
  </conditionalFormatting>
  <conditionalFormatting sqref="B13:I13 B15:I15 B17:I17 B19:I19 B21:I21 B23:I23 B25:I25 B27:I27 B29:I29">
    <cfRule type="expression" dxfId="38" priority="2">
      <formula>COLUMN(B13)&gt;=2</formula>
    </cfRule>
  </conditionalFormatting>
  <conditionalFormatting sqref="B12:I31">
    <cfRule type="expression" dxfId="37" priority="1">
      <formula>COLUMN(B12)&gt;2</formula>
    </cfRule>
  </conditionalFormatting>
  <dataValidations xWindow="239" yWindow="583"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July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6" sqref="L6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6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1" t="s">
        <v>25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62"/>
      <c r="L2" s="51"/>
    </row>
    <row r="3" spans="1:12" ht="30" customHeight="1">
      <c r="A3" s="13"/>
      <c r="C3" s="6">
        <f>IF(DAY(AugSun1)=1,AugSun1-6,AugSun1+1)</f>
        <v>44403</v>
      </c>
      <c r="D3" s="6">
        <f>IF(DAY(AugSun1)=1,AugSun1-5,AugSun1+2)</f>
        <v>44404</v>
      </c>
      <c r="E3" s="6">
        <f>IF(DAY(AugSun1)=1,AugSun1-4,AugSun1+3)</f>
        <v>44405</v>
      </c>
      <c r="F3" s="6">
        <f>IF(DAY(AugSun1)=1,AugSun1-3,AugSun1+4)</f>
        <v>44406</v>
      </c>
      <c r="G3" s="6">
        <f>IF(DAY(AugSun1)=1,AugSun1-2,AugSun1+5)</f>
        <v>44407</v>
      </c>
      <c r="H3" s="6">
        <f>IF(DAY(AugSun1)=1,AugSun1-1,AugSun1+6)</f>
        <v>44408</v>
      </c>
      <c r="I3" s="6">
        <f>IF(DAY(AugSun1)=1,AugSun1,AugSun1+7)</f>
        <v>44409</v>
      </c>
      <c r="J3" s="43"/>
      <c r="K3" s="63"/>
      <c r="L3" s="52"/>
    </row>
    <row r="4" spans="1:12" ht="30" customHeight="1">
      <c r="A4" s="13"/>
      <c r="C4" s="6">
        <f>IF(DAY(AugSun1)=1,AugSun1+1,AugSun1+8)</f>
        <v>44410</v>
      </c>
      <c r="D4" s="6">
        <f>IF(DAY(AugSun1)=1,AugSun1+2,AugSun1+9)</f>
        <v>44411</v>
      </c>
      <c r="E4" s="6">
        <f>IF(DAY(AugSun1)=1,AugSun1+3,AugSun1+10)</f>
        <v>44412</v>
      </c>
      <c r="F4" s="6">
        <f>IF(DAY(AugSun1)=1,AugSun1+4,AugSun1+11)</f>
        <v>44413</v>
      </c>
      <c r="G4" s="6">
        <f>IF(DAY(AugSun1)=1,AugSun1+5,AugSun1+12)</f>
        <v>44414</v>
      </c>
      <c r="H4" s="6">
        <f>IF(DAY(AugSun1)=1,AugSun1+6,AugSun1+13)</f>
        <v>44415</v>
      </c>
      <c r="I4" s="6">
        <f>IF(DAY(AugSun1)=1,AugSun1+7,AugSun1+14)</f>
        <v>44416</v>
      </c>
      <c r="J4" s="43"/>
      <c r="K4" s="63"/>
      <c r="L4" s="52"/>
    </row>
    <row r="5" spans="1:12" ht="30" customHeight="1">
      <c r="A5" s="13"/>
      <c r="C5" s="6">
        <f>IF(DAY(AugSun1)=1,AugSun1+8,AugSun1+15)</f>
        <v>44417</v>
      </c>
      <c r="D5" s="6">
        <f>IF(DAY(AugSun1)=1,AugSun1+9,AugSun1+16)</f>
        <v>44418</v>
      </c>
      <c r="E5" s="6">
        <f>IF(DAY(AugSun1)=1,AugSun1+10,AugSun1+17)</f>
        <v>44419</v>
      </c>
      <c r="F5" s="6">
        <f>IF(DAY(AugSun1)=1,AugSun1+11,AugSun1+18)</f>
        <v>44420</v>
      </c>
      <c r="G5" s="6">
        <f>IF(DAY(AugSun1)=1,AugSun1+12,AugSun1+19)</f>
        <v>44421</v>
      </c>
      <c r="H5" s="6">
        <f>IF(DAY(AugSun1)=1,AugSun1+13,AugSun1+20)</f>
        <v>44422</v>
      </c>
      <c r="I5" s="6">
        <f>IF(DAY(AugSun1)=1,AugSun1+14,AugSun1+21)</f>
        <v>44423</v>
      </c>
      <c r="J5" s="43"/>
      <c r="K5" s="63"/>
      <c r="L5" s="52"/>
    </row>
    <row r="6" spans="1:12" ht="30" customHeight="1">
      <c r="A6" s="13"/>
      <c r="C6" s="6">
        <f>IF(DAY(AugSun1)=1,AugSun1+15,AugSun1+22)</f>
        <v>44424</v>
      </c>
      <c r="D6" s="6">
        <f>IF(DAY(AugSun1)=1,AugSun1+16,AugSun1+23)</f>
        <v>44425</v>
      </c>
      <c r="E6" s="6">
        <f>IF(DAY(AugSun1)=1,AugSun1+17,AugSun1+24)</f>
        <v>44426</v>
      </c>
      <c r="F6" s="6">
        <f>IF(DAY(AugSun1)=1,AugSun1+18,AugSun1+25)</f>
        <v>44427</v>
      </c>
      <c r="G6" s="6">
        <f>IF(DAY(AugSun1)=1,AugSun1+19,AugSun1+26)</f>
        <v>44428</v>
      </c>
      <c r="H6" s="6">
        <f>IF(DAY(AugSun1)=1,AugSun1+20,AugSun1+27)</f>
        <v>44429</v>
      </c>
      <c r="I6" s="6">
        <f>IF(DAY(AugSun1)=1,AugSun1+21,AugSun1+28)</f>
        <v>44430</v>
      </c>
      <c r="J6" s="43"/>
      <c r="K6" s="63"/>
      <c r="L6" s="52"/>
    </row>
    <row r="7" spans="1:12" ht="30" customHeight="1">
      <c r="A7" s="13"/>
      <c r="C7" s="6">
        <f>IF(DAY(AugSun1)=1,AugSun1+22,AugSun1+29)</f>
        <v>44431</v>
      </c>
      <c r="D7" s="6">
        <f>IF(DAY(AugSun1)=1,AugSun1+23,AugSun1+30)</f>
        <v>44432</v>
      </c>
      <c r="E7" s="6">
        <f>IF(DAY(AugSun1)=1,AugSun1+24,AugSun1+31)</f>
        <v>44433</v>
      </c>
      <c r="F7" s="6">
        <f>IF(DAY(AugSun1)=1,AugSun1+25,AugSun1+32)</f>
        <v>44434</v>
      </c>
      <c r="G7" s="6">
        <f>IF(DAY(AugSun1)=1,AugSun1+26,AugSun1+33)</f>
        <v>44435</v>
      </c>
      <c r="H7" s="6">
        <f>IF(DAY(AugSun1)=1,AugSun1+27,AugSun1+34)</f>
        <v>44436</v>
      </c>
      <c r="I7" s="6">
        <f>IF(DAY(AugSun1)=1,AugSun1+28,AugSun1+35)</f>
        <v>44437</v>
      </c>
      <c r="J7" s="43"/>
      <c r="K7" s="55"/>
      <c r="L7" s="47"/>
    </row>
    <row r="8" spans="1:12" ht="30" customHeight="1">
      <c r="A8" s="13"/>
      <c r="B8" s="18"/>
      <c r="C8" s="6">
        <f>IF(DAY(AugSun1)=1,AugSun1+29,AugSun1+36)</f>
        <v>44438</v>
      </c>
      <c r="D8" s="6">
        <f>IF(DAY(AugSun1)=1,AugSun1+30,AugSun1+37)</f>
        <v>44439</v>
      </c>
      <c r="E8" s="6">
        <f>IF(DAY(AugSun1)=1,AugSun1+31,AugSun1+38)</f>
        <v>44440</v>
      </c>
      <c r="F8" s="6">
        <f>IF(DAY(AugSun1)=1,AugSun1+32,AugSun1+39)</f>
        <v>44441</v>
      </c>
      <c r="G8" s="6">
        <f>IF(DAY(AugSun1)=1,AugSun1+33,AugSun1+40)</f>
        <v>44442</v>
      </c>
      <c r="H8" s="6">
        <f>IF(DAY(AugSun1)=1,AugSun1+34,AugSun1+41)</f>
        <v>44443</v>
      </c>
      <c r="I8" s="6">
        <f>IF(DAY(AugSun1)=1,AugSun1+35,AugSun1+42)</f>
        <v>44444</v>
      </c>
      <c r="J8" s="40" t="s">
        <v>30</v>
      </c>
      <c r="K8" s="62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63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63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63"/>
      <c r="L11" s="52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63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43"/>
      <c r="K13" s="55"/>
      <c r="L13" s="47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20"/>
      <c r="J14" s="40" t="s">
        <v>6</v>
      </c>
      <c r="K14" s="62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63"/>
      <c r="L15" s="52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24" t="s">
        <v>13</v>
      </c>
      <c r="J16" s="43"/>
      <c r="K16" s="63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63"/>
      <c r="L17" s="52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20"/>
      <c r="J18" s="43"/>
      <c r="K18" s="63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43"/>
      <c r="K19" s="55"/>
      <c r="L19" s="56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20"/>
      <c r="J20" s="40" t="s">
        <v>31</v>
      </c>
      <c r="K20" s="62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63"/>
      <c r="L21" s="52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20"/>
      <c r="J22" s="43"/>
      <c r="K22" s="63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63"/>
      <c r="L23" s="52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20" t="s">
        <v>15</v>
      </c>
      <c r="J24" s="43"/>
      <c r="K24" s="63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43"/>
      <c r="K25" s="55"/>
      <c r="L25" s="56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20"/>
      <c r="J26" s="40" t="s">
        <v>8</v>
      </c>
      <c r="K26" s="62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63"/>
      <c r="L27" s="52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20"/>
      <c r="J28" s="43"/>
      <c r="K28" s="63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63"/>
      <c r="L29" s="52"/>
    </row>
    <row r="30" spans="1:12" ht="30" customHeight="1">
      <c r="A30" s="26" t="s">
        <v>38</v>
      </c>
      <c r="B30" s="19"/>
      <c r="C30" s="68"/>
      <c r="D30" s="68"/>
      <c r="E30" s="68"/>
      <c r="F30" s="68"/>
      <c r="G30" s="68"/>
      <c r="H30" s="68"/>
      <c r="I30" s="20"/>
      <c r="J30" s="43"/>
      <c r="K30" s="63"/>
      <c r="L30" s="52"/>
    </row>
    <row r="31" spans="1:12" ht="30" customHeight="1">
      <c r="A31" s="26" t="s">
        <v>39</v>
      </c>
      <c r="B31" s="36"/>
      <c r="C31" s="72"/>
      <c r="D31" s="72"/>
      <c r="E31" s="72"/>
      <c r="F31" s="72"/>
      <c r="G31" s="72"/>
      <c r="H31" s="72"/>
      <c r="I31" s="37"/>
      <c r="J31" s="48"/>
      <c r="K31" s="64"/>
      <c r="L31" s="57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36" priority="6" stopIfTrue="1">
      <formula>DAY(C3)&gt;8</formula>
    </cfRule>
  </conditionalFormatting>
  <conditionalFormatting sqref="C7:I8">
    <cfRule type="expression" dxfId="35" priority="5" stopIfTrue="1">
      <formula>AND(DAY(C7)&gt;=1,DAY(C7)&lt;=15)</formula>
    </cfRule>
  </conditionalFormatting>
  <conditionalFormatting sqref="C3:I8">
    <cfRule type="expression" dxfId="34" priority="7">
      <formula>VLOOKUP(DAY(C3),AssignmentDays,1,FALSE)=DAY(C3)</formula>
    </cfRule>
  </conditionalFormatting>
  <conditionalFormatting sqref="B12:I12 B14:I14 B16:I16 B18:I18 B20:I20 B22:I22 B24:I24 B26:I26 B28:I28 B30:I30">
    <cfRule type="expression" dxfId="33" priority="4">
      <formula>B12&lt;&gt;""</formula>
    </cfRule>
  </conditionalFormatting>
  <conditionalFormatting sqref="B13:I13 B15:I15 B17:I17 B19:I19 B21:I21 B23:I23 B25:I25 B27:I27 B29:I29 B31:I31">
    <cfRule type="expression" dxfId="32" priority="3">
      <formula>B12&lt;&gt;""</formula>
    </cfRule>
  </conditionalFormatting>
  <conditionalFormatting sqref="B13:I13 B15:I15 B17:I17 B19:I19 B21:I21 B23:I23 B25:I25 B27:I27 B29:I29">
    <cfRule type="expression" dxfId="31" priority="2">
      <formula>COLUMN(B13)&gt;=2</formula>
    </cfRule>
  </conditionalFormatting>
  <conditionalFormatting sqref="B12:I31">
    <cfRule type="expression" dxfId="30" priority="1">
      <formula>COLUMN(B12)&gt;2</formula>
    </cfRule>
  </conditionalFormatting>
  <dataValidations xWindow="132" yWindow="585" count="13">
    <dataValidation allowBlank="1" showInputMessage="1" showErrorMessage="1" prompt="August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L6" sqref="L6"/>
    </sheetView>
  </sheetViews>
  <sheetFormatPr defaultColWidth="8.59765625" defaultRowHeight="30" customHeight="1"/>
  <cols>
    <col min="1" max="1" width="2.59765625" style="1" customWidth="1"/>
    <col min="2" max="2" width="20.59765625" style="16" customWidth="1"/>
    <col min="3" max="8" width="10.59765625" style="1" customWidth="1"/>
    <col min="9" max="9" width="20.59765625" style="1" customWidth="1"/>
    <col min="10" max="10" width="10.59765625" style="16" customWidth="1"/>
    <col min="11" max="11" width="10.59765625" style="2" customWidth="1"/>
    <col min="12" max="12" width="70.59765625" style="1" customWidth="1"/>
    <col min="13" max="13" width="2.59765625" customWidth="1"/>
  </cols>
  <sheetData>
    <row r="1" spans="1:12" ht="30" customHeight="1">
      <c r="A1" s="16"/>
      <c r="B1" s="12">
        <f>CalendarYear</f>
        <v>2021</v>
      </c>
      <c r="J1" s="38" t="s">
        <v>36</v>
      </c>
      <c r="K1" s="38" t="s">
        <v>37</v>
      </c>
      <c r="L1" s="39" t="s">
        <v>1</v>
      </c>
    </row>
    <row r="2" spans="1:12" ht="30" customHeight="1">
      <c r="A2" s="13"/>
      <c r="B2" s="21" t="s">
        <v>26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0" t="s">
        <v>2</v>
      </c>
      <c r="K2" s="41"/>
      <c r="L2" s="51"/>
    </row>
    <row r="3" spans="1:12" ht="30" customHeight="1">
      <c r="A3" s="13"/>
      <c r="C3" s="6">
        <f>IF(DAY(SepSun1)=1,SepSun1-6,SepSun1+1)</f>
        <v>44438</v>
      </c>
      <c r="D3" s="6">
        <f>IF(DAY(SepSun1)=1,SepSun1-5,SepSun1+2)</f>
        <v>44439</v>
      </c>
      <c r="E3" s="6">
        <f>IF(DAY(SepSun1)=1,SepSun1-4,SepSun1+3)</f>
        <v>44440</v>
      </c>
      <c r="F3" s="6">
        <f>IF(DAY(SepSun1)=1,SepSun1-3,SepSun1+4)</f>
        <v>44441</v>
      </c>
      <c r="G3" s="6">
        <f>IF(DAY(SepSun1)=1,SepSun1-2,SepSun1+5)</f>
        <v>44442</v>
      </c>
      <c r="H3" s="6">
        <f>IF(DAY(SepSun1)=1,SepSun1-1,SepSun1+6)</f>
        <v>44443</v>
      </c>
      <c r="I3" s="6">
        <f>IF(DAY(SepSun1)=1,SepSun1,SepSun1+7)</f>
        <v>44444</v>
      </c>
      <c r="J3" s="43"/>
      <c r="K3" s="44"/>
      <c r="L3" s="52"/>
    </row>
    <row r="4" spans="1:12" ht="30" customHeight="1">
      <c r="A4" s="13"/>
      <c r="C4" s="6">
        <f>IF(DAY(SepSun1)=1,SepSun1+1,SepSun1+8)</f>
        <v>44445</v>
      </c>
      <c r="D4" s="6">
        <f>IF(DAY(SepSun1)=1,SepSun1+2,SepSun1+9)</f>
        <v>44446</v>
      </c>
      <c r="E4" s="6">
        <f>IF(DAY(SepSun1)=1,SepSun1+3,SepSun1+10)</f>
        <v>44447</v>
      </c>
      <c r="F4" s="6">
        <f>IF(DAY(SepSun1)=1,SepSun1+4,SepSun1+11)</f>
        <v>44448</v>
      </c>
      <c r="G4" s="6">
        <f>IF(DAY(SepSun1)=1,SepSun1+5,SepSun1+12)</f>
        <v>44449</v>
      </c>
      <c r="H4" s="6">
        <f>IF(DAY(SepSun1)=1,SepSun1+6,SepSun1+13)</f>
        <v>44450</v>
      </c>
      <c r="I4" s="6">
        <f>IF(DAY(SepSun1)=1,SepSun1+7,SepSun1+14)</f>
        <v>44451</v>
      </c>
      <c r="J4" s="43"/>
      <c r="K4" s="44"/>
      <c r="L4" s="52"/>
    </row>
    <row r="5" spans="1:12" ht="30" customHeight="1">
      <c r="A5" s="13"/>
      <c r="C5" s="6">
        <f>IF(DAY(SepSun1)=1,SepSun1+8,SepSun1+15)</f>
        <v>44452</v>
      </c>
      <c r="D5" s="6">
        <f>IF(DAY(SepSun1)=1,SepSun1+9,SepSun1+16)</f>
        <v>44453</v>
      </c>
      <c r="E5" s="6">
        <f>IF(DAY(SepSun1)=1,SepSun1+10,SepSun1+17)</f>
        <v>44454</v>
      </c>
      <c r="F5" s="6">
        <f>IF(DAY(SepSun1)=1,SepSun1+11,SepSun1+18)</f>
        <v>44455</v>
      </c>
      <c r="G5" s="6">
        <f>IF(DAY(SepSun1)=1,SepSun1+12,SepSun1+19)</f>
        <v>44456</v>
      </c>
      <c r="H5" s="6">
        <f>IF(DAY(SepSun1)=1,SepSun1+13,SepSun1+20)</f>
        <v>44457</v>
      </c>
      <c r="I5" s="6">
        <f>IF(DAY(SepSun1)=1,SepSun1+14,SepSun1+21)</f>
        <v>44458</v>
      </c>
      <c r="J5" s="43"/>
      <c r="K5" s="44"/>
      <c r="L5" s="52"/>
    </row>
    <row r="6" spans="1:12" ht="30" customHeight="1">
      <c r="A6" s="13"/>
      <c r="C6" s="6">
        <f>IF(DAY(SepSun1)=1,SepSun1+15,SepSun1+22)</f>
        <v>44459</v>
      </c>
      <c r="D6" s="6">
        <f>IF(DAY(SepSun1)=1,SepSun1+16,SepSun1+23)</f>
        <v>44460</v>
      </c>
      <c r="E6" s="6">
        <f>IF(DAY(SepSun1)=1,SepSun1+17,SepSun1+24)</f>
        <v>44461</v>
      </c>
      <c r="F6" s="6">
        <f>IF(DAY(SepSun1)=1,SepSun1+18,SepSun1+25)</f>
        <v>44462</v>
      </c>
      <c r="G6" s="6">
        <f>IF(DAY(SepSun1)=1,SepSun1+19,SepSun1+26)</f>
        <v>44463</v>
      </c>
      <c r="H6" s="6">
        <f>IF(DAY(SepSun1)=1,SepSun1+20,SepSun1+27)</f>
        <v>44464</v>
      </c>
      <c r="I6" s="6">
        <f>IF(DAY(SepSun1)=1,SepSun1+21,SepSun1+28)</f>
        <v>44465</v>
      </c>
      <c r="J6" s="43"/>
      <c r="K6" s="44"/>
      <c r="L6" s="52"/>
    </row>
    <row r="7" spans="1:12" ht="30" customHeight="1">
      <c r="A7" s="13"/>
      <c r="C7" s="6">
        <f>IF(DAY(SepSun1)=1,SepSun1+22,SepSun1+29)</f>
        <v>44466</v>
      </c>
      <c r="D7" s="6">
        <f>IF(DAY(SepSun1)=1,SepSun1+23,SepSun1+30)</f>
        <v>44467</v>
      </c>
      <c r="E7" s="6">
        <f>IF(DAY(SepSun1)=1,SepSun1+24,SepSun1+31)</f>
        <v>44468</v>
      </c>
      <c r="F7" s="6">
        <f>IF(DAY(SepSun1)=1,SepSun1+25,SepSun1+32)</f>
        <v>44469</v>
      </c>
      <c r="G7" s="6">
        <f>IF(DAY(SepSun1)=1,SepSun1+26,SepSun1+33)</f>
        <v>44470</v>
      </c>
      <c r="H7" s="6">
        <f>IF(DAY(SepSun1)=1,SepSun1+27,SepSun1+34)</f>
        <v>44471</v>
      </c>
      <c r="I7" s="6">
        <f>IF(DAY(SepSun1)=1,SepSun1+28,SepSun1+35)</f>
        <v>44472</v>
      </c>
      <c r="J7" s="54"/>
      <c r="K7" s="55"/>
      <c r="L7" s="47"/>
    </row>
    <row r="8" spans="1:12" ht="30" customHeight="1">
      <c r="A8" s="13"/>
      <c r="B8" s="18"/>
      <c r="C8" s="6">
        <f>IF(DAY(SepSun1)=1,SepSun1+29,SepSun1+36)</f>
        <v>44473</v>
      </c>
      <c r="D8" s="6">
        <f>IF(DAY(SepSun1)=1,SepSun1+30,SepSun1+37)</f>
        <v>44474</v>
      </c>
      <c r="E8" s="6">
        <f>IF(DAY(SepSun1)=1,SepSun1+31,SepSun1+38)</f>
        <v>44475</v>
      </c>
      <c r="F8" s="6">
        <f>IF(DAY(SepSun1)=1,SepSun1+32,SepSun1+39)</f>
        <v>44476</v>
      </c>
      <c r="G8" s="6">
        <f>IF(DAY(SepSun1)=1,SepSun1+33,SepSun1+40)</f>
        <v>44477</v>
      </c>
      <c r="H8" s="6">
        <f>IF(DAY(SepSun1)=1,SepSun1+34,SepSun1+41)</f>
        <v>44478</v>
      </c>
      <c r="I8" s="6">
        <f>IF(DAY(SepSun1)=1,SepSun1+35,SepSun1+42)</f>
        <v>44479</v>
      </c>
      <c r="J8" s="40" t="s">
        <v>30</v>
      </c>
      <c r="K8" s="41"/>
      <c r="L8" s="51"/>
    </row>
    <row r="9" spans="1:12" ht="30" customHeight="1">
      <c r="A9" s="13"/>
      <c r="C9" s="4"/>
      <c r="D9" s="4"/>
      <c r="E9" s="4"/>
      <c r="F9" s="4"/>
      <c r="G9" s="4"/>
      <c r="H9" s="4"/>
      <c r="I9" s="4"/>
      <c r="J9" s="43"/>
      <c r="K9" s="44"/>
      <c r="L9" s="52"/>
    </row>
    <row r="10" spans="1:12" ht="30" customHeight="1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43"/>
      <c r="K10" s="44"/>
      <c r="L10" s="52"/>
    </row>
    <row r="11" spans="1:12" ht="30" customHeight="1">
      <c r="A11" s="26" t="s">
        <v>40</v>
      </c>
      <c r="B11" s="25" t="s">
        <v>2</v>
      </c>
      <c r="C11" s="65" t="s">
        <v>4</v>
      </c>
      <c r="D11" s="66"/>
      <c r="E11" s="65" t="s">
        <v>6</v>
      </c>
      <c r="F11" s="66"/>
      <c r="G11" s="65" t="s">
        <v>7</v>
      </c>
      <c r="H11" s="66"/>
      <c r="I11" s="3" t="s">
        <v>8</v>
      </c>
      <c r="J11" s="43"/>
      <c r="K11" s="44"/>
      <c r="L11" s="52"/>
    </row>
    <row r="12" spans="1:12" ht="30" customHeight="1">
      <c r="A12" s="26" t="s">
        <v>38</v>
      </c>
      <c r="B12" s="19" t="s">
        <v>9</v>
      </c>
      <c r="C12" s="68"/>
      <c r="D12" s="68"/>
      <c r="E12" s="68" t="s">
        <v>9</v>
      </c>
      <c r="F12" s="68"/>
      <c r="G12" s="68"/>
      <c r="H12" s="68"/>
      <c r="I12" s="20" t="s">
        <v>9</v>
      </c>
      <c r="J12" s="43"/>
      <c r="K12" s="44"/>
      <c r="L12" s="52"/>
    </row>
    <row r="13" spans="1:12" ht="30" customHeight="1">
      <c r="A13" s="26" t="s">
        <v>39</v>
      </c>
      <c r="B13" s="27" t="s">
        <v>10</v>
      </c>
      <c r="C13" s="67"/>
      <c r="D13" s="67"/>
      <c r="E13" s="67" t="s">
        <v>10</v>
      </c>
      <c r="F13" s="67"/>
      <c r="G13" s="67"/>
      <c r="H13" s="67"/>
      <c r="I13" s="33" t="s">
        <v>10</v>
      </c>
      <c r="J13" s="54"/>
      <c r="K13" s="55"/>
      <c r="L13" s="47"/>
    </row>
    <row r="14" spans="1:12" ht="30" customHeight="1">
      <c r="A14" s="26" t="s">
        <v>38</v>
      </c>
      <c r="B14" s="19"/>
      <c r="C14" s="68" t="s">
        <v>11</v>
      </c>
      <c r="D14" s="68"/>
      <c r="E14" s="68"/>
      <c r="F14" s="68"/>
      <c r="G14" s="68" t="s">
        <v>11</v>
      </c>
      <c r="H14" s="68"/>
      <c r="I14" s="20"/>
      <c r="J14" s="40" t="s">
        <v>6</v>
      </c>
      <c r="K14" s="41"/>
      <c r="L14" s="51"/>
    </row>
    <row r="15" spans="1:12" ht="30" customHeight="1">
      <c r="A15" s="26" t="s">
        <v>39</v>
      </c>
      <c r="B15" s="27"/>
      <c r="C15" s="67" t="s">
        <v>12</v>
      </c>
      <c r="D15" s="67"/>
      <c r="E15" s="67"/>
      <c r="F15" s="67"/>
      <c r="G15" s="67" t="s">
        <v>12</v>
      </c>
      <c r="H15" s="67"/>
      <c r="I15" s="33"/>
      <c r="J15" s="43"/>
      <c r="K15" s="44"/>
      <c r="L15" s="52"/>
    </row>
    <row r="16" spans="1:12" ht="30" customHeight="1">
      <c r="A16" s="26" t="s">
        <v>38</v>
      </c>
      <c r="B16" s="19" t="s">
        <v>13</v>
      </c>
      <c r="C16" s="68"/>
      <c r="D16" s="68"/>
      <c r="E16" s="68" t="s">
        <v>13</v>
      </c>
      <c r="F16" s="68"/>
      <c r="G16" s="68"/>
      <c r="H16" s="68"/>
      <c r="I16" s="24" t="s">
        <v>13</v>
      </c>
      <c r="J16" s="43"/>
      <c r="K16" s="44"/>
      <c r="L16" s="52"/>
    </row>
    <row r="17" spans="1:12" ht="30" customHeight="1">
      <c r="A17" s="26" t="s">
        <v>39</v>
      </c>
      <c r="B17" s="27" t="s">
        <v>14</v>
      </c>
      <c r="C17" s="67"/>
      <c r="D17" s="67"/>
      <c r="E17" s="67" t="s">
        <v>14</v>
      </c>
      <c r="F17" s="67"/>
      <c r="G17" s="67"/>
      <c r="H17" s="67"/>
      <c r="I17" s="33" t="s">
        <v>14</v>
      </c>
      <c r="J17" s="43"/>
      <c r="K17" s="44"/>
      <c r="L17" s="52"/>
    </row>
    <row r="18" spans="1:12" ht="30" customHeight="1">
      <c r="A18" s="26" t="s">
        <v>38</v>
      </c>
      <c r="B18" s="19"/>
      <c r="C18" s="68"/>
      <c r="D18" s="68"/>
      <c r="E18" s="68"/>
      <c r="F18" s="68"/>
      <c r="G18" s="68"/>
      <c r="H18" s="68"/>
      <c r="I18" s="20"/>
      <c r="J18" s="43"/>
      <c r="K18" s="44"/>
      <c r="L18" s="52"/>
    </row>
    <row r="19" spans="1:12" ht="30" customHeight="1">
      <c r="A19" s="26" t="s">
        <v>39</v>
      </c>
      <c r="B19" s="27"/>
      <c r="C19" s="67"/>
      <c r="D19" s="67"/>
      <c r="E19" s="67"/>
      <c r="F19" s="67"/>
      <c r="G19" s="67"/>
      <c r="H19" s="67"/>
      <c r="I19" s="34"/>
      <c r="J19" s="54"/>
      <c r="K19" s="55"/>
      <c r="L19" s="56"/>
    </row>
    <row r="20" spans="1:12" ht="30" customHeight="1">
      <c r="A20" s="26" t="s">
        <v>38</v>
      </c>
      <c r="B20" s="19"/>
      <c r="C20" s="68"/>
      <c r="D20" s="68"/>
      <c r="E20" s="68"/>
      <c r="F20" s="68"/>
      <c r="G20" s="68"/>
      <c r="H20" s="68"/>
      <c r="I20" s="20"/>
      <c r="J20" s="40" t="s">
        <v>31</v>
      </c>
      <c r="K20" s="41"/>
      <c r="L20" s="51"/>
    </row>
    <row r="21" spans="1:12" ht="30" customHeight="1">
      <c r="A21" s="26" t="s">
        <v>39</v>
      </c>
      <c r="B21" s="27"/>
      <c r="C21" s="67"/>
      <c r="D21" s="67"/>
      <c r="E21" s="67"/>
      <c r="F21" s="67"/>
      <c r="G21" s="67"/>
      <c r="H21" s="67"/>
      <c r="I21" s="33"/>
      <c r="J21" s="43"/>
      <c r="K21" s="44"/>
      <c r="L21" s="52"/>
    </row>
    <row r="22" spans="1:12" ht="30" customHeight="1">
      <c r="A22" s="26" t="s">
        <v>38</v>
      </c>
      <c r="B22" s="19"/>
      <c r="C22" s="68"/>
      <c r="D22" s="68"/>
      <c r="E22" s="68"/>
      <c r="F22" s="68"/>
      <c r="G22" s="68"/>
      <c r="H22" s="68"/>
      <c r="I22" s="20"/>
      <c r="J22" s="43"/>
      <c r="K22" s="44"/>
      <c r="L22" s="52"/>
    </row>
    <row r="23" spans="1:12" ht="30" customHeight="1">
      <c r="A23" s="26" t="s">
        <v>39</v>
      </c>
      <c r="B23" s="27"/>
      <c r="C23" s="67"/>
      <c r="D23" s="67"/>
      <c r="E23" s="67"/>
      <c r="F23" s="67"/>
      <c r="G23" s="67"/>
      <c r="H23" s="67"/>
      <c r="I23" s="33"/>
      <c r="J23" s="43"/>
      <c r="K23" s="44"/>
      <c r="L23" s="52"/>
    </row>
    <row r="24" spans="1:12" ht="30" customHeight="1">
      <c r="A24" s="26" t="s">
        <v>38</v>
      </c>
      <c r="B24" s="19" t="s">
        <v>15</v>
      </c>
      <c r="C24" s="68"/>
      <c r="D24" s="68"/>
      <c r="E24" s="68" t="s">
        <v>15</v>
      </c>
      <c r="F24" s="68"/>
      <c r="G24" s="68"/>
      <c r="H24" s="68"/>
      <c r="I24" s="20" t="s">
        <v>15</v>
      </c>
      <c r="J24" s="43"/>
      <c r="K24" s="44"/>
      <c r="L24" s="52"/>
    </row>
    <row r="25" spans="1:12" ht="30" customHeight="1">
      <c r="A25" s="26" t="s">
        <v>39</v>
      </c>
      <c r="B25" s="27" t="s">
        <v>16</v>
      </c>
      <c r="C25" s="67"/>
      <c r="D25" s="67"/>
      <c r="E25" s="67" t="s">
        <v>16</v>
      </c>
      <c r="F25" s="67"/>
      <c r="G25" s="67"/>
      <c r="H25" s="67"/>
      <c r="I25" s="33" t="s">
        <v>16</v>
      </c>
      <c r="J25" s="54"/>
      <c r="K25" s="55"/>
      <c r="L25" s="56"/>
    </row>
    <row r="26" spans="1:12" ht="30" customHeight="1">
      <c r="A26" s="26" t="s">
        <v>38</v>
      </c>
      <c r="B26" s="19"/>
      <c r="C26" s="68"/>
      <c r="D26" s="68"/>
      <c r="E26" s="68"/>
      <c r="F26" s="68"/>
      <c r="G26" s="68"/>
      <c r="H26" s="68"/>
      <c r="I26" s="20"/>
      <c r="J26" s="40" t="s">
        <v>8</v>
      </c>
      <c r="K26" s="41"/>
      <c r="L26" s="51"/>
    </row>
    <row r="27" spans="1:12" ht="30" customHeight="1">
      <c r="A27" s="26" t="s">
        <v>39</v>
      </c>
      <c r="B27" s="27"/>
      <c r="C27" s="67"/>
      <c r="D27" s="67"/>
      <c r="E27" s="67"/>
      <c r="F27" s="67"/>
      <c r="G27" s="67"/>
      <c r="H27" s="67"/>
      <c r="I27" s="33"/>
      <c r="J27" s="43"/>
      <c r="K27" s="44"/>
      <c r="L27" s="52"/>
    </row>
    <row r="28" spans="1:12" ht="30" customHeight="1">
      <c r="A28" s="26" t="s">
        <v>38</v>
      </c>
      <c r="B28" s="19"/>
      <c r="C28" s="68" t="s">
        <v>17</v>
      </c>
      <c r="D28" s="68"/>
      <c r="E28" s="68"/>
      <c r="F28" s="68"/>
      <c r="G28" s="68" t="s">
        <v>17</v>
      </c>
      <c r="H28" s="68"/>
      <c r="I28" s="20"/>
      <c r="J28" s="43"/>
      <c r="K28" s="44"/>
      <c r="L28" s="52"/>
    </row>
    <row r="29" spans="1:12" ht="30" customHeight="1">
      <c r="A29" s="26" t="s">
        <v>39</v>
      </c>
      <c r="B29" s="27"/>
      <c r="C29" s="67" t="s">
        <v>18</v>
      </c>
      <c r="D29" s="67"/>
      <c r="E29" s="67"/>
      <c r="F29" s="67"/>
      <c r="G29" s="67" t="s">
        <v>18</v>
      </c>
      <c r="H29" s="67"/>
      <c r="I29" s="33"/>
      <c r="J29" s="43"/>
      <c r="K29" s="44"/>
      <c r="L29" s="52"/>
    </row>
    <row r="30" spans="1:12" ht="30" customHeight="1">
      <c r="A30" s="26" t="s">
        <v>38</v>
      </c>
      <c r="B30" s="19"/>
      <c r="C30" s="68"/>
      <c r="D30" s="68"/>
      <c r="E30" s="68"/>
      <c r="F30" s="68"/>
      <c r="G30" s="68"/>
      <c r="H30" s="68"/>
      <c r="I30" s="20"/>
      <c r="J30" s="43"/>
      <c r="K30" s="44"/>
      <c r="L30" s="52"/>
    </row>
    <row r="31" spans="1:12" ht="30" customHeight="1">
      <c r="A31" s="26" t="s">
        <v>39</v>
      </c>
      <c r="B31" s="36"/>
      <c r="C31" s="72"/>
      <c r="D31" s="72"/>
      <c r="E31" s="72"/>
      <c r="F31" s="72"/>
      <c r="G31" s="72"/>
      <c r="H31" s="72"/>
      <c r="I31" s="37"/>
      <c r="J31" s="48"/>
      <c r="K31" s="49"/>
      <c r="L31" s="57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29" priority="6" stopIfTrue="1">
      <formula>DAY(C3)&gt;8</formula>
    </cfRule>
  </conditionalFormatting>
  <conditionalFormatting sqref="C7:I8">
    <cfRule type="expression" dxfId="28" priority="5" stopIfTrue="1">
      <formula>AND(DAY(C7)&gt;=1,DAY(C7)&lt;=15)</formula>
    </cfRule>
  </conditionalFormatting>
  <conditionalFormatting sqref="C3:I8">
    <cfRule type="expression" dxfId="27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26" priority="4">
      <formula>B13&lt;&gt;""</formula>
    </cfRule>
  </conditionalFormatting>
  <conditionalFormatting sqref="B12:I12 B14:I14 B16:I16 B18:I18 B20:I20 B22:I22 B24:I24 B26:I26 B28:I28 B30:I30">
    <cfRule type="expression" dxfId="25" priority="3">
      <formula>B12&lt;&gt;""</formula>
    </cfRule>
  </conditionalFormatting>
  <conditionalFormatting sqref="B13:I13 B15:I15 B17:I17 B19:I19 B21:I21 B23:I23 B25:I25 B27:I27 B29:I29">
    <cfRule type="expression" dxfId="24" priority="2">
      <formula>COLUMN(B13)&gt;=2</formula>
    </cfRule>
  </conditionalFormatting>
  <conditionalFormatting sqref="B12:I31">
    <cfRule type="expression" dxfId="23" priority="1">
      <formula>COLUMN(B12)&gt;2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September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98FAC-F6FB-41C1-A8B5-3788F9907361}">
  <ds:schemaRefs>
    <ds:schemaRef ds:uri="http://schemas.microsoft.com/office/2006/documentManagement/types"/>
    <ds:schemaRef ds:uri="16c05727-aa75-4e4a-9b5f-8a80a1165891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EC134D-EF26-4489-BF4F-D004AB4EA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0EAF0-7D53-4F2E-A3F0-6ACE8DE5B7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61</vt:i4>
      </vt:variant>
    </vt:vector>
  </HeadingPairs>
  <TitlesOfParts>
    <vt:vector size="7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Apr!AssignmentDays</vt:lpstr>
      <vt:lpstr>Aug!AssignmentDays</vt:lpstr>
      <vt:lpstr>Dec!AssignmentDays</vt:lpstr>
      <vt:lpstr>Feb!AssignmentDays</vt:lpstr>
      <vt:lpstr>Jul!AssignmentDays</vt:lpstr>
      <vt:lpstr>Jun!AssignmentDays</vt:lpstr>
      <vt:lpstr>Mar!AssignmentDays</vt:lpstr>
      <vt:lpstr>May!AssignmentDays</vt:lpstr>
      <vt:lpstr>Nov!AssignmentDays</vt:lpstr>
      <vt:lpstr>Oct!AssignmentDays</vt:lpstr>
      <vt:lpstr>Sep!AssignmentDays</vt:lpstr>
      <vt:lpstr>AssignmentDays</vt:lpstr>
      <vt:lpstr>CalendarYear</vt:lpstr>
      <vt:lpstr>ColumnTitle1</vt:lpstr>
      <vt:lpstr>ColumnTitle10</vt:lpstr>
      <vt:lpstr>ColumnTitle11</vt:lpstr>
      <vt:lpstr>ColumnTitle12</vt:lpstr>
      <vt:lpstr>ColumnTitle2</vt:lpstr>
      <vt:lpstr>ColumnTitle3</vt:lpstr>
      <vt:lpstr>ColumnTitle4</vt:lpstr>
      <vt:lpstr>ColumnTitle5</vt:lpstr>
      <vt:lpstr>ColumnTitle6</vt:lpstr>
      <vt:lpstr>ColumnTitle7</vt:lpstr>
      <vt:lpstr>ColumnTitle8</vt:lpstr>
      <vt:lpstr>ColumnTitle9</vt:lpstr>
      <vt:lpstr>ColumnTitleRegion1..I8.1</vt:lpstr>
      <vt:lpstr>ColumnTitleRegion1..I8.10</vt:lpstr>
      <vt:lpstr>ColumnTitleRegion1..I8.11</vt:lpstr>
      <vt:lpstr>ColumnTitleRegion1..I8.12</vt:lpstr>
      <vt:lpstr>ColumnTitleRegion1..I8.2</vt:lpstr>
      <vt:lpstr>ColumnTitleRegion1..I8.3</vt:lpstr>
      <vt:lpstr>ColumnTitleRegion1..I8.4</vt:lpstr>
      <vt:lpstr>ColumnTitleRegion1..I8.5</vt:lpstr>
      <vt:lpstr>ColumnTitleRegion1..I8.6</vt:lpstr>
      <vt:lpstr>ColumnTitleRegion1..I8.7</vt:lpstr>
      <vt:lpstr>ColumnTitleRegion1..I8.8</vt:lpstr>
      <vt:lpstr>ColumnTitleRegion1..I8.9</vt:lpstr>
      <vt:lpstr>Apr!ImportantDatesTable</vt:lpstr>
      <vt:lpstr>Aug!ImportantDatesTable</vt:lpstr>
      <vt:lpstr>Dec!ImportantDatesTable</vt:lpstr>
      <vt:lpstr>Feb!ImportantDatesTable</vt:lpstr>
      <vt:lpstr>Jul!ImportantDatesTable</vt:lpstr>
      <vt:lpstr>Jun!ImportantDatesTable</vt:lpstr>
      <vt:lpstr>Mar!ImportantDatesTable</vt:lpstr>
      <vt:lpstr>May!ImportantDatesTable</vt:lpstr>
      <vt:lpstr>Nov!ImportantDatesTable</vt:lpstr>
      <vt:lpstr>Oct!ImportantDatesTable</vt:lpstr>
      <vt:lpstr>Sep!ImportantDatesTable</vt:lpstr>
      <vt:lpstr>ImportantDatesTable</vt:lpstr>
      <vt:lpstr>TitleRegion2..I31.1</vt:lpstr>
      <vt:lpstr>TitleRegion2..I31.10</vt:lpstr>
      <vt:lpstr>TitleRegion2..I31.11</vt:lpstr>
      <vt:lpstr>TitleRegion2..I31.12</vt:lpstr>
      <vt:lpstr>TitleRegion2..I31.2</vt:lpstr>
      <vt:lpstr>TitleRegion2..I31.3</vt:lpstr>
      <vt:lpstr>TitleRegion2..I31.4</vt:lpstr>
      <vt:lpstr>TitleRegion2..I31.5</vt:lpstr>
      <vt:lpstr>TitleRegion2..I31.6</vt:lpstr>
      <vt:lpstr>TitleRegion2..I31.7</vt:lpstr>
      <vt:lpstr>TitleRegion2..I31.8</vt:lpstr>
      <vt:lpstr>TitleRegion2..I31.9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2020-07-08T21:07:10Z</dcterms:created>
  <dcterms:modified xsi:type="dcterms:W3CDTF">2022-07-11T07:05:56Z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