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de Caixa Privado" sheetId="1" r:id="rId4"/>
    <sheet state="visible" name="Fluxo de Caixa Social" sheetId="2" r:id="rId5"/>
    <sheet state="visible" name="Custos" sheetId="3" r:id="rId6"/>
    <sheet state="visible" name="Depreciação" sheetId="4" r:id="rId7"/>
    <sheet state="visible" name="PAM" sheetId="5" r:id="rId8"/>
  </sheets>
  <definedNames/>
  <calcPr/>
</workbook>
</file>

<file path=xl/sharedStrings.xml><?xml version="1.0" encoding="utf-8"?>
<sst xmlns="http://schemas.openxmlformats.org/spreadsheetml/2006/main" count="203" uniqueCount="91">
  <si>
    <t>Informações</t>
  </si>
  <si>
    <t>Indicadores</t>
  </si>
  <si>
    <t>Modelo de Depreciação</t>
  </si>
  <si>
    <t>Exponencial</t>
  </si>
  <si>
    <t>VPL</t>
  </si>
  <si>
    <t>Imposto de Renda</t>
  </si>
  <si>
    <t>Anuidade Equivalente</t>
  </si>
  <si>
    <t>ICMS</t>
  </si>
  <si>
    <t>TIR</t>
  </si>
  <si>
    <t>Taxa de Desconto Privada</t>
  </si>
  <si>
    <t>Benefício/Custo</t>
  </si>
  <si>
    <t>Taxa de Desconto do Acionista</t>
  </si>
  <si>
    <t>K (Anuidade Equivalente)</t>
  </si>
  <si>
    <t>Preço</t>
  </si>
  <si>
    <t>Quantidade</t>
  </si>
  <si>
    <t>Fluxo de Caixa</t>
  </si>
  <si>
    <t>Ano 0</t>
  </si>
  <si>
    <t>Ano 1</t>
  </si>
  <si>
    <t>Ano 2</t>
  </si>
  <si>
    <t>Ano 3</t>
  </si>
  <si>
    <t>Ano 4</t>
  </si>
  <si>
    <t>Ano 5</t>
  </si>
  <si>
    <t>Receita Operacional Bruta</t>
  </si>
  <si>
    <t>(-) Imposto sobre Faturamento</t>
  </si>
  <si>
    <t>IPI</t>
  </si>
  <si>
    <t>Receita Operacional Líquida</t>
  </si>
  <si>
    <t>(-) Custos e Despesas Operacionais</t>
  </si>
  <si>
    <t>EBITDA</t>
  </si>
  <si>
    <t>(-) Depreciação/Amortização/Exaustão</t>
  </si>
  <si>
    <t>LAJIR</t>
  </si>
  <si>
    <t>(-) Impostos sobre Lucro</t>
  </si>
  <si>
    <t>(+) Depreciação/Amortização/Exaustão</t>
  </si>
  <si>
    <t>(-) Despesa de Capital</t>
  </si>
  <si>
    <t>(+/-) Necessidade de Capital de Giro</t>
  </si>
  <si>
    <t>Fluxo de Caixa Livre do Projeto</t>
  </si>
  <si>
    <t>(+) Necessidade de Financiamento/Captações de Empréstimos</t>
  </si>
  <si>
    <t>(-) Amortizações de Empréstimos</t>
  </si>
  <si>
    <t>(-) Pagamento de Juros</t>
  </si>
  <si>
    <t>(+) Benefício Fiscal</t>
  </si>
  <si>
    <t>Fluxo de Caixa do Acionista</t>
  </si>
  <si>
    <t>FCL Descontado</t>
  </si>
  <si>
    <t>FCA Descontado</t>
  </si>
  <si>
    <t>Receita Descontada</t>
  </si>
  <si>
    <t>Custo Descontado</t>
  </si>
  <si>
    <t>Antes</t>
  </si>
  <si>
    <t>Depois</t>
  </si>
  <si>
    <t>P0</t>
  </si>
  <si>
    <t>P1</t>
  </si>
  <si>
    <t>Q</t>
  </si>
  <si>
    <t>Receita</t>
  </si>
  <si>
    <t>Receita Operacional Bruta Privada</t>
  </si>
  <si>
    <t>-</t>
  </si>
  <si>
    <t xml:space="preserve">Benefício do Consumidor </t>
  </si>
  <si>
    <t>Benefício Operacional Líquido</t>
  </si>
  <si>
    <t>(-) Custo Fatores Domésticos</t>
  </si>
  <si>
    <t>(-) Custos Fatores Importados</t>
  </si>
  <si>
    <t>(-) Custos Impostos</t>
  </si>
  <si>
    <t>A análise dos Indicadores, tanto privados como sociais, permitem apresentar a viabilidade do Projeto. O VPL positivo nos mostra que é muito mais rentável realizar o investimento do que aplicar o mesmo capital em um título simples, por exemplo. A relação benefício custo nos mostra que a capacidade de gerar receita da empresa é muito maior que seus custos, e por fim, a TIR nos leva a crer que seria necessário um investimento de retorno muito alto para superar o fluxo apresentado</t>
  </si>
  <si>
    <t>Fluxo de Custos Privado</t>
  </si>
  <si>
    <t>Mão de Obra Qualificada</t>
  </si>
  <si>
    <t>Mão de Obra Desqualificada</t>
  </si>
  <si>
    <t>Insumo 1</t>
  </si>
  <si>
    <t>Taxa de Câmbio</t>
  </si>
  <si>
    <t>Fluxo de Custos Social</t>
  </si>
  <si>
    <t>Distorção</t>
  </si>
  <si>
    <t>Investimento Inicial</t>
  </si>
  <si>
    <t>% a ser depreciada</t>
  </si>
  <si>
    <t>Duração (anos)</t>
  </si>
  <si>
    <t>% Valor Residual do Investimento a ser Depreciado</t>
  </si>
  <si>
    <t>Método</t>
  </si>
  <si>
    <t>Taxa</t>
  </si>
  <si>
    <t>Linear</t>
  </si>
  <si>
    <t>Soma dos Dígitos</t>
  </si>
  <si>
    <t>Soma dos Dígitos Inversa</t>
  </si>
  <si>
    <t>Fundo de Renovação</t>
  </si>
  <si>
    <t>R</t>
  </si>
  <si>
    <t>PAM</t>
  </si>
  <si>
    <t>Receitas</t>
  </si>
  <si>
    <t>Insumos</t>
  </si>
  <si>
    <t>Lucro Fluxo de Caixa</t>
  </si>
  <si>
    <t>Transacionaveis</t>
  </si>
  <si>
    <t>Fatores de Producao</t>
  </si>
  <si>
    <t>Privado</t>
  </si>
  <si>
    <t>Social</t>
  </si>
  <si>
    <t>Efeitos de divergencia</t>
  </si>
  <si>
    <t>Razao do Custo Privado</t>
  </si>
  <si>
    <t>Custo dos Recursos Domésticos</t>
  </si>
  <si>
    <t>Ceficiente de Proteção Nominal</t>
  </si>
  <si>
    <t>Coeficiente de Proteção Efetiva</t>
  </si>
  <si>
    <t>Coeficiente de Lucratividade</t>
  </si>
  <si>
    <t>Razao do Subsidio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</si>
</sst>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dd/mm/yyyy"/>
    <numFmt numFmtId="166" formatCode="[$R$ -416]#,##0.00"/>
  </numFmts>
  <fonts count="13">
    <font>
      <sz val="10.0"/>
      <color rgb="FF000000"/>
      <name val="Arial"/>
      <scheme val="minor"/>
    </font>
    <font>
      <b/>
      <sz val="11.0"/>
      <color rgb="FFF5F5F5"/>
      <name val="Arial"/>
    </font>
    <font/>
    <font>
      <b/>
      <color theme="1"/>
      <name val="Arial"/>
      <scheme val="minor"/>
    </font>
    <font>
      <sz val="10.0"/>
      <color rgb="FF1E1E1E"/>
      <name val="Arial"/>
    </font>
    <font>
      <b/>
      <sz val="10.0"/>
      <color rgb="FF1E1E1E"/>
      <name val="Arial"/>
    </font>
    <font>
      <color theme="1"/>
      <name val="Arial"/>
    </font>
    <font>
      <sz val="11.0"/>
      <color rgb="FFF5F5F5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rgb="FF181818"/>
      <name val="Arial"/>
    </font>
    <font>
      <sz val="18.0"/>
      <color rgb="FF671100"/>
      <name val="&quot;Maven Pro&quot;"/>
    </font>
    <font>
      <b/>
      <sz val="12.0"/>
      <color rgb="FF181818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1B00"/>
        <bgColor rgb="FF991B00"/>
      </patternFill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E8E8E8"/>
        <bgColor rgb="FFE8E8E8"/>
      </patternFill>
    </fill>
  </fills>
  <borders count="28">
    <border/>
    <border>
      <left style="medium">
        <color rgb="FFDCDCDC"/>
      </left>
      <top style="medium">
        <color rgb="FFDCDCDC"/>
      </top>
    </border>
    <border>
      <right style="medium">
        <color rgb="FFDCDCDC"/>
      </right>
      <top style="medium">
        <color rgb="FFDCDCDC"/>
      </top>
    </border>
    <border>
      <left style="medium">
        <color rgb="FFDCDCDC"/>
      </left>
      <top style="medium">
        <color rgb="FFDCDCDC"/>
      </top>
      <bottom style="medium">
        <color rgb="FFDCDCDC"/>
      </bottom>
    </border>
    <border>
      <top style="medium">
        <color rgb="FFDCDCDC"/>
      </top>
      <bottom style="medium">
        <color rgb="FFDCDCDC"/>
      </bottom>
    </border>
    <border>
      <right style="medium">
        <color rgb="FFDCDCDC"/>
      </right>
      <top style="medium">
        <color rgb="FFDCDCDC"/>
      </top>
      <bottom style="medium">
        <color rgb="FFDCDCDC"/>
      </bottom>
    </border>
    <border>
      <right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</border>
    <border>
      <left/>
      <bottom style="thick">
        <color rgb="FF000000"/>
      </bottom>
    </border>
    <border>
      <right/>
      <bottom style="thick">
        <color rgb="FF000000"/>
      </bottom>
    </border>
    <border>
      <left/>
    </border>
    <border>
      <left/>
      <bottom/>
    </border>
    <border>
      <right/>
      <bottom/>
    </border>
    <border>
      <left/>
      <right/>
      <top/>
      <bottom style="thick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/>
    </border>
    <border>
      <left style="medium">
        <color rgb="FFDCDCDC"/>
      </left>
      <right style="medium">
        <color rgb="FFDCDCDC"/>
      </right>
      <top style="medium">
        <color rgb="FFDCDCDC"/>
      </top>
    </border>
    <border>
      <left/>
      <top/>
      <bottom style="thick">
        <color rgb="FF000000"/>
      </bottom>
    </border>
    <border>
      <right/>
      <top/>
      <bottom style="thick">
        <color rgb="FF000000"/>
      </bottom>
    </border>
    <border>
      <left/>
      <right/>
      <bottom style="thick">
        <color rgb="FF000000"/>
      </bottom>
    </border>
    <border>
      <left/>
      <right/>
    </border>
    <border>
      <left/>
      <right/>
      <top/>
    </border>
    <border>
      <left/>
      <top/>
      <bottom/>
    </border>
    <border>
      <right/>
      <top/>
      <bottom/>
    </border>
    <border>
      <right/>
      <top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3" fontId="3" numFmtId="0" xfId="0" applyAlignment="1" applyFill="1" applyFont="1">
      <alignment horizontal="center" readingOrder="0" vertical="center"/>
    </xf>
    <xf borderId="6" fillId="4" fontId="4" numFmtId="0" xfId="0" applyAlignment="1" applyBorder="1" applyFill="1" applyFont="1">
      <alignment horizontal="center" readingOrder="0" vertical="center"/>
    </xf>
    <xf borderId="6" fillId="4" fontId="5" numFmtId="164" xfId="0" applyAlignment="1" applyBorder="1" applyFont="1" applyNumberForma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6" fillId="4" fontId="5" numFmtId="9" xfId="0" applyAlignment="1" applyBorder="1" applyFont="1" applyNumberFormat="1">
      <alignment horizontal="center" readingOrder="0" vertical="center"/>
    </xf>
    <xf borderId="6" fillId="4" fontId="4" numFmtId="9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vertical="bottom"/>
    </xf>
    <xf borderId="7" fillId="2" fontId="7" numFmtId="0" xfId="0" applyAlignment="1" applyBorder="1" applyFont="1">
      <alignment horizontal="center"/>
    </xf>
    <xf borderId="8" fillId="3" fontId="5" numFmtId="165" xfId="0" applyAlignment="1" applyBorder="1" applyFont="1" applyNumberFormat="1">
      <alignment horizontal="center"/>
    </xf>
    <xf borderId="9" fillId="3" fontId="5" numFmtId="165" xfId="0" applyAlignment="1" applyBorder="1" applyFont="1" applyNumberFormat="1">
      <alignment horizontal="center"/>
    </xf>
    <xf borderId="9" fillId="3" fontId="5" numFmtId="166" xfId="0" applyAlignment="1" applyBorder="1" applyFont="1" applyNumberFormat="1">
      <alignment horizontal="center"/>
    </xf>
    <xf borderId="10" fillId="4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4" fontId="4" numFmtId="166" xfId="0" applyAlignment="1" applyBorder="1" applyFont="1" applyNumberFormat="1">
      <alignment horizontal="center" readingOrder="0"/>
    </xf>
    <xf borderId="6" fillId="4" fontId="4" numFmtId="4" xfId="0" applyAlignment="1" applyBorder="1" applyFont="1" applyNumberFormat="1">
      <alignment horizontal="center" readingOrder="0"/>
    </xf>
    <xf borderId="11" fillId="3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12" fillId="3" fontId="5" numFmtId="166" xfId="0" applyAlignment="1" applyBorder="1" applyFont="1" applyNumberFormat="1">
      <alignment horizontal="center" readingOrder="0"/>
    </xf>
    <xf borderId="13" fillId="3" fontId="5" numFmtId="166" xfId="0" applyAlignment="1" applyBorder="1" applyFont="1" applyNumberFormat="1">
      <alignment horizontal="center"/>
    </xf>
    <xf borderId="11" fillId="4" fontId="4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readingOrder="0"/>
    </xf>
    <xf borderId="12" fillId="4" fontId="5" numFmtId="166" xfId="0" applyAlignment="1" applyBorder="1" applyFont="1" applyNumberFormat="1">
      <alignment horizontal="center" readingOrder="0"/>
    </xf>
    <xf borderId="9" fillId="3" fontId="5" numFmtId="166" xfId="0" applyAlignment="1" applyBorder="1" applyFont="1" applyNumberFormat="1">
      <alignment horizontal="center" readingOrder="0"/>
    </xf>
    <xf borderId="9" fillId="3" fontId="5" numFmtId="164" xfId="0" applyAlignment="1" applyBorder="1" applyFont="1" applyNumberFormat="1">
      <alignment horizontal="center" readingOrder="0"/>
    </xf>
    <xf borderId="6" fillId="4" fontId="5" numFmtId="0" xfId="0" applyAlignment="1" applyBorder="1" applyFont="1">
      <alignment horizontal="center" readingOrder="0"/>
    </xf>
    <xf borderId="6" fillId="4" fontId="5" numFmtId="166" xfId="0" applyAlignment="1" applyBorder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0" fontId="8" numFmtId="166" xfId="0" applyFont="1" applyNumberFormat="1"/>
    <xf borderId="14" fillId="3" fontId="5" numFmtId="165" xfId="0" applyAlignment="1" applyBorder="1" applyFont="1" applyNumberFormat="1">
      <alignment horizontal="center"/>
    </xf>
    <xf borderId="7" fillId="0" fontId="9" numFmtId="166" xfId="0" applyAlignment="1" applyBorder="1" applyFont="1" applyNumberFormat="1">
      <alignment horizontal="center"/>
    </xf>
    <xf borderId="14" fillId="3" fontId="4" numFmtId="165" xfId="0" applyAlignment="1" applyBorder="1" applyFont="1" applyNumberFormat="1">
      <alignment horizontal="center"/>
    </xf>
    <xf borderId="14" fillId="5" fontId="10" numFmtId="0" xfId="0" applyAlignment="1" applyBorder="1" applyFill="1" applyFont="1">
      <alignment horizontal="center"/>
    </xf>
    <xf borderId="0" fillId="0" fontId="8" numFmtId="166" xfId="0" applyAlignment="1" applyFont="1" applyNumberFormat="1">
      <alignment horizontal="center"/>
    </xf>
    <xf borderId="0" fillId="0" fontId="8" numFmtId="0" xfId="0" applyFont="1"/>
    <xf borderId="15" fillId="4" fontId="11" numFmtId="0" xfId="0" applyAlignment="1" applyBorder="1" applyFont="1">
      <alignment shrinkToFit="0" wrapText="1"/>
    </xf>
    <xf borderId="16" fillId="0" fontId="2" numFmtId="0" xfId="0" applyBorder="1" applyFont="1"/>
    <xf borderId="17" fillId="0" fontId="2" numFmtId="0" xfId="0" applyBorder="1" applyFont="1"/>
    <xf borderId="0" fillId="0" fontId="8" numFmtId="0" xfId="0" applyAlignment="1" applyFont="1">
      <alignment horizontal="center" readingOrder="0" shrinkToFit="0" vertical="center" wrapText="1"/>
    </xf>
    <xf borderId="11" fillId="5" fontId="12" numFmtId="0" xfId="0" applyAlignment="1" applyBorder="1" applyFont="1">
      <alignment horizontal="center" vertical="bottom"/>
    </xf>
    <xf borderId="18" fillId="0" fontId="2" numFmtId="0" xfId="0" applyBorder="1" applyFont="1"/>
    <xf borderId="12" fillId="0" fontId="2" numFmtId="0" xfId="0" applyBorder="1" applyFont="1"/>
    <xf borderId="12" fillId="5" fontId="12" numFmtId="166" xfId="0" applyAlignment="1" applyBorder="1" applyFont="1" applyNumberFormat="1">
      <alignment horizontal="center" vertical="bottom"/>
    </xf>
    <xf borderId="11" fillId="5" fontId="12" numFmtId="0" xfId="0" applyAlignment="1" applyBorder="1" applyFont="1">
      <alignment horizontal="center" readingOrder="0" vertical="bottom"/>
    </xf>
    <xf borderId="12" fillId="5" fontId="12" numFmtId="9" xfId="0" applyAlignment="1" applyBorder="1" applyFont="1" applyNumberFormat="1">
      <alignment horizontal="center" vertical="bottom"/>
    </xf>
    <xf borderId="12" fillId="5" fontId="12" numFmtId="4" xfId="0" applyAlignment="1" applyBorder="1" applyFont="1" applyNumberFormat="1">
      <alignment horizontal="center" vertical="bottom"/>
    </xf>
    <xf borderId="1" fillId="2" fontId="7" numFmtId="0" xfId="0" applyAlignment="1" applyBorder="1" applyFont="1">
      <alignment horizontal="center"/>
    </xf>
    <xf borderId="19" fillId="2" fontId="7" numFmtId="0" xfId="0" applyAlignment="1" applyBorder="1" applyFont="1">
      <alignment horizontal="center" readingOrder="0"/>
    </xf>
    <xf borderId="20" fillId="3" fontId="5" numFmtId="165" xfId="0" applyAlignment="1" applyBorder="1" applyFont="1" applyNumberFormat="1">
      <alignment horizontal="center"/>
    </xf>
    <xf borderId="21" fillId="0" fontId="2" numFmtId="0" xfId="0" applyBorder="1" applyFont="1"/>
    <xf borderId="13" fillId="3" fontId="5" numFmtId="166" xfId="0" applyAlignment="1" applyBorder="1" applyFont="1" applyNumberFormat="1">
      <alignment horizontal="center" readingOrder="0"/>
    </xf>
    <xf borderId="9" fillId="0" fontId="2" numFmtId="0" xfId="0" applyBorder="1" applyFont="1"/>
    <xf borderId="22" fillId="3" fontId="5" numFmtId="166" xfId="0" applyAlignment="1" applyBorder="1" applyFont="1" applyNumberFormat="1">
      <alignment horizontal="center"/>
    </xf>
    <xf borderId="11" fillId="4" fontId="5" numFmtId="0" xfId="0" applyAlignment="1" applyBorder="1" applyFont="1">
      <alignment horizontal="center" readingOrder="0"/>
    </xf>
    <xf borderId="23" fillId="4" fontId="4" numFmtId="166" xfId="0" applyAlignment="1" applyBorder="1" applyFont="1" applyNumberFormat="1">
      <alignment horizontal="center" readingOrder="0"/>
    </xf>
    <xf borderId="24" fillId="4" fontId="4" numFmtId="166" xfId="0" applyAlignment="1" applyBorder="1" applyFont="1" applyNumberFormat="1">
      <alignment horizontal="center" readingOrder="0"/>
    </xf>
    <xf borderId="25" fillId="4" fontId="5" numFmtId="0" xfId="0" applyAlignment="1" applyBorder="1" applyFont="1">
      <alignment horizontal="center" readingOrder="0"/>
    </xf>
    <xf borderId="26" fillId="0" fontId="2" numFmtId="0" xfId="0" applyBorder="1" applyFont="1"/>
    <xf borderId="25" fillId="4" fontId="4" numFmtId="0" xfId="0" applyAlignment="1" applyBorder="1" applyFont="1">
      <alignment horizontal="center" readingOrder="0"/>
    </xf>
    <xf borderId="7" fillId="2" fontId="7" numFmtId="0" xfId="0" applyAlignment="1" applyBorder="1" applyFont="1">
      <alignment horizontal="center" readingOrder="0"/>
    </xf>
    <xf borderId="26" fillId="4" fontId="5" numFmtId="9" xfId="0" applyAlignment="1" applyBorder="1" applyFont="1" applyNumberFormat="1">
      <alignment horizontal="center" readingOrder="0"/>
    </xf>
    <xf borderId="27" fillId="4" fontId="4" numFmtId="166" xfId="0" applyAlignment="1" applyBorder="1" applyFont="1" applyNumberFormat="1">
      <alignment horizontal="center" readingOrder="0"/>
    </xf>
    <xf borderId="26" fillId="4" fontId="5" numFmtId="0" xfId="0" applyAlignment="1" applyBorder="1" applyFont="1">
      <alignment horizontal="center" readingOrder="0"/>
    </xf>
    <xf borderId="26" fillId="4" fontId="4" numFmtId="0" xfId="0" applyAlignment="1" applyBorder="1" applyFont="1">
      <alignment horizontal="center" readingOrder="0"/>
    </xf>
    <xf borderId="21" fillId="3" fontId="5" numFmtId="165" xfId="0" applyAlignment="1" applyBorder="1" applyFont="1" applyNumberFormat="1">
      <alignment horizontal="center"/>
    </xf>
    <xf borderId="21" fillId="3" fontId="5" numFmtId="166" xfId="0" applyAlignment="1" applyBorder="1" applyFont="1" applyNumberFormat="1">
      <alignment horizontal="center"/>
    </xf>
    <xf borderId="12" fillId="4" fontId="4" numFmtId="0" xfId="0" applyAlignment="1" applyBorder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13" fillId="3" fontId="5" numFmtId="9" xfId="0" applyAlignment="1" applyBorder="1" applyFont="1" applyNumberFormat="1">
      <alignment horizontal="center" readingOrder="0"/>
    </xf>
    <xf borderId="13" fillId="3" fontId="5" numFmtId="10" xfId="0" applyAlignment="1" applyBorder="1" applyFont="1" applyNumberFormat="1">
      <alignment horizontal="center" readingOrder="0"/>
    </xf>
    <xf borderId="13" fillId="3" fontId="5" numFmtId="0" xfId="0" applyAlignment="1" applyBorder="1" applyFont="1">
      <alignment horizontal="center" readingOrder="0"/>
    </xf>
    <xf borderId="0" fillId="0" fontId="8" numFmtId="166" xfId="0" applyFont="1" applyNumberFormat="1"/>
    <xf borderId="0" fillId="0" fontId="8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2" max="2" width="19.38"/>
    <col customWidth="1" min="3" max="3" width="12.63"/>
    <col customWidth="1" min="4" max="4" width="15.75"/>
  </cols>
  <sheetData>
    <row r="1">
      <c r="A1" s="1" t="s">
        <v>0</v>
      </c>
      <c r="B1" s="2"/>
      <c r="D1" s="3" t="s">
        <v>1</v>
      </c>
      <c r="E1" s="4"/>
      <c r="F1" s="4"/>
      <c r="G1" s="5"/>
    </row>
    <row r="2">
      <c r="A2" s="6" t="s">
        <v>2</v>
      </c>
      <c r="B2" s="7" t="s">
        <v>3</v>
      </c>
      <c r="D2" s="6" t="s">
        <v>4</v>
      </c>
      <c r="G2" s="8">
        <f>SUM(B33:G33)</f>
        <v>1940913.781</v>
      </c>
    </row>
    <row r="3">
      <c r="A3" s="6" t="s">
        <v>5</v>
      </c>
      <c r="B3" s="7">
        <v>0.23</v>
      </c>
      <c r="D3" s="6" t="s">
        <v>6</v>
      </c>
      <c r="G3" s="9" t="str">
        <f>G2/((((1+$B$7)^10)-1)/(((1+$B$7)^10)*$B$7))</f>
        <v>#DIV/0!</v>
      </c>
    </row>
    <row r="4">
      <c r="A4" s="6" t="s">
        <v>7</v>
      </c>
      <c r="B4" s="7"/>
      <c r="D4" s="6" t="s">
        <v>8</v>
      </c>
      <c r="G4" s="10" t="str">
        <f>IRR($C$27:$G$27)</f>
        <v>#NUM!</v>
      </c>
    </row>
    <row r="5">
      <c r="A5" s="6" t="s">
        <v>9</v>
      </c>
      <c r="B5" s="11">
        <v>0.12</v>
      </c>
      <c r="D5" s="6" t="s">
        <v>10</v>
      </c>
      <c r="G5" s="9">
        <f>-SUM(C36:G36)/SUM(C35:G35)</f>
        <v>0.2575</v>
      </c>
    </row>
    <row r="6">
      <c r="A6" s="6" t="s">
        <v>11</v>
      </c>
      <c r="B6" s="11">
        <v>0.12</v>
      </c>
      <c r="D6" s="12"/>
      <c r="E6" s="12"/>
      <c r="F6" s="12"/>
      <c r="G6" s="12"/>
    </row>
    <row r="7">
      <c r="A7" s="6" t="s">
        <v>12</v>
      </c>
      <c r="B7" s="7"/>
      <c r="D7" s="12"/>
      <c r="E7" s="12"/>
      <c r="F7" s="12"/>
      <c r="G7" s="12"/>
    </row>
    <row r="8">
      <c r="A8" s="6" t="s">
        <v>13</v>
      </c>
      <c r="B8" s="7">
        <v>630.0</v>
      </c>
    </row>
    <row r="9">
      <c r="A9" s="6" t="s">
        <v>14</v>
      </c>
      <c r="B9" s="7">
        <v>1000.0</v>
      </c>
      <c r="D9" s="12"/>
      <c r="E9" s="12"/>
      <c r="F9" s="12"/>
      <c r="G9" s="12"/>
    </row>
    <row r="11">
      <c r="A11" s="13" t="s">
        <v>15</v>
      </c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  <c r="G11" s="13" t="s">
        <v>21</v>
      </c>
    </row>
    <row r="12">
      <c r="A12" s="14" t="s">
        <v>22</v>
      </c>
      <c r="B12" s="15"/>
      <c r="C12" s="16">
        <f t="shared" ref="C12:G12" si="1">C13*C14</f>
        <v>630000</v>
      </c>
      <c r="D12" s="16">
        <f t="shared" si="1"/>
        <v>630000</v>
      </c>
      <c r="E12" s="16">
        <f t="shared" si="1"/>
        <v>630000</v>
      </c>
      <c r="F12" s="16">
        <f t="shared" si="1"/>
        <v>630000</v>
      </c>
      <c r="G12" s="16">
        <f t="shared" si="1"/>
        <v>630000</v>
      </c>
    </row>
    <row r="13">
      <c r="A13" s="17" t="s">
        <v>13</v>
      </c>
      <c r="B13" s="18"/>
      <c r="C13" s="19">
        <f t="shared" ref="C13:G13" si="2">$B$8</f>
        <v>630</v>
      </c>
      <c r="D13" s="19">
        <f t="shared" si="2"/>
        <v>630</v>
      </c>
      <c r="E13" s="19">
        <f t="shared" si="2"/>
        <v>630</v>
      </c>
      <c r="F13" s="19">
        <f t="shared" si="2"/>
        <v>630</v>
      </c>
      <c r="G13" s="19">
        <f t="shared" si="2"/>
        <v>630</v>
      </c>
    </row>
    <row r="14">
      <c r="A14" s="17" t="s">
        <v>14</v>
      </c>
      <c r="B14" s="18"/>
      <c r="C14" s="20">
        <f t="shared" ref="C14:G14" si="3">$B$9</f>
        <v>1000</v>
      </c>
      <c r="D14" s="20">
        <f t="shared" si="3"/>
        <v>1000</v>
      </c>
      <c r="E14" s="20">
        <f t="shared" si="3"/>
        <v>1000</v>
      </c>
      <c r="F14" s="20">
        <f t="shared" si="3"/>
        <v>1000</v>
      </c>
      <c r="G14" s="20">
        <f t="shared" si="3"/>
        <v>1000</v>
      </c>
    </row>
    <row r="15">
      <c r="A15" s="21" t="s">
        <v>23</v>
      </c>
      <c r="B15" s="22"/>
      <c r="C15" s="23">
        <f t="shared" ref="C15:G15" si="4">sum(C16:C17)</f>
        <v>0</v>
      </c>
      <c r="D15" s="23">
        <f t="shared" si="4"/>
        <v>0</v>
      </c>
      <c r="E15" s="23">
        <f t="shared" si="4"/>
        <v>0</v>
      </c>
      <c r="F15" s="23">
        <f t="shared" si="4"/>
        <v>0</v>
      </c>
      <c r="G15" s="23">
        <f t="shared" si="4"/>
        <v>0</v>
      </c>
    </row>
    <row r="16">
      <c r="A16" s="17" t="s">
        <v>7</v>
      </c>
      <c r="B16" s="18"/>
      <c r="C16" s="19">
        <f t="shared" ref="C16:G16" si="5">$B$4*C12</f>
        <v>0</v>
      </c>
      <c r="D16" s="19">
        <f t="shared" si="5"/>
        <v>0</v>
      </c>
      <c r="E16" s="19">
        <f t="shared" si="5"/>
        <v>0</v>
      </c>
      <c r="F16" s="19">
        <f t="shared" si="5"/>
        <v>0</v>
      </c>
      <c r="G16" s="19">
        <f t="shared" si="5"/>
        <v>0</v>
      </c>
    </row>
    <row r="17">
      <c r="A17" s="17" t="s">
        <v>24</v>
      </c>
      <c r="B17" s="18"/>
      <c r="C17" s="19">
        <f t="shared" ref="C17:G17" si="6">$B$4*C12</f>
        <v>0</v>
      </c>
      <c r="D17" s="19">
        <f t="shared" si="6"/>
        <v>0</v>
      </c>
      <c r="E17" s="19">
        <f t="shared" si="6"/>
        <v>0</v>
      </c>
      <c r="F17" s="19">
        <f t="shared" si="6"/>
        <v>0</v>
      </c>
      <c r="G17" s="19">
        <f t="shared" si="6"/>
        <v>0</v>
      </c>
    </row>
    <row r="18">
      <c r="A18" s="14" t="s">
        <v>25</v>
      </c>
      <c r="B18" s="15"/>
      <c r="C18" s="24">
        <f t="shared" ref="C18:G18" si="7">C12-C15</f>
        <v>630000</v>
      </c>
      <c r="D18" s="24">
        <f t="shared" si="7"/>
        <v>630000</v>
      </c>
      <c r="E18" s="24">
        <f t="shared" si="7"/>
        <v>630000</v>
      </c>
      <c r="F18" s="24">
        <f t="shared" si="7"/>
        <v>630000</v>
      </c>
      <c r="G18" s="24">
        <f t="shared" si="7"/>
        <v>630000</v>
      </c>
    </row>
    <row r="19">
      <c r="A19" s="21" t="s">
        <v>26</v>
      </c>
      <c r="B19" s="22"/>
      <c r="C19" s="23">
        <f>-Custos!D2</f>
        <v>-162225</v>
      </c>
      <c r="D19" s="23">
        <f>-Custos!E2</f>
        <v>-162225</v>
      </c>
      <c r="E19" s="23">
        <f>-Custos!F2</f>
        <v>-162225</v>
      </c>
      <c r="F19" s="23">
        <f>-Custos!G2</f>
        <v>-162225</v>
      </c>
      <c r="G19" s="23">
        <f>-Custos!H2</f>
        <v>-162225</v>
      </c>
    </row>
    <row r="20">
      <c r="A20" s="14" t="s">
        <v>27</v>
      </c>
      <c r="B20" s="16"/>
      <c r="C20" s="16">
        <f t="shared" ref="C20:G20" si="8">C18+C19</f>
        <v>467775</v>
      </c>
      <c r="D20" s="16">
        <f t="shared" si="8"/>
        <v>467775</v>
      </c>
      <c r="E20" s="16">
        <f t="shared" si="8"/>
        <v>467775</v>
      </c>
      <c r="F20" s="16">
        <f t="shared" si="8"/>
        <v>467775</v>
      </c>
      <c r="G20" s="16">
        <f t="shared" si="8"/>
        <v>467775</v>
      </c>
    </row>
    <row r="21">
      <c r="A21" s="25" t="s">
        <v>28</v>
      </c>
      <c r="B21" s="26"/>
      <c r="C21" s="27">
        <f>VLOOKUP($B$2,'Depreciação'!$A$8:$G$12,3,FALSE)</f>
        <v>-4680</v>
      </c>
      <c r="D21" s="27">
        <f>VLOOKUP($B$2,'Depreciação'!$A$8:$G$12,4,FALSE)</f>
        <v>-4118.4</v>
      </c>
      <c r="E21" s="27">
        <f>VLOOKUP($B$2,'Depreciação'!$A$8:$G$12,5,FALSE)</f>
        <v>-3624.192</v>
      </c>
      <c r="F21" s="27">
        <f>VLOOKUP($B$2,'Depreciação'!$A$8:$G$12,6,FALSE)</f>
        <v>-3189.28896</v>
      </c>
      <c r="G21" s="27">
        <f>VLOOKUP($B$2,'Depreciação'!$A$8:$G$12,7,FALSE)</f>
        <v>-2806.574285</v>
      </c>
    </row>
    <row r="22">
      <c r="A22" s="14" t="s">
        <v>29</v>
      </c>
      <c r="B22" s="16"/>
      <c r="C22" s="16">
        <f t="shared" ref="C22:G22" si="9">C20+C21</f>
        <v>463095</v>
      </c>
      <c r="D22" s="16">
        <f t="shared" si="9"/>
        <v>463656.6</v>
      </c>
      <c r="E22" s="16">
        <f t="shared" si="9"/>
        <v>464150.808</v>
      </c>
      <c r="F22" s="16">
        <f t="shared" si="9"/>
        <v>464585.711</v>
      </c>
      <c r="G22" s="16">
        <f t="shared" si="9"/>
        <v>464968.4257</v>
      </c>
    </row>
    <row r="23">
      <c r="A23" s="25" t="s">
        <v>30</v>
      </c>
      <c r="B23" s="26"/>
      <c r="C23" s="27">
        <f t="shared" ref="C23:G23" si="10">$B$3*C22</f>
        <v>106511.85</v>
      </c>
      <c r="D23" s="27">
        <f t="shared" si="10"/>
        <v>106641.018</v>
      </c>
      <c r="E23" s="27">
        <f t="shared" si="10"/>
        <v>106754.6858</v>
      </c>
      <c r="F23" s="27">
        <f t="shared" si="10"/>
        <v>106854.7135</v>
      </c>
      <c r="G23" s="27">
        <f t="shared" si="10"/>
        <v>106942.7379</v>
      </c>
    </row>
    <row r="24">
      <c r="A24" s="25" t="s">
        <v>31</v>
      </c>
      <c r="B24" s="26"/>
      <c r="C24" s="27">
        <f>-VLOOKUP($B$2,'Depreciação'!$A$8:$G$12,3,FALSE)</f>
        <v>4680</v>
      </c>
      <c r="D24" s="27">
        <f>-VLOOKUP($B$2,'Depreciação'!$A$8:$G$12,4,FALSE)</f>
        <v>4118.4</v>
      </c>
      <c r="E24" s="27">
        <f>-VLOOKUP($B$2,'Depreciação'!$A$8:$G$12,5,FALSE)</f>
        <v>3624.192</v>
      </c>
      <c r="F24" s="27">
        <f>-VLOOKUP($B$2,'Depreciação'!$A$8:$G$12,6,FALSE)</f>
        <v>3189.28896</v>
      </c>
      <c r="G24" s="27">
        <f>-VLOOKUP($B$2,'Depreciação'!$A$8:$G$12,7,FALSE)</f>
        <v>2806.574285</v>
      </c>
    </row>
    <row r="25">
      <c r="A25" s="25" t="s">
        <v>32</v>
      </c>
      <c r="B25" s="26"/>
      <c r="C25" s="26"/>
      <c r="D25" s="26"/>
      <c r="E25" s="26"/>
      <c r="F25" s="26"/>
      <c r="G25" s="26"/>
    </row>
    <row r="26">
      <c r="A26" s="25" t="s">
        <v>33</v>
      </c>
      <c r="B26" s="26"/>
      <c r="C26" s="26"/>
      <c r="D26" s="26"/>
      <c r="E26" s="26"/>
      <c r="F26" s="26"/>
      <c r="G26" s="26"/>
    </row>
    <row r="27">
      <c r="A27" s="14" t="s">
        <v>34</v>
      </c>
      <c r="B27" s="28">
        <v>-130000.0</v>
      </c>
      <c r="C27" s="16">
        <f t="shared" ref="C27:G27" si="11">SUM(C22:C26)</f>
        <v>574286.85</v>
      </c>
      <c r="D27" s="16">
        <f t="shared" si="11"/>
        <v>574416.018</v>
      </c>
      <c r="E27" s="16">
        <f t="shared" si="11"/>
        <v>574529.6858</v>
      </c>
      <c r="F27" s="16">
        <f t="shared" si="11"/>
        <v>574629.7135</v>
      </c>
      <c r="G27" s="16">
        <f t="shared" si="11"/>
        <v>574717.7379</v>
      </c>
    </row>
    <row r="28">
      <c r="A28" s="25" t="s">
        <v>35</v>
      </c>
      <c r="B28" s="27">
        <f>-0.7*B27</f>
        <v>91000</v>
      </c>
      <c r="C28" s="26"/>
      <c r="D28" s="26"/>
      <c r="E28" s="26"/>
      <c r="F28" s="26"/>
      <c r="G28" s="26"/>
    </row>
    <row r="29">
      <c r="A29" s="25" t="s">
        <v>36</v>
      </c>
      <c r="B29" s="26"/>
      <c r="C29" s="26">
        <v>-16000.0</v>
      </c>
      <c r="D29" s="26">
        <v>-16000.0</v>
      </c>
      <c r="E29" s="26">
        <v>-16000.0</v>
      </c>
      <c r="F29" s="26">
        <v>-16000.0</v>
      </c>
      <c r="G29" s="26">
        <v>-16000.0</v>
      </c>
    </row>
    <row r="30">
      <c r="A30" s="25" t="s">
        <v>37</v>
      </c>
      <c r="B30" s="26"/>
      <c r="C30" s="26"/>
      <c r="D30" s="26"/>
      <c r="E30" s="26"/>
      <c r="F30" s="26"/>
      <c r="G30" s="26"/>
    </row>
    <row r="31">
      <c r="A31" s="25" t="s">
        <v>38</v>
      </c>
      <c r="B31" s="26"/>
      <c r="C31" s="26"/>
      <c r="D31" s="26"/>
      <c r="E31" s="26"/>
      <c r="F31" s="26"/>
      <c r="G31" s="26"/>
    </row>
    <row r="32">
      <c r="A32" s="14" t="s">
        <v>39</v>
      </c>
      <c r="B32" s="28">
        <v>-130000.0</v>
      </c>
      <c r="C32" s="16">
        <f t="shared" ref="C32:G32" si="12">SUM(C27:C31)</f>
        <v>558286.85</v>
      </c>
      <c r="D32" s="16">
        <f t="shared" si="12"/>
        <v>558416.018</v>
      </c>
      <c r="E32" s="16">
        <f t="shared" si="12"/>
        <v>558529.6858</v>
      </c>
      <c r="F32" s="16">
        <f t="shared" si="12"/>
        <v>558629.7135</v>
      </c>
      <c r="G32" s="16">
        <f t="shared" si="12"/>
        <v>558717.7379</v>
      </c>
    </row>
    <row r="33">
      <c r="A33" s="14" t="s">
        <v>40</v>
      </c>
      <c r="B33" s="29">
        <v>-130000.0</v>
      </c>
      <c r="C33" s="16">
        <f t="shared" ref="C33:G33" si="13">C27/((1+$B$5)^(RIGHT(C11)))</f>
        <v>512756.1161</v>
      </c>
      <c r="D33" s="16">
        <f t="shared" si="13"/>
        <v>457920.9327</v>
      </c>
      <c r="E33" s="16">
        <f t="shared" si="13"/>
        <v>408938.8822</v>
      </c>
      <c r="F33" s="16">
        <f t="shared" si="13"/>
        <v>365187.5713</v>
      </c>
      <c r="G33" s="16">
        <f t="shared" si="13"/>
        <v>326110.279</v>
      </c>
    </row>
    <row r="34">
      <c r="A34" s="14" t="s">
        <v>41</v>
      </c>
      <c r="B34" s="28">
        <v>-130000.0</v>
      </c>
      <c r="C34" s="16">
        <f t="shared" ref="C34:G34" si="14">C32/((1+$B$6)^(RIGHT(C12)))</f>
        <v>558286.85</v>
      </c>
      <c r="D34" s="16">
        <f t="shared" si="14"/>
        <v>558416.018</v>
      </c>
      <c r="E34" s="16">
        <f t="shared" si="14"/>
        <v>558529.6858</v>
      </c>
      <c r="F34" s="16">
        <f t="shared" si="14"/>
        <v>558629.7135</v>
      </c>
      <c r="G34" s="16">
        <f t="shared" si="14"/>
        <v>558717.7379</v>
      </c>
    </row>
    <row r="35">
      <c r="A35" s="25" t="s">
        <v>42</v>
      </c>
      <c r="B35" s="26"/>
      <c r="C35" s="27">
        <f t="shared" ref="C35:G35" si="15">C12/((1+$B$5)^(RIGHT(C11)))</f>
        <v>562500</v>
      </c>
      <c r="D35" s="27">
        <f t="shared" si="15"/>
        <v>502232.1429</v>
      </c>
      <c r="E35" s="27">
        <f t="shared" si="15"/>
        <v>448421.5561</v>
      </c>
      <c r="F35" s="27">
        <f t="shared" si="15"/>
        <v>400376.3894</v>
      </c>
      <c r="G35" s="27">
        <f t="shared" si="15"/>
        <v>357478.9191</v>
      </c>
    </row>
    <row r="36">
      <c r="A36" s="17" t="s">
        <v>43</v>
      </c>
      <c r="B36" s="30"/>
      <c r="C36" s="31">
        <f t="shared" ref="C36:G36" si="16">C19/((1+$B$5)^(RIGHT(C11)))</f>
        <v>-144843.75</v>
      </c>
      <c r="D36" s="31">
        <f t="shared" si="16"/>
        <v>-129324.7768</v>
      </c>
      <c r="E36" s="27">
        <f t="shared" si="16"/>
        <v>-115468.5507</v>
      </c>
      <c r="F36" s="27">
        <f t="shared" si="16"/>
        <v>-103096.9203</v>
      </c>
      <c r="G36" s="27">
        <f t="shared" si="16"/>
        <v>-92050.82167</v>
      </c>
    </row>
  </sheetData>
  <mergeCells count="6">
    <mergeCell ref="A1:B1"/>
    <mergeCell ref="D1:G1"/>
    <mergeCell ref="D2:F2"/>
    <mergeCell ref="D3:F3"/>
    <mergeCell ref="D4:F4"/>
    <mergeCell ref="D5:F5"/>
  </mergeCells>
  <dataValidations>
    <dataValidation type="list" allowBlank="1" sqref="B2">
      <formula1>'Depreciação'!$A$8:$A$12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4" max="4" width="15.75"/>
  </cols>
  <sheetData>
    <row r="1">
      <c r="B1" s="32" t="s">
        <v>44</v>
      </c>
      <c r="C1" s="32" t="s">
        <v>45</v>
      </c>
    </row>
    <row r="2">
      <c r="A2" s="32" t="s">
        <v>46</v>
      </c>
      <c r="B2" s="33">
        <v>700.0</v>
      </c>
    </row>
    <row r="3">
      <c r="A3" s="32" t="s">
        <v>47</v>
      </c>
      <c r="B3" s="34">
        <v>630.0</v>
      </c>
    </row>
    <row r="4">
      <c r="A4" s="32" t="s">
        <v>48</v>
      </c>
      <c r="B4" s="32">
        <v>1000.0</v>
      </c>
    </row>
    <row r="5">
      <c r="A5" s="32" t="s">
        <v>49</v>
      </c>
      <c r="B5" s="34">
        <f>(B4)*B3</f>
        <v>630000</v>
      </c>
    </row>
    <row r="10">
      <c r="A10" s="13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</row>
    <row r="11">
      <c r="A11" s="35" t="s">
        <v>50</v>
      </c>
      <c r="B11" s="36" t="s">
        <v>51</v>
      </c>
      <c r="C11" s="36">
        <f t="shared" ref="C11:G11" si="1">$B$5</f>
        <v>630000</v>
      </c>
      <c r="D11" s="36">
        <f t="shared" si="1"/>
        <v>630000</v>
      </c>
      <c r="E11" s="36">
        <f t="shared" si="1"/>
        <v>630000</v>
      </c>
      <c r="F11" s="36">
        <f t="shared" si="1"/>
        <v>630000</v>
      </c>
      <c r="G11" s="36">
        <f t="shared" si="1"/>
        <v>630000</v>
      </c>
    </row>
    <row r="12">
      <c r="A12" s="37" t="s">
        <v>52</v>
      </c>
      <c r="B12" s="36"/>
      <c r="C12" s="36">
        <f t="shared" ref="C12:G12" si="2">(($B$2-$B$3)*1000)/2</f>
        <v>35000</v>
      </c>
      <c r="D12" s="36">
        <f t="shared" si="2"/>
        <v>35000</v>
      </c>
      <c r="E12" s="36">
        <f t="shared" si="2"/>
        <v>35000</v>
      </c>
      <c r="F12" s="36">
        <f t="shared" si="2"/>
        <v>35000</v>
      </c>
      <c r="G12" s="36">
        <f t="shared" si="2"/>
        <v>35000</v>
      </c>
    </row>
    <row r="13">
      <c r="A13" s="37" t="s">
        <v>23</v>
      </c>
      <c r="B13" s="36" t="s">
        <v>51</v>
      </c>
      <c r="C13" s="36" t="s">
        <v>51</v>
      </c>
      <c r="D13" s="36" t="s">
        <v>51</v>
      </c>
      <c r="E13" s="36" t="s">
        <v>51</v>
      </c>
      <c r="F13" s="36" t="s">
        <v>51</v>
      </c>
      <c r="G13" s="36" t="s">
        <v>51</v>
      </c>
    </row>
    <row r="14">
      <c r="A14" s="35" t="s">
        <v>53</v>
      </c>
      <c r="B14" s="36" t="s">
        <v>51</v>
      </c>
      <c r="C14" s="36">
        <f t="shared" ref="C14:G14" si="3">C11+C12</f>
        <v>665000</v>
      </c>
      <c r="D14" s="36">
        <f t="shared" si="3"/>
        <v>665000</v>
      </c>
      <c r="E14" s="36">
        <f t="shared" si="3"/>
        <v>665000</v>
      </c>
      <c r="F14" s="36">
        <f t="shared" si="3"/>
        <v>665000</v>
      </c>
      <c r="G14" s="36">
        <f t="shared" si="3"/>
        <v>665000</v>
      </c>
    </row>
    <row r="15">
      <c r="A15" s="37" t="s">
        <v>26</v>
      </c>
      <c r="B15" s="36">
        <f>-130000</f>
        <v>-130000</v>
      </c>
      <c r="C15" s="36">
        <f t="shared" ref="C15:G15" si="4">SUM(C16:C18)</f>
        <v>-167580</v>
      </c>
      <c r="D15" s="36">
        <f t="shared" si="4"/>
        <v>-167580</v>
      </c>
      <c r="E15" s="36">
        <f t="shared" si="4"/>
        <v>-167580</v>
      </c>
      <c r="F15" s="36">
        <f t="shared" si="4"/>
        <v>-167580</v>
      </c>
      <c r="G15" s="36">
        <f t="shared" si="4"/>
        <v>-167580</v>
      </c>
    </row>
    <row r="16">
      <c r="A16" s="37" t="s">
        <v>54</v>
      </c>
      <c r="B16" s="36">
        <f>0.3*B15</f>
        <v>-39000</v>
      </c>
      <c r="C16" s="36">
        <f>-0.15*C11*0.8</f>
        <v>-75600</v>
      </c>
      <c r="D16" s="36">
        <f t="shared" ref="D16:G16" si="5">C16</f>
        <v>-75600</v>
      </c>
      <c r="E16" s="36">
        <f t="shared" si="5"/>
        <v>-75600</v>
      </c>
      <c r="F16" s="36">
        <f t="shared" si="5"/>
        <v>-75600</v>
      </c>
      <c r="G16" s="36">
        <f t="shared" si="5"/>
        <v>-75600</v>
      </c>
    </row>
    <row r="17">
      <c r="A17" s="37" t="s">
        <v>55</v>
      </c>
      <c r="B17" s="36">
        <f>0.5*B15</f>
        <v>-65000</v>
      </c>
      <c r="C17" s="36">
        <f>-0.1*C11*1.4</f>
        <v>-88200</v>
      </c>
      <c r="D17" s="36">
        <f t="shared" ref="D17:G17" si="6">C17</f>
        <v>-88200</v>
      </c>
      <c r="E17" s="36">
        <f t="shared" si="6"/>
        <v>-88200</v>
      </c>
      <c r="F17" s="36">
        <f t="shared" si="6"/>
        <v>-88200</v>
      </c>
      <c r="G17" s="36">
        <f t="shared" si="6"/>
        <v>-88200</v>
      </c>
    </row>
    <row r="18">
      <c r="A18" s="37" t="s">
        <v>56</v>
      </c>
      <c r="B18" s="36">
        <f>0.2*B15</f>
        <v>-26000</v>
      </c>
      <c r="C18" s="36">
        <f>0.05*C16</f>
        <v>-3780</v>
      </c>
      <c r="D18" s="36">
        <f t="shared" ref="D18:G18" si="7">C18</f>
        <v>-3780</v>
      </c>
      <c r="E18" s="36">
        <f t="shared" si="7"/>
        <v>-3780</v>
      </c>
      <c r="F18" s="36">
        <f t="shared" si="7"/>
        <v>-3780</v>
      </c>
      <c r="G18" s="36">
        <f t="shared" si="7"/>
        <v>-3780</v>
      </c>
    </row>
    <row r="19">
      <c r="A19" s="35" t="s">
        <v>27</v>
      </c>
      <c r="B19" s="36" t="s">
        <v>51</v>
      </c>
      <c r="C19" s="36">
        <f t="shared" ref="C19:G19" si="8">C11+C15</f>
        <v>462420</v>
      </c>
      <c r="D19" s="36">
        <f t="shared" si="8"/>
        <v>462420</v>
      </c>
      <c r="E19" s="36">
        <f t="shared" si="8"/>
        <v>462420</v>
      </c>
      <c r="F19" s="36">
        <f t="shared" si="8"/>
        <v>462420</v>
      </c>
      <c r="G19" s="36">
        <f t="shared" si="8"/>
        <v>462420</v>
      </c>
    </row>
    <row r="20">
      <c r="A20" s="37" t="s">
        <v>28</v>
      </c>
      <c r="B20" s="36" t="s">
        <v>51</v>
      </c>
      <c r="C20" s="36">
        <f>'Depreciação'!D9</f>
        <v>-4118.4</v>
      </c>
      <c r="D20" s="36">
        <f>'Depreciação'!E9</f>
        <v>-3624.192</v>
      </c>
      <c r="E20" s="36">
        <f>'Depreciação'!F9</f>
        <v>-3189.28896</v>
      </c>
      <c r="F20" s="36">
        <f>'Depreciação'!G9</f>
        <v>-2806.574285</v>
      </c>
      <c r="G20" s="36" t="str">
        <f>#REF!</f>
        <v>#REF!</v>
      </c>
    </row>
    <row r="21">
      <c r="A21" s="35" t="s">
        <v>29</v>
      </c>
      <c r="B21" s="36" t="s">
        <v>51</v>
      </c>
      <c r="C21" s="36">
        <f t="shared" ref="C21:G21" si="9">C19+C20</f>
        <v>458301.6</v>
      </c>
      <c r="D21" s="36">
        <f t="shared" si="9"/>
        <v>458795.808</v>
      </c>
      <c r="E21" s="36">
        <f t="shared" si="9"/>
        <v>459230.711</v>
      </c>
      <c r="F21" s="36">
        <f t="shared" si="9"/>
        <v>459613.4257</v>
      </c>
      <c r="G21" s="36" t="str">
        <f t="shared" si="9"/>
        <v>#REF!</v>
      </c>
    </row>
    <row r="22">
      <c r="A22" s="37" t="s">
        <v>30</v>
      </c>
      <c r="B22" s="36" t="s">
        <v>51</v>
      </c>
      <c r="C22" s="36">
        <f t="shared" ref="C22:G22" si="10">-0.23*C21</f>
        <v>-105409.368</v>
      </c>
      <c r="D22" s="36">
        <f t="shared" si="10"/>
        <v>-105523.0358</v>
      </c>
      <c r="E22" s="36">
        <f t="shared" si="10"/>
        <v>-105623.0635</v>
      </c>
      <c r="F22" s="36">
        <f t="shared" si="10"/>
        <v>-105711.0879</v>
      </c>
      <c r="G22" s="36" t="str">
        <f t="shared" si="10"/>
        <v>#REF!</v>
      </c>
    </row>
    <row r="23">
      <c r="A23" s="37" t="s">
        <v>31</v>
      </c>
      <c r="B23" s="36" t="s">
        <v>51</v>
      </c>
      <c r="C23" s="36">
        <f t="shared" ref="C23:G23" si="11">-C20</f>
        <v>4118.4</v>
      </c>
      <c r="D23" s="36">
        <f t="shared" si="11"/>
        <v>3624.192</v>
      </c>
      <c r="E23" s="36">
        <f t="shared" si="11"/>
        <v>3189.28896</v>
      </c>
      <c r="F23" s="36">
        <f t="shared" si="11"/>
        <v>2806.574285</v>
      </c>
      <c r="G23" s="36" t="str">
        <f t="shared" si="11"/>
        <v>#REF!</v>
      </c>
    </row>
    <row r="24">
      <c r="A24" s="37" t="s">
        <v>32</v>
      </c>
      <c r="B24" s="36" t="s">
        <v>51</v>
      </c>
      <c r="C24" s="36" t="s">
        <v>51</v>
      </c>
      <c r="D24" s="36" t="s">
        <v>51</v>
      </c>
      <c r="E24" s="36" t="s">
        <v>51</v>
      </c>
      <c r="F24" s="36" t="s">
        <v>51</v>
      </c>
      <c r="G24" s="36" t="s">
        <v>51</v>
      </c>
    </row>
    <row r="25">
      <c r="A25" s="37" t="s">
        <v>33</v>
      </c>
      <c r="B25" s="36" t="s">
        <v>51</v>
      </c>
      <c r="C25" s="36" t="s">
        <v>51</v>
      </c>
      <c r="D25" s="36" t="s">
        <v>51</v>
      </c>
      <c r="E25" s="36" t="s">
        <v>51</v>
      </c>
      <c r="F25" s="36" t="s">
        <v>51</v>
      </c>
      <c r="G25" s="36" t="s">
        <v>51</v>
      </c>
    </row>
    <row r="26">
      <c r="A26" s="38" t="s">
        <v>34</v>
      </c>
      <c r="B26" s="36">
        <f>B15</f>
        <v>-130000</v>
      </c>
      <c r="C26" s="36">
        <f t="shared" ref="C26:G26" si="12">C21+C22+C23</f>
        <v>357010.632</v>
      </c>
      <c r="D26" s="36">
        <f t="shared" si="12"/>
        <v>356896.9642</v>
      </c>
      <c r="E26" s="36">
        <f t="shared" si="12"/>
        <v>356796.9365</v>
      </c>
      <c r="F26" s="36">
        <f t="shared" si="12"/>
        <v>356708.9121</v>
      </c>
      <c r="G26" s="36" t="str">
        <f t="shared" si="12"/>
        <v>#REF!</v>
      </c>
    </row>
    <row r="27">
      <c r="A27" s="37" t="s">
        <v>35</v>
      </c>
      <c r="B27" s="36">
        <f>-B15*0.7</f>
        <v>91000</v>
      </c>
      <c r="C27" s="36" t="s">
        <v>51</v>
      </c>
      <c r="D27" s="36" t="s">
        <v>51</v>
      </c>
      <c r="E27" s="36" t="s">
        <v>51</v>
      </c>
      <c r="F27" s="36" t="s">
        <v>51</v>
      </c>
      <c r="G27" s="36" t="s">
        <v>51</v>
      </c>
    </row>
    <row r="28">
      <c r="A28" s="37" t="s">
        <v>36</v>
      </c>
      <c r="B28" s="36" t="s">
        <v>51</v>
      </c>
      <c r="C28" s="36">
        <f t="shared" ref="C28:G28" si="13">-16000</f>
        <v>-16000</v>
      </c>
      <c r="D28" s="36">
        <f t="shared" si="13"/>
        <v>-16000</v>
      </c>
      <c r="E28" s="36">
        <f t="shared" si="13"/>
        <v>-16000</v>
      </c>
      <c r="F28" s="36">
        <f t="shared" si="13"/>
        <v>-16000</v>
      </c>
      <c r="G28" s="36">
        <f t="shared" si="13"/>
        <v>-16000</v>
      </c>
    </row>
    <row r="29">
      <c r="A29" s="37" t="s">
        <v>37</v>
      </c>
      <c r="B29" s="36" t="s">
        <v>51</v>
      </c>
      <c r="C29" s="36" t="s">
        <v>51</v>
      </c>
      <c r="D29" s="36" t="s">
        <v>51</v>
      </c>
      <c r="E29" s="36" t="s">
        <v>51</v>
      </c>
      <c r="F29" s="36" t="s">
        <v>51</v>
      </c>
      <c r="G29" s="36" t="s">
        <v>51</v>
      </c>
    </row>
    <row r="30">
      <c r="A30" s="37" t="s">
        <v>38</v>
      </c>
      <c r="B30" s="36" t="s">
        <v>51</v>
      </c>
      <c r="C30" s="36" t="s">
        <v>51</v>
      </c>
      <c r="D30" s="36" t="s">
        <v>51</v>
      </c>
      <c r="E30" s="36" t="s">
        <v>51</v>
      </c>
      <c r="F30" s="36" t="s">
        <v>51</v>
      </c>
      <c r="G30" s="36" t="s">
        <v>51</v>
      </c>
    </row>
    <row r="31">
      <c r="A31" s="38" t="s">
        <v>39</v>
      </c>
      <c r="B31" s="36">
        <f>B15+B27</f>
        <v>-39000</v>
      </c>
      <c r="C31" s="36">
        <f t="shared" ref="C31:G31" si="14">C26+C28</f>
        <v>341010.632</v>
      </c>
      <c r="D31" s="36">
        <f t="shared" si="14"/>
        <v>340896.9642</v>
      </c>
      <c r="E31" s="36">
        <f t="shared" si="14"/>
        <v>340796.9365</v>
      </c>
      <c r="F31" s="36">
        <f t="shared" si="14"/>
        <v>340708.9121</v>
      </c>
      <c r="G31" s="36" t="str">
        <f t="shared" si="14"/>
        <v>#REF!</v>
      </c>
    </row>
    <row r="32">
      <c r="A32" s="38" t="s">
        <v>40</v>
      </c>
      <c r="B32" s="36">
        <f>B26</f>
        <v>-130000</v>
      </c>
      <c r="C32" s="36">
        <f>C26/(1+0.06)^1</f>
        <v>336802.483</v>
      </c>
      <c r="D32" s="36">
        <f>D26/(1+0.06)^2</f>
        <v>317637.0276</v>
      </c>
      <c r="E32" s="36">
        <f>E26/(1+0.06)^3</f>
        <v>299573.588</v>
      </c>
      <c r="F32" s="36">
        <f>F26/(1+0.06)^4</f>
        <v>282546.8689</v>
      </c>
      <c r="G32" s="36" t="str">
        <f>G26/(1+0.06)^5</f>
        <v>#REF!</v>
      </c>
    </row>
    <row r="33">
      <c r="A33" s="38" t="s">
        <v>41</v>
      </c>
      <c r="B33" s="39">
        <f>B31</f>
        <v>-39000</v>
      </c>
      <c r="C33" s="39">
        <f>C31/(1+0.06)^1</f>
        <v>321708.1434</v>
      </c>
      <c r="D33" s="39">
        <f>D31/(1+0.06)^2</f>
        <v>303397.0845</v>
      </c>
      <c r="E33" s="39">
        <f>E31/(1+0.06)^3</f>
        <v>286139.6795</v>
      </c>
      <c r="F33" s="39">
        <f>F31/(1+0.06)^4</f>
        <v>269873.3703</v>
      </c>
      <c r="G33" s="39" t="str">
        <f>G31/(1+0.06)^5</f>
        <v>#REF!</v>
      </c>
    </row>
    <row r="34">
      <c r="A34" s="32" t="s">
        <v>42</v>
      </c>
      <c r="C34" s="40">
        <f t="shared" ref="C34:C35" si="15">C14/(1+0.12)^1</f>
        <v>593750</v>
      </c>
      <c r="D34" s="40">
        <f t="shared" ref="D34:D35" si="16">D14/(1+0.12)^2</f>
        <v>530133.9286</v>
      </c>
      <c r="E34" s="40">
        <f t="shared" ref="E34:E35" si="17">E14/(1+0.12)^3</f>
        <v>473333.8648</v>
      </c>
      <c r="F34" s="40">
        <f t="shared" ref="F34:F35" si="18">F14/(1+0.12)^4</f>
        <v>422619.5221</v>
      </c>
      <c r="G34" s="40">
        <f t="shared" ref="G34:G35" si="19">G14/(1+0.12)^5</f>
        <v>377338.8591</v>
      </c>
    </row>
    <row r="35">
      <c r="A35" s="32" t="s">
        <v>43</v>
      </c>
      <c r="C35" s="40">
        <f t="shared" si="15"/>
        <v>-149625</v>
      </c>
      <c r="D35" s="40">
        <f t="shared" si="16"/>
        <v>-133593.75</v>
      </c>
      <c r="E35" s="40">
        <f t="shared" si="17"/>
        <v>-119280.1339</v>
      </c>
      <c r="F35" s="40">
        <f t="shared" si="18"/>
        <v>-106500.1196</v>
      </c>
      <c r="G35" s="40">
        <f t="shared" si="19"/>
        <v>-95089.39248</v>
      </c>
    </row>
    <row r="36">
      <c r="A36" s="41" t="s">
        <v>1</v>
      </c>
      <c r="B36" s="42"/>
      <c r="C36" s="42"/>
      <c r="D36" s="43"/>
      <c r="E36" s="44" t="s">
        <v>57</v>
      </c>
    </row>
    <row r="38">
      <c r="A38" s="45" t="s">
        <v>4</v>
      </c>
      <c r="B38" s="46"/>
      <c r="C38" s="47"/>
      <c r="D38" s="48" t="str">
        <f>SUM(B32:G32)</f>
        <v>#REF!</v>
      </c>
    </row>
    <row r="40">
      <c r="A40" s="49" t="s">
        <v>8</v>
      </c>
      <c r="B40" s="46"/>
      <c r="C40" s="47"/>
      <c r="D40" s="50" t="str">
        <f>IRR(B26:G26,6%)</f>
        <v>#REF!</v>
      </c>
    </row>
    <row r="42">
      <c r="A42" s="49" t="s">
        <v>10</v>
      </c>
      <c r="B42" s="46"/>
      <c r="C42" s="47"/>
      <c r="D42" s="51">
        <f>-SUM(C34:G34)/SUM(C35:G35)</f>
        <v>3.968253968</v>
      </c>
    </row>
  </sheetData>
  <mergeCells count="5">
    <mergeCell ref="A36:D36"/>
    <mergeCell ref="E36:G42"/>
    <mergeCell ref="A38:C38"/>
    <mergeCell ref="A40:C40"/>
    <mergeCell ref="A42:C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52" t="s">
        <v>58</v>
      </c>
      <c r="B1" s="2"/>
      <c r="C1" s="53" t="s">
        <v>16</v>
      </c>
      <c r="D1" s="53" t="s">
        <v>17</v>
      </c>
      <c r="E1" s="53" t="s">
        <v>18</v>
      </c>
      <c r="F1" s="53" t="s">
        <v>19</v>
      </c>
      <c r="G1" s="53" t="s">
        <v>20</v>
      </c>
      <c r="H1" s="53" t="s">
        <v>21</v>
      </c>
    </row>
    <row r="2">
      <c r="A2" s="54" t="s">
        <v>26</v>
      </c>
      <c r="B2" s="55"/>
      <c r="C2" s="56">
        <v>130000.0</v>
      </c>
      <c r="D2" s="24">
        <f t="shared" ref="D2:H2" si="1">D3+D9+D13</f>
        <v>162225</v>
      </c>
      <c r="E2" s="24">
        <f t="shared" si="1"/>
        <v>162225</v>
      </c>
      <c r="F2" s="24">
        <f t="shared" si="1"/>
        <v>162225</v>
      </c>
      <c r="G2" s="24">
        <f t="shared" si="1"/>
        <v>162225</v>
      </c>
      <c r="H2" s="24">
        <f t="shared" si="1"/>
        <v>162225</v>
      </c>
    </row>
    <row r="3">
      <c r="A3" s="14" t="s">
        <v>54</v>
      </c>
      <c r="B3" s="57"/>
      <c r="C3" s="58">
        <f>0.3*C2</f>
        <v>39000</v>
      </c>
      <c r="D3" s="24">
        <f>0.15*'Fluxo de Caixa Privado'!C12</f>
        <v>94500</v>
      </c>
      <c r="E3" s="24">
        <f>0.15*'Fluxo de Caixa Privado'!D12</f>
        <v>94500</v>
      </c>
      <c r="F3" s="24">
        <f>0.15*'Fluxo de Caixa Privado'!E12</f>
        <v>94500</v>
      </c>
      <c r="G3" s="24">
        <f>0.15*'Fluxo de Caixa Privado'!F12</f>
        <v>94500</v>
      </c>
      <c r="H3" s="24">
        <f>0.15*'Fluxo de Caixa Privado'!G12</f>
        <v>94500</v>
      </c>
    </row>
    <row r="4">
      <c r="A4" s="59" t="s">
        <v>59</v>
      </c>
      <c r="B4" s="47"/>
      <c r="C4" s="60"/>
      <c r="D4" s="61"/>
      <c r="E4" s="61"/>
      <c r="F4" s="61"/>
      <c r="G4" s="61"/>
      <c r="H4" s="61"/>
    </row>
    <row r="5">
      <c r="A5" s="62" t="s">
        <v>60</v>
      </c>
      <c r="B5" s="63"/>
      <c r="C5" s="61"/>
      <c r="D5" s="61"/>
      <c r="E5" s="61"/>
      <c r="F5" s="61"/>
      <c r="G5" s="61"/>
      <c r="H5" s="61"/>
    </row>
    <row r="6">
      <c r="A6" s="62" t="s">
        <v>61</v>
      </c>
      <c r="B6" s="63"/>
      <c r="C6" s="61"/>
      <c r="D6" s="61">
        <f t="shared" ref="D6:H6" si="2">D7*D8</f>
        <v>0</v>
      </c>
      <c r="E6" s="61">
        <f t="shared" si="2"/>
        <v>0</v>
      </c>
      <c r="F6" s="61">
        <f t="shared" si="2"/>
        <v>0</v>
      </c>
      <c r="G6" s="61">
        <f t="shared" si="2"/>
        <v>0</v>
      </c>
      <c r="H6" s="61">
        <f t="shared" si="2"/>
        <v>0</v>
      </c>
    </row>
    <row r="7">
      <c r="A7" s="64" t="s">
        <v>13</v>
      </c>
      <c r="B7" s="63"/>
      <c r="C7" s="61"/>
      <c r="D7" s="61"/>
      <c r="E7" s="61"/>
      <c r="F7" s="61"/>
      <c r="G7" s="61"/>
      <c r="H7" s="61"/>
    </row>
    <row r="8">
      <c r="A8" s="64" t="s">
        <v>14</v>
      </c>
      <c r="B8" s="63"/>
      <c r="C8" s="61"/>
      <c r="D8" s="61"/>
      <c r="E8" s="61"/>
      <c r="F8" s="61"/>
      <c r="G8" s="61"/>
      <c r="H8" s="61"/>
    </row>
    <row r="9">
      <c r="A9" s="54" t="s">
        <v>55</v>
      </c>
      <c r="B9" s="55"/>
      <c r="C9" s="24">
        <f>0.5*C2</f>
        <v>65000</v>
      </c>
      <c r="D9" s="24">
        <f>0.1*'Fluxo de Caixa Privado'!C12</f>
        <v>63000</v>
      </c>
      <c r="E9" s="24">
        <f>0.1*'Fluxo de Caixa Privado'!D12</f>
        <v>63000</v>
      </c>
      <c r="F9" s="24">
        <f>0.1*'Fluxo de Caixa Privado'!E12</f>
        <v>63000</v>
      </c>
      <c r="G9" s="24">
        <f>0.1*'Fluxo de Caixa Privado'!F12</f>
        <v>63000</v>
      </c>
      <c r="H9" s="24">
        <f>0.1*'Fluxo de Caixa Privado'!G12</f>
        <v>63000</v>
      </c>
    </row>
    <row r="10">
      <c r="A10" s="25" t="s">
        <v>13</v>
      </c>
      <c r="B10" s="47"/>
      <c r="C10" s="60"/>
      <c r="D10" s="61"/>
      <c r="E10" s="61"/>
      <c r="F10" s="61"/>
      <c r="G10" s="61"/>
      <c r="H10" s="61"/>
    </row>
    <row r="11">
      <c r="A11" s="64" t="s">
        <v>14</v>
      </c>
      <c r="B11" s="63"/>
      <c r="C11" s="61"/>
      <c r="D11" s="61"/>
      <c r="E11" s="61"/>
      <c r="F11" s="61"/>
      <c r="G11" s="61"/>
      <c r="H11" s="61"/>
    </row>
    <row r="12">
      <c r="A12" s="64" t="s">
        <v>62</v>
      </c>
      <c r="B12" s="63"/>
      <c r="C12" s="61"/>
      <c r="D12" s="61"/>
      <c r="E12" s="61"/>
      <c r="F12" s="61"/>
      <c r="G12" s="61"/>
      <c r="H12" s="61"/>
    </row>
    <row r="13">
      <c r="A13" s="54" t="s">
        <v>56</v>
      </c>
      <c r="B13" s="55"/>
      <c r="C13" s="24">
        <f>0.2*C2</f>
        <v>26000</v>
      </c>
      <c r="D13" s="24">
        <f t="shared" ref="D13:H13" si="3">0.05*D3</f>
        <v>4725</v>
      </c>
      <c r="E13" s="24">
        <f t="shared" si="3"/>
        <v>4725</v>
      </c>
      <c r="F13" s="24">
        <f t="shared" si="3"/>
        <v>4725</v>
      </c>
      <c r="G13" s="24">
        <f t="shared" si="3"/>
        <v>4725</v>
      </c>
      <c r="H13" s="24">
        <f t="shared" si="3"/>
        <v>4725</v>
      </c>
    </row>
    <row r="15">
      <c r="A15" s="13" t="s">
        <v>63</v>
      </c>
      <c r="B15" s="65" t="s">
        <v>64</v>
      </c>
      <c r="C15" s="13"/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</row>
    <row r="16">
      <c r="A16" s="14" t="s">
        <v>26</v>
      </c>
      <c r="B16" s="15"/>
      <c r="C16" s="16"/>
      <c r="D16" s="24">
        <f t="shared" ref="D16:H16" si="4">D17+D23+D27</f>
        <v>0</v>
      </c>
      <c r="E16" s="24">
        <f t="shared" si="4"/>
        <v>0</v>
      </c>
      <c r="F16" s="24">
        <f t="shared" si="4"/>
        <v>0</v>
      </c>
      <c r="G16" s="24">
        <f t="shared" si="4"/>
        <v>0</v>
      </c>
      <c r="H16" s="24">
        <f t="shared" si="4"/>
        <v>0</v>
      </c>
    </row>
    <row r="17">
      <c r="A17" s="14" t="s">
        <v>54</v>
      </c>
      <c r="B17" s="15"/>
      <c r="C17" s="16"/>
      <c r="D17" s="24">
        <f t="shared" ref="D17:H17" si="5">D18+D19+D20</f>
        <v>0</v>
      </c>
      <c r="E17" s="24">
        <f t="shared" si="5"/>
        <v>0</v>
      </c>
      <c r="F17" s="24">
        <f t="shared" si="5"/>
        <v>0</v>
      </c>
      <c r="G17" s="24">
        <f t="shared" si="5"/>
        <v>0</v>
      </c>
      <c r="H17" s="24">
        <f t="shared" si="5"/>
        <v>0</v>
      </c>
    </row>
    <row r="18">
      <c r="A18" s="59" t="s">
        <v>59</v>
      </c>
      <c r="B18" s="26"/>
      <c r="C18" s="19"/>
      <c r="D18" s="61"/>
      <c r="E18" s="61"/>
      <c r="F18" s="61"/>
      <c r="G18" s="61"/>
      <c r="H18" s="61"/>
    </row>
    <row r="19">
      <c r="A19" s="62" t="s">
        <v>60</v>
      </c>
      <c r="B19" s="66">
        <v>-0.2</v>
      </c>
      <c r="C19" s="67"/>
      <c r="D19" s="61"/>
      <c r="E19" s="61"/>
      <c r="F19" s="61"/>
      <c r="G19" s="61"/>
      <c r="H19" s="61"/>
    </row>
    <row r="20">
      <c r="A20" s="62" t="s">
        <v>61</v>
      </c>
      <c r="B20" s="68"/>
      <c r="C20" s="67"/>
      <c r="D20" s="61">
        <f t="shared" ref="D20:H20" si="6">D21*D22</f>
        <v>0</v>
      </c>
      <c r="E20" s="61">
        <f t="shared" si="6"/>
        <v>0</v>
      </c>
      <c r="F20" s="61">
        <f t="shared" si="6"/>
        <v>0</v>
      </c>
      <c r="G20" s="61">
        <f t="shared" si="6"/>
        <v>0</v>
      </c>
      <c r="H20" s="61">
        <f t="shared" si="6"/>
        <v>0</v>
      </c>
    </row>
    <row r="21">
      <c r="A21" s="64" t="s">
        <v>13</v>
      </c>
      <c r="B21" s="69"/>
      <c r="C21" s="67"/>
      <c r="D21" s="61"/>
      <c r="E21" s="61"/>
      <c r="F21" s="61"/>
      <c r="G21" s="61"/>
      <c r="H21" s="61"/>
    </row>
    <row r="22">
      <c r="A22" s="64" t="s">
        <v>14</v>
      </c>
      <c r="B22" s="69"/>
      <c r="C22" s="67"/>
      <c r="D22" s="61"/>
      <c r="E22" s="61"/>
      <c r="F22" s="61"/>
      <c r="G22" s="61"/>
      <c r="H22" s="61"/>
    </row>
    <row r="23">
      <c r="A23" s="54" t="s">
        <v>55</v>
      </c>
      <c r="B23" s="70"/>
      <c r="C23" s="71"/>
      <c r="D23" s="24">
        <f t="shared" ref="D23:H23" si="7">D24*D25*D26</f>
        <v>0</v>
      </c>
      <c r="E23" s="24">
        <f t="shared" si="7"/>
        <v>0</v>
      </c>
      <c r="F23" s="24">
        <f t="shared" si="7"/>
        <v>0</v>
      </c>
      <c r="G23" s="24">
        <f t="shared" si="7"/>
        <v>0</v>
      </c>
      <c r="H23" s="24">
        <f t="shared" si="7"/>
        <v>0</v>
      </c>
    </row>
    <row r="24">
      <c r="A24" s="25" t="s">
        <v>13</v>
      </c>
      <c r="B24" s="72"/>
      <c r="C24" s="19"/>
      <c r="D24" s="61"/>
      <c r="E24" s="61"/>
      <c r="F24" s="61"/>
      <c r="G24" s="61"/>
      <c r="H24" s="61"/>
    </row>
    <row r="25">
      <c r="A25" s="64" t="s">
        <v>14</v>
      </c>
      <c r="B25" s="69"/>
      <c r="C25" s="67"/>
      <c r="D25" s="61"/>
      <c r="E25" s="61"/>
      <c r="F25" s="61"/>
      <c r="G25" s="61"/>
      <c r="H25" s="61"/>
    </row>
    <row r="26">
      <c r="A26" s="64" t="s">
        <v>62</v>
      </c>
      <c r="B26" s="69"/>
      <c r="C26" s="67">
        <v>1.4</v>
      </c>
      <c r="D26" s="61"/>
      <c r="E26" s="61"/>
      <c r="F26" s="61"/>
      <c r="G26" s="61"/>
      <c r="H26" s="61"/>
    </row>
    <row r="27">
      <c r="A27" s="54" t="s">
        <v>56</v>
      </c>
      <c r="B27" s="70"/>
      <c r="C27" s="71"/>
      <c r="D27" s="24"/>
      <c r="E27" s="24"/>
      <c r="F27" s="24"/>
      <c r="G27" s="24"/>
      <c r="H27" s="24"/>
    </row>
  </sheetData>
  <mergeCells count="13">
    <mergeCell ref="A8:B8"/>
    <mergeCell ref="A9:B9"/>
    <mergeCell ref="A10:B10"/>
    <mergeCell ref="A11:B11"/>
    <mergeCell ref="A12:B12"/>
    <mergeCell ref="A13:B13"/>
    <mergeCell ref="A1:B1"/>
    <mergeCell ref="A2:B2"/>
    <mergeCell ref="A3:B3"/>
    <mergeCell ref="A4:B4"/>
    <mergeCell ref="A5:B5"/>
    <mergeCell ref="A6:B6"/>
    <mergeCell ref="A7:B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8.25"/>
    <col customWidth="1" min="3" max="3" width="13.5"/>
  </cols>
  <sheetData>
    <row r="1">
      <c r="A1" s="73" t="s">
        <v>0</v>
      </c>
      <c r="B1" s="5"/>
    </row>
    <row r="2">
      <c r="A2" s="24" t="s">
        <v>65</v>
      </c>
      <c r="B2" s="56">
        <f>Custos!C2</f>
        <v>130000</v>
      </c>
    </row>
    <row r="3">
      <c r="A3" s="24" t="s">
        <v>66</v>
      </c>
      <c r="B3" s="74">
        <v>0.3</v>
      </c>
    </row>
    <row r="4">
      <c r="A4" s="24" t="s">
        <v>67</v>
      </c>
      <c r="B4" s="56">
        <v>5.0</v>
      </c>
    </row>
    <row r="5">
      <c r="A5" s="24" t="s">
        <v>68</v>
      </c>
      <c r="B5" s="74">
        <v>0.0</v>
      </c>
    </row>
    <row r="7">
      <c r="A7" s="13" t="s">
        <v>69</v>
      </c>
      <c r="B7" s="65" t="s">
        <v>70</v>
      </c>
      <c r="C7" s="13" t="s">
        <v>17</v>
      </c>
      <c r="D7" s="13" t="s">
        <v>18</v>
      </c>
      <c r="E7" s="13" t="s">
        <v>19</v>
      </c>
      <c r="F7" s="13" t="s">
        <v>20</v>
      </c>
      <c r="G7" s="13" t="s">
        <v>21</v>
      </c>
    </row>
    <row r="8">
      <c r="A8" s="24" t="s">
        <v>71</v>
      </c>
      <c r="B8" s="56"/>
      <c r="C8" s="24">
        <f t="shared" ref="C8:G8" si="1">-($B$2*$B$3 - $B$2*$B$3*$B$5) / $B$4</f>
        <v>-7800</v>
      </c>
      <c r="D8" s="24">
        <f t="shared" si="1"/>
        <v>-7800</v>
      </c>
      <c r="E8" s="24">
        <f t="shared" si="1"/>
        <v>-7800</v>
      </c>
      <c r="F8" s="24">
        <f t="shared" si="1"/>
        <v>-7800</v>
      </c>
      <c r="G8" s="24">
        <f t="shared" si="1"/>
        <v>-7800</v>
      </c>
    </row>
    <row r="9">
      <c r="A9" s="24" t="s">
        <v>3</v>
      </c>
      <c r="B9" s="75">
        <v>0.12</v>
      </c>
      <c r="C9" s="24">
        <f>-$B$2*$B$3 - (-$B$2*$B$3*(1-$B$9)^RIGHT(C7,1))</f>
        <v>-4680</v>
      </c>
      <c r="D9" s="24">
        <f t="shared" ref="D9:G9" si="2">-$B$2*$B$3 - (-$B$2*$B$3*(1-$B$9)^RIGHT(D7,1))  - SUM($C$9:C9)</f>
        <v>-4118.4</v>
      </c>
      <c r="E9" s="24">
        <f t="shared" si="2"/>
        <v>-3624.192</v>
      </c>
      <c r="F9" s="24">
        <f t="shared" si="2"/>
        <v>-3189.28896</v>
      </c>
      <c r="G9" s="24">
        <f t="shared" si="2"/>
        <v>-2806.574285</v>
      </c>
    </row>
    <row r="10">
      <c r="A10" s="24" t="s">
        <v>72</v>
      </c>
      <c r="B10" s="56"/>
      <c r="C10" s="24" t="str">
        <f t="shared" ref="C10:G10" si="3">-($B$4 + 1 - RIGHT(C7,1))/$B$10 * ($B$2*$B$3 - $B$2*$B$3*$B$5)</f>
        <v>#DIV/0!</v>
      </c>
      <c r="D10" s="24" t="str">
        <f t="shared" si="3"/>
        <v>#DIV/0!</v>
      </c>
      <c r="E10" s="24" t="str">
        <f t="shared" si="3"/>
        <v>#DIV/0!</v>
      </c>
      <c r="F10" s="24" t="str">
        <f t="shared" si="3"/>
        <v>#DIV/0!</v>
      </c>
      <c r="G10" s="24" t="str">
        <f t="shared" si="3"/>
        <v>#DIV/0!</v>
      </c>
    </row>
    <row r="11">
      <c r="A11" s="24" t="s">
        <v>73</v>
      </c>
      <c r="B11" s="56"/>
      <c r="C11" s="24" t="str">
        <f t="shared" ref="C11:G11" si="4">-( RIGHT(C7,1))/$B$11 * ($B$2*$B$3 - $B$2*$B$3*$B$5)</f>
        <v>#DIV/0!</v>
      </c>
      <c r="D11" s="24" t="str">
        <f t="shared" si="4"/>
        <v>#DIV/0!</v>
      </c>
      <c r="E11" s="24" t="str">
        <f t="shared" si="4"/>
        <v>#DIV/0!</v>
      </c>
      <c r="F11" s="24" t="str">
        <f t="shared" si="4"/>
        <v>#DIV/0!</v>
      </c>
      <c r="G11" s="24" t="str">
        <f t="shared" si="4"/>
        <v>#DIV/0!</v>
      </c>
    </row>
    <row r="12">
      <c r="A12" s="24" t="s">
        <v>74</v>
      </c>
      <c r="B12" s="76"/>
      <c r="C12" s="24">
        <f t="shared" ref="C12:G12" si="5">-$B$13*(1+$B$12)^(RIGHT(C7,1) - 1)</f>
        <v>0</v>
      </c>
      <c r="D12" s="24">
        <f t="shared" si="5"/>
        <v>0</v>
      </c>
      <c r="E12" s="24">
        <f t="shared" si="5"/>
        <v>0</v>
      </c>
      <c r="F12" s="24">
        <f t="shared" si="5"/>
        <v>0</v>
      </c>
      <c r="G12" s="24">
        <f t="shared" si="5"/>
        <v>0</v>
      </c>
    </row>
    <row r="13">
      <c r="A13" s="24" t="s">
        <v>75</v>
      </c>
      <c r="B13" s="56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3.13"/>
    <col customWidth="1" min="4" max="4" width="16.5"/>
    <col customWidth="1" min="5" max="5" width="16.75"/>
  </cols>
  <sheetData>
    <row r="1">
      <c r="A1" s="32" t="s">
        <v>76</v>
      </c>
      <c r="B1" s="32" t="s">
        <v>77</v>
      </c>
      <c r="C1" s="32" t="s">
        <v>78</v>
      </c>
      <c r="E1" s="32" t="s">
        <v>79</v>
      </c>
    </row>
    <row r="2">
      <c r="C2" s="32" t="s">
        <v>80</v>
      </c>
      <c r="D2" s="32" t="s">
        <v>81</v>
      </c>
    </row>
    <row r="3">
      <c r="A3" s="32" t="s">
        <v>82</v>
      </c>
      <c r="B3" s="34">
        <f>sum('Fluxo de Caixa Privado'!C35:G35)</f>
        <v>2271009.007</v>
      </c>
      <c r="C3" s="34">
        <f t="shared" ref="C3:C4" si="1">-(B3+D3-E3)</f>
        <v>-70770.44945</v>
      </c>
      <c r="D3" s="34">
        <f>'Fluxo de Caixa Privado'!C36:G36</f>
        <v>-129324.7768</v>
      </c>
      <c r="E3" s="34">
        <f>SUM('Fluxo de Caixa Privado'!C33:G33)</f>
        <v>2070913.781</v>
      </c>
    </row>
    <row r="4">
      <c r="A4" s="32" t="s">
        <v>83</v>
      </c>
      <c r="B4" s="40">
        <f>sum('Fluxo de Caixa Social'!C34:G34)</f>
        <v>2397176.175</v>
      </c>
      <c r="C4" s="77">
        <f t="shared" si="1"/>
        <v>-686527.8111</v>
      </c>
      <c r="D4" s="40">
        <f>sum('Fluxo de Caixa Social'!C35:G35)</f>
        <v>-604088.396</v>
      </c>
      <c r="E4" s="77">
        <f>sum('Fluxo de Caixa Social'!B32:F32)</f>
        <v>1106559.967</v>
      </c>
    </row>
    <row r="5">
      <c r="A5" s="32" t="s">
        <v>84</v>
      </c>
      <c r="B5" s="34">
        <f t="shared" ref="B5:E5" si="2">B3-B4</f>
        <v>-126167.1671</v>
      </c>
      <c r="C5" s="34">
        <f t="shared" si="2"/>
        <v>615757.3617</v>
      </c>
      <c r="D5" s="34">
        <f t="shared" si="2"/>
        <v>474763.6192</v>
      </c>
      <c r="E5" s="34">
        <f t="shared" si="2"/>
        <v>964353.8138</v>
      </c>
    </row>
    <row r="7">
      <c r="A7" s="32" t="s">
        <v>85</v>
      </c>
      <c r="C7" s="40">
        <f t="shared" ref="C7:C8" si="3">-D3/(B3+C3)</f>
        <v>0.05877761587</v>
      </c>
    </row>
    <row r="8">
      <c r="A8" s="32" t="s">
        <v>86</v>
      </c>
      <c r="C8" s="40">
        <f t="shared" si="3"/>
        <v>0.3531341735</v>
      </c>
    </row>
    <row r="9">
      <c r="A9" s="32" t="s">
        <v>87</v>
      </c>
      <c r="C9" s="78">
        <f>B3/B4</f>
        <v>0.9473684211</v>
      </c>
    </row>
    <row r="10">
      <c r="A10" s="32" t="s">
        <v>88</v>
      </c>
      <c r="C10" s="78">
        <f>(B3+C3)/(B4+C4)</f>
        <v>1.286201539</v>
      </c>
    </row>
    <row r="11">
      <c r="A11" s="32" t="s">
        <v>89</v>
      </c>
      <c r="C11" s="78">
        <f>E3/E4</f>
        <v>1.871488073</v>
      </c>
    </row>
    <row r="12">
      <c r="A12" s="32" t="s">
        <v>90</v>
      </c>
      <c r="C12" s="78">
        <f>E5/E4</f>
        <v>0.8714880731</v>
      </c>
    </row>
  </sheetData>
  <mergeCells count="10">
    <mergeCell ref="A10:B10"/>
    <mergeCell ref="A11:B11"/>
    <mergeCell ref="A12:B12"/>
    <mergeCell ref="B1:B2"/>
    <mergeCell ref="C1:D1"/>
    <mergeCell ref="E1:E2"/>
    <mergeCell ref="A1:A2"/>
    <mergeCell ref="A7:B7"/>
    <mergeCell ref="A8:B8"/>
    <mergeCell ref="A9:B9"/>
  </mergeCells>
  <drawing r:id="rId1"/>
</worksheet>
</file>